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 &amp; SC March 2026" sheetId="1" r:id="rId4"/>
    <sheet state="visible" name="Info." sheetId="2" r:id="rId5"/>
    <sheet state="visible" name="Supplier code list" sheetId="3" r:id="rId6"/>
    <sheet state="visible" name="SC FRANCE Q1 2025" sheetId="4" r:id="rId7"/>
    <sheet state="visible" name="SC FRANCE Q1 2025 v2" sheetId="5" r:id="rId8"/>
    <sheet state="visible" name="ARBORESCENCE FRANCAISE" sheetId="6" r:id="rId9"/>
    <sheet state="visible" name="SC FRANCE Q3&amp;Q4 2025 v1" sheetId="7" r:id="rId10"/>
    <sheet state="visible" name="SC FRANCE Q3&amp;Q4 2025 v2" sheetId="8" r:id="rId11"/>
    <sheet state="visible" name="SC FRANCE 24.03.2026" sheetId="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hidden="1" localSheetId="0" name="_xlnm._FilterDatabase">'PO &amp; SC March 2026'!$A$13:$BK$1107</definedName>
    <definedName hidden="1" localSheetId="3" name="_xlnm._FilterDatabase">'SC FRANCE Q1 2025'!$A$13:$J$228</definedName>
    <definedName hidden="1" localSheetId="4" name="_xlnm._FilterDatabase">'SC FRANCE Q1 2025 v2'!$A$13:$J$225</definedName>
    <definedName hidden="1" localSheetId="5" name="_xlnm._FilterDatabase">'ARBORESCENCE FRANCAISE'!$A$13:$G$544</definedName>
    <definedName hidden="1" localSheetId="6" name="_xlnm._FilterDatabase">'SC FRANCE Q3&amp;Q4 2025 v1'!$A$13:$W$605</definedName>
    <definedName hidden="1" localSheetId="7" name="_xlnm._FilterDatabase">'SC FRANCE Q3&amp;Q4 2025 v2'!$A$10:$W$566</definedName>
    <definedName hidden="1" localSheetId="8" name="_xlnm._FilterDatabase">'SC FRANCE 24.03.2026'!$A$1:$P$658</definedName>
  </definedNames>
  <calcPr/>
  <extLst>
    <ext uri="GoogleSheetsCustomDataVersion2">
      <go:sheetsCustomData xmlns:go="http://customooxmlschemas.google.com/" r:id="rId20" roundtripDataChecksum="oOeXVvr9LwTCMATusPf/FdP9nTsWT5PnFlElnbNRSU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E109">
      <text>
        <t xml:space="preserve">======
ID#AAAB5mVNh0I
tc={FD1DFBA3-6BBE-4A9D-B63E-503085CC219B}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S57">
      <text>
        <t xml:space="preserve">======
ID#AAAB5mVNh0Q
Even Dong    (2026-05-03 16:33:56)
13.725km/2plts</t>
      </text>
    </comment>
    <comment authorId="0" ref="BE114">
      <text>
        <t xml:space="preserve">======
ID#AAAB5mVNh0E
tc={7B6D0AFF-AB39-4545-8EB6-707CD1E9E998}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AZ290">
      <text>
        <t xml:space="preserve">======
ID#AAAB5mVNhz4
PC    (2026-05-03 16:33:56)
Silk printing for 1-24 number</t>
      </text>
    </comment>
    <comment authorId="0" ref="AZ294">
      <text>
        <t xml:space="preserve">======
ID#AAAB5mVNh0A
PC    (2026-05-03 16:33:56)
Silk printing for 1-24 number</t>
      </text>
    </comment>
    <comment authorId="0" ref="BE107">
      <text>
        <t xml:space="preserve">======
ID#AAAB5mVNhz0
tc={D0EB0DDD-D0DA-4901-893C-05A252FAA1F2}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S32">
      <text>
        <t xml:space="preserve">======
ID#AAAB5mVNhzs
Even Dong    (2026-05-03 16:33:56)
13.725km/2plts</t>
      </text>
    </comment>
    <comment authorId="0" ref="AZ131">
      <text>
        <t xml:space="preserve">======
ID#AAAB5mVNhzw
PC    (2026-05-03 16:33:56)
PK MOQ: 25000pcs</t>
      </text>
    </comment>
    <comment authorId="0" ref="BB503">
      <text>
        <t xml:space="preserve">======
ID#AAAB5mVNhzo
Carina    (2026-05-03 16:33:56)
One piece HQ version</t>
      </text>
    </comment>
    <comment authorId="0" ref="BE108">
      <text>
        <t xml:space="preserve">======
ID#AAAB5mVNhzk
tc={A9CF091E-5CC8-439A-BAA4-5EE67BDC8BE7}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BE112">
      <text>
        <t xml:space="preserve">======
ID#AAAB5l-xSKY
tc={CC8F7897-CAEB-48BA-AB07-FEA5D52D5132}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BE111">
      <text>
        <t xml:space="preserve">======
ID#AAAB5l-xSKU
tc={97E7ADD0-FD25-492C-B76E-44FE35931BDC}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BE110">
      <text>
        <t xml:space="preserve">======
ID#AAAB5l-xSKQ
tc={A37CF90F-877C-43BD-A8FB-050158D21377}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AZ120">
      <text>
        <t xml:space="preserve">======
ID#AAAB5l-xSKI
Carina    (2026-05-03 16:33:56)
AB laser printing</t>
      </text>
    </comment>
    <comment authorId="0" ref="AX96">
      <text>
        <t xml:space="preserve">======
ID#AAAB5l-xSKE
Carina    (2026-05-03 16:33:56)
S/FTP CAT7 4*2*0.53 PE 30% Steel Tape</t>
      </text>
    </comment>
    <comment authorId="0" ref="S29">
      <text>
        <t xml:space="preserve">======
ID#AAAB5l-xSKM
Even Dong    (2026-05-03 16:33:56)
13.725km/2plts</t>
      </text>
    </comment>
    <comment authorId="0" ref="BA287">
      <text>
        <t xml:space="preserve">======
ID#AAAB5l-xSKA
Carina CHENG    (2026-05-03 16:33:56)
Extra cost RMB2/pc if need change to T shape.</t>
      </text>
    </comment>
    <comment authorId="0" ref="AZ119">
      <text>
        <t xml:space="preserve">======
ID#AAAB5l-xSJ8
Carina    (2026-05-03 16:33:56)
AB laser printing</t>
      </text>
    </comment>
    <comment authorId="0" ref="BE113">
      <text>
        <t xml:space="preserve">======
ID#AAAB5l-xSJ4
tc={85732935-D25A-46A1-85CA-8A7F460B5770}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Real production 3P0.53/0.58</t>
      </text>
    </comment>
    <comment authorId="0" ref="BB288">
      <text>
        <t xml:space="preserve">======
ID#AAAB5l-xSJ0
tc={26753CB1-31C0-4406-A183-73E86ACF7B85}    (2026-05-03 16:33:56)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Extra cost RMB 8.8/PC will be added to improve black coating.</t>
      </text>
    </comment>
    <comment authorId="0" ref="AZ510">
      <text>
        <t xml:space="preserve">======
ID#AAAB5l-xSJw
Carina    (2026-05-03 16:33:56)
With LED lighting
+ 1 set of screw,washer,nuts</t>
      </text>
    </comment>
    <comment authorId="0" ref="AZ511">
      <text>
        <t xml:space="preserve">======
ID#AAAB5l-xSJs
PC    (2026-05-03 16:33:56)
cost for 1 set of screw, nut and washer</t>
      </text>
    </comment>
  </commentList>
  <extLst>
    <ext uri="GoogleSheetsCustomDataVersion2">
      <go:sheetsCustomData xmlns:go="http://customooxmlschemas.google.com/" r:id="rId1" roundtripDataSignature="AMtx7mgJx/ikTM9i6VeWxa+y1t8H6H6tD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7">
      <text>
        <t xml:space="preserve">======
ID#AAAB5mVNhz8
Even Dong    (2026-05-03 16:33:56)
13.725km/2plts</t>
      </text>
    </comment>
  </commentList>
  <extLst>
    <ext uri="GoogleSheetsCustomDataVersion2">
      <go:sheetsCustomData xmlns:go="http://customooxmlschemas.google.com/" r:id="rId1" roundtripDataSignature="AMtx7mguSESXL4ARZaIwGbCboAE0vnuB8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4">
      <text>
        <t xml:space="preserve">======
ID#AAAB5l-xSKc
Even Dong    (2026-05-03 16:33:56)
13.725km/2plts</t>
      </text>
    </comment>
  </commentList>
  <extLst>
    <ext uri="GoogleSheetsCustomDataVersion2">
      <go:sheetsCustomData xmlns:go="http://customooxmlschemas.google.com/" r:id="rId1" roundtripDataSignature="AMtx7mhzXUbtsPon5k4Sf0bR7Vz+Yzr8N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6">
      <text>
        <t xml:space="preserve">======
ID#AAAB5mVNh0M
Even Dong    (2026-05-03 16:33:56)
13.725km/2plts</t>
      </text>
    </comment>
  </commentList>
  <extLst>
    <ext uri="GoogleSheetsCustomDataVersion2">
      <go:sheetsCustomData xmlns:go="http://customooxmlschemas.google.com/" r:id="rId1" roundtripDataSignature="AMtx7mg7MP/shMSKbul+pzMyGY3k9ZGnaw=="/>
    </ext>
  </extLst>
</comments>
</file>

<file path=xl/sharedStrings.xml><?xml version="1.0" encoding="utf-8"?>
<sst xmlns="http://schemas.openxmlformats.org/spreadsheetml/2006/main" count="47800" uniqueCount="4378">
  <si>
    <t xml:space="preserve">Moyenne de </t>
  </si>
  <si>
    <t>23/02/2026 au 23/03/2026</t>
  </si>
  <si>
    <t>Real Transp. Cost</t>
  </si>
  <si>
    <t>3mm copper base</t>
  </si>
  <si>
    <t>YEB Code</t>
  </si>
  <si>
    <t>LME copper USD</t>
  </si>
  <si>
    <t>A</t>
  </si>
  <si>
    <t>LME copper EUR</t>
  </si>
  <si>
    <t>B</t>
  </si>
  <si>
    <t>USD/CNY</t>
  </si>
  <si>
    <t>C</t>
  </si>
  <si>
    <t>Product base 2025</t>
  </si>
  <si>
    <t>EUR/USD</t>
  </si>
  <si>
    <t>D</t>
  </si>
  <si>
    <t>Elendil / Coris</t>
  </si>
  <si>
    <t>08.09.2025</t>
  </si>
  <si>
    <t>EUR/CNY</t>
  </si>
  <si>
    <r>
      <rPr>
        <rFont val="Calibri"/>
        <b/>
        <color rgb="FF162F56"/>
        <sz val="10.0"/>
      </rPr>
      <t xml:space="preserve">1x20GP ocean freight 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</si>
  <si>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</si>
  <si>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(Turkey)</t>
    </r>
  </si>
  <si>
    <t>LCL DAP/Pallet</t>
  </si>
  <si>
    <t>SYMEA</t>
  </si>
  <si>
    <t>SYSKERN</t>
  </si>
  <si>
    <t>PURCHASE PRICES</t>
  </si>
  <si>
    <t>Brand</t>
  </si>
  <si>
    <t>Active France Y/N</t>
  </si>
  <si>
    <t>Active Export Y/N</t>
  </si>
  <si>
    <t>Univers</t>
  </si>
  <si>
    <t>Range</t>
  </si>
  <si>
    <t>Sub-Range</t>
  </si>
  <si>
    <t>Type</t>
  </si>
  <si>
    <t>AWG/SIZE</t>
  </si>
  <si>
    <t>Internal Code</t>
  </si>
  <si>
    <t>Unikkern Items code</t>
  </si>
  <si>
    <t>item code</t>
  </si>
  <si>
    <t>Description En</t>
  </si>
  <si>
    <t>Description fr</t>
  </si>
  <si>
    <t>Tag</t>
  </si>
  <si>
    <t>Origin</t>
  </si>
  <si>
    <t>Cu (kg/km)</t>
  </si>
  <si>
    <t>Individual Packing</t>
  </si>
  <si>
    <t xml:space="preserve">MOQ </t>
  </si>
  <si>
    <t>QTY/Pallet</t>
  </si>
  <si>
    <t>Global Trade Item Number (GTIN)</t>
  </si>
  <si>
    <t>HS Code</t>
  </si>
  <si>
    <t>Import Tax EU</t>
  </si>
  <si>
    <t xml:space="preserve">Lead time </t>
  </si>
  <si>
    <t xml:space="preserve">FCL Delivery time </t>
  </si>
  <si>
    <t>LCL delivery time</t>
  </si>
  <si>
    <t>Supplier Payment term</t>
  </si>
  <si>
    <t>Distributor SC FOB Price (Usd/km)</t>
  </si>
  <si>
    <t>Price copper adjust FOB Usd</t>
  </si>
  <si>
    <t>Distributor SC DDP France (€/km)</t>
  </si>
  <si>
    <t>Distributor SC DDP Europe Sud (€/km)</t>
  </si>
  <si>
    <t>Price copper adjust DDP €</t>
  </si>
  <si>
    <t>Old Prices</t>
  </si>
  <si>
    <t>Old Margin</t>
  </si>
  <si>
    <t>Margin value</t>
  </si>
  <si>
    <t>MB% FOB Symea</t>
  </si>
  <si>
    <t>MB% CIF of Symea</t>
  </si>
  <si>
    <t>Door to door Margin DDP</t>
  </si>
  <si>
    <t>Price code</t>
  </si>
  <si>
    <t>Net price</t>
  </si>
  <si>
    <t>Door to Door Net Margin</t>
  </si>
  <si>
    <t>SYSKERN PO FOB (Usd/km)</t>
  </si>
  <si>
    <t>SYSKERN PO CIF Price (€/km)</t>
  </si>
  <si>
    <t>MB% FOB</t>
  </si>
  <si>
    <t>MB% DDP</t>
  </si>
  <si>
    <t>PAMP Stock 12.03.2026</t>
  </si>
  <si>
    <t>Supplier</t>
  </si>
  <si>
    <t>dif +/- ¥1000 or 2000</t>
  </si>
  <si>
    <t>Prices base @ ¥70000</t>
  </si>
  <si>
    <t>Prix de BASE € LME 1500 ex-works</t>
  </si>
  <si>
    <t>UKN packing extra on PO</t>
  </si>
  <si>
    <t>FOB CNY/unit</t>
  </si>
  <si>
    <t>TLL FOB CNY/unit</t>
  </si>
  <si>
    <t>FOB USD/unit (CN)
EXW Eur/unit (TK)</t>
  </si>
  <si>
    <t>PA CIF €</t>
  </si>
  <si>
    <t xml:space="preserve">Supplier Item / Construction </t>
  </si>
  <si>
    <t>Supplier HS code</t>
  </si>
  <si>
    <t>Prix Public</t>
  </si>
  <si>
    <t>Prix remise 40%</t>
  </si>
  <si>
    <t>Prix remise 50%</t>
  </si>
  <si>
    <t>Prix remise 60%</t>
  </si>
  <si>
    <t>UKN</t>
  </si>
  <si>
    <t>No</t>
  </si>
  <si>
    <t>COPPER</t>
  </si>
  <si>
    <t>DATA CABLES</t>
  </si>
  <si>
    <t>SOLID CABLE CAT5E</t>
  </si>
  <si>
    <t>U/UTP</t>
  </si>
  <si>
    <t>KCU5E4PGR5-17</t>
  </si>
  <si>
    <t>KCU5E4PGR5</t>
  </si>
  <si>
    <t>CAT5E CABLE U/UTP 4 PAIRS AWG24 TEST UP TO 200MHz PVC CPR ECA WHITE RAL7035 500M</t>
  </si>
  <si>
    <t>CÂBLE CAT5E U/UTP 4 PAIRES AWG24 TEST A 200MHz PVC CPR ECA BLANC RAL7035 500M</t>
  </si>
  <si>
    <t>Eca</t>
  </si>
  <si>
    <t>China</t>
  </si>
  <si>
    <t>500m drum</t>
  </si>
  <si>
    <t>30 km</t>
  </si>
  <si>
    <t>854449 2000</t>
  </si>
  <si>
    <t>T/T 60 days</t>
  </si>
  <si>
    <t>ZD</t>
  </si>
  <si>
    <t>854449 1100</t>
  </si>
  <si>
    <t>KCU5E4PZHDGR5-17</t>
  </si>
  <si>
    <t>KCU5E4PZHDGR5</t>
  </si>
  <si>
    <t>CAT5E CABLE U/UTP 4 PAIRS AWG24 TEST UP TO 200MHz LSZH CPR DCA GREY RAL7035 500M</t>
  </si>
  <si>
    <t>CÂBLE CAT5E U/UTP 4 PAIRES AWG24 TEST A 200MHz LSZH CPR DCA GRIS RAL7035 500M</t>
  </si>
  <si>
    <t>Dca</t>
  </si>
  <si>
    <t>F/UTP</t>
  </si>
  <si>
    <t>KCFU5E4PGR5-17</t>
  </si>
  <si>
    <t>KCFU5E4PGR5</t>
  </si>
  <si>
    <t>CAT5E CABLE F/UTP 4 PAIRS AWG24 TEST UP TO 200MHz PVC CPR ECA GREY RAL7035 500M</t>
  </si>
  <si>
    <t>CÂBLE CAT5E F/UTP 4 PAIRES AWG24 TEST A 200MHz PVC CPR ECA GRIS RAL7035 500M</t>
  </si>
  <si>
    <t>KCFU5E4PZHDGR5-17</t>
  </si>
  <si>
    <t>KCFU5E4PZHDGR5</t>
  </si>
  <si>
    <t>CAT5E CABLE F/UTP 4 PAIRS AWG24 TEST UP TO 200MHz LSZH CPR DCA GREY RAL7035 500M</t>
  </si>
  <si>
    <t>CÂBLE CAT5E F/UTP 4 PAIRES AWG24 TEST A 200MHz LSZH CPR DCA GRIS RAL7035 500M</t>
  </si>
  <si>
    <t>SF/UTP</t>
  </si>
  <si>
    <t>KCSFU5E4PZHDGR5-17</t>
  </si>
  <si>
    <t>KCSFU5E4PZHDGR5</t>
  </si>
  <si>
    <t>CAT5E CABLE SF/UTP 4 PAIRS AWG24 TEST UP TO 200MHz LSZH CPR DCA GREY RAL7035 500M</t>
  </si>
  <si>
    <t>Yes</t>
  </si>
  <si>
    <t>SOLID CABLE CAT6</t>
  </si>
  <si>
    <t>KCU64PLGR5-21</t>
  </si>
  <si>
    <t>KCU64PLGR5</t>
  </si>
  <si>
    <t>CAT6 CABLE U/UTP 4 PAIRS AWG24 TEST UP TO 400MHz PVC CPR ECA GREY RAL7035 500M</t>
  </si>
  <si>
    <t>CÂBLE CAT6 U/UTP 4 PAIRES AWG24 TEST A 400MHz LSZH CPR ECA GRIS RAL7035 500M</t>
  </si>
  <si>
    <t>HT</t>
  </si>
  <si>
    <t>ACM type 0.51+/0.005; 5.3+/-0.3</t>
  </si>
  <si>
    <t>KCU64PLGRB-21</t>
  </si>
  <si>
    <t>KCU64PLGRB</t>
  </si>
  <si>
    <t>CAT6 CABLE U/UTP 4 PAIRS AWG24 TEST UP TO 400MHz PVC CPR ECA GREY RAL7035 B305M</t>
  </si>
  <si>
    <t>CÂBLE CAT6 U/UTP 4 PAIRES AWG24 TEST A 400MHz LSZH CPR ECA GRIS RAL7035 B305M</t>
  </si>
  <si>
    <t>305m Reelex box</t>
  </si>
  <si>
    <t>KCU64PLZHDGR5-21</t>
  </si>
  <si>
    <t>KCU64PLZHDGR5</t>
  </si>
  <si>
    <t>CAT6 CABLE U/UTP 4 PAIRS AWG24 TEST UP TO 400MHz LSZH CPR DCA GREY RAL7035 500M</t>
  </si>
  <si>
    <t>CÂBLE CAT6 U/UTP 4 PAIRES AWG24 TEST A 400MHz LSZH CPR DCA GRIS RAL7035 500M</t>
  </si>
  <si>
    <t>4897108882319</t>
  </si>
  <si>
    <t>KCU64PLZHDGRB-21</t>
  </si>
  <si>
    <t>KCU64PLZHDGRB</t>
  </si>
  <si>
    <t>CAT6 CABLE U/UTP 4 PAIRS AWG24 TEST UP TO 400MHz LSZH CPR DCA GREY RAL7035 B305M</t>
  </si>
  <si>
    <t>CÂBLE CAT6 U/UTP 4 PAIRES AWG24 TEST A 400MHz LSZH CPR DCA GRIS RAL7035 B305M</t>
  </si>
  <si>
    <t>4897108882326</t>
  </si>
  <si>
    <t>KCU64PGR5-E02</t>
  </si>
  <si>
    <t>KCU64PGR5</t>
  </si>
  <si>
    <t>CAT6 CABLE U/UTP 4 PAIRS AWG23 TEST UP TO 400MHz PVC CPR ECA GREY RAL7035 500M</t>
  </si>
  <si>
    <t>CÂBLE CAT6 U/UTP 4 PAIRES AWG23 TEST A 400MHz LSZH CPR ECA GRIS RAL7035 500M</t>
  </si>
  <si>
    <t>Turkey</t>
  </si>
  <si>
    <t>T/T 30 days</t>
  </si>
  <si>
    <t>KK</t>
  </si>
  <si>
    <t>KCU64PZHDGR5-E02</t>
  </si>
  <si>
    <t>KCU64PZHDGR5</t>
  </si>
  <si>
    <t>CAT6 CABLE U/UTP 4 PAIRS AWG23 TEST UP TO 400MHz LSZH CPR DCA GREY RAL7035 500M</t>
  </si>
  <si>
    <t>CÂBLE CAT6 U/UTP 4 PAIRES AWG23 TEST A 400MHz LSZH CPR DCA GRIS RAL7035 500M</t>
  </si>
  <si>
    <t>KCU64PZHDGRB-E02</t>
  </si>
  <si>
    <t>KCU64PZHDGRB</t>
  </si>
  <si>
    <t>CAT6 CABLE U/UTP 4 PAIRS AWG23 TEST UP TO 400MHz LSZH CPR DCA GREY RAL7035 B305M</t>
  </si>
  <si>
    <t>CÂBLE CAT6 U/UTP 4 PAIRES AWG23 TEST A 400MHz LSZH CPR DCA GRIS RAL7035 B305M</t>
  </si>
  <si>
    <t>KCU64PZHCGR5-E02</t>
  </si>
  <si>
    <t>KCU64PZHCGR5</t>
  </si>
  <si>
    <t>CAT6 CABLE U/UTP 4 PAIRS AWG23 TEST UP TO 400MHz LSZH CPR CCA GREY RAL7035 500M</t>
  </si>
  <si>
    <t>CÂBLE CAT6 U/UTP 4 PAIRES AWG23 TEST A 400MHz LSZH CPR CCA GRIS RAL7035 500M</t>
  </si>
  <si>
    <t>Cca</t>
  </si>
  <si>
    <t>KCFU64PZHDGR5-21</t>
  </si>
  <si>
    <t>KCFU64PZHDGR5</t>
  </si>
  <si>
    <t>CAT6 CABLE F/UTP 4 PAIRS AWG23 TEST UP TO 400MHz LSZH CPR DCA GREY RAL7035 500M</t>
  </si>
  <si>
    <t>CÂBLE CAT6 F/UTP 4 PAIRES AWG23 TEST A 400MHz LSZH CPR DCA GRIS RAL7035 500M</t>
  </si>
  <si>
    <t>4897108881749</t>
  </si>
  <si>
    <t>KCFU68PZHDGR5-21</t>
  </si>
  <si>
    <t>KCFU68PZHDGR5</t>
  </si>
  <si>
    <t>CAT6 CABLE F/UTP 2x4 PAIRS AWG23 TEST UP TO 400MHz LSZH CPR DCA GREY RAL7035 500M</t>
  </si>
  <si>
    <t>CÂBLE CAT6 F/UTP 2x4 PAIRES AWG23 TEST A 400MHz LSZH CPR DCA GRIS RAL7035 500M</t>
  </si>
  <si>
    <t>4897108881756</t>
  </si>
  <si>
    <t>KCFU64PZHDGRB-21</t>
  </si>
  <si>
    <t>KCFU64PZHDGRB</t>
  </si>
  <si>
    <t>CAT6 CABLE F/UTP 4 PAIRS AWG23 TEST UP TO 400MHz LSZH CPR DCA GREY RAL7035 B305M</t>
  </si>
  <si>
    <t>CÂBLE CAT6 F/UTP 4 PAIRES AWG23 TEST A 400MHz LSZH CPR DCA GRIS RAL7035 B305M</t>
  </si>
  <si>
    <t>305m Reel in box</t>
  </si>
  <si>
    <t>4897108882333</t>
  </si>
  <si>
    <t>Orsean</t>
  </si>
  <si>
    <t>OEFU64PXSDWHT1-91</t>
  </si>
  <si>
    <t>OEFU64PXSDWHT1</t>
  </si>
  <si>
    <t>CAT6 CABLE F/UTP 4 PAIRS AWG24 TEST UP TO 400MHz LSZH CPR DCA WHITE RAL9003 100M</t>
  </si>
  <si>
    <t>CÂBLE CAT6 F/UTP 4 PAIRES AWG24 TEST A 400MHz LSZH CPR DCA BLANC RAL9003 100M</t>
  </si>
  <si>
    <t>100m Coil</t>
  </si>
  <si>
    <t>AYP</t>
  </si>
  <si>
    <t>OEFU64PXSDWHT5-91</t>
  </si>
  <si>
    <t>OEFU64PXSDWHT5</t>
  </si>
  <si>
    <t>CAT6 CABLE F/UTP 4 PAIRS AWG24 TEST UP TO 400MHz LSZH CPR DCA WHITE RAL9003 500M</t>
  </si>
  <si>
    <t>CÂBLE CAT6 F/UTP 4 PAIRES AWG24 TEST A 400MHz LSZH CPR DCA BLANC RAL9003 500M</t>
  </si>
  <si>
    <t>OEFU64PXSDWHTB-91</t>
  </si>
  <si>
    <t>OEFU64PXSDWHTB</t>
  </si>
  <si>
    <t>CAT6 CABLE F/UTP 4 PAIRS AWG24 TEST UP TO 400MHz LSZH CPR DCA WHITE RAL9003 B305M</t>
  </si>
  <si>
    <t>CÂBLE CAT6 F/UTP 4 PAIRES AWG24 TEST A 400MHz LSZH CPR DCA BLANC RAL9003 B305M</t>
  </si>
  <si>
    <t>KCU64PZHDGR5-21</t>
  </si>
  <si>
    <t>KCU64PZHDGRB-21</t>
  </si>
  <si>
    <t>KCU64PZHCGR5-21</t>
  </si>
  <si>
    <t>KCU64PZHB2GR5-21</t>
  </si>
  <si>
    <t>KCU64PZHB2GR5</t>
  </si>
  <si>
    <t>CAT6 CABLE U/UTP 4 PAIRS AWG23 TEST UP TO 400MHz LSZH CPR B2CA GREY RAL7035 500M</t>
  </si>
  <si>
    <t>CÂBLE CAT6 U/UTP 4 PAIRES AWG23 TEST A 400MHz LSZH CPR B2CA GRIS RAL7035 500M</t>
  </si>
  <si>
    <t>B2ca</t>
  </si>
  <si>
    <t>KCU64PEOUT5-21</t>
  </si>
  <si>
    <t>KCU64PEOUT5</t>
  </si>
  <si>
    <t>CAT6 CABLE U/UTP 4 PAIRS AWG23 TEST UP TO 400MHz PE OUTDOOR CPR FCA BLACK RAL9005 500M</t>
  </si>
  <si>
    <t>CÂBLE CAT6 U/UTP 4 PAIRES AWG23 TEST A 400MHz PE EXTERIEUR CPR FCA NOIR RAL9005 500M</t>
  </si>
  <si>
    <t>Fca</t>
  </si>
  <si>
    <t>SOLID CABLE CAT6A</t>
  </si>
  <si>
    <t>KCU6A4PLZHDBL5-21</t>
  </si>
  <si>
    <t>KCU6A4PLZHDBL5</t>
  </si>
  <si>
    <t>CAT6A CABLE U/UTP 4 PAIRS AWG23 TESTED UP TO 650MHz LSZH CPR DCA BLUE RAL5024 500M NANEXT</t>
  </si>
  <si>
    <t>CÂBLE CAT6A U/UTP 4 PAIRES AWG23 TEST A 650MHz LSZH CPR DCA BLEU RAL5024 500M NANEXT</t>
  </si>
  <si>
    <t>NON ANEXT</t>
  </si>
  <si>
    <t>KCU6A4PLZHDVI5-21</t>
  </si>
  <si>
    <t>KCU6A4PLZHDVI5</t>
  </si>
  <si>
    <t>CAT6A CABLE U/UTP 4 PAIRS AWG23 TESTED UP TO 650MHz LSZH CPR DCA PURPLE RAL4003 500M NANEXT</t>
  </si>
  <si>
    <t>CÂBLE CAT6A U/UTP 4 PAIRES AWG23 TEST A 650MHz LSZH CPR DCA VIOLET RAL4003 500M NANEXT</t>
  </si>
  <si>
    <t>KCU6A4PLZHCBL5-21</t>
  </si>
  <si>
    <t>KCU6A4PLZHCBL5</t>
  </si>
  <si>
    <t>CAT6A CABLE U/UTP 4 PAIRS AWG23 TESTED UP TO 650MHz LSZH CPR CCA BLUE RAL5024 500M NANEXT</t>
  </si>
  <si>
    <t>CÂBLE CAT6A U/UTP 4 PAIRES AWG23 TEST A 650MHz LSZH CPR CCA BLEU RAL5024 500M NANEXT</t>
  </si>
  <si>
    <t>KCU6A4PLZHB2BL5-21</t>
  </si>
  <si>
    <t>KCU6A4PLZHB2BL5</t>
  </si>
  <si>
    <t>CAT6A CABLE U/UTP 4 PAIRS AWG23 TESTED UP TO 650MHz LSZH CPR B2CA BLUE RAL5024 500M NANEXT</t>
  </si>
  <si>
    <t>CÂBLE CAT6A U/UTP 4 PAIRES AWG23 TEST A 650MHz LSZH CPR B2CA BLEU RAL5024 500M NANEXT</t>
  </si>
  <si>
    <t>KCU6A4PZHDBL5-21</t>
  </si>
  <si>
    <t>KCU6A4PZHDBL5</t>
  </si>
  <si>
    <t>CAT6A CABLE U/UTP 4 PAIRS AWG23 TESTED UP TO 650MHz LSZH CPR DCA BLUE RAL5024 500M</t>
  </si>
  <si>
    <t>CÂBLE CAT6A U/UTP 4 PAIRES AWG23 TEST A 650MHz LSZH CPR DCA BLEU RAL5024 500M</t>
  </si>
  <si>
    <t>ANEXT</t>
  </si>
  <si>
    <t>KCU6A4PZHCBL5-21</t>
  </si>
  <si>
    <t>KCU6A4PZHCBL5</t>
  </si>
  <si>
    <t xml:space="preserve">CAT6A CABLE U/UTP 4 PAIRS AWG23 TESTED UP TO 650MHz LSZH CPR CCA BLUE RAL5024 500M </t>
  </si>
  <si>
    <t xml:space="preserve">CÂBLE CAT6A U/UTP 4 PAIRES AWG23 TEST A 650MHz LSZH CPR CCA BLEU RAL5024 500M </t>
  </si>
  <si>
    <t>KCU6A4PZHB2BL5-21</t>
  </si>
  <si>
    <t>KCU6A4PZHB2BL5</t>
  </si>
  <si>
    <t xml:space="preserve">CAT6A CABLE U/UTP 4 PAIRS AWG23 TESTED UP TO 650MHz LSZH CPR B2CA BLUE RAL5024 500M </t>
  </si>
  <si>
    <t>CÂBLE CAT6A U/UTP 4 PAIRES AWG23 TEST A 650MHz LSZH CPR B2CA BLEU RAL5024 500M</t>
  </si>
  <si>
    <t>KCU6A4PZHDBL5-E02</t>
  </si>
  <si>
    <t>KCU6A4PZHCBL5-E02</t>
  </si>
  <si>
    <t>CAT6A CABLE U/UTP 4 PAIRS AWG23 TESTED UP TO 650MHz LSZH CPR CCA BLUE RAL5024 500M</t>
  </si>
  <si>
    <t>CÂBLE CAT6A U/UTP 4 PAIRES AWG23 TEST A 650MHz LSZH CPR CCA BLEU RAL5024 500M</t>
  </si>
  <si>
    <t>KCU6A4PLZHDBL5-E02</t>
  </si>
  <si>
    <t>KCU6A4PLZHDBLB-E02</t>
  </si>
  <si>
    <t>KCU6A4PLZHDBLB</t>
  </si>
  <si>
    <t>305m</t>
  </si>
  <si>
    <t>U/FTP</t>
  </si>
  <si>
    <t>KCUF6A4PZHDBL5-21</t>
  </si>
  <si>
    <t>KCUF6A4PZHDBL5</t>
  </si>
  <si>
    <t>CAT6A CABLE U/FTP 4 PAIRS AWG23 TESTED UP TO 650MHz LSZH CPR DCA BLUE RAL5024 500M</t>
  </si>
  <si>
    <t>CÂBLE CAT6A U/FTP 4 PAIRES AWG23 TEST A 650MHz LSZH CPR DCA BLEU RAL5024 500M</t>
  </si>
  <si>
    <t>4897108882340</t>
  </si>
  <si>
    <t>KCUF6A8PZHDBL5-21</t>
  </si>
  <si>
    <t>KCUF6A8PZHDBL5</t>
  </si>
  <si>
    <t>CAT6A CABLE U/FTP 2x4 PAIRS AWG23 TESTED UP TO 650MHz LSZH CPR DCA BLUE RAL5024 500M</t>
  </si>
  <si>
    <t>CÂBLE CAT6A U/FTP 2x4 PAIRES AWG23 TEST A 650MHz LSZH CPR DCA BLEU RAL5024 500M</t>
  </si>
  <si>
    <t>4897108882357</t>
  </si>
  <si>
    <t>KCUF6A4PZHCBL5-21</t>
  </si>
  <si>
    <t>KCUF6A4PZHCBL5</t>
  </si>
  <si>
    <t>CAT6A CABLE U/FTP 4 PAIRS AWG23 TESTED UP TO 650MHz LSZH CPR CCA BLUE RAL5024 500M</t>
  </si>
  <si>
    <t>CÂBLE CAT6A U/FTP 4 PAIRES AWG23 TEST A 650MHz LSZH CPR CCA BLEU RAL5024 500M</t>
  </si>
  <si>
    <t>4897108882364</t>
  </si>
  <si>
    <t>KCUF6A4PZHB2BL5-21</t>
  </si>
  <si>
    <t>KCUF6A4PZHB2BL5</t>
  </si>
  <si>
    <t>CAT6A CABLE U/FTP 4 PAIRS AWG23 TESTED UP TO 650MHz LSZH CPR B2CA BLUE RAL5024 500M</t>
  </si>
  <si>
    <t>CÂBLE CAT6A U/FTP 4 PAIRES AWG23 TEST A 650MHz LSZH CPR B2CA BLEU RAL5024 500M</t>
  </si>
  <si>
    <t>4897108882371</t>
  </si>
  <si>
    <t>KCUF6A4PZHDBL5-E02</t>
  </si>
  <si>
    <t>KCUF6A8PZHDBL5-E02</t>
  </si>
  <si>
    <t>KCFU6A4PZHDBL5-17</t>
  </si>
  <si>
    <t>KCFU6A4PZHDBL5</t>
  </si>
  <si>
    <t>CAT6A CABLE F/UTP 4 PAIRS AWG23 TESTED UP TO 650MHz LSZH CPR DCA BLUE RAL5024 500M</t>
  </si>
  <si>
    <t>CÂBLE CAT6A F/UTP 4 PAIRES AWG23 TEST A 650MHz LSZH CPR DCA BLEU RAL5024 500M</t>
  </si>
  <si>
    <t>KCFU6A8PZHDBL5-17</t>
  </si>
  <si>
    <t>KCFU6A8PZHDBL5</t>
  </si>
  <si>
    <t>CAT6A CABLE F/UTP 2x4 PAIRS AWG23 TESTED UP TO 650MHz LSZH CPR DCA BLUE RAL5024 500M</t>
  </si>
  <si>
    <t>CÂBLE CAT6A F/UTP 2x4 PAIRES AWG23 TEST A 650MHz LSZH CPR DCA BLEU RAL5024 500M</t>
  </si>
  <si>
    <t>KCFU6A4PZHDBLB-17</t>
  </si>
  <si>
    <t>KCFU6A4PZHDBLB</t>
  </si>
  <si>
    <t>CAT6A CABLE F/UTP 4 PAIRS AWG23 TESTED UP TO 650MHz LSZH CPR DCA BLUE RAL5024 B305M</t>
  </si>
  <si>
    <t>CÂBLE CAT6A F/UTP 4 PAIRES AWG23 TEST A 650MHz LSZH CPR DCA BLEU RAL5024 B305M</t>
  </si>
  <si>
    <t>KCFU6A4PZHCBL5-17</t>
  </si>
  <si>
    <t>KCFU6A4PZHCBL5</t>
  </si>
  <si>
    <t>CAT6A CABLE F/UTP 4 PAIRS AWG23 TESTED UP TO 650MHz LSZH CPR CCA BLUE RAL5024 500M</t>
  </si>
  <si>
    <t>CÂBLE CAT6A F/UTP 4 PAIRES AWG23 TEST A 650MHz LSZH CPR CCA BLEU RAL5024 500M</t>
  </si>
  <si>
    <t>KCFU6A4PZHB2BL5-17</t>
  </si>
  <si>
    <t>KCFU6A4PZHB2BL5</t>
  </si>
  <si>
    <t>CAT6A CABLE F/UTP 4 PAIRS AWG23 TESTED UP TO 650MHz LSZH CPR B2CA BLUE RAL5024 500M</t>
  </si>
  <si>
    <t>CÂBLE CAT6A F/UTP 4 PAIRES AWG23 TEST A 650MHz LSZH CPR B2CA BLEU RAL5024 500M</t>
  </si>
  <si>
    <t>KCFU6A4PZHDWH5-21</t>
  </si>
  <si>
    <t>KCFU6A4PZHDWH5</t>
  </si>
  <si>
    <t>CAT6A CABLE F/UTP 4 PAIRS AWG23 TESTED UP TO 650MHz LSZH CPR DCA WHITE RAL9003 500M</t>
  </si>
  <si>
    <t>CÂBLE CAT6A F/UTP 4 PAIRES AWG23 TEST A 650MHz LSZH CPR DCA BLANC RAL9003 500M</t>
  </si>
  <si>
    <t>KCFU6A4PZHCWH5-21</t>
  </si>
  <si>
    <t>KCFU6A4PZHCWH5</t>
  </si>
  <si>
    <t>CAT6A CABLE F/UTP 4 PAIRS AWG23 TESTED UP TO 650MHz LSZH CPR CCA WHITE RAL9003 500M</t>
  </si>
  <si>
    <t>CÂBLE CAT6A F/UTP 4 PAIRES AWG23 TEST A 650MHz LSZH CPR CCA BLANC RAL9003 500M</t>
  </si>
  <si>
    <t>KCFU6A4PZHDBL5-E02</t>
  </si>
  <si>
    <t>KCFU6A4PZHCBL5-E02</t>
  </si>
  <si>
    <t>F/FTP</t>
  </si>
  <si>
    <t>KCFF6A4PZHDBL5-21</t>
  </si>
  <si>
    <t>KCFF6A4PZHDBL5</t>
  </si>
  <si>
    <t>CAT6A CABLE F/FTP 4 PAIRS AWG23 TESTED UP TO 650MHz LSZH CPR DCA BLUE RAL5024 500M</t>
  </si>
  <si>
    <t>CÂBLE CAT6A F/FTP 4 PAIRES AWG23 TEST A 650MHz LSZH CPR DCA BLEU RAL5024 500M</t>
  </si>
  <si>
    <t>4897108881763</t>
  </si>
  <si>
    <t>KCFF6A8PZHDBL5-21</t>
  </si>
  <si>
    <t>KCFF6A8PZHDBL5</t>
  </si>
  <si>
    <t>CAT6A CABLE F/FTP 2x4 PAIRS AWG23 TESTED UP TO 650MHz LSZH CPR DCA BLUE RAL5024 500M</t>
  </si>
  <si>
    <t>CÂBLE CAT6A F/FTP 2x4 PAIRES AWG23 TEST A 650MHz LSZH CPR DCA BLEU RAL5024 500M</t>
  </si>
  <si>
    <t>4897108881770</t>
  </si>
  <si>
    <t>KCFF6A4PZHDGR5-21</t>
  </si>
  <si>
    <t>KCFF6A4PZHDGR5</t>
  </si>
  <si>
    <t>CAT6A CABLE F/FTP 4 PAIRS AWG23 TESTED UP TO 650MHz LSZH CPR DCA GREY RAL7035 500M</t>
  </si>
  <si>
    <t>CÂBLE CAT6A F/FTP 4 PAIRES AWG23 TEST A 650MHz LSZH CPR DCA GRIS RAL7035 500M</t>
  </si>
  <si>
    <t>KCFF6A8PZHDGR5-21</t>
  </si>
  <si>
    <t>KCFF6A8PZHDGR5</t>
  </si>
  <si>
    <t>CAT6A CABLE F/FTP 2x4 PAIRS AWG23 TESTED UP TO 650MHz LSZH CPR DCA GREY RAL7035 500M</t>
  </si>
  <si>
    <t>CÂBLE CAT6A F/FTP 2x4 PAIRES AWG23 TEST A 650MHz LSZH CPR DCA GRIS RAL7035 500M</t>
  </si>
  <si>
    <t>KCFF6A4PZHDBLB-21</t>
  </si>
  <si>
    <t>KCFF6A4PZHDBLB</t>
  </si>
  <si>
    <t>CAT6A CABLE F/FTP 4 PAIRS AWG23 TESTED UP TO 650MHz LSZH CPR DCA BLUE RAL5024 B305M</t>
  </si>
  <si>
    <t>CÂBLE CAT6A F/FTP 4 PAIRES AWG23 TEST A 650MHz LSZH CPR DCA BLEU RAL5024 305M</t>
  </si>
  <si>
    <t>4897108882753</t>
  </si>
  <si>
    <t>KCFF6A4PZHCBL5-21</t>
  </si>
  <si>
    <t>KCFF6A4PZHCBL5</t>
  </si>
  <si>
    <t>CAT6A CABLE F/FTP 4 PAIRS AWG23 TESTED UP TO 650MHz LSZH CPR CCA BLUE RAL5024 500M</t>
  </si>
  <si>
    <t>CÂBLE CAT6A F/FTP 4 PAIRES AWG23 TEST A 650MHz LSZH CPR CCA BLEU RAL5024 500M</t>
  </si>
  <si>
    <t>4897108882388</t>
  </si>
  <si>
    <t>KCFF6A8PZHCBL5-21</t>
  </si>
  <si>
    <t>KCFF6A8PZHCBL5</t>
  </si>
  <si>
    <t>CAT6A CABLE F/FTP 2x4 PAIRS AWG23 TESTED UP TO 650MHz LSZH CPR CCA BLUE RAL5024 500M</t>
  </si>
  <si>
    <t>CÂBLE CAT6A F/FTP 2x4 PAIRES AWG23 TEST A 650MHz LSZH CPR CCA BLEU RAL5024 500M</t>
  </si>
  <si>
    <t>KCFF6A4PZHCBLB-21</t>
  </si>
  <si>
    <t>KCFF6A4PZHCBLB</t>
  </si>
  <si>
    <t>CAT6A CABLE F/FTP 4 PAIRS AWG23 TESTED UP TO 650MHz LSZH CPR CCA BLUE RAL5024 B305M</t>
  </si>
  <si>
    <t>CÂBLE CAT6A F/FTP 4 PAIRES AWG23 TEST A 650MHz LSZH CPR CCA BLEU RAL5024 305M</t>
  </si>
  <si>
    <t>KCFF6A4PZHB2BL5-21</t>
  </si>
  <si>
    <t>KCFF6A4PZHB2BL5</t>
  </si>
  <si>
    <t>CAT6A CABLE F/FTP 4 PAIRS AWG23 TESTED UP TO 650MHz LSZH CPR B2CA BLUE RAL5024 500M</t>
  </si>
  <si>
    <t>CÂBLE CAT6A F/FTP 4 PAIRES AWG23 TEST A 650MHz LSZH CPR B2CA BLEU RAL5024 500M</t>
  </si>
  <si>
    <t>4897108882395</t>
  </si>
  <si>
    <t>KCFF6A4PZHCOUT5-21</t>
  </si>
  <si>
    <t>KCFF6A4PZHCOUT5</t>
  </si>
  <si>
    <t>CAT6A CABLE F/FTP 4 PAIRS AWG23 TESTED UP TO 650MHz LSZH CPR CCA INDOOR/OUTDOOR BLACK RAL9005 500M</t>
  </si>
  <si>
    <t>CÂBLE CAT6A F/FTP 4 PAIRES AWG23 TEST A 650MHz LSZH CPR CCA INTÉRIEUR/EXTÉRIEUR NOIR RAL9005 500M</t>
  </si>
  <si>
    <t>KCFF6A4PZHDBL5-E02</t>
  </si>
  <si>
    <t>KCFF6A8PZHDBL5-E02</t>
  </si>
  <si>
    <t>KCFF6A4PZHDGR5-E02</t>
  </si>
  <si>
    <t>KCFF6A8PZHDGR5-E02</t>
  </si>
  <si>
    <t>KCFF6A8PZHCGR5-E02</t>
  </si>
  <si>
    <t>KCFF6A8PZHCGR5</t>
  </si>
  <si>
    <t>S/FTP</t>
  </si>
  <si>
    <t>KCSF6A4PZHDBL5-21</t>
  </si>
  <si>
    <t>KCSF6A4PZHDBL5</t>
  </si>
  <si>
    <t>CAT6A CABLE S/FTP 4 PAIRS AWG23 TESTED UP TO 650MHz LSZH CPR DCA BLUE RAL5024 500M</t>
  </si>
  <si>
    <t>CÂBLE CAT6A S/FTP 4 PAIRES AWG23 TEST A 650MHz LSZH CPR DCA BLEU RAL5024 500M</t>
  </si>
  <si>
    <t>4897108882715</t>
  </si>
  <si>
    <t>KCSF6A8PZHDBL5-21</t>
  </si>
  <si>
    <t>KCSF6A8PZHDBL5</t>
  </si>
  <si>
    <t>CAT6A CABLE S/FTP 2x4 PAIRS AWG23 TESTED UP TO 650MHz LSZH CPR DCA BLUE RAL5024 500M</t>
  </si>
  <si>
    <t>CÂBLE CAT6A S/FTP 2x4 PAIRES AWG23 TEST A 650MHz LSZH CPR DCA BLEU RAL5024 500M</t>
  </si>
  <si>
    <t>KCSF6A4PZHCBL5-21</t>
  </si>
  <si>
    <t>KCSF6A4PZHCBL5</t>
  </si>
  <si>
    <t>CAT6A CABLE S/FTP 4 PAIRS AWG23 TESTED UP TO 650MHz LSZH CPR CCA BLUE RAL5024 500M</t>
  </si>
  <si>
    <t>CÂBLE CAT6A S/FTP 4 PAIRES AWG23 TEST A 650MHz LSZH CPR CCA BLEU RAL5024 500M</t>
  </si>
  <si>
    <t>KCSF6A8PZHCBL5-21</t>
  </si>
  <si>
    <t>KCSF6A8PZHCBL5</t>
  </si>
  <si>
    <t>CAT6A CABLE S/FTP 2x4 PAIRS AWG23 TESTED UP TO 650MHz LSZH CPR CCA BLUE RAL5024 500M</t>
  </si>
  <si>
    <t>CÂBLE CAT6A S/FTP 2x4 PAIRES AWG23 TEST A 650MHz LSZH CPR CCA BLEU RAL5024 500M</t>
  </si>
  <si>
    <t>KCSF6A4PZHCBL5-E02</t>
  </si>
  <si>
    <t>KCSF6A8PZHCBL5-E02</t>
  </si>
  <si>
    <t>KCSF6A4PZHCOUT5-21</t>
  </si>
  <si>
    <t>KCSF6A4PZHCOUT5</t>
  </si>
  <si>
    <t>CAT6A CABLE S/FTP 4 PAIRS AWG23 TESTED UP TO 650MHz LSZH CPR CCA INDOOR/OUTDOOR BLACK RAL9005 500M</t>
  </si>
  <si>
    <t>CÂBLE CAT6A S/FTP 4 PAIRES AWG23 TEST A 650MHz LSZH CPR CCA INTÉRIEUR/EXTÉRIEUR NOIR RAL9005 500M</t>
  </si>
  <si>
    <t>KCSF6A4PZHMCB2R5-17</t>
  </si>
  <si>
    <t>KCSF6A4PZHMCB2R5</t>
  </si>
  <si>
    <t>CAT6A CABLE S/FTP 4 PAIRS AWG23 TESTED UP TO 650MHz LSZH CPR B2CA PH120 RED RAL 3018 500M</t>
  </si>
  <si>
    <t>CÂBLE CAT6A S/FTP 4 PAIRES AWG23 TEST A 650MHz LSZH CPR B2CA PH120 ROUGE RAL 3018 500M</t>
  </si>
  <si>
    <t>10 km</t>
  </si>
  <si>
    <t>IEC60331-2</t>
  </si>
  <si>
    <t>KCFU64PZHMCB2R5-17</t>
  </si>
  <si>
    <t>KCFU64PZHMCB2R5</t>
  </si>
  <si>
    <r>
      <rPr>
        <rFont val="Calibri"/>
        <color rgb="FF162F56"/>
        <sz val="10.0"/>
      </rPr>
      <t xml:space="preserve">CAT6 CABLE F/UTP 4 PAIRS AWG23 TESTED UP TO </t>
    </r>
    <r>
      <rPr>
        <rFont val="Calibri"/>
        <color rgb="FFFF0000"/>
        <sz val="10.0"/>
      </rPr>
      <t>450MHz</t>
    </r>
    <r>
      <rPr>
        <rFont val="Calibri"/>
        <color rgb="FF162F56"/>
        <sz val="10.0"/>
      </rPr>
      <t xml:space="preserve"> LSZH CPR B2CA PH90 RED RAL 3018 500M</t>
    </r>
  </si>
  <si>
    <t>CÂBLE CAT6 F/UTP 4 PAIRES AWG23 TEST A 450MHz LSZH CPR B2CA PH90 ROUGE RAL 3018 500M</t>
  </si>
  <si>
    <t>IEC60331-23</t>
  </si>
  <si>
    <t>SOLID CABLE CAT7</t>
  </si>
  <si>
    <t>KCSF74PZHDOR5-21</t>
  </si>
  <si>
    <t>KCSF74PZHDOR5</t>
  </si>
  <si>
    <t>CAT7 CABLE S/FTP 4 PAIRS AWG23 TEST UP TO 900MHz LSZH CPR DCA ORANGE RAL2003 500M</t>
  </si>
  <si>
    <t>CÂBLE CAT7 S/FTP 4 PAIRES AWG23 TEST A 900MHz LSZH CPR DCA ORANGE RAL2003 500M</t>
  </si>
  <si>
    <t>4897108881787</t>
  </si>
  <si>
    <t>KCSF78PZHDOR5-21</t>
  </si>
  <si>
    <t>KCSF78PZHDOR5</t>
  </si>
  <si>
    <t>CAT7 CABLE S/FTP 2x4 PAIRS AWG23 TEST UP TO 900MHz LSZH CPR DCA ORANGE RAL2003 500M</t>
  </si>
  <si>
    <t>CÂBLE CAT7 S/FTP 2x4 PAIRES AWG23 TEST A 900MHz LSZH CPR DCA ORANGE RAL2003 500M</t>
  </si>
  <si>
    <t>4897108881794</t>
  </si>
  <si>
    <t>KCSF74PZHCOR5-21</t>
  </si>
  <si>
    <t>KCSF74PZHCOR5</t>
  </si>
  <si>
    <t>CAT7 CABLE S/FTP 4 PAIRS AWG23 TEST UP TO 900MHz LSZH CPR CCA ORANGE RAL2003 500M</t>
  </si>
  <si>
    <t>CÂBLE CAT7 S/FTP 4 PAIRES AWG23 TEST A 900MHz LSZH CPR CCA ORANGE RAL2003 500M</t>
  </si>
  <si>
    <t>4897108882401</t>
  </si>
  <si>
    <t>KCSF78PZHCOR5-21</t>
  </si>
  <si>
    <t>KCSF78PZHCOR5</t>
  </si>
  <si>
    <t>CAT7 CABLE S/FTP 2x4 PAIRS AWG23 TEST UP TO 900MHz LSZH CPR CCA ORANGE RAL2003 500M</t>
  </si>
  <si>
    <t>CÂBLE CAT7 S/FTP 2x4 PAIRES AWG23 TEST A 900MHz LSZH CPR CCA ORANGE RAL2003 500M</t>
  </si>
  <si>
    <t>KCSF74PZHB2OR5-21</t>
  </si>
  <si>
    <t>KCSF74PZHB2OR5</t>
  </si>
  <si>
    <t>CAT7 CABLE S/FTP 4 PAIRS AWG23 TEST UP TO 900MHz LSZH CPR B2CA ORANGE RAL2003 500M</t>
  </si>
  <si>
    <t>CÂBLE CAT7 S/FTP 4 PAIRES AWG23 TEST A 900MHz LSZH CPR B2CA ORANGE RAL2003 500M</t>
  </si>
  <si>
    <t>4897108882418</t>
  </si>
  <si>
    <t>KCSF74PZHCOR5-E02</t>
  </si>
  <si>
    <t>KCSF78PZHCOR5-E02</t>
  </si>
  <si>
    <t>KCSF74PEOUT5-21</t>
  </si>
  <si>
    <t>KCSF74PEOUT5</t>
  </si>
  <si>
    <t>CAT7 CABLE S/FTP 4 PAIRS AWG23 TEST UP TO 900MHz PE OUTDOOR CPR FCA BLACK RAL9005 500M</t>
  </si>
  <si>
    <t>CÂBLE CAT7 S/FTP 4 PAIRES AWG23 TEST A 900MHz PE EXTERIEUR CPR FCA NOIR RAL9005 500M</t>
  </si>
  <si>
    <t>KCSF74PEAOUT5-17</t>
  </si>
  <si>
    <t>KCSF74PEAOUT5</t>
  </si>
  <si>
    <t>CAT7 CABLE S/FTP 4 PAIRS AWG23 TEST UP TO 900MHz PE ARMORED OUTDOOR CPR FCA BLACK RAL9005 500M</t>
  </si>
  <si>
    <t>CÂBLE CAT7 S/FTP 4 PAIRES AWG23 TEST A 900MHz PE ARME EXTERIEUR CPR FCA NOIR RAL9005 500M</t>
  </si>
  <si>
    <t>KSF74PLZHDOUT5-91</t>
  </si>
  <si>
    <t>KSF74PLZHDOUT5</t>
  </si>
  <si>
    <t>CAT7 CABLE S/FTP 4 PAIRS AWG26 TESTED UP TO 650MHz LSZH CPR DCA INDOOR/OUTDOOR BLACK RAL9005 500M</t>
  </si>
  <si>
    <t>CÂBLE CAT7 S/FTP 4 PAIRES AWG26 TEST A 650MHz LSZH CPR DCA INTÉRIEUR/EXTÉRIEUR NOIR RAL9005 500M</t>
  </si>
  <si>
    <t>70m Fluke, 0.40BC/0.40TC/48x0.10TC,No Dca cert. yet</t>
  </si>
  <si>
    <t>SOLID CABLE CAT7A</t>
  </si>
  <si>
    <t>KCSF7A4PZHB2BR5-21</t>
  </si>
  <si>
    <t>KCSF7A4PZHB2BR5</t>
  </si>
  <si>
    <t>U0105003</t>
  </si>
  <si>
    <t>CAT7A CABLE S/FTP 4 PAIRS AWG23 TEST UP TO 1200MHz LSZH CPR B2CA BROWN RAL8008 500M</t>
  </si>
  <si>
    <t>CÂBLE CAT7A S/FTP 4 PAIRES AWG23 TEST A 1200MHz LSZH CPR B2CA MARRON RAL8008 500M</t>
  </si>
  <si>
    <t>0.58BC/TC 30%</t>
  </si>
  <si>
    <t>KCSF7A4PZHB2BR5-E02</t>
  </si>
  <si>
    <t>KCSF7A4PBZHB2BR5-21</t>
  </si>
  <si>
    <t>KCSF7A4PBZHB2BR5</t>
  </si>
  <si>
    <t>CAT7A CABLE S/FTP 4 PAIRS AWG22 TEST UP TO 1500MHz LSZH CPR B2CA BROWN RAL8008 500M</t>
  </si>
  <si>
    <t>CÂBLE CAT7A S/FTP 4 PAIRES AWG22 TEST A 1500MHz LSZH CPR B2CA MARRON RAL8008 500M</t>
  </si>
  <si>
    <t>0.60BC/TC 30%</t>
  </si>
  <si>
    <t>KCSF7A4PZHCYE5-21</t>
  </si>
  <si>
    <t>KCSF7A4PZHCYE5</t>
  </si>
  <si>
    <t>CAT7A CABLE S/FTP 4 PAIRS AWG23 TEST UP TO 1200MHz LSZH CPR CCA YELLOW RAL1021 500M</t>
  </si>
  <si>
    <t>CÂBLE CAT7A S/FTP 4 PAIRES AWG23 TEST A 1200MHz LSZH CPR CCA JAUNE RAL1021 500M</t>
  </si>
  <si>
    <t>KCSF7A4PBZHCYE5-21</t>
  </si>
  <si>
    <t>KCSF7A4PBZHCYE5</t>
  </si>
  <si>
    <t>CAT7A CABLE S/FTP 4 PAIRS AWG22 TEST UP TO 1500MHz LSZH CPR CCA YELLOW RAL1021 500M</t>
  </si>
  <si>
    <t>CÂBLE CAT7A S/FTP 4 PAIRES AWG22 TEST A 1500MHz LSZH CPR CCA JAUNE RAL1021 500M</t>
  </si>
  <si>
    <t>SOLID CABLE CAT8</t>
  </si>
  <si>
    <t>KCSF84PZHB2LI5-21</t>
  </si>
  <si>
    <t>KCSF84PZHB2LI5</t>
  </si>
  <si>
    <t>CAT8.2 CABLE S/FTP 4 PAIRS AWG22 TEST UP TO 2000MHz LSZH CPR B2CA LIME GREEN RAL6039 500M</t>
  </si>
  <si>
    <t>CÂBLE CAT8.2 S/FTP 4 PAIRES AWG22 TEST A 2000MHz LSZH CPR B2CA VERT CITRON RAL6039 500M</t>
  </si>
  <si>
    <t>0.60BC/1.56SFS/TC 30%/OD 8.3, 24m Channel</t>
  </si>
  <si>
    <t>KCSF84PZHCLI5-21</t>
  </si>
  <si>
    <t>KCSF84PZHCLI5</t>
  </si>
  <si>
    <t>CAT8.2 CABLE S/FTP 4 PAIRS AWG22 TEST UP TO 2000MHz LSZH CPR CCA LIME GREEN RAL6039 500M</t>
  </si>
  <si>
    <t>CÂBLE CAT8.2 S/FTP 4 PAIRES AWG22 TEST A 2000MHz LSZH CPR CCA VERT CITRON RAL6039 500M</t>
  </si>
  <si>
    <t>SPE CABLES</t>
  </si>
  <si>
    <t>KSPE261PPURGE5-17</t>
  </si>
  <si>
    <t>KSPE261PPURGE5</t>
  </si>
  <si>
    <t>SINGLE PAIR ETHERNET 1 PAIR AWG26 PUR GREEN 500M</t>
  </si>
  <si>
    <t>CÂBLE SINGLE PAIR ETHERNET 1 PAIRES AWG26 PUR VERT 500M</t>
  </si>
  <si>
    <t>KSPE221PPVCBK5-17</t>
  </si>
  <si>
    <t>KSPE221PPVCBK5</t>
  </si>
  <si>
    <t>SINGLE PAIR ETHERNET 1 PAIR AWG22 PVC BLACK 500M</t>
  </si>
  <si>
    <t>CÂBLE SINGLE PAIR ETHERNET 1 PAIRES AWG26 PVC NOIR 500M</t>
  </si>
  <si>
    <t>30 Km</t>
  </si>
  <si>
    <t>SOLID CABLE GRADE3 TV</t>
  </si>
  <si>
    <t>23/22</t>
  </si>
  <si>
    <t>OEG3TVs4DT5-21</t>
  </si>
  <si>
    <t>OEG3TVs4DT5</t>
  </si>
  <si>
    <t>G3TV CABLE F/FTP 1x4 PAIRS AWG23 2200MHz LSZH CPR DCA WHITE RAL9003 500M 85dB</t>
  </si>
  <si>
    <t>CÂBLE G3TV F/FTP 4 PAIRES AWG23 TEST A 2200MHz LSZH CPR CCA BLANC RAL90033 500M 85dB</t>
  </si>
  <si>
    <t>50 km</t>
  </si>
  <si>
    <t>4897108882425</t>
  </si>
  <si>
    <t>3P 0.51/1P0.58</t>
  </si>
  <si>
    <t>OEG3TVs4DT40-21</t>
  </si>
  <si>
    <t>OEG3TVs4DT40</t>
  </si>
  <si>
    <t>G3TV CABLE F/FTP 1x4 PAIRS AWG23 2200MHz LSZH CPR DCA WHITE RAL9003 4000M 85dB</t>
  </si>
  <si>
    <t>CÂBLE G3TV F/FTP 4 PAIRES AWG23 TEST A 2200MHz LSZH CPR CCA BLANC RAL90033 4000M 85dB</t>
  </si>
  <si>
    <t>4000m drum</t>
  </si>
  <si>
    <t>4897108882432</t>
  </si>
  <si>
    <t>OEG3TVs4DT5-E02</t>
  </si>
  <si>
    <t>CÂBLE G3TV F/FTP 4 PAIRES AWG23 TEST A 2200MHz LSZH CPR DCA BLANC RAL90033 500M 85dB</t>
  </si>
  <si>
    <t>OEG3TVs4DT40-E02</t>
  </si>
  <si>
    <t>CÂBLE G3TV F/FTP 4 PAIRES AWG23 TEST A 2200MHz LSZH CPR DCA BLANC RAL90033 4000M 85dB</t>
  </si>
  <si>
    <t>OEG3TVs4CT40-21</t>
  </si>
  <si>
    <t>OEG3TVs4CT40</t>
  </si>
  <si>
    <t>O0101003</t>
  </si>
  <si>
    <t>G3TV CABLE F/FTP 1x4 PAIRS AWG23 2200MHz LSZH CPR CCA WHITE RAL9003 4000M 85dB</t>
  </si>
  <si>
    <t>4897108882449</t>
  </si>
  <si>
    <t>OEG3TVs4CT5-21</t>
  </si>
  <si>
    <t>OEG3TVs4CT5</t>
  </si>
  <si>
    <t>O0101004</t>
  </si>
  <si>
    <t>G3TV CABLE F/FTP 1x4 PAIRS AWG23 2200MHz LSZH CPR CCA WHITE RAL9003 500M 85dB</t>
  </si>
  <si>
    <t>CÂBLE G3TV F/FTP 4 PAIRES AWG23 TEST A 2200MHz LSZH CPR CCA BLANC RAL9003 500M 85dB</t>
  </si>
  <si>
    <t>4897108882456</t>
  </si>
  <si>
    <t>OEG3TVs4CT40-E02</t>
  </si>
  <si>
    <t>CÂBLE G3TV  F/FTP 1x4 PAIRES AWG23 2200MHz LSZH CPR CCA WHITE RAL9003 4000M 85dB</t>
  </si>
  <si>
    <t>OEG3TVs4CT5-E02</t>
  </si>
  <si>
    <t>CÂBLE G3TV  F/FTP 1x4 PAIRES AWG23 2200MHz LSZH CPR CCA WHITE RAL9003 500M 85dB</t>
  </si>
  <si>
    <t>FACE PLATES</t>
  </si>
  <si>
    <t>FACE PLATE</t>
  </si>
  <si>
    <t>KFP45451PANGEF8</t>
  </si>
  <si>
    <t>45X45 FACE PLATE 1 PORT ANGLED 45° 8PCS PER ECO FRIENDLY CARTON</t>
  </si>
  <si>
    <t>PLASTRON 45X45 1 PORT INCLINÉ 45° 8PCS PAR CARTON ÉCOLOGIQUE</t>
  </si>
  <si>
    <t>8 pcs eco friendly box</t>
  </si>
  <si>
    <t>5000 pcs</t>
  </si>
  <si>
    <t>4897108882296</t>
  </si>
  <si>
    <t>8538909999</t>
  </si>
  <si>
    <t>LY</t>
  </si>
  <si>
    <t>KFP45452PANGEF8</t>
  </si>
  <si>
    <t>45X45 FACE PLATE 2 PORTS ANGLED 45° 8PCS PER ECO FRIENDLY CARTON</t>
  </si>
  <si>
    <t>PLASTRON 45X45 2 PORTS ANGLE 45° 8PCS PAR CARTON ÉCOLOGIQUE</t>
  </si>
  <si>
    <t xml:space="preserve">8 pcs eco friendly box </t>
  </si>
  <si>
    <t>4897108882302</t>
  </si>
  <si>
    <t>KFP45451PEF8</t>
  </si>
  <si>
    <t>45X45 FACE PLATE 1 PORT FLAT 8PCS PER ECO FRIENDLY CARTON</t>
  </si>
  <si>
    <t>PLASTRON 45X45 1 PORT PLAT 8PCS PAR CARTON ÉCOLOGIQUE</t>
  </si>
  <si>
    <t>4897108881824</t>
  </si>
  <si>
    <t>KFP45452PEF8</t>
  </si>
  <si>
    <t>45X45 FACE PLATE 2 PORTS FLAT 8PCS PER ECO FRIENDLY CARTON</t>
  </si>
  <si>
    <t>PLASTRON 45X45 2 PORTS PLAT 8PCS PAR CARTON ÉCOLOGIQUE</t>
  </si>
  <si>
    <t>4897108881831</t>
  </si>
  <si>
    <t>KFP45451PABEF8</t>
  </si>
  <si>
    <t>45X45 FACE PLATE 1 PORT FLAT ANTIBACTERIAL SGS VERIFIED 8PCS PER ECO FRIENDLY CARTON</t>
  </si>
  <si>
    <t>PLASTRON 45X45 1 PORT PLAT ANTIBACTÉRIEN SGS VÉRIFIÉ 8PCS PAR CARTON ÉCOLOGIQUE</t>
  </si>
  <si>
    <t>4897108882739</t>
  </si>
  <si>
    <t>KFP45452PABEF8</t>
  </si>
  <si>
    <t>45X45 FACE PLATE 2 PORTS FLAT ANTIBACTERIAL SGS VERIFIED 8PCS PER ECO FRIENDLY CARTON</t>
  </si>
  <si>
    <t>PLASTRON 45X45 2 PORTS PLAT ANTIBACTÉRIEN SGS VÉRIFIÉ 8PCS PAR CARTON ÉCOLOGIQUE</t>
  </si>
  <si>
    <t>4897108882746</t>
  </si>
  <si>
    <t>KWP86861PEF8</t>
  </si>
  <si>
    <t>86X86 WALL PLATE 1 PORT 8PCS PER ECO FRIENDLY CARTON</t>
  </si>
  <si>
    <t>PLAQUE MURALE 86X86 1 PORT 8PCS PAR CARTON ÉCOLOGIQUE</t>
  </si>
  <si>
    <t>DOPPLER</t>
  </si>
  <si>
    <t>LOD 141</t>
  </si>
  <si>
    <t>KWP86862PEF8</t>
  </si>
  <si>
    <t>86X86 WALL PLATE 2 PORTS 8PCS PER ECO FRIENDLY CARTON</t>
  </si>
  <si>
    <t>PLAQUE MURALE 86X86 2 PORTS 8PCS PAR CARTON ÉCOLOGIQUE</t>
  </si>
  <si>
    <t>LOD 142</t>
  </si>
  <si>
    <t>KWP8686A1PEF8</t>
  </si>
  <si>
    <t>U0301012</t>
  </si>
  <si>
    <t>86X86 WALL PLATE 1 PORT ANGLED UK STYLE c/w SHUTTER</t>
  </si>
  <si>
    <t>PLAQUE MURALE ANGULE  86X86 1 PORT 8PCS STYLE UK AVEC VOLET</t>
  </si>
  <si>
    <t>10000 pcs</t>
  </si>
  <si>
    <t>T/T before shipment</t>
  </si>
  <si>
    <t>HCI</t>
  </si>
  <si>
    <r>
      <rPr>
        <rFont val="Calibri"/>
        <color rgb="FF162F56"/>
        <sz val="10.0"/>
      </rPr>
      <t xml:space="preserve">INSERT MOLD TOOLING (1-PORT/2-PORT)FOR CUSTOMIZED LOGO </t>
    </r>
    <r>
      <rPr>
        <rFont val="Calibri"/>
        <color rgb="FFFF0000"/>
        <sz val="9.0"/>
      </rPr>
      <t>US$ 280</t>
    </r>
    <r>
      <rPr>
        <rFont val="Calibri"/>
        <color rgb="FF162F56"/>
        <sz val="9.0"/>
      </rPr>
      <t xml:space="preserve">; EX-WORK Term if MOV is below </t>
    </r>
    <r>
      <rPr>
        <rFont val="Calibri"/>
        <color rgb="FFFF0000"/>
        <sz val="9.0"/>
      </rPr>
      <t>USD 6000</t>
    </r>
  </si>
  <si>
    <t>KWP8686A2PEF8</t>
  </si>
  <si>
    <t>PLAQUE MURALE ANGULE  86X86 2 PORTS 8PCS PAR CARTON ÉCOLOGIQUE</t>
  </si>
  <si>
    <t>KSB868645EF</t>
  </si>
  <si>
    <t>86X86 SURFACE MOUNTING BOX DEPTH 45MM ECO FRIENDLY CARTON</t>
  </si>
  <si>
    <t>BOÎTIER DE MONTAGE EN SAILLIE 86X86 PROFONDEUR 45MM CARTON ÉCOLOGIQUE</t>
  </si>
  <si>
    <t>1 pc eco friendly box</t>
  </si>
  <si>
    <t>1000 pcs</t>
  </si>
  <si>
    <t>LY-FP109 45MM</t>
  </si>
  <si>
    <t>KSB868636EF</t>
  </si>
  <si>
    <t>86X86 SURFACE MOUNTING BOX DEPTH 36MM ECO FRIENDLY CARTON</t>
  </si>
  <si>
    <t>BOÎTIER DE MONTAGE EN SAILLIE 86X86 PROFONDEUR 36MM CARTON ÉCOLOGIQUE</t>
  </si>
  <si>
    <t>LY-FP108 37MM</t>
  </si>
  <si>
    <t>KFP225451PEF12</t>
  </si>
  <si>
    <t>22.5X45 FACE PLATE 1 PORT FLAT 12PCS PER ECO FRIENDLY CARTON</t>
  </si>
  <si>
    <t>PLASTRON 22.5X45 1 PORT PLAT 12PCS PAR CARTON ÉCOLOGIQUE</t>
  </si>
  <si>
    <t>12 pcs eco friendly box</t>
  </si>
  <si>
    <t>LY-FP48</t>
  </si>
  <si>
    <t>KEYSTONE JACK &amp; ACCESSORIES</t>
  </si>
  <si>
    <t>FIELD PLUG CAT6A</t>
  </si>
  <si>
    <t>UnShielded</t>
  </si>
  <si>
    <t>KMP6AUXSEF1</t>
  </si>
  <si>
    <t>CAT6A RJ45 MINI PLUG UNSHIELDED TOOLESS 1PCS PER ECO FRIENDLY BAG</t>
  </si>
  <si>
    <t>MINI CONNECTEUR DE TERRAIN CAT6A RJ45 NON BLINDÉE SANS OUTIL 1PCS PAR SAC ÉCOLOGIQUE</t>
  </si>
  <si>
    <t xml:space="preserve">1 pcs eco friendly box </t>
  </si>
  <si>
    <t>10 000pcs</t>
  </si>
  <si>
    <t>853669 9099</t>
  </si>
  <si>
    <t>T/T 30days</t>
  </si>
  <si>
    <t>863690 1100</t>
  </si>
  <si>
    <t>Shielded</t>
  </si>
  <si>
    <t>KMP6AFSXSEF1</t>
  </si>
  <si>
    <t>CAT6A RJ45 MINI PLUG SHIELDED TOOLESS 1PCS PER ECO FRIENDLY BAG</t>
  </si>
  <si>
    <t>MINI CONNECTEUR DE TERRAIN CAT6A RJ45 BLINDÉE SANS OUTIL 1PCS PAR SAC ÉCOLOGIQUE</t>
  </si>
  <si>
    <t>Unshielded</t>
  </si>
  <si>
    <t>KMP6AUEF1</t>
  </si>
  <si>
    <t>CAT6A RJ45 FIELD PLUG UNSHIELDED TOOLESS 1PCS PER ECO FRIENDLY BAG</t>
  </si>
  <si>
    <t>CONNECTEUR DE TERRAIN CAT6A RJ45 NON BLINDÉE SANS OUTIL 1PCS PAR SAC ÉCOLOGIQUE</t>
  </si>
  <si>
    <t>KMP6AFSEF1</t>
  </si>
  <si>
    <t>CAT6A RJ45 FIELD PLUG SHIELDED TOOLESS 1PCS PER ECO FRIENDLY BAG</t>
  </si>
  <si>
    <t>CONNECTEUR DE TERRAIN CAT6A RJ45 BLINDÉE SANS OUTIL 1PCS PAR SAC ÉCOLOGIQUE</t>
  </si>
  <si>
    <t>1pc per eco bag -&gt; 24pcs per transparent polybag</t>
  </si>
  <si>
    <t>KMPFF6AFSEF1</t>
  </si>
  <si>
    <t>CAT6A FIELD EXTENDER FEMALE/FEMALE SHIELDED TOOLESS WITH SHUTTER 1PCS PER ECO FRIENDLY BAG</t>
  </si>
  <si>
    <t>TRAVERSEE DE TERRAIN CAT6A FEMELLE/FEMELLE BLINDÉE SANS OUTIL AVEC ANTI-POUSSIÈRE 1PCS PAR SAC ÉCOLOGIQUE</t>
  </si>
  <si>
    <t>LY-KJ-AP016-S6A w/shutter</t>
  </si>
  <si>
    <t>KMP6AFSHQEF1</t>
  </si>
  <si>
    <t>CAT6A RJ45 FIELD PLUG SHIELDED TOOLESS DELTA FORCE CERTIFIED 1PCS PER ECO BAG</t>
  </si>
  <si>
    <t>CONNECTEUR DE TERRAIN CAT6A RJ45 BLINDÉE SANS OUTIL CERTIFIÉE DELTA FORCE 1PCS PAR SAC ÉCOLOGIQUE</t>
  </si>
  <si>
    <t>T/T 35 days</t>
  </si>
  <si>
    <t>EXW</t>
  </si>
  <si>
    <t>FIELD PLUG CAT8</t>
  </si>
  <si>
    <t>KMP8FSEF8</t>
  </si>
  <si>
    <t>CAT8 RJ45 FIELD PLUG SHIELDED TOOLESS 1PCS PER ECO FRIENDLY BAG</t>
  </si>
  <si>
    <t>CONNECTEUR DE TERRAIN CAT8 RJ45 BLINDÉE SANS OUTIL 1PCS PAR SAC ÉCOLOGIQUE</t>
  </si>
  <si>
    <t>5000pcs</t>
  </si>
  <si>
    <t>CTK</t>
  </si>
  <si>
    <t>2.4USD, outsource by CTK</t>
  </si>
  <si>
    <t>KEYSTONE CAT5E</t>
  </si>
  <si>
    <t>KJ5EU180DEF24</t>
  </si>
  <si>
    <t>CAT5E RJ45 KESYTONE JACK UNSHIELDED 180° DUAL IDC 24PCS PER ECO FRIENDLY CARTON</t>
  </si>
  <si>
    <t>EMBASE KESYTONE CAT5E RJ45 NON BLINDÉ 180° DOUBLE IDC 24PCS PAR CARTON ÉCOLOGIQUE</t>
  </si>
  <si>
    <t xml:space="preserve">24 pcs eco friendly box </t>
  </si>
  <si>
    <t>LY-KJ5-42</t>
  </si>
  <si>
    <t>KJ5EFSEF24</t>
  </si>
  <si>
    <t>CAT5E RJ45 KEYSTONE JACK SHIELDED TOOLESS 24PCS PER ECO FRIENDLY CARTON</t>
  </si>
  <si>
    <t>EMBASE KEYSTONE CAT5E RJ45 BLINDÉ SANS OUTIL 24PCS PAR CARTON ÉCOLOGIQUE</t>
  </si>
  <si>
    <t>24 pcs eco friendly box</t>
  </si>
  <si>
    <t>LY-KJ5-64</t>
  </si>
  <si>
    <t>KJ5EUEF24</t>
  </si>
  <si>
    <t>CAT5E RJ45 KEYSTONE JACK UNSHIELDED TOOLESS 24PCS PER ECO FRIENDLY CARTON</t>
  </si>
  <si>
    <t>EMBASE KEYSTONE CAT5E RJ45 NON BLINDÉ SANS OUTIL 24PCS PAR CARTON ÉCOLOGIQUE</t>
  </si>
  <si>
    <t>KEYSTONE CAT6</t>
  </si>
  <si>
    <t>KJ6U90DEF24</t>
  </si>
  <si>
    <t xml:space="preserve">CAT6 RJ45 KEYSTONE JACK UNSHIELDED 90° DUAL IDC 24PCS PER ECO FRIENDLY CARTON </t>
  </si>
  <si>
    <t>EMBASE KEYSTONE CAT6 RJ45 NON BLINDÉ 90° DOUBLE IDC 24PCS PAR CARTON ÉCOLOGIQUE</t>
  </si>
  <si>
    <t>4897108881916</t>
  </si>
  <si>
    <t>KJ6U180DEF24</t>
  </si>
  <si>
    <t>CAT6 RJ45 KESYTONE JACK UNSHIELDED 180° DUAL IDC 24PCS PER ECO FRIENDLY CARTON</t>
  </si>
  <si>
    <t>EMBASE KESYTONE CAT6 RJ45 NON BLINDÉ 180° DOUBLE IDC 24PCS PAR CARTON ÉCOLOGIQUE</t>
  </si>
  <si>
    <t>4897108881923</t>
  </si>
  <si>
    <t>KJ6UEF24</t>
  </si>
  <si>
    <t>CAT6 RJ45 KEYSTONE JACK UNSHIELDED TOOLESS 24PCS PER ECO FRIENDLY CARTON</t>
  </si>
  <si>
    <t>EMBASE KEYSTONE CAT6 RJ45 NON BLINDÉ SANS OUTIL 24PCS PAR CARTON ÉCOLOGIQUE</t>
  </si>
  <si>
    <t>4897108881930</t>
  </si>
  <si>
    <t>KJ6UHQEF24</t>
  </si>
  <si>
    <t>CAT6 RJ45 KEYSTONE JACK UNSHIELDED TOOLESS INTERTEK CERTIFIED 24PCS PER ECO FRIENDLY CARTON</t>
  </si>
  <si>
    <t>EMBASE KEYSTONE CAT6 RJ45 NON BLINDÉ SANS OUTIL CERTIFIÉ INTERTEK 24PCS PAR CARTON ÉCOLOGIQUE</t>
  </si>
  <si>
    <t>Certified</t>
  </si>
  <si>
    <t>4897108881947</t>
  </si>
  <si>
    <t>50u'</t>
  </si>
  <si>
    <t>KJ6FSEF1</t>
  </si>
  <si>
    <t>CAT6 RJ45 KEYSTONE JACK SHIELDED TOOLESS 1PCS PER ECO FRIENDLY BAG</t>
  </si>
  <si>
    <t>EMBASE KEYSTONE CAT6 RJ45 BLINDÉ SANS OUTIL 1 PIÈCES PAR SAC ÉCOLOGIQUE</t>
  </si>
  <si>
    <t>1 pcs eco friendly bag/24pcs per big bag</t>
  </si>
  <si>
    <t>4897108881954</t>
  </si>
  <si>
    <t>KJ6FSEF8</t>
  </si>
  <si>
    <t>CAT6 RJ45 KEYSTONE JACK SHIELDED TOOLESS 8PCS PER ECO FRIENDLY CARTON</t>
  </si>
  <si>
    <t>EMBASE KEYSTONE CAT6 RJ45 BLINDÉ SANS OUTIL 8PCS PAR CARTON ÉCOLOGIQUE</t>
  </si>
  <si>
    <t>4897108881961</t>
  </si>
  <si>
    <t>KJ6FSEF24</t>
  </si>
  <si>
    <t>CAT6 RJ45 KEYSTONE JACK SHIELDED TOOLESS 24PCS PER ECO FRIENDLY CARTON</t>
  </si>
  <si>
    <t>EMBASE KEYSTONE CAT6 RJ45 BLINDÉ SANS OUTIL 24PCS PAR CARTON ÉCOLOGIQUE</t>
  </si>
  <si>
    <t>4897108881978</t>
  </si>
  <si>
    <t>KJ6FSHQEF8</t>
  </si>
  <si>
    <t>CAT6 RJ45 KEYSTONE JACK SHIELDED TOOLESS INTERTEK CERTIFIED 8PCS PER ECO FRIENDLY CARTON</t>
  </si>
  <si>
    <t>EMBASE KEYSTONE CAT6 RJ45 BLINDÉ SANS OUTIL CERTIFIÉ INTERTEK 8PCS PAR CARTON ÉCOLOGIQUE</t>
  </si>
  <si>
    <t>4897108881985</t>
  </si>
  <si>
    <t>KJ6FSHQEF24</t>
  </si>
  <si>
    <t>CAT6 RJ45 KEYSTONE JACK SHIELDED TOOLESS INTERTEK CERTIFIED 24PCS PER ECO FRIENDLY CARTON</t>
  </si>
  <si>
    <t>EMBASE KEYSTONE CAT6 RJ45 BLINDÉ SANS OUTIL CERTIFIÉ INTERTEK 24 PIÈCES PAR CARTON ÉCOLOGIQUE</t>
  </si>
  <si>
    <t>4897108881992</t>
  </si>
  <si>
    <t>KEYSTONE CAT6A</t>
  </si>
  <si>
    <t>KJ6AUEF24</t>
  </si>
  <si>
    <t>CAT6A RJ45 KEYSTONE JACK UNSHIELDED TOOLESS 24PCS PER ECO FRIENDLY CARTON</t>
  </si>
  <si>
    <t>EMBASE KEYSTONE CAT6A RJ45 NON BLINDÉ SANS OUTIL 24PCS PAR CARTON ÉCOLOGIQUE</t>
  </si>
  <si>
    <t>4897108882005</t>
  </si>
  <si>
    <t>KJ6AUHQEF1</t>
  </si>
  <si>
    <t>CAT6A RJ45 KEYSTONE JACK UNSHIELDED TOOLESS INTERTEK CERTIFIED 1PC PER ECO FRIENDLY BAG</t>
  </si>
  <si>
    <t>EMBASE KEYSTONE CAT6A RJ45 NON BLINDÉ SANS OUTIL CERTIFIÉ INTERTEK 1PC PAR SAC ÉCOLOGIQUE</t>
  </si>
  <si>
    <t>certified</t>
  </si>
  <si>
    <t>KJ6AUHQEF24</t>
  </si>
  <si>
    <t>CAT6A RJ45 KEYSTONE JACK UNSHIELDED TOOLESS INTERTEK CERTIFIED 24PCS PER ECO FRIENDLY CARTON</t>
  </si>
  <si>
    <t>EMBASE KEYSTONE CAT6A RJ45 NON BLINDÉ SANS OUTIL CERTIFIÉ INTERTEK 24 PIÈCES PAR CARTON ÉCOLOGIQUE</t>
  </si>
  <si>
    <t>4897108882012</t>
  </si>
  <si>
    <t>KJ6AFSEF1</t>
  </si>
  <si>
    <t>CAT6A RJ45 KEYSTONE JACK SHIELDED TOOLESS 1PC PER ECO FRIENDLY BAG</t>
  </si>
  <si>
    <t>EMBASE KEYSTONE CAT6A RJ45 BLINDÉ SANS OUTIL 1PC PAR SAC ÉCOLOGIQUE</t>
  </si>
  <si>
    <t>4897108880285</t>
  </si>
  <si>
    <t>KJ6AFSEF8</t>
  </si>
  <si>
    <t>CAT6A RJ45 KEYSTONE JACK SHIELDED TOOLESS 8PCS PER ECO FRIENDLY CARTON</t>
  </si>
  <si>
    <t>EMBASE KEYSTONE CAT6A RJ45 BLINDÉ SANS OUTIL 8PCS PAR CARTON ÉCOLOGIQUE</t>
  </si>
  <si>
    <t>4897108882029</t>
  </si>
  <si>
    <t>KJ6AFSEF24</t>
  </si>
  <si>
    <t>CAT6A RJ45 KEYSTONE JACK SHIELDED TOOLESS 24PCS PER ECO FRIENDLY CARTON</t>
  </si>
  <si>
    <t>EMBASE KEYSTONE CAT6A RJ45 BLINDÉ SANS OUTIL 24PCS PAR CARTON ÉCOLOGIQUE</t>
  </si>
  <si>
    <t>4897108882036</t>
  </si>
  <si>
    <t>KJ6AFSHQEF1</t>
  </si>
  <si>
    <t>CAT6A RJ45 KEYSTONE JACK SHIELDED TOOLESS DELTA &amp; INTERTEK CERTIFIED 1PCS PER ECO FRIENDLY BAG</t>
  </si>
  <si>
    <t>EMBASE KEYSTONE CAT6A RJ45 BLINDÉ SANS OUTIL CERTIFIÉ DELTA/INTERTEK 1 PIÈCE PAR SAC ÉCOLOGIQUE</t>
  </si>
  <si>
    <t>4897108882043</t>
  </si>
  <si>
    <t>KJ6AFSHQEF8</t>
  </si>
  <si>
    <t>CAT6A RJ45 KEYSTONE JACK SHIELDED TOOLESS DELTA &amp; INTERTEK CERTIFIED 8PCS PER ECO FRIENDLY CARTON</t>
  </si>
  <si>
    <t>EMBASE KEYSTONE CAT6A RJ45 BLINDÉ SANS OUTIL CERTIFIÉ DELTA/INTERTEK 8PCS PAR CARTON ÉCOLOGIQUE</t>
  </si>
  <si>
    <t>4897108882050</t>
  </si>
  <si>
    <t>KJ6AFSHQEF24</t>
  </si>
  <si>
    <t>CAT6A RJ45 KEYSTONE JACK SHIELDED TOOLESS DELTA &amp; INTERTEK CERTIFIED 24PCS PER ECO FRIENDLY CARTON</t>
  </si>
  <si>
    <t>EMBASE KEYSTONE CAT6A RJ45 BLINDÉ SANS OUTIL CERTIFIÉ DELTA/INTERTEK 24 PIÈCES PAR CARTON ÉCOLOGIQUE</t>
  </si>
  <si>
    <t>4897108881800</t>
  </si>
  <si>
    <t>KJ6AFF6AFSEF10</t>
  </si>
  <si>
    <t>CAT6A KEYSTONE EXTENDER FEMALE/FEMALE SHIELDED WITH SHUTTER 10PCS PER ECO FRIENDLY BAG</t>
  </si>
  <si>
    <t>EXTENSION KEYSTONE CAT6A FEMELLE/FEMELLE BLINDÉE AVEC OBTURATEUR 10 PIÈCES PAR SACHET ÉCOLOGIQUE</t>
  </si>
  <si>
    <t>T/T 35days</t>
  </si>
  <si>
    <t>LY-KJ-AP016-S6A</t>
  </si>
  <si>
    <t>KJ6AFF6AUEF10</t>
  </si>
  <si>
    <t>CAT6A KEYSTONE EXTENDER FEMALE/FEMALE UNSHIELDED 10PCS PER ECO FRIENDLY BAG</t>
  </si>
  <si>
    <t>EXTENSION KEYSTONE CAT6A FEMELLE/FEMELLE NON BLINDÉE AVEC OBTURATEUR 10 PIÈCES PAR SACHET ÉCOLOGIQUE</t>
  </si>
  <si>
    <t>LY-KJ-AP009-S6A</t>
  </si>
  <si>
    <t>KEYSTONE CAT8</t>
  </si>
  <si>
    <t>KJ8FSHQEF24</t>
  </si>
  <si>
    <t>CAT8 RJ45 KEYSTONE JACK SHIELDED TOOLESS INTERTEK LINK CERTIFIED 24PCS PER ECO FRIENDLY CARTON</t>
  </si>
  <si>
    <t>EMBASE KEYSTONE CAT8 RJ45 BLINDÉ SANS OUTIL LIEN CERTIFIÉ INTERTEK 24PCS PAR CARTON ÉCOLOGIQUE</t>
  </si>
  <si>
    <t>PLUGS &amp; ACCESSORIES</t>
  </si>
  <si>
    <t>KJ6ADSRD</t>
  </si>
  <si>
    <t>CAT6A DUST SHUTTER RED RAL3027 100PCS PER ECO FRIENDLY BAG</t>
  </si>
  <si>
    <t>VOLET ANTI-POUSSIÈRE CAT6A ROUGE RAL3027 100PCS PAR SAC ÉCOLOGIQUE</t>
  </si>
  <si>
    <t>100 pcs polybag</t>
  </si>
  <si>
    <t>20 000pcs</t>
  </si>
  <si>
    <t>4897108882517</t>
  </si>
  <si>
    <t>KJ6ADSBL</t>
  </si>
  <si>
    <t>CAT6A DUST SHUTTER BLUE RAL5024 100PCS PER ECO FRIENDLY BAG</t>
  </si>
  <si>
    <t>VOLET ANTI-POUSSIÈRE CAT6A BLEU RAL5024 100PCS PAR SAC ÉCOLOGIQUE</t>
  </si>
  <si>
    <t>4897108882524</t>
  </si>
  <si>
    <t>KJ6ADSGE</t>
  </si>
  <si>
    <t>CAT6A DUST SHUTTER GREEN RAL6018 100PCS PER ECO FRIENDLY BAG</t>
  </si>
  <si>
    <t>VOLET ANTI-POUSSIÈRE CAT6A VERT RAL6018 100PCS PAR SAC ÉCOLOGIQUE</t>
  </si>
  <si>
    <t>4897108882531</t>
  </si>
  <si>
    <t>KJ6ADSOR</t>
  </si>
  <si>
    <t>CAT6A DUST SHUTTER ORANGE RAL2003 100PCS PER ECO FRIENDLY BAG</t>
  </si>
  <si>
    <t>VOLET ANTI-POUSSIÈRE CAT6A ORANGE RAL2003 100PCS PAR SAC ÉCOLOGIQUE</t>
  </si>
  <si>
    <t>4897108882548</t>
  </si>
  <si>
    <t>KPL45S6BI</t>
  </si>
  <si>
    <t>PLUG RJ45 8P8C SHIELDED CAT6 BIG WIRE INSERT 100PCS PER ECO BAG</t>
  </si>
  <si>
    <t>FICHE PLUG RJ45 8P8C BLINDÉ CAT6 GROS FIL INSERT 100PCS PAR ECO BAG</t>
  </si>
  <si>
    <t>KPL45BIBOGR</t>
  </si>
  <si>
    <t>BOOTS FOR RJ45 PLUG 8P8C BIG WIRE INSERT  GREY DIAM 8.5</t>
  </si>
  <si>
    <t>MANCHETTE POUR FICHE RJ45 8P8C INSERT GROS FIL GRIS DIAM 8.5</t>
  </si>
  <si>
    <t>OD 7.5</t>
  </si>
  <si>
    <t>KPL45BIBOBK</t>
  </si>
  <si>
    <t>BOOTS FOR RJ45 PLUG 8P8C BIG WIRE INSERT  BLACK DIAM 8.5</t>
  </si>
  <si>
    <t>MANCHETTE POUR FICHE RJ45 8P8C INSERT GROS FIL NOIR DIAM 8.5</t>
  </si>
  <si>
    <t>KPL45BITOOL</t>
  </si>
  <si>
    <t xml:space="preserve">CRIMPING TOOL FOR  RJ45 PLUG  8P8C BIG WIRE INSERT </t>
  </si>
  <si>
    <t>OUTIL DE SERTISSAGE POUR FICHE RJ45 8P8C INSERT GROS FIL</t>
  </si>
  <si>
    <t>200 pcs</t>
  </si>
  <si>
    <t>LY-TYB7088</t>
  </si>
  <si>
    <t>KPL45U5E</t>
  </si>
  <si>
    <t>PLUG RJ45 8P8C UNSHIELDED CAT5E WITHOUT INSERT 100PCS PER ECO BAG</t>
  </si>
  <si>
    <t>FICHE PLUG RJ45 8P8C NON BLINDÉ CAT5E SANS INSERT 100PCS PAR ECO BAG</t>
  </si>
  <si>
    <t>P88RE50V2</t>
  </si>
  <si>
    <t>KPL45S5E</t>
  </si>
  <si>
    <t>PLUG RJ45 8P8C SHIELDED CAT5E WITHOUT INSERT 100PCS PER ECO BAG</t>
  </si>
  <si>
    <t>FICHE PLUG RJ45 8P8C BLINDÉ CAT5E SANS INSER 100PCS PAR ECO BAG</t>
  </si>
  <si>
    <t>P88RE50V2S</t>
  </si>
  <si>
    <t>KPL45U6</t>
  </si>
  <si>
    <t>PLUG RJ45 8P8C UNSHIELDED CAT6 WITHOUT INSERT 4/4 100PCS PER ECO BAG</t>
  </si>
  <si>
    <t>FICHE PLUG RJ45 8P8C NON BLINDÉ CAT6 SANS INSERT 4/4 100PCS PAR ECO BAG</t>
  </si>
  <si>
    <t>P88F5Z50V2T-R</t>
  </si>
  <si>
    <t>KPL45S6</t>
  </si>
  <si>
    <t>PLUG RJ45 8P8C SHIELDED CAT6 WITHOUT INSERT 4/4 100PCS PER ECO BAG</t>
  </si>
  <si>
    <t>FICHE PLUG RJ45 8P8C BLINDÉ CAT6 SANS INSERT 4/4 100PCS PAR ECO BAG</t>
  </si>
  <si>
    <t>P88R5Z50V2ST</t>
  </si>
  <si>
    <t>KPL45S6A</t>
  </si>
  <si>
    <t>PLUG RJ45 8P8C SHIELDED CAT6A WITH INSERT 4/4 100PCS PER ECO BAG</t>
  </si>
  <si>
    <t>FICHE PLUG RJ45 8P8C BLINDÉ CAT6A AVEC INSERT 4/4 100PCS PAR ECO BAG</t>
  </si>
  <si>
    <t>P88R5Z50V2SIT ukn-3Y(wire hole 1.5mm)-50u'</t>
  </si>
  <si>
    <t>KPL45S6EP</t>
  </si>
  <si>
    <t>PLUG RJ45 8P8C SHIELDED CAT6 WITH INSERT AND EASY PASS THROUGH 100PCS PER ECO BAG</t>
  </si>
  <si>
    <t>FICHE PLUG RJ45 8P8C BLINDÉ CAT6 AVEC INSERT ET FACILE A PASSER PAR ECO BAG</t>
  </si>
  <si>
    <t>100 pcs eco bag</t>
  </si>
  <si>
    <t>EZ-P88FZ03MV2S -C6</t>
  </si>
  <si>
    <t>KPL45S6AEP</t>
  </si>
  <si>
    <t>U0206008</t>
  </si>
  <si>
    <t>PLUG RJ45 8P8C SHIELDED CAT6A WITH INSERT AND EASY PASS THROUGH 100PCS PER ECO BAG</t>
  </si>
  <si>
    <t>FICHE PLUG RJ45 8P8C BLINDÉ CAT6A AVEC INSERT ET FACILE A PASSER PAR ECO BAG</t>
  </si>
  <si>
    <t>EZ-P88F5Z03MV2SIT-3Y-15u''</t>
  </si>
  <si>
    <t>KPL45U6EP</t>
  </si>
  <si>
    <t>PLUG RJ45 8P8C UNSHIELDED CAT6 WITH INSERT AND EASY PASS THROUGH 100PCS PER ECO BAG</t>
  </si>
  <si>
    <t>FICHE PLUG RJ45 8P8C NON BLINDÉ CAT6 AVEC INSERT ET FACILE A PASSER PAR ECO BAG</t>
  </si>
  <si>
    <t>EZ-P88FZ03MV2-C6</t>
  </si>
  <si>
    <t>KPL45U6AEP</t>
  </si>
  <si>
    <t/>
  </si>
  <si>
    <t>PLUG RJ45 8P8C UNSHIELDED CAT6A WITHOUT INSERT AND EASY PASS THROUGH 100PCS PER ECO BAG</t>
  </si>
  <si>
    <t>FICHE PLUG RJ45 8P8C NON BLINDÉ CAT6A SANS INSERT ET FACILE A PASSER PAR ECO BAG</t>
  </si>
  <si>
    <t>15u'=$0.09; 3u'=$0.078</t>
  </si>
  <si>
    <t>KPL45EPBOGR</t>
  </si>
  <si>
    <t>BOOTS FOR RJ45 PLUG 3Y GREY DIAM 7.0/7.5/8.0</t>
  </si>
  <si>
    <t>MANCHETTE POUR FICHE RJ45 3Y GRIS DIAM 7.0/7.5/8.0</t>
  </si>
  <si>
    <t>Boot for 3Y connector 02-123 OD 8.0/7.5/7.0mm</t>
  </si>
  <si>
    <t>KPL45EPTOOL</t>
  </si>
  <si>
    <t>1 pcs</t>
  </si>
  <si>
    <t>PATCH CORDS</t>
  </si>
  <si>
    <t>RJ45 CAT5E F/UTP</t>
  </si>
  <si>
    <t>shielded</t>
  </si>
  <si>
    <t>KPFU5EZH03EF</t>
  </si>
  <si>
    <t>CAT5E PATCH CORD F/UTP GREY LSZH 0.3M</t>
  </si>
  <si>
    <t>CORDON DE BRASSAGE CAT5E F/UTP GRIS LSZH 0,3M</t>
  </si>
  <si>
    <t>1pc eco bag+10pcs PE bag+carton</t>
  </si>
  <si>
    <t>3km of cable</t>
  </si>
  <si>
    <t>854442 1000</t>
  </si>
  <si>
    <t>WEKINO/HONTO</t>
  </si>
  <si>
    <t>7x0.145BC RJ45  OD:5.0±0.3mm</t>
  </si>
  <si>
    <t>KPFU5EZH05EF</t>
  </si>
  <si>
    <t>CAT5E PATCH CORD F/UTP GREY LSZH 0.5M</t>
  </si>
  <si>
    <t>CORDON DE BRASSAGE CAT5E F/UTP GRIS LSZH 0,5M</t>
  </si>
  <si>
    <t>KPFU5EZH1EF</t>
  </si>
  <si>
    <t>CAT5E PATCH CORD F/UTP GREY LSZH 1M</t>
  </si>
  <si>
    <t>CORDON DE BRASSAGE CAT5E F/UTP GRIS LSZH 1M</t>
  </si>
  <si>
    <t>KPFU5EZH2EF</t>
  </si>
  <si>
    <t>CAT5E PATCH CORD F/UTP GREY LSZH 2M</t>
  </si>
  <si>
    <t>CORDON DE BRASSAGE CAT5E F/UTP GRIS LSZH 2M</t>
  </si>
  <si>
    <t>KPFU5EZH3EF</t>
  </si>
  <si>
    <t>CAT5E PATCH CORD F/UTP GREY LSZH 3M</t>
  </si>
  <si>
    <t>CORDON DE BRASSAGE CAT5E F/UTP GRIS LSZH 3M</t>
  </si>
  <si>
    <t>KPFU5EZH5EF</t>
  </si>
  <si>
    <t>CAT5E PATCH CORD F/UTP GREY LSZH 5M</t>
  </si>
  <si>
    <t>CORDON DE BRASSAGE CAT5E F/UTP GRIS LSZH 5M</t>
  </si>
  <si>
    <t>KPFU5EZH10EF</t>
  </si>
  <si>
    <t>CAT5E PATCH CORD F/UTP GREY LSZH 10M</t>
  </si>
  <si>
    <t>CORDON DE BRASSAGE CAT5E F/UTP GRIS LSZH 10M</t>
  </si>
  <si>
    <t>RJ45 CAT5E U/UTP</t>
  </si>
  <si>
    <t>KPUU5EZH03EF</t>
  </si>
  <si>
    <t>CAT5E PATCH CORD U/UTP GREY LSZH 0.3M</t>
  </si>
  <si>
    <t>CORDON DE BRASSAGE CAT5E U/UTP GRIS LSZH 0,3M</t>
  </si>
  <si>
    <t>7x0.145BC RJ45  OD:4.4±0.3mm</t>
  </si>
  <si>
    <t>KPUU5EZH05EF</t>
  </si>
  <si>
    <t>CAT5E PATCH CORD U/UTP GREY LSZH 0.5M</t>
  </si>
  <si>
    <t>CORDON DE BRASSAGE CAT5E U/UTP GRIS LSZH 0,5M</t>
  </si>
  <si>
    <t>KPUU5EZH1EF</t>
  </si>
  <si>
    <t>CAT5E PATCH CORD U/UTP GREY LSZH 1M</t>
  </si>
  <si>
    <t>CORDON DE BRASSAGE CAT5E U/UTP GRIS LSZH 1M</t>
  </si>
  <si>
    <t>KPUU5EZH2EF</t>
  </si>
  <si>
    <t>CAT5E PATCH CORD U/UTP GREY LSZH 2M</t>
  </si>
  <si>
    <t>CORDON DE BRASSAGE CAT5E U/UTP GRIS LSZH 2M</t>
  </si>
  <si>
    <t>KPUU5EZH3EF</t>
  </si>
  <si>
    <t>CAT5E PATCH CORD U/UTP GREY LSZH 3M</t>
  </si>
  <si>
    <t>CORDON DE BRASSAGE CAT5E U/UTP GRIS LSZH 3M</t>
  </si>
  <si>
    <t>KPUU5EZH5EF</t>
  </si>
  <si>
    <t>CAT5E PATCH CORD U/UTP GREY LSZH 5M</t>
  </si>
  <si>
    <t>CORDON DE BRASSAGE CAT5E U/UTP GRIS LSZH 5M</t>
  </si>
  <si>
    <t>KPUU5EZH10EF</t>
  </si>
  <si>
    <t>CAT5E PATCH CORD U/UTP GREY LSZH 10M</t>
  </si>
  <si>
    <t>CORDON DE BRASSAGE CAT5E U/UTP GRIS LSZH 10M</t>
  </si>
  <si>
    <t>RJ45 CAT6 F/UTP</t>
  </si>
  <si>
    <t>KPFU603EF</t>
  </si>
  <si>
    <t>CAT6 PATCH CORD F/UTP GREY PVC 0.3M</t>
  </si>
  <si>
    <t>CORDON DE BRASSAGE CAT6 F/UTP GRIS PVC 0,3M</t>
  </si>
  <si>
    <t>7x0.145BC RJ45  OD:5.6±0.3mm</t>
  </si>
  <si>
    <t>KPFU605EF</t>
  </si>
  <si>
    <t>CAT6 PATCH CORD F/UTP GREY PVC 0.5M</t>
  </si>
  <si>
    <t>CORDON DE BRASSAGE CAT6 F/UTP GRIS PVC 0.5M</t>
  </si>
  <si>
    <t>4897108882166</t>
  </si>
  <si>
    <t>KPFU61EF</t>
  </si>
  <si>
    <t>CAT6 PATCH CORD F/UTP GREY PVC 1M</t>
  </si>
  <si>
    <t>CORDON DE BRASSAGE CAT6 F/UTP GRIS PVC 1M</t>
  </si>
  <si>
    <t>4897108882173</t>
  </si>
  <si>
    <t>KPFU62EF</t>
  </si>
  <si>
    <t>CAT6 PATCH CORD F/UTP GREY PVC 2M</t>
  </si>
  <si>
    <t>CORDON DE BRASSAGE CAT6 F/UTP GRIS PVC 2M</t>
  </si>
  <si>
    <t>4897108882180</t>
  </si>
  <si>
    <t>KPFU63EF</t>
  </si>
  <si>
    <t>CAT6 PATCH CORD F/UTP GREY PVC 3M</t>
  </si>
  <si>
    <t>CORDON DE BRASSAGE CAT6 F/UTP GRIS PVC 3M</t>
  </si>
  <si>
    <t>4897108882197</t>
  </si>
  <si>
    <t>KPFU65EF</t>
  </si>
  <si>
    <t>CAT6 PATCH CORD F/UTP GREY PVC 5M</t>
  </si>
  <si>
    <t>CORDON DE BRASSAGE CAT6 F/UTP GRIS PVC 5M</t>
  </si>
  <si>
    <t>4897108882203</t>
  </si>
  <si>
    <t>KPFU610EF</t>
  </si>
  <si>
    <t>CAT6 PATCH CORD F/UTP GREY PVC 10M</t>
  </si>
  <si>
    <t>CORDON DE BRASSAGE CAT6 F/UTP GRIS PVC 10M</t>
  </si>
  <si>
    <t>4897108882210</t>
  </si>
  <si>
    <t>KPFU6ZH03EF</t>
  </si>
  <si>
    <t>CAT6 PATCH CORD F/UTP GREY LSZH 0.3M</t>
  </si>
  <si>
    <t>CORDON DE BRASSAGE CAT6 F/UTP GRIS LSZH 0,3M</t>
  </si>
  <si>
    <t>KPFU6ZH05EF</t>
  </si>
  <si>
    <t>CAT6 PATCH CORD F/UTP GREY LSZH 0.5M</t>
  </si>
  <si>
    <t>CORDON DE BRASSAGE CAT6 F/UTP GRIS LSZH 0.5M</t>
  </si>
  <si>
    <t>KPFU6ZH1EF</t>
  </si>
  <si>
    <t>CAT6 PATCH CORD F/UTP GREY LSZH 1M</t>
  </si>
  <si>
    <t>CORDON DE BRASSAGE CAT6 F/UTP GRIS LSZH 1M</t>
  </si>
  <si>
    <t>KPFU6ZH2EF</t>
  </si>
  <si>
    <t>CAT6 PATCH CORD F/UTP GREY LSZH 2M</t>
  </si>
  <si>
    <t>CORDON DE BRASSAGE CAT6 F/UTP GRIS LSZH 2M</t>
  </si>
  <si>
    <t>KPFU6ZH3EF</t>
  </si>
  <si>
    <t>CAT6 PATCH CORD F/UTP GREY LSZH 3M</t>
  </si>
  <si>
    <t>CORDON DE BRASSAGE CAT6 F/UTP GRIS LSZH 3M</t>
  </si>
  <si>
    <t>KPFU6ZH5EF</t>
  </si>
  <si>
    <t>CAT6 PATCH CORD F/UTP GREY LSZH 5M</t>
  </si>
  <si>
    <t>CORDON DE BRASSAGE CAT6 F/UTP GRIS LSZH 5M</t>
  </si>
  <si>
    <t>KPFU6ZH10EF</t>
  </si>
  <si>
    <t>CAT6 PATCH CORD F/UTP GREY LSZH 10M</t>
  </si>
  <si>
    <t>CORDON DE BRASSAGE CAT6 F/UTP GRIS LSZH 10M</t>
  </si>
  <si>
    <t>RJ45 CAT6 U/UTP</t>
  </si>
  <si>
    <t>KPUU6ZH03EF</t>
  </si>
  <si>
    <t>CAT6 PATCH CORD U/UTP GREY LSZH 0.3M</t>
  </si>
  <si>
    <t>CORDON DE BRASSAGE CAT6 U/UTP GRIS LSZH 0,3M</t>
  </si>
  <si>
    <t>4897108882081</t>
  </si>
  <si>
    <t>7x0.145BC RJ45  OD:4.8±0.3mm</t>
  </si>
  <si>
    <t>KPUU6ZH05EF</t>
  </si>
  <si>
    <t>CAT6 PATCH CORD U/UTP GREY LSZH 0.5M</t>
  </si>
  <si>
    <t>CORDON DE BRASSAGE CAT6 U/UTP GRIS LSZH 0,5M</t>
  </si>
  <si>
    <t>4897108882098</t>
  </si>
  <si>
    <t>KPUU6ZH1EF</t>
  </si>
  <si>
    <t>CAT6 PATCH CORD U/UTP GREY LSZH 1M</t>
  </si>
  <si>
    <t>CORDON DE BRASSAGE CAT6 U/UTP GRIS LSZH 1M</t>
  </si>
  <si>
    <t>4897108882104</t>
  </si>
  <si>
    <t>KPUU6ZH2EF</t>
  </si>
  <si>
    <t>CAT6 PATCH CORD U/UTP GREY LSZH 2M</t>
  </si>
  <si>
    <t>CORDON DE BRASSAGE CAT6 U/UTP GRIS LSZH 2M</t>
  </si>
  <si>
    <t>4897108882111</t>
  </si>
  <si>
    <t>KPUU6ZH3EF</t>
  </si>
  <si>
    <t>CAT6 PATCH CORD U/UTP GREY LSZH 3M</t>
  </si>
  <si>
    <t>CORDON DE BRASSAGE CAT6 U/UTP GRIS LSZH 3M</t>
  </si>
  <si>
    <t>4897108882128</t>
  </si>
  <si>
    <t>KPUU6ZH5EF</t>
  </si>
  <si>
    <t>CAT6 PATCH CORD U/UTP GREY LSZH 5M</t>
  </si>
  <si>
    <t>CORDON DE BRASSAGE CAT6 U/UTP GRIS LSZH 5M</t>
  </si>
  <si>
    <t>4897108882135</t>
  </si>
  <si>
    <t>KPUU6ZH10EF</t>
  </si>
  <si>
    <t>CAT6 PATCH CORD U/UTP GREY LSZH 10M</t>
  </si>
  <si>
    <t>CORDON DE BRASSAGE CAT6 U/UTP GRIS LSZH 10M</t>
  </si>
  <si>
    <t>4897108882142</t>
  </si>
  <si>
    <t>KPUU6ZH15EF</t>
  </si>
  <si>
    <t>U0404015</t>
  </si>
  <si>
    <t>CAT6 PATCH CORD U/UTP GREY LSZH 15M</t>
  </si>
  <si>
    <t>CORDON DE BRASSAGE CAT6 U/UTP GRIS LSZH 15M</t>
  </si>
  <si>
    <t>KPUU6ZH25EF</t>
  </si>
  <si>
    <t>U0404016</t>
  </si>
  <si>
    <t>CAT6 PATCH CORD U/UTP GREY LSZH 25M</t>
  </si>
  <si>
    <t>CORDON DE BRASSAGE CAT6 U/UTP GRIS LSZH 25M</t>
  </si>
  <si>
    <t>KPUU6ZHSL03EF</t>
  </si>
  <si>
    <t>CAT6 PATCH CORD U/UTP GREY LSZH SLIM 0.3M</t>
  </si>
  <si>
    <t>CORDON DE BRASSAGE CAT6 U/UTP GRIS LSZH SLIM 0,3M</t>
  </si>
  <si>
    <t>Slim</t>
  </si>
  <si>
    <t>HONTO</t>
  </si>
  <si>
    <t>7x0.127BC RJ45  OD:3.8±0.3mm</t>
  </si>
  <si>
    <t>KPUU6ZHSL05EF</t>
  </si>
  <si>
    <t>CAT6 PATCH CORD U/UTP GREY LSZH SLIM 0.5M</t>
  </si>
  <si>
    <t>CORDON DE BRASSAGE CAT6 U/UTP GRIS LSZH SLIM 0,5M</t>
  </si>
  <si>
    <t>KPUU6ZHSL1EF</t>
  </si>
  <si>
    <t>CAT6 PATCH CORD U/UTP GREY LSZH SLIM 1M</t>
  </si>
  <si>
    <t>CORDON DE BRASSAGE CAT6 U/UTP GRIS LSZH SLIM 1M</t>
  </si>
  <si>
    <t>KPUU6ZHSL2EF</t>
  </si>
  <si>
    <t>CAT6 PATCH CORD U/UTP GREY LSZH SLIM 2M</t>
  </si>
  <si>
    <t>CORDON DE BRASSAGE CAT6 U/UTP GRIS LSZH SLIM 2M</t>
  </si>
  <si>
    <t>KPUU6ZHSL3EF</t>
  </si>
  <si>
    <t>CAT6 PATCH CORD U/UTP GREY LSZH SLIM 3M</t>
  </si>
  <si>
    <t>CORDON DE BRASSAGE CAT6 U/UTP GRIS LSZH SLIM 3M</t>
  </si>
  <si>
    <t>KPUU6ZHSL5EF</t>
  </si>
  <si>
    <t>CAT6 PATCH CORD U/UTP GREY LSZH SLIM 5M</t>
  </si>
  <si>
    <t>CORDON DE BRASSAGE CAT6 U/UTP GRIS LSZH SLIM 5M</t>
  </si>
  <si>
    <t>KPUU6ZHSL10EF</t>
  </si>
  <si>
    <t>CAT6 PATCH CORD U/UTP GREY LSZH SLIM 10M</t>
  </si>
  <si>
    <t>CORDON DE BRASSAGE CAT6 U/UTP GRIS LSZH SLIM 10M</t>
  </si>
  <si>
    <t>KPUU6ZHWH03EF</t>
  </si>
  <si>
    <t>CAT6 PATCH CORD U/UTP WHITE LSZH 0.3M</t>
  </si>
  <si>
    <t>CORDON DE BRASSAGE CAT6 U/UTP BLANC LSZH 0,3M</t>
  </si>
  <si>
    <t>KPUU6ZHWH05EF</t>
  </si>
  <si>
    <t>CAT6 PATCH CORD U/UTP WHITE LSZH 0.5M</t>
  </si>
  <si>
    <t>CORDON DE BRASSAGE CAT6 U/UTP BLANC LSZH 0,5M</t>
  </si>
  <si>
    <t>KPUU6ZHWH1EF</t>
  </si>
  <si>
    <t>CAT6 PATCH CORD U/UTP WHITE LSZH 1M</t>
  </si>
  <si>
    <t>CORDON DE BRASSAGE CAT6 U/UTP BLANC LSZH 1M</t>
  </si>
  <si>
    <t>KPUU6ZHWH2EF</t>
  </si>
  <si>
    <t>CAT6 PATCH CORD U/UTP WHITE LSZH 2M</t>
  </si>
  <si>
    <t>CORDON DE BRASSAGE CAT6 U/UTP BLANC LSZH 2M</t>
  </si>
  <si>
    <t>KPUU6ZHWH3EF</t>
  </si>
  <si>
    <t>CAT6 PATCH CORD U/UTP WHITE LSZH 3M</t>
  </si>
  <si>
    <t>CORDON DE BRASSAGE CAT6 U/UTP BLANC LSZH 3M</t>
  </si>
  <si>
    <t>KPUU6ZHWH5EF</t>
  </si>
  <si>
    <t>CAT6 PATCH CORD U/UTP WHITE LSZH 5M</t>
  </si>
  <si>
    <t>CORDON DE BRASSAGE CAT6 U/UTP BLANC LSZH 5M</t>
  </si>
  <si>
    <t>KPUU6ZHWH10EF</t>
  </si>
  <si>
    <t>CAT6 PATCH CORD U/UTP WHITE LSZH 10M</t>
  </si>
  <si>
    <t>CORDON DE BRASSAGE CAT6 U/UTP BLANC LSZH 10M</t>
  </si>
  <si>
    <t>RJ45 CAT6A S/FTP</t>
  </si>
  <si>
    <t>26+</t>
  </si>
  <si>
    <t>KPSF6AZHL03EF</t>
  </si>
  <si>
    <t>CAT6A PATCH CORD S/FTP GREY LSZH 0.3M</t>
  </si>
  <si>
    <t>CORDON DE BRASSAGE CAT6A S/FTP GRIS LSZH 0,3M</t>
  </si>
  <si>
    <t>4897108882227</t>
  </si>
  <si>
    <t>7x0.145BC RJ45  OD:6.2±0.3mm</t>
  </si>
  <si>
    <t>KPSF6AZHL05EF</t>
  </si>
  <si>
    <t>CAT6A PATCH CORD S/FTP GREY LSZH 0.5M</t>
  </si>
  <si>
    <t>CORDON DE BRASSAGE CAT6A S/FTP GRIS LSZH 0,5M</t>
  </si>
  <si>
    <t>4897108882234</t>
  </si>
  <si>
    <t>KPSF6AZHL1EF</t>
  </si>
  <si>
    <t>CAT6A PATCH CORD S/FTP GREY LSZH 1M</t>
  </si>
  <si>
    <t>CORDON DE BRASSAGE CAT6A S/FTP GRIS LSZH 1M</t>
  </si>
  <si>
    <t>4897108882241</t>
  </si>
  <si>
    <t>KPSF6AZHL2EF</t>
  </si>
  <si>
    <t>CAT6A PATCH CORD S/FTP GREY LSZH 2M</t>
  </si>
  <si>
    <t>CORDON DE BRASSAGE CAT6A S/FTP GRIS LSZH 2M</t>
  </si>
  <si>
    <t>4897108882258</t>
  </si>
  <si>
    <t>KPSF6AZHL3EF</t>
  </si>
  <si>
    <t>CAT6A PATCH CORD S/FTP GREY LSZH 3M</t>
  </si>
  <si>
    <t>CORDON DE BRASSAGE CAT6A S/FTP GRIS LSZH 3M</t>
  </si>
  <si>
    <t>4897108882265</t>
  </si>
  <si>
    <t>KPSF6AZHL5EF</t>
  </si>
  <si>
    <t>CAT6A PATCH CORD S/FTP GREY LSZH 5M</t>
  </si>
  <si>
    <t>CORDON DE BRASSAGE CAT6A S/FTP GRIS LSZH 5M</t>
  </si>
  <si>
    <t>4897108882272</t>
  </si>
  <si>
    <t>KPSF6AZHL10EF</t>
  </si>
  <si>
    <t>CAT6A PATCH CORD S/FTP GREY LSZH 10M</t>
  </si>
  <si>
    <t>CORDON DE BRASSAGE CAT6A S/FTP GRIS LSZH 10M</t>
  </si>
  <si>
    <t>KPSF6AZH03EF</t>
  </si>
  <si>
    <t>7x0.135BC RJ45  OD:5.5±0.3mm</t>
  </si>
  <si>
    <t>KPSF6AZH05EF</t>
  </si>
  <si>
    <t>KPSF6AZH1EF</t>
  </si>
  <si>
    <t>KPSF6AZH2EF</t>
  </si>
  <si>
    <t>KPSF6AZH3EF</t>
  </si>
  <si>
    <t>KPSF6AZH5EF</t>
  </si>
  <si>
    <t>KPSF6AZH10EF</t>
  </si>
  <si>
    <t>4897108882289</t>
  </si>
  <si>
    <t>KPSF6AZH15EF</t>
  </si>
  <si>
    <t>CAT6A PATCH CORD S/FTP GREY LSZH 15M</t>
  </si>
  <si>
    <t>CORDON DE BRASSAGE CAT6A S/FTP GRIS LSZH 15M</t>
  </si>
  <si>
    <t>1pc eco bag+carton</t>
  </si>
  <si>
    <t>4897108884573</t>
  </si>
  <si>
    <t>KPSF6AZH20EF</t>
  </si>
  <si>
    <t>CAT6A PATCH CORD S/FTP GREY LSZH 20M</t>
  </si>
  <si>
    <t>CORDON DE BRASSAGE CAT6A S/FTP GRIS LSZH 20M</t>
  </si>
  <si>
    <t>4897108884580</t>
  </si>
  <si>
    <t>KPSF6AZH25EF</t>
  </si>
  <si>
    <t>CAT6A PATCH CORD S/FTP GREY LSZH 25M</t>
  </si>
  <si>
    <t>CORDON DE BRASSAGE CAT6A S/FTP GRIS LSZH 25M</t>
  </si>
  <si>
    <t>KPSF6AZH30EF</t>
  </si>
  <si>
    <t>CAT6A PATCH CORD S/FTP GREY LSZH 30M</t>
  </si>
  <si>
    <t>CORDON DE BRASSAGE CAT6A S/FTP GRIS LSZH 30M</t>
  </si>
  <si>
    <t>KPSF6AZH40EF</t>
  </si>
  <si>
    <t>CAT6A PATCH CORD S/FTP GREY LSZH 40M</t>
  </si>
  <si>
    <t>CORDON DE BRASSAGE CAT6A S/FTP GRIS LSZH 40M</t>
  </si>
  <si>
    <t>KPSF6AZH50EF</t>
  </si>
  <si>
    <t>CAT6A PATCH CORD S/FTP GREY LSZH 50M</t>
  </si>
  <si>
    <t>CORDON DE BRASSAGE CAT6A S/FTP GRIS LSZH 50M</t>
  </si>
  <si>
    <t>KPSF6AZH70EF</t>
  </si>
  <si>
    <t>CAT6A PATCH CORD S/FTP GREY LSZH 70M</t>
  </si>
  <si>
    <t>CORDON DE BRASSAGE CAT6A S/FTP GRIS LSZH 70M</t>
  </si>
  <si>
    <t>28 or 30</t>
  </si>
  <si>
    <t>KPSLF6AZHSL03EF</t>
  </si>
  <si>
    <t>CAT6A PATCH CORD S/FTP GREY LSZH SLIM 0.3M</t>
  </si>
  <si>
    <t>CORDON DE BRASSAGE CAT6A S/FTP GRIS LSZH SLIM 0,3M</t>
  </si>
  <si>
    <t>7x0.10BC RJ45  OD:4.8±0.3mm</t>
  </si>
  <si>
    <t>KPSLF6AZHSL05EF</t>
  </si>
  <si>
    <t>CAT6A PATCH CORD S/FTP GREY LSZH SLIM 0.5M</t>
  </si>
  <si>
    <t>CORDON DE BRASSAGE CAT6A S/FTP GRIS LSZH SLIM 0,5M</t>
  </si>
  <si>
    <t>KPSLF6AZHSL1EF</t>
  </si>
  <si>
    <t>CAT6A PATCH CORD S/FTP GREY LSZH SLIM 1M</t>
  </si>
  <si>
    <t>CORDON DE BRASSAGE CAT6A S/FTP GRIS LSZH SLIM 1M</t>
  </si>
  <si>
    <t>KPSLF6AZHSL2EF</t>
  </si>
  <si>
    <t>CAT6A PATCH CORD S/FTP GREY LSZH SLIM 2M</t>
  </si>
  <si>
    <t>CORDON DE BRASSAGE CAT6A S/FTP GRIS LSZH SLIM 2M</t>
  </si>
  <si>
    <t>KPSLF6AZHSL3EF</t>
  </si>
  <si>
    <t>CAT6A PATCH CORD S/FTP GREY LSZH SLIM 3M</t>
  </si>
  <si>
    <t>CORDON DE BRASSAGE CAT6A S/FTP GRIS LSZH SLIM 3M</t>
  </si>
  <si>
    <t>KPSLF6AZHSL5EF</t>
  </si>
  <si>
    <t>CAT6A PATCH CORD S/FTP GREY LSZH SLIM 5M</t>
  </si>
  <si>
    <t>CORDON DE BRASSAGE CAT6A S/FTP GRIS LSZH SLIM 5M</t>
  </si>
  <si>
    <t>KPSLF6AZHSL10EF</t>
  </si>
  <si>
    <t>CAT6A PATCH CORD S/FTP GREY LSZH SLIM 10M</t>
  </si>
  <si>
    <t>CORDON DE BRASSAGE CAT6A S/FTP GRIS LSZH SLIM 10M</t>
  </si>
  <si>
    <t>RJ45 CAT6A U/UTP</t>
  </si>
  <si>
    <t>KPUU6AZH03EF</t>
  </si>
  <si>
    <t>CAT6A PATCH CORD U/UTP GREY LSZH 0.3M</t>
  </si>
  <si>
    <t>CORDON DE BRASSAGE CAT6A U/UTP GRIS LSZH 0,3M</t>
  </si>
  <si>
    <t>7x0.17BC RJ45 OD:6.0±0.3mm</t>
  </si>
  <si>
    <t>KPUU6AZH05EF</t>
  </si>
  <si>
    <t>CAT6A PATCH CORD U/UTP GREY LSZH 0.5M</t>
  </si>
  <si>
    <t>CORDON DE BRASSAGE CAT6A U/UTP GRIS LSZH 0,5M</t>
  </si>
  <si>
    <t>KPUU6AZH1EF</t>
  </si>
  <si>
    <t>CAT6A PATCH CORD U/UTP GREY LSZH 1M</t>
  </si>
  <si>
    <t>CORDON DE BRASSAGE CAT6A U/UTP GRIS LSZH 1M</t>
  </si>
  <si>
    <t>KPUU6AZH2EF</t>
  </si>
  <si>
    <t>CAT6A PATCH CORD U/UTP GREY LSZH 2M</t>
  </si>
  <si>
    <t>CORDON DE BRASSAGE CAT6A U/UTP GRIS LSZH 2M</t>
  </si>
  <si>
    <t>KPUU6AZH3EF</t>
  </si>
  <si>
    <t>CAT6A PATCH CORD U/UTP GREY LSZH 3M</t>
  </si>
  <si>
    <t>CORDON DE BRASSAGE CAT6A U/UTP GRIS LSZH 3M</t>
  </si>
  <si>
    <t>KPUU6AZH5EF</t>
  </si>
  <si>
    <t>CAT6A PATCH CORD U/UTP GREY LSZH 5M</t>
  </si>
  <si>
    <t>CORDON DE BRASSAGE CAT6A U/UTP GRIS LSZH 5M</t>
  </si>
  <si>
    <t>KPUU6AZH10EF</t>
  </si>
  <si>
    <t>CAT6A PATCH CORD U/UTP GREY LSZH 10M</t>
  </si>
  <si>
    <t>CORDON DE BRASSAGE CAT6A U/UTP GRIS LSZH 10M</t>
  </si>
  <si>
    <t>KPUU6AZH15EF</t>
  </si>
  <si>
    <t>U0406019</t>
  </si>
  <si>
    <t>CAT6A PATCH CORD U/UTP GREY LSZH 15M</t>
  </si>
  <si>
    <t>CORDON DE BRASSAGE CAT6A U/UTP GRIS LSZH 15M</t>
  </si>
  <si>
    <t>KPUU6AZH25EF</t>
  </si>
  <si>
    <t>U0406020</t>
  </si>
  <si>
    <t>CAT6A PATCH CORD U/UTP GREY LSZH 25M</t>
  </si>
  <si>
    <t>CORDON DE BRASSAGE CAT6A U/UTP GRIS LSZH 25M</t>
  </si>
  <si>
    <t>KPUU6AZHSL03EF</t>
  </si>
  <si>
    <t>CAT6A PATCH CORD U/UTP GREY LSZH SLIM 0.3M</t>
  </si>
  <si>
    <t>CORDON DE BRASSAGE CAT6A U/UTP GRIS LSZH SLIM 0,3M</t>
  </si>
  <si>
    <t>7X0.12±0.008 OD:3.8±0.3mm</t>
  </si>
  <si>
    <t>KPUU6AZHSL05EF</t>
  </si>
  <si>
    <t>CAT6A PATCH CORD U/UTP GREY LSZH SLIM 0.5M</t>
  </si>
  <si>
    <t>CORDON DE BRASSAGE CAT6A U/UTP GRIS LSZH SLIM 0,5M</t>
  </si>
  <si>
    <t>KPUU6AZHSL1EF</t>
  </si>
  <si>
    <t>CAT6A PATCH CORD U/UTP GREY LSZH SLIM 1M</t>
  </si>
  <si>
    <t>CORDON DE BRASSAGE CAT6A U/UTP GRIS LSZH SLIM 1M</t>
  </si>
  <si>
    <t>KPUU6AZHSL2EF</t>
  </si>
  <si>
    <t>CAT6A PATCH CORD U/UTP GREY LSZH SLIM 2M</t>
  </si>
  <si>
    <t>CORDON DE BRASSAGE CAT6A U/UTP GRIS LSZH SLIM 2M</t>
  </si>
  <si>
    <t>KPUU6AZHSL3EF</t>
  </si>
  <si>
    <t>CAT6A PATCH CORD U/UTP GREY LSZH SLIM 3M</t>
  </si>
  <si>
    <t>CORDON DE BRASSAGE CAT6A U/UTP GRIS LSZH SLIM 3M</t>
  </si>
  <si>
    <t>KPUU6AZHSL5EF</t>
  </si>
  <si>
    <t>CAT6A PATCH CORD U/UTP GREY LSZH SLIM 5M</t>
  </si>
  <si>
    <t>CORDON DE BRASSAGE CAT6A U/UTP GRIS LSZH SLIM 5M</t>
  </si>
  <si>
    <t>KPUU6AZHSL10EF</t>
  </si>
  <si>
    <t>CAT6A PATCH CORD U/UTP GREY LSZH SLIM 10M</t>
  </si>
  <si>
    <t>CORDON DE BRASSAGE CAT6A U/UTP GRIS LSZH SLIM 10M</t>
  </si>
  <si>
    <t>KPUU6AZHWH03EF</t>
  </si>
  <si>
    <t>CAT6A PATCH CORD U/UTP WHITE LSZH 0.3M</t>
  </si>
  <si>
    <t>CORDON DE BRASSAGE CAT6A U/UTP BLANC LSZH 0,3M</t>
  </si>
  <si>
    <t>KPUU6AZHWH05EF</t>
  </si>
  <si>
    <t>CAT6A PATCH CORD U/UTP WHITE LSZH 0.5M</t>
  </si>
  <si>
    <t>CORDON DE BRASSAGE CAT6A U/UTP BLANC LSZH 0,5M</t>
  </si>
  <si>
    <t>KPUU6AZHWH1EF</t>
  </si>
  <si>
    <t>CAT6A PATCH CORD U/UTP WHITE LSZH 1M</t>
  </si>
  <si>
    <t>CORDON DE BRASSAGE CAT6A U/UTP BLANC LSZH 1M</t>
  </si>
  <si>
    <t>KPUU6AZHWH2EF</t>
  </si>
  <si>
    <t>U0406015</t>
  </si>
  <si>
    <t>CAT6A PATCH CORD U/UTP WHITE LSZH 2M</t>
  </si>
  <si>
    <t>CORDON DE BRASSAGE CAT6A U/UTP BLANC LSZH 2M</t>
  </si>
  <si>
    <t>KPUU6AZHWH3EF</t>
  </si>
  <si>
    <t>U0406016</t>
  </si>
  <si>
    <t>CAT6A PATCH CORD U/UTP WHITE LSZH 3M</t>
  </si>
  <si>
    <t>CORDON DE BRASSAGE CAT6A U/UTP BLANC LSZH 3M</t>
  </si>
  <si>
    <t>KPUU6AZHWH5EF</t>
  </si>
  <si>
    <t>CAT6A PATCH CORD U/UTP WHITE LSZH 5M</t>
  </si>
  <si>
    <t>CORDON DE BRASSAGE CAT6A U/UTP BLANC LSZH 5M</t>
  </si>
  <si>
    <t>KPUU6AZHWH10EF</t>
  </si>
  <si>
    <t>CAT6A PATCH CORD U/UTP WHITE LSZH 10M</t>
  </si>
  <si>
    <t>CORDON DE BRASSAGE CAT6A U/UTP BLANC LSZH 10M</t>
  </si>
  <si>
    <t>RJ45 CAT8 S/FTP</t>
  </si>
  <si>
    <t>KPSF8ZH03EF</t>
  </si>
  <si>
    <t>CAT8 PATCH CORD S/FTP LIME GREEN LSZH 0.3M</t>
  </si>
  <si>
    <t>CORDON DE BRASSAGE CAT8 S/FTP VERT CITRON LSZH  0,3M</t>
  </si>
  <si>
    <t>7x0.156BC RJ45 OD5.9±.2mm</t>
  </si>
  <si>
    <t>KPSF8ZH05EF</t>
  </si>
  <si>
    <t>CAT8 PATCH CORD S/FTP LIME GREEN LSZH 0.5M</t>
  </si>
  <si>
    <t>CORDON DE BRASSAGE CAT8 S/FTP VERT CITRON LSZH  0,5M</t>
  </si>
  <si>
    <t>KPSF8ZH10EF</t>
  </si>
  <si>
    <t>CAT8 PATCH CORD S/FTP LIME GREEN LSZH 10M</t>
  </si>
  <si>
    <t>CORDON DE BRASSAGE CAT8 S/FTP VERT CITRON LSZH  10M</t>
  </si>
  <si>
    <t>KPSF8ZH1EF</t>
  </si>
  <si>
    <t>CAT8 PATCH CORD S/FTP LIME GREEN LSZH 1M</t>
  </si>
  <si>
    <t>CORDON DE BRASSAGE CAT8 S/FTP VERT CITRON LSZH  1M</t>
  </si>
  <si>
    <t>KPSF8ZH2EF</t>
  </si>
  <si>
    <t>CAT8 PATCH CORD S/FTP LIME GREEN LSZH 2M</t>
  </si>
  <si>
    <t>CORDON DE BRASSAGE CAT8 S/FTP VERT CITRON LSZH  2M</t>
  </si>
  <si>
    <t>KPSF8ZH3EF</t>
  </si>
  <si>
    <t>CAT8 PATCH CORD S/FTP LIME GREEN LSZH 3M</t>
  </si>
  <si>
    <t>CORDON DE BRASSAGE CAT8 S/FTP VERT CITRON LSZH  3M</t>
  </si>
  <si>
    <t>KPSF8ZH5EF</t>
  </si>
  <si>
    <t>CAT8 PATCH CORD S/FTP LIME GREEN LSZH 5M</t>
  </si>
  <si>
    <t>CORDON DE BRASSAGE CAT8 S/FTP VERT CITRON LSZH  5M</t>
  </si>
  <si>
    <t>PATCH PANEL</t>
  </si>
  <si>
    <t>Empty</t>
  </si>
  <si>
    <t>KJPP1UUEF</t>
  </si>
  <si>
    <t>24 PORTS UNLOADED PATCH PANEL 1U UNSHIELDED PER ECO FRIENDLY CARTON</t>
  </si>
  <si>
    <t>PANNEAU DE BRASSAGE VIDE 24 PORTS 1U NON BLINDÉ PAR CARTON ÉCOLOGIQUE</t>
  </si>
  <si>
    <t>500pcs</t>
  </si>
  <si>
    <t>4897108882067</t>
  </si>
  <si>
    <t>KJPP1UBCEF</t>
  </si>
  <si>
    <t>24 PORTS UNLOADED PATCH PANEL 1U DIRECT GROUNDING BLACK WITH HOLE CUTTING AND ACCESSORIES PER ECO FRIENDLY CARTON</t>
  </si>
  <si>
    <t>PANNEAU DE BRASSAGE VIDE 24 ports 1U MISE A LA TERRE DIRECTE AVEC TROU DECOUPE NOIR PAR CARTON ÉCOLOGIQUE</t>
  </si>
  <si>
    <t>4897108881817</t>
  </si>
  <si>
    <t>KJPP1UEF</t>
  </si>
  <si>
    <t>24 PORTS UNLOADED PATCH PANEL 1U DIRECT GROUNDING PER ECO FRIENDLY CARTON</t>
  </si>
  <si>
    <t>PANNEAU DE BRASSAGE VIDE 24 PORTS 1U MISE À LA TERRE DIRECTE PAR CARTON ÉCOLOGIQUE</t>
  </si>
  <si>
    <t>4897108882074</t>
  </si>
  <si>
    <t>KJPP1UBMCTEF</t>
  </si>
  <si>
    <t>24 PORTS UNLOADED PATCH PANEL 1U DIRECT GROUNDING FULL METAL BLACK T SHAPE WITH HOLE CUTTING AND ACCESSORIES WITH 24PCS CABLE TIE PER ECO FRIENDLY CARTON</t>
  </si>
  <si>
    <t>PANNEAU DE BRASSAGE EN MÉTAL 19 POUCES 1U 24 PORTS RJ45 KEYSTONE
MISE À LA TERRE AUTOMATIQUE ET OUIES DE FIXATION DÉCOUPÉES</t>
  </si>
  <si>
    <t>500 pcs</t>
  </si>
  <si>
    <t>‘4897108882760</t>
  </si>
  <si>
    <t>Elendil</t>
  </si>
  <si>
    <t>KJPP2UBMCTEF</t>
  </si>
  <si>
    <t>48 PORTS UNLOADED PATCH PANEL 2U DIRECT GROUNDING FULL METAL BLACK T SHAPE WITH HOLE CUTTING AND ACCESSORIES WITH 24PCS CABLE TIE PER ECO FRIENDLY CARTON</t>
  </si>
  <si>
    <t>PANNEAU DE BRASSAGE EN MÉTAL 19 POUCES 2U 48 PORTS RJ45 KEYSTONE</t>
  </si>
  <si>
    <t>4897108882760</t>
  </si>
  <si>
    <t>KJPP1U246UEF</t>
  </si>
  <si>
    <t>24 PORTS CAT6 UNSHIELDED PATCH PANEL 1U DUAL IDC ECO FRIENDLY CARTON</t>
  </si>
  <si>
    <t>PANNEAU DE BRASSAGE 24 PORTS CAT6 UNSHIELDED 1U DUAL IDC CARTON ECOLOGIQUE</t>
  </si>
  <si>
    <t>KJPP1U246SHQEF</t>
  </si>
  <si>
    <t>24 PORTS CAT6 SHIELDED PATCH PANEL 1U DUAL IDC INTERTEK CERTIFIED ECO FRIENDLY CARTON</t>
  </si>
  <si>
    <t>PANNEAU DE BRASSAGE BLINDÉ CAT6 24 PORTS 1U  DOUBLE IDC CARTON ÉCOLOGIQUE CERTIFIÉ INTERTEK</t>
  </si>
  <si>
    <t>KJPP1UBCTEF</t>
  </si>
  <si>
    <t>24 PORTS UNLOADED PATCH PANEL 1U DIRECT GROUNDING BLACK T SHAPE WITH HOLE CUTTING AND ACCESSORIES WITH 24PCS CABLE TIE PER ECO FRIENDLY CARTON</t>
  </si>
  <si>
    <t>Koros,Xeilom, Coris</t>
  </si>
  <si>
    <t>KJPP1U245EUEF</t>
  </si>
  <si>
    <t>24 PORTS CAT5E UNSHIELDED PATCH PANEL 1U DUAL IDC ECO FRIENDLY CARTON</t>
  </si>
  <si>
    <t>PANNEAU DE BRASSAGE 24 PORTS CAT5E NON BLINDÉ 1U DOUBLE IDC CARTON ÉCOLOGIQUE</t>
  </si>
  <si>
    <t>LY-PP5-07</t>
  </si>
  <si>
    <t>KJPP1UBCANEF</t>
  </si>
  <si>
    <t>24 PORTS UNLOADED PATCH PANEL 1U DIRECT GROUNDING BLACK ANGLED V SHAPE PER ECO FRIENDLY CARTON</t>
  </si>
  <si>
    <t>PANNEAU DE BRASSAGE VIDE 24 ports 1U MISE A LA TERRE DIRECTE NOIR EN V ANGULÉ PAR CARTON ÉCOLOGIQUE</t>
  </si>
  <si>
    <t>LY-BPP11-1S24P</t>
  </si>
  <si>
    <t>KJPP1U25UEF</t>
  </si>
  <si>
    <t>25 PORTS UNSHIELDED TELEPHONE PATCH PANEL 1U DUAL IDC ECO FRIENDLY CARTON</t>
  </si>
  <si>
    <t>PANNEAU DE BRASSAGE TELEPHONIQUE 25 PORTS NON BLINDÉ 1U DOUBLE IDC CARTON ÉCOLOGIQUE</t>
  </si>
  <si>
    <t>LY-PP5-15</t>
  </si>
  <si>
    <t>KJPP1U50UEF</t>
  </si>
  <si>
    <t>50 PORTS UNSHIELDED TELEPHONE PATCH PANEL 1U DUAL IDC ECO FRIENDLY CARTON</t>
  </si>
  <si>
    <t>PANNEAU DE BRASSAGE TELEPHONIQUE 50 PORTS NON BLINDÉ 1U DOUBLE IDC CARTON ÉCOLOGIQUE</t>
  </si>
  <si>
    <t>LY-PP3-16-A
PANISDN50N</t>
  </si>
  <si>
    <t>KJPP1U60UEF</t>
  </si>
  <si>
    <t>60 PORTS UNSHIELDED TELEPHONE PATCH PANEL 1U DUAL IDC ECO FRIENDLY CARTON</t>
  </si>
  <si>
    <t>PANISDN60N</t>
  </si>
  <si>
    <t>SYT CABLES</t>
  </si>
  <si>
    <t>SYT 2</t>
  </si>
  <si>
    <t>KSYT2A245ZHB2BR5-E02</t>
  </si>
  <si>
    <t>KSYT2A245ZHB2BR5</t>
  </si>
  <si>
    <t>U1701003</t>
  </si>
  <si>
    <t>CABLEAWG24 SYT 2 ARMORED LSZH 5 PAIRS BROWN B2CA</t>
  </si>
  <si>
    <t>CABLE AWG24 SYT 2 ARMEE LSZH 5 PAIRES MARRON B2CA</t>
  </si>
  <si>
    <t>8544492000</t>
  </si>
  <si>
    <t>KSYT2A2410ZHB2BR5-E02</t>
  </si>
  <si>
    <t>KSYT2A2410ZHB2BR5</t>
  </si>
  <si>
    <t>U1701004</t>
  </si>
  <si>
    <t>CABLEAWG24 SYT 2 ARMORED LSZH 10 PAIRS BROWN B2CA</t>
  </si>
  <si>
    <t>CABLE AWG24 SYT 2 ARMEE LSZH 10 PAIRES MARRON B2CA</t>
  </si>
  <si>
    <t>KSYT2A2415ZHB2BR5-E02</t>
  </si>
  <si>
    <t>KSYT2A2415ZHB2BR5</t>
  </si>
  <si>
    <t>U1701001</t>
  </si>
  <si>
    <t>CABLEAWG24 SYT 2 ARMORED LSZH 15 PAIRS BROWN B2CA</t>
  </si>
  <si>
    <t>CABLE AWG24 SYT 2 ARMEE LSZH 15 PAIRES MARRON B2CA</t>
  </si>
  <si>
    <t>KSYT2A2430ZHB2BR5-E02</t>
  </si>
  <si>
    <t>KSYT2A2430ZHB2BR5</t>
  </si>
  <si>
    <t>U1701002</t>
  </si>
  <si>
    <t>CABLEAWG24 SYT 2 ARMORED LSZH 30 PAIRS BROWN B2CA</t>
  </si>
  <si>
    <t>CABLE AWG24 SYT 2 ARMEE LSZH 30 PAIRES MARRON B2CA</t>
  </si>
  <si>
    <t>KSYT2A2456ZHB2BR5-E02</t>
  </si>
  <si>
    <t>KSYT2A2456ZHB2BR5</t>
  </si>
  <si>
    <t>CABLEAWG24 SYT 2 ARMORED LSZH 56 PAIRS BROWN B2CA</t>
  </si>
  <si>
    <t>CABLE AWG24 SYT 2 ARMEE LSZH 56 PAIRES MARRON B2CA</t>
  </si>
  <si>
    <t>KSYT2A24112ZHB2BR5-E02</t>
  </si>
  <si>
    <t>KSYT2A24112ZHB2BR5</t>
  </si>
  <si>
    <t>CABLEAWG24 SYT 2 ARMORED LSZH 112 PAIRS BROWN B2CA</t>
  </si>
  <si>
    <t>CABLE AWG24 SYT 2 ARMEE LSZH 112 PAIRES MARRON B2CA</t>
  </si>
  <si>
    <t>KSYT2A205ZHB2BR5-E02</t>
  </si>
  <si>
    <t>KSYT2A205ZHB2BR5</t>
  </si>
  <si>
    <t>CABLEAWG20 SYT 2 ARMORED LSZH 5 PAIRS BROWN B2CA</t>
  </si>
  <si>
    <t>CABLE AWG20 SYT 2 ARMEE LSZH 5 PAIRES MARRON B2CA</t>
  </si>
  <si>
    <t>KSYT2A2010ZHB2BR5-E02</t>
  </si>
  <si>
    <t>KSYT2A2010ZHB2BR5</t>
  </si>
  <si>
    <t>CABLEAWG20 SYT 2 ARMORED LSZH 10 PAIRS BROWN B2CA</t>
  </si>
  <si>
    <t>CABLE AWG20 SYT 2 ARMEE LSZH 10 PAIRES MARRON B2CA</t>
  </si>
  <si>
    <t>KSYT2A2015ZHB2BR5-E02</t>
  </si>
  <si>
    <t>KSYT2A2015ZHB2BR5</t>
  </si>
  <si>
    <t>CABLEAWG20 SYT 2 ARMORED LSZH 15 PAIRS BROWN B2CA</t>
  </si>
  <si>
    <t>CABLE AWG20 SYT 2 ARMEE LSZH 15 PAIRES MARRON B2CA</t>
  </si>
  <si>
    <t>KSYT2A2030ZHB2BR5-E02</t>
  </si>
  <si>
    <t>KSYT2A2030ZHB2BR5</t>
  </si>
  <si>
    <t>CABLEAWG20 SYT 2 ARMORED LSZH 30 PAIRS BROWN B2CA</t>
  </si>
  <si>
    <t>CABLE AWG20 SYT 2 ARMEE LSZH 30 PAIRES MARRON B2CA</t>
  </si>
  <si>
    <t>KSYT2A2056ZHB2BR5-E02</t>
  </si>
  <si>
    <t>KSYT2A2056ZHB2BR5</t>
  </si>
  <si>
    <t>CABLEAWG20 SYT 2 ARMORED LSZH 56 PAIRS BROWN B2CA</t>
  </si>
  <si>
    <t>CABLE AWG20 SYT 2 ARMEE LSZH 56 PAIRES MARRON B2CA</t>
  </si>
  <si>
    <t>KSYT2A20112ZHB2BR5-E02</t>
  </si>
  <si>
    <t>KSYT2A20112ZHB2BR5</t>
  </si>
  <si>
    <t>CABLEAWG20 SYT 2 ARMORED LSZH 112 PAIRS BROWN B2CA</t>
  </si>
  <si>
    <t>CABLE AWG20 SYT 2 ARMEE LSZH 112 PAIRES MARRON B2CA</t>
  </si>
  <si>
    <t>OPTICAL FIBER</t>
  </si>
  <si>
    <t>ADAPTERS</t>
  </si>
  <si>
    <t>LC</t>
  </si>
  <si>
    <t>KSALCDS40</t>
  </si>
  <si>
    <t>LC DUPLEX SINGLEMODE BLUE ADAPTOR 40PCS PER ECO FRIENDLY BAG</t>
  </si>
  <si>
    <t>TRAVERSEE MONOMODE BLEU LC DUPLEX 40PCS PAR SAC ÉCOLOGIQUE</t>
  </si>
  <si>
    <t>40 pcs friendly bag</t>
  </si>
  <si>
    <t>4897108882654</t>
  </si>
  <si>
    <t>8536700099</t>
  </si>
  <si>
    <t>OTRANS</t>
  </si>
  <si>
    <t>KSALCDM40</t>
  </si>
  <si>
    <t>LC DUPLEX MULTIMODE BEIGE ADAPTOR 40PCS PER ECO FRIENDLY BAG</t>
  </si>
  <si>
    <t>TRAVERSEE MULTIMODE BEIGE LC DUPLEX 40PCS PAR SAC ÉCOLOGIQUE</t>
  </si>
  <si>
    <t>4897108882661</t>
  </si>
  <si>
    <t>LCAPC</t>
  </si>
  <si>
    <t>KSALCADS40</t>
  </si>
  <si>
    <t>LC APC DUPLEX SINGLEMODE GREEN ADAPTOR 40PCS PER ECO FRIENDLY BAG</t>
  </si>
  <si>
    <t>TRAVERSEE MONOMODE VERT LC APC DUPLEX 40PCS PAR SAC ÉCOLOGIQUE</t>
  </si>
  <si>
    <t>KSALCAQSXX</t>
  </si>
  <si>
    <t>LC APC QUAD SINGLEMODE GREEN ADAPTOR 20PCS PER ECO FRIENDLY BAG</t>
  </si>
  <si>
    <t>TRAVERSEE MONOMODE VERT LC APC QUAD 40PCS PAR SAC ÉCOLOGIQUE</t>
  </si>
  <si>
    <t>20 pcs friendly bag</t>
  </si>
  <si>
    <t>SC</t>
  </si>
  <si>
    <t>KSASCDS20</t>
  </si>
  <si>
    <t>SC DUPLEX SINGLEMODE BLUE ADAPTOR 20PCS PER ECO FRIENDLY BAG</t>
  </si>
  <si>
    <t>TRAVERSEE SC DUPLEX MONOMODE BLEU 20PCS PAR SAC ÉCOLOGIQUE</t>
  </si>
  <si>
    <t>4897108882678</t>
  </si>
  <si>
    <t>KSASCDM20</t>
  </si>
  <si>
    <t>SC DUPLEX MULTIMODE BEIGE ADAPTOR 20PCS PER ECO FRIENDLY BAG</t>
  </si>
  <si>
    <t>TRAVERSEE SC DUPLEX MULTIMODE BEIGE 20PCS PAR SAC ÉCOLOGIQUE</t>
  </si>
  <si>
    <t>4897108882685</t>
  </si>
  <si>
    <t>SCAPC</t>
  </si>
  <si>
    <t>KSASCADS20</t>
  </si>
  <si>
    <t>SC APC DUPLEX SINGLEMODE GREEN ADAPTOR 20PCS PER ECO FRIENDLY BAG</t>
  </si>
  <si>
    <t>TRAVERSEE SC APC DUPLEX MONOMODE VERT 20PCS PAR SAC ÉCOLOGIQUE</t>
  </si>
  <si>
    <t>KSASCSSXX</t>
  </si>
  <si>
    <t>SC SIMPLEX SINGLEMODE  BLUE ADAPTOR 20PCS PER ECO FRIENDLY BAG</t>
  </si>
  <si>
    <t>TRAVERSEE SC SIMPLEX MONOMODE BLEU 20PCS PAR SAC ÉCOLOGIQUE</t>
  </si>
  <si>
    <t>KSASCSMXX</t>
  </si>
  <si>
    <t>SC SIMPLEX MUTLIMODE BEIGE ADAPTOR 20PCS PER ECO FRIENDLY BAG</t>
  </si>
  <si>
    <t>OPTICAL ACCCESSORIES</t>
  </si>
  <si>
    <t>SPLICE CASSETTE</t>
  </si>
  <si>
    <t>KSET24FO</t>
  </si>
  <si>
    <t>SPLICE CASSETTE WITH SPLICE HOLDER STACKABLE 24FO</t>
  </si>
  <si>
    <t>CASSETTE DE LOVAGE STACKABLE 24FO</t>
  </si>
  <si>
    <t>4897108884214</t>
  </si>
  <si>
    <t>5.1?</t>
  </si>
  <si>
    <t>KSPLICE60MM</t>
  </si>
  <si>
    <t>SPLICE PROTECTION HEAT SHRINKABLE 60MM</t>
  </si>
  <si>
    <t>PROTECTION EPISSURE THERMORETRACTABLE 60MM</t>
  </si>
  <si>
    <t>4897108884207</t>
  </si>
  <si>
    <t>OPTICAL PATCH CORDS</t>
  </si>
  <si>
    <t>SC/SC</t>
  </si>
  <si>
    <t>OM3</t>
  </si>
  <si>
    <t>KCDOM3SCSC1MEF</t>
  </si>
  <si>
    <t>SC/SC OM3 DUPLEX OPTICAL PATCH CORD 1M ECO FRIENDLY BAG</t>
  </si>
  <si>
    <t>JARRETIERE OPTIQUE DUPLEX SC/SC OM3 1M SAC ÉCOLOGIQUE</t>
  </si>
  <si>
    <t>1 pc eco friendly bag</t>
  </si>
  <si>
    <t>2km per cable</t>
  </si>
  <si>
    <t>KCDOM3SCSC2MEF</t>
  </si>
  <si>
    <t>SC/SC OM3 DUPLEX OPTICAL PATCH CORD 2M ECO FRIENDLY BAG</t>
  </si>
  <si>
    <t>JARRETIERE OPTIQUE DUPLEX SC/SC OM3 2M SAC ÉCOLOGIQUE</t>
  </si>
  <si>
    <t>KCDOM3SCSC3MEF</t>
  </si>
  <si>
    <t>SC/SC OM3 DUPLEX OPTICAL PATCH CORD 3M ECO FRIENDLY BAG</t>
  </si>
  <si>
    <t xml:space="preserve">JARRETIERE OPTIQUE DUPLEX SC/SC OM3 3M SAC ÉCOLOGIQUE </t>
  </si>
  <si>
    <t>KCDOM3SCSC5MEF</t>
  </si>
  <si>
    <t>SC/SC OM3 DUPLEX OPTICAL PATCH CORD 5M ECO FRIENDLY BAG</t>
  </si>
  <si>
    <t>JARRETIERE OPTIQUE DUPLEX SC/SC OM3 5M SAC ÉCOLOGIQUE</t>
  </si>
  <si>
    <t>KCDOM3SCSC10MEF</t>
  </si>
  <si>
    <t>SC/SC OM3 DUPLEX OPTICAL PATCH CORD 10M ECO FRIENDLY BAG</t>
  </si>
  <si>
    <t xml:space="preserve">JARRETIERE OPTIQUE DUPLEX SC/SC OM3 10M SAC ÉCOLOGIQUE </t>
  </si>
  <si>
    <t>KCDOM3SCSC15MEF</t>
  </si>
  <si>
    <t>SC/SC OM3 DUPLEX OPTICAL PATCH CORD 15M ECO FRIENDLY BAG</t>
  </si>
  <si>
    <t>JARRETIERE OPTIQUE DUPLEX SC/SC OM3 15M SAC ÉCOLOGIQUE</t>
  </si>
  <si>
    <t>SC/LC</t>
  </si>
  <si>
    <t>KCDOM3SCLC1MEF</t>
  </si>
  <si>
    <t>SC/LC OM3 DUPLEX OPTICAL PATCH CORD 1M ECO FRIENDLY BAG</t>
  </si>
  <si>
    <t>JARRETIERE OPTIQUE DUPLEX SC/LC OM3 1M SAC ÉCOLOGIQUE</t>
  </si>
  <si>
    <t>4897108884085</t>
  </si>
  <si>
    <t>KCDOM3SCLC2MEF</t>
  </si>
  <si>
    <t>SC/LC OM3 DUPLEX OPTICAL PATCH CORD 2M ECO FRIENDLY BAG</t>
  </si>
  <si>
    <t>JARRETIERE OPTIQUE DUPLEX SC/LC OM3 2M SAC ÉCOLOGIQUE</t>
  </si>
  <si>
    <t>KCDOM3SCLC3MEF</t>
  </si>
  <si>
    <t>SC/LC OM3 DUPLEX OPTICAL PATCH CORD 3M ECO FRIENDLY BAG</t>
  </si>
  <si>
    <t>JARRETIERE OPTIQUE DUPLEX SC/LC OM3 3M SAC ÉCOLOGIQUE</t>
  </si>
  <si>
    <t>4897108884092</t>
  </si>
  <si>
    <t>KCDOM3SCLC5MEF</t>
  </si>
  <si>
    <t>SC/LC OM3 DUPLEX OPTICAL PATCH CORD 5M ECO FRIENDLY BAG</t>
  </si>
  <si>
    <t>JARRETIERE OPTIQUE DUPLEX SC/LC OM3 5M SAC ÉCOLOGIQUE</t>
  </si>
  <si>
    <t>KCDOM3SCLC10MEF</t>
  </si>
  <si>
    <t>U0901013</t>
  </si>
  <si>
    <t>SC/LC OM3 DUPLEX OPTICAL PATCH CORD 10M ECO FRIENDLY BAG</t>
  </si>
  <si>
    <t>JARRETIERE OPTIQUE DUPLEX SC/LC OM3 10M SAC ÉCOLOGIQUE</t>
  </si>
  <si>
    <t>KCDOM3SCLC15MEF</t>
  </si>
  <si>
    <t>U0901014</t>
  </si>
  <si>
    <t>SC/LC OM3 DUPLEX OPTICAL PATCH CORD 15M ECO FRIENDLY BAG</t>
  </si>
  <si>
    <t>JARRETIERE OPTIQUE DUPLEX SC/LC OM3 15M SAC ÉCOLOGIQUE</t>
  </si>
  <si>
    <t>KCDOM3SCLC25MEF</t>
  </si>
  <si>
    <t>U0901017</t>
  </si>
  <si>
    <t>SC/LC OM3 DUPLEX OPTICAL PATCH CORD 25M ECO FRIENDLY BAG</t>
  </si>
  <si>
    <t>JARRETIERE OPTIQUE DUPLEX SC/LC OM3 25M SAC ÉCOLOGIQUE</t>
  </si>
  <si>
    <t>LC/LC</t>
  </si>
  <si>
    <t>KCDOM3LCLC1MEF</t>
  </si>
  <si>
    <t>LC/LC OM3 DUPLEX OPTICAL PATCH CORD 1M ECO FRIENDLY BAG</t>
  </si>
  <si>
    <t>JARRETIERE OPTIQUE DUPLEX LC/LC OM3 1M SAC ÉCOLOGIQUE</t>
  </si>
  <si>
    <t>4897108884054</t>
  </si>
  <si>
    <t>KCDOM3LCLC2MEF</t>
  </si>
  <si>
    <t>LC/LC OM3 DUPLEX OPTICAL PATCH CORD 2M ECO FRIENDLY BAG</t>
  </si>
  <si>
    <t>JARRETIERE OPTIQUE DUPLEX LC/LC OM3 2M SAC ÉCOLOGIQUE</t>
  </si>
  <si>
    <t>KCDOM3LCLC3MEF</t>
  </si>
  <si>
    <t>LC/LC OM3 DUPLEX OPTICAL PATCH CORD 3M ECO FRIENDLY BAG</t>
  </si>
  <si>
    <t>JARRETIERE OPTIQUE DUPLEX LC/LC OM3 3M SAC ÉCOLOGIQUE</t>
  </si>
  <si>
    <t>4897108884061</t>
  </si>
  <si>
    <t>KCDOM3LCLC5MEF</t>
  </si>
  <si>
    <t>LC/LC OM3 DUPLEX OPTICAL PATCH CORD 5M ECO FRIENDLY BAG</t>
  </si>
  <si>
    <t>JARRETIERE OPTIQUE DUPLEX LC/LC OM3 5M SAC ÉCOLOGIQUE</t>
  </si>
  <si>
    <t>4897108884078</t>
  </si>
  <si>
    <t>KCDOM3LCLC10MEF</t>
  </si>
  <si>
    <t>U0901015</t>
  </si>
  <si>
    <t>LC/LC OM3 DUPLEX OPTICAL PATCH CORD 10M ECO FRIENDLY BAG</t>
  </si>
  <si>
    <t>JARRETIERE OPTIQUE DUPLEX LC/LC OM3 10M SAC ÉCOLOGIQUE</t>
  </si>
  <si>
    <t>KCDOM3LCLC15MEF</t>
  </si>
  <si>
    <t>U0901016</t>
  </si>
  <si>
    <t>LC/LC OM3 DUPLEX OPTICAL PATCH CORD 15M ECO FRIENDLY BAG</t>
  </si>
  <si>
    <t>JARRETIERE OPTIQUE DUPLEX LC/LC OM3 15M SAC ÉCOLOGIQUE</t>
  </si>
  <si>
    <t>KCDOM3LCLC25MEF</t>
  </si>
  <si>
    <t>U0901018</t>
  </si>
  <si>
    <t>LC/LC OM3 DUPLEX OPTICAL PATCH CORD 25M ECO FRIENDLY BAG</t>
  </si>
  <si>
    <t>JARRETIERE OPTIQUE DUPLEX LC/LC OM3 25M SAC ÉCOLOGIQUE</t>
  </si>
  <si>
    <t>OM4</t>
  </si>
  <si>
    <t>KCDOM4SCSC1MEF</t>
  </si>
  <si>
    <t>SC/SC OM4 DUPLEX OPTICAL PATCH CORD 1M ECO FRIENDLY BAG</t>
  </si>
  <si>
    <t>JARRETIERE OPTIQUE DUPLEX SC/SC OM4 1M SAC ÉCOLOGIQUE</t>
  </si>
  <si>
    <t>KCDOM4SCSC2MEF</t>
  </si>
  <si>
    <t>SC/SC OM4 DUPLEX OPTICAL PATCH CORD 2M ECO FRIENDLY BAG</t>
  </si>
  <si>
    <t>JARRETIERE OPTIQUE DUPLEX SC/SC OM4 2M SAC ÉCOLOGIQUE</t>
  </si>
  <si>
    <t>KCDOM4SCSC3MEF</t>
  </si>
  <si>
    <t>SC/SC OM4 DUPLEX OPTICAL PATCH CORD 3M ECO FRIENDLY BAG</t>
  </si>
  <si>
    <t>JARRETIERE OPTIQUE DUPLEX SC/SC OM4 3M SAC ÉCOLOGIQUE</t>
  </si>
  <si>
    <t>KCDOM4SCSC5MEF</t>
  </si>
  <si>
    <t>SC/SC OM4 DUPLEX OPTICAL PATCH CORD 5M ECO FRIENDLY BAG</t>
  </si>
  <si>
    <t>JARRETIERE OPTIQUE DUPLEX SC/SC OM4 5M SAC ÉCOLOGIQUE</t>
  </si>
  <si>
    <t>KCDOM4SCSC10MEF</t>
  </si>
  <si>
    <t>SC/SC OM4 DUPLEX OPTICAL PATCH CORD 10M ECO FRIENDLY BAG</t>
  </si>
  <si>
    <t>JARRETIERE OPTIQUE DUPLEX SC/SC OM4 10M SAC ÉCOLOGIQUE</t>
  </si>
  <si>
    <t>KCDOM4SCSC15MEF</t>
  </si>
  <si>
    <t>SC/SC OM4 DUPLEX OPTICAL PATCH CORD 15M ECO FRIENDLY BAG</t>
  </si>
  <si>
    <t>JARRETIERE OPTIQUE DUPLEX SC/SC OM4 15M SAC ÉCOLOGIQUE</t>
  </si>
  <si>
    <t>KCDOM4SCLC1MEF</t>
  </si>
  <si>
    <t>SC/LC OM4 DUPLEX OPTICAL PATCH CORD 1M ECO FRIENDLY BAG</t>
  </si>
  <si>
    <t>JARRETIERE OPTIQUE DUPLEX SC/LC OM4 1M SAC ÉCOLOGIQUE</t>
  </si>
  <si>
    <t>KCDOM4SCLC2MEF</t>
  </si>
  <si>
    <t>SC/LC OM4 DUPLEX OPTICAL PATCH CORD 2M ECO FRIENDLY BAG</t>
  </si>
  <si>
    <t>JARRETIERE OPTIQUE DUPLEX SC/LC OM4 2M SAC ÉCOLOGIQUE</t>
  </si>
  <si>
    <t>KCDOM4SCLC3MEF</t>
  </si>
  <si>
    <t>SC/LC OM4 DUPLEX OPTICAL PATCH CORD 3M ECO FRIENDLY BAG</t>
  </si>
  <si>
    <t>JARRETIERE OPTIQUE DUPLEX SC/LC OM4 3M SAC ÉCOLOGIQUE</t>
  </si>
  <si>
    <t>KCDOM4SCLC5MEF</t>
  </si>
  <si>
    <t>SC/LC OM4 DUPLEX OPTICAL PATCH CORD 5M ECO FRIENDLY BAG</t>
  </si>
  <si>
    <t>JARRETIERE OPTIQUE DUPLEX SC/LC OM4 5M SAC ÉCOLOGIQUE</t>
  </si>
  <si>
    <t>KCDOM4SCLC10MEF</t>
  </si>
  <si>
    <t>U0902013</t>
  </si>
  <si>
    <t>SC/LC OM4 DUPLEX OPTICAL PATCH CORD 10M ECO FRIENDLY BAG</t>
  </si>
  <si>
    <t>JARRETIERE OPTIQUE DUPLEX SC/LC OM4 10M SAC ÉCOLOGIQUE</t>
  </si>
  <si>
    <t>KCDOM4SCLC15MEF</t>
  </si>
  <si>
    <t>U0902014</t>
  </si>
  <si>
    <t>SC/LC OM4 DUPLEX OPTICAL PATCH CORD 15M ECO FRIENDLY BAG</t>
  </si>
  <si>
    <t>JARRETIERE OPTIQUE DUPLEX SC/LC OM4 15M SAC ÉCOLOGIQUE</t>
  </si>
  <si>
    <t>KCDOM4SCLC25MEF</t>
  </si>
  <si>
    <t>U0902017</t>
  </si>
  <si>
    <t>SC/LC OM4 DUPLEX OPTICAL PATCH CORD 25M ECO FRIENDLY BAG</t>
  </si>
  <si>
    <t>JARRETIERE OPTIQUE DUPLEX SC/LC OM4 25M SAC ÉCOLOGIQUE</t>
  </si>
  <si>
    <t>KCDOM4LCLC1MEF</t>
  </si>
  <si>
    <t>LC/LC OM4 DUPLEX OPTICAL PATCH CORD 1M ECO FRIENDLY BAG</t>
  </si>
  <si>
    <t>JARRETIERE OPTIQUE DUPLEX LC/LC OM4 1M SAC ÉCOLOGIQUE</t>
  </si>
  <si>
    <t>4897108884108</t>
  </si>
  <si>
    <t>KCDOM4LCLC2MEF</t>
  </si>
  <si>
    <t>LC/LC OM4 DUPLEX OPTICAL PATCH CORD 2M ECO FRIENDLY BAG</t>
  </si>
  <si>
    <t>JARRETIERE OPTIQUE DUPLEX LC/LC OM4 2M SAC ÉCOLOGIQUE</t>
  </si>
  <si>
    <t>4897108884115</t>
  </si>
  <si>
    <t>KCDOM4LCLC3MEF</t>
  </si>
  <si>
    <t>LC/LC OM4 DUPLEX OPTICAL PATCH CORD 3M ECO FRIENDLY BAG</t>
  </si>
  <si>
    <t>JARRETIERE OPTIQUE DUPLEX LC/LC OM4 3M SAC ÉCOLOGIQUE</t>
  </si>
  <si>
    <t>4897108884122</t>
  </si>
  <si>
    <t>KCDOM4LCLC5MEF</t>
  </si>
  <si>
    <t>LC/LC OM4 DUPLEX OPTICAL PATCH CORD 5M ECO FRIENDLY BAG</t>
  </si>
  <si>
    <t>JARRETIERE OPTIQUE DUPLEX LC/LC OM4 5M SAC ÉCOLOGIQUE</t>
  </si>
  <si>
    <t>4897108884139</t>
  </si>
  <si>
    <t>KCDOM4LCLC10MEF</t>
  </si>
  <si>
    <t>U0902015</t>
  </si>
  <si>
    <t>LC/LC OM4 DUPLEX OPTICAL PATCH CORD 10M ECO FRIENDLY BAG</t>
  </si>
  <si>
    <t>JARRETIERE OPTIQUE DUPLEX LC/LC OM4 10M SAC ÉCOLOGIQUE</t>
  </si>
  <si>
    <t>KCDOM4LCLC15MEF</t>
  </si>
  <si>
    <t>U0902016</t>
  </si>
  <si>
    <t>LC/LC OM4 DUPLEX OPTICAL PATCH CORD 15M ECO FRIENDLY BAG</t>
  </si>
  <si>
    <t>JARRETIERE OPTIQUE DUPLEX LC/LC OM4 15M SAC ÉCOLOGIQUE</t>
  </si>
  <si>
    <t>KCDOM4LCLC25MEF</t>
  </si>
  <si>
    <t>LC/LC OM4 DUPLEX OPTICAL PATCH CORD 25M ECO FRIENDLY BAG</t>
  </si>
  <si>
    <t>JARRETIERE OPTIQUE DUPLEX LC/LC OM4 25M SAC ÉCOLOGIQUE</t>
  </si>
  <si>
    <t>OM5</t>
  </si>
  <si>
    <t>KCDOM5SCSC1MEF</t>
  </si>
  <si>
    <t>SC/SC OM5 DUPLEX OPTICAL PATCH CORD 1M ECO FRIENDLY BAG</t>
  </si>
  <si>
    <t>JARRETIERE OPTIQUE DUPLEX SC/SC OM5 1M SAC ÉCOLOGIQUE</t>
  </si>
  <si>
    <t>KCDOM5SCSC2MEF</t>
  </si>
  <si>
    <t>SC/SC OM5 DUPLEX OPTICAL PATCH CORD 2M ECO FRIENDLY BAG</t>
  </si>
  <si>
    <t>JARRETIERE OPTIQUE DUPLEX SC/SC OM5 2M SAC ÉCOLOGIQUE</t>
  </si>
  <si>
    <t>KCDOM5SCSC3MEF</t>
  </si>
  <si>
    <t>SC/SC OM5 DUPLEX OPTICAL PATCH CORD 3M ECO FRIENDLY BAG</t>
  </si>
  <si>
    <t>JARRETIERE OPTIQUE DUPLEX SC/SC OM5 3M SAC ÉCOLOGIQUE</t>
  </si>
  <si>
    <t>KCDOM5SCSC5MEF</t>
  </si>
  <si>
    <t>SC/SC OM5 DUPLEX OPTICAL PATCH CORD 5M ECO FRIENDLY BAG</t>
  </si>
  <si>
    <t>JARRETIERE OPTIQUE DUPLEX SC/SC OM5 5M SAC ÉCOLOGIQUE</t>
  </si>
  <si>
    <t>KCDOM5SCSC10MEF</t>
  </si>
  <si>
    <t>SC/SC OM5 DUPLEX OPTICAL PATCH CORD 10M ECO FRIENDLY BAG</t>
  </si>
  <si>
    <t>JARRETIERE OPTIQUE DUPLEX SC/SC OM5 10M SAC ÉCOLOGIQUE</t>
  </si>
  <si>
    <t>KCDOM5SCSC15MEF</t>
  </si>
  <si>
    <t>SC/SC OM5 DUPLEX OPTICAL PATCH CORD 15M ECO FRIENDLY BAG</t>
  </si>
  <si>
    <t>JARRETIERE OPTIQUE DUPLEX SC/SC OM5 15M SAC ÉCOLOGIQUE</t>
  </si>
  <si>
    <t>KCDOM5SCLC1MEF</t>
  </si>
  <si>
    <t>SC/LC OM5 DUPLEX OPTICAL PATCH CORD 1M ECO FRIENDLY BAG</t>
  </si>
  <si>
    <t>JARRETIERE OPTIQUE DUPLEX SC/LC OM5 1M SAC ÉCOLOGIQUE</t>
  </si>
  <si>
    <t>KCDOM5SCLC2MEF</t>
  </si>
  <si>
    <t>SC/LC OM5 DUPLEX OPTICAL PATCH CORD 2M ECO FRIENDLY BAG</t>
  </si>
  <si>
    <t>JARRETIERE OPTIQUE DUPLEX SC/LC OM5 2M SAC ÉCOLOGIQUE</t>
  </si>
  <si>
    <t>KCDOM5SCLC3MEF</t>
  </si>
  <si>
    <t>SC/LC OM5 DUPLEX OPTICAL PATCH CORD 3M ECO FRIENDLY BAG</t>
  </si>
  <si>
    <t>JARRETIERE OPTIQUE DUPLEX SC/LC OM5 3M SAC ÉCOLOGIQUE</t>
  </si>
  <si>
    <t>KCDOM5SCLC5MEF</t>
  </si>
  <si>
    <t>SC/LC OM5 DUPLEX OPTICAL PATCH CORD 5M ECO FRIENDLY BAG</t>
  </si>
  <si>
    <t>JARRETIERE OPTIQUE DUPLEX SC/LC OM5 5M SAC ÉCOLOGIQUE</t>
  </si>
  <si>
    <t>KCDOM5SCLC10MEF</t>
  </si>
  <si>
    <t>SC/LC OM5 DUPLEX OPTICAL PATCH CORD 10M ECO FRIENDLY BAG</t>
  </si>
  <si>
    <t>JARRETIERE OPTIQUE DUPLEX SC/LC OM5 10M SAC ÉCOLOGIQUE</t>
  </si>
  <si>
    <t>KCDOM5SCLC15MEF</t>
  </si>
  <si>
    <t>SC/LC OM5 DUPLEX OPTICAL PATCH CORD 15M ECO FRIENDLY BAG</t>
  </si>
  <si>
    <t>JARRETIERE OPTIQUE DUPLEX SC/LC OM5 15M SAC ÉCOLOGIQUE</t>
  </si>
  <si>
    <t>KCDOM5LCLC1MEF</t>
  </si>
  <si>
    <t>LC/LC OM5 DUPLEX OPTICAL PATCH CORD 1M ECO FRIENDLY BAG</t>
  </si>
  <si>
    <t>JARRETIERE OPTIQUE DUPLEX LC/LC OM5 1M SAC ÉCOLOGIQUE</t>
  </si>
  <si>
    <t>KCDOM5LCLC2MEF</t>
  </si>
  <si>
    <t>LC/LC OM5 DUPLEX OPTICAL PATCH CORD 2M ECO FRIENDLY BAG</t>
  </si>
  <si>
    <t>JARRETIERE OPTIQUE DUPLEX LC/LC OM5 2M SAC ÉCOLOGIQUE</t>
  </si>
  <si>
    <t>KCDOM5LCLC3MEF</t>
  </si>
  <si>
    <t>LC/LC OM5 DUPLEX OPTICAL PATCH CORD 3M ECO FRIENDLY BAG</t>
  </si>
  <si>
    <t>JARRETIERE OPTIQUE DUPLEX LC/LC OM5 3M SAC ÉCOLOGIQUE</t>
  </si>
  <si>
    <t>KCDOM5LCLC5MEF</t>
  </si>
  <si>
    <t>LC/LC OM5 DUPLEX OPTICAL PATCH CORD 5M ECO FRIENDLY BAG</t>
  </si>
  <si>
    <t>JARRETIERE OPTIQUE DUPLEX LC/LC OM5 5M SAC ÉCOLOGIQUE</t>
  </si>
  <si>
    <t>KCDOM5LCLC10MEF</t>
  </si>
  <si>
    <t>LC/LC OM5 DUPLEX OPTICAL PATCH CORD 10M ECO FRIENDLY BAG</t>
  </si>
  <si>
    <t>JARRETIERE OPTIQUE DUPLEX LC/LC OM5 10M SAC ÉCOLOGIQUE</t>
  </si>
  <si>
    <t>KCDOM5LCLC15MEF</t>
  </si>
  <si>
    <t>LC/LC OM5 DUPLEX OPTICAL PATCH CORD 15M ECO FRIENDLY BAG</t>
  </si>
  <si>
    <t>JARRETIERE OPTIQUE DUPLEX LC/LC OM5 15M SAC ÉCOLOGIQUE</t>
  </si>
  <si>
    <t>OS2/G652D</t>
  </si>
  <si>
    <t>KCDOS2SCSC1MEF</t>
  </si>
  <si>
    <t>SC/SC OS2 DUPLEX OPTICAL PATCH CORD 1M ECO FRIENDLY BAG</t>
  </si>
  <si>
    <t>JARRETIERE OPTIQUE DUPLEX SC/SC OS2 1M SAC ÉCOLOGIQUE</t>
  </si>
  <si>
    <t>KCDOS2SCSC2MEF</t>
  </si>
  <si>
    <t>SC/SC OS2 DUPLEX OPTICAL PATCH CORD 2M ECO FRIENDLY BAG</t>
  </si>
  <si>
    <t>JARRETIERE OPTIQUE DUPLEX SC/SC OS2 2M SAC ÉCOLOGIQUE</t>
  </si>
  <si>
    <t>KCDOS2SCSC3MEF</t>
  </si>
  <si>
    <t>SC/SC OS2 DUPLEX OPTICAL PATCH CORD 3M ECO FRIENDLY BAG</t>
  </si>
  <si>
    <t>JARRETIERE OPTIQUE DUPLEX SC/SC OS2 3M SAC ÉCOLOGIQUE</t>
  </si>
  <si>
    <t>KCDOS2SCSC5MEF</t>
  </si>
  <si>
    <t>SC/SC OS2 DUPLEX OPTICAL PATCH CORD 5M ECO FRIENDLY BAG</t>
  </si>
  <si>
    <t>JARRETIERE OPTIQUE DUPLEX SC/SC OS2 5M SAC ÉCOLOGIQUE</t>
  </si>
  <si>
    <t>KCDOS2SCSC10MEF</t>
  </si>
  <si>
    <t>SC/SC OS2 DUPLEX OPTICAL PATCH CORD 10M ECO FRIENDLY BAG</t>
  </si>
  <si>
    <t>JARRETIERE OPTIQUE DUPLEX SC/SC OS2 10M SAC ÉCOLOGIQUE</t>
  </si>
  <si>
    <t>KCDOS2SCSC15MEF</t>
  </si>
  <si>
    <t>SC/SC OS2 DUPLEX OPTICAL PATCH CORD 15M ECO FRIENDLY BAG</t>
  </si>
  <si>
    <t>JARRETIERE OPTIQUE DUPLEX SC/SC OS2 15M SAC ÉCOLOGIQUE</t>
  </si>
  <si>
    <t>KCDOS2SCLC1MEF</t>
  </si>
  <si>
    <t>SC/LC OS2 DUPLEX OPTICAL PATCH CORD 1M ECO FRIENDLY BAG</t>
  </si>
  <si>
    <t>JARRETIERE OPTIQUE DUPLEX SC/LC OS2 1M SAC ÉCOLOGIQUE</t>
  </si>
  <si>
    <t>4897108884177</t>
  </si>
  <si>
    <t>KCDOS2SCLC2MEF</t>
  </si>
  <si>
    <t>SC/LC OS2 DUPLEX OPTICAL PATCH CORD 2M ECO FRIENDLY BAG</t>
  </si>
  <si>
    <t>JARRETIERE OPTIQUE DUPLEX SC/LC OS2 2M SAC ÉCOLOGIQUE</t>
  </si>
  <si>
    <t>KCDOS2SCLC3MEF</t>
  </si>
  <si>
    <t>SC/LC OS2 DUPLEX OPTICAL PATCH CORD 3M ECO FRIENDLY BAG</t>
  </si>
  <si>
    <t>JARRETIERE OPTIQUE DUPLEX SC/LC OS2 3M SAC ÉCOLOGIQUE</t>
  </si>
  <si>
    <t>KCDOS2SCLC5MEF</t>
  </si>
  <si>
    <t>SC/LC OS2 DUPLEX OPTICAL PATCH CORD 5M ECO FRIENDLY BAG</t>
  </si>
  <si>
    <t>JARRETIERE OPTIQUE DUPLEX SC/LC OS2 5M SAC ÉCOLOGIQUE</t>
  </si>
  <si>
    <t>KCDOS2SCLC10MEF</t>
  </si>
  <si>
    <t>U0904018</t>
  </si>
  <si>
    <t>SC/LC OS2 DUPLEX OPTICAL PATCH CORD 10M ECO FRIENDLY BAG</t>
  </si>
  <si>
    <t>JARRETIERE OPTIQUE DUPLEX SC/LC OS2 10M SAC ÉCOLOGIQUE</t>
  </si>
  <si>
    <t>KCDOS2SCLC15MEF</t>
  </si>
  <si>
    <t>U0904019</t>
  </si>
  <si>
    <t>SC/LC OS2 DUPLEX OPTICAL PATCH CORD 15M ECO FRIENDLY BAG</t>
  </si>
  <si>
    <t>JARRETIERE OPTIQUE DUPLEX SC/LC OS2 15M SAC ÉCOLOGIQUE</t>
  </si>
  <si>
    <t>KCDOS2SCLC25MEF</t>
  </si>
  <si>
    <t>U0904022</t>
  </si>
  <si>
    <t>SC/LC OS2 DUPLEX OPTICAL PATCH CORD 25M ECO FRIENDLY BAG</t>
  </si>
  <si>
    <t>JARRETIERE OPTIQUE DUPLEX SC/LC OS2 25M SAC ÉCOLOGIQUE</t>
  </si>
  <si>
    <t>KCDOS2LCLC1MEF</t>
  </si>
  <si>
    <t>LC/LC OS2 DUPLEX OPTICAL PATCH CORD 1M ECO FRIENDLY BAG</t>
  </si>
  <si>
    <t>JARRETIERE OPTIQUE DUPLEX LC/LC OS2 1M SAC ÉCOLOGIQUE</t>
  </si>
  <si>
    <t>4897108884146</t>
  </si>
  <si>
    <t>KCDOS2LCLC2MEF</t>
  </si>
  <si>
    <t>LC/LC OS2 DUPLEX OPTICAL PATCH CORD 2M ECO FRIENDLY BAG</t>
  </si>
  <si>
    <t>JARRETIERE OPTIQUE DUPLEX LC/LC OS2 2M SAC ÉCOLOGIQUE</t>
  </si>
  <si>
    <t>KCDOS2LCLC3MEF</t>
  </si>
  <si>
    <t>LC/LC OS2 DUPLEX OPTICAL PATCH CORD 3M ECO FRIENDLY BAG</t>
  </si>
  <si>
    <t>JARRETIERE OPTIQUE DUPLEX LC/LC OS2 3MSAC ÉCOLOGIQUE</t>
  </si>
  <si>
    <t>4897108884153</t>
  </si>
  <si>
    <t>KCDOS2LCLC5MEF</t>
  </si>
  <si>
    <t>LC/LC OS2 DUPLEX OPTICAL PATCH CORD 5M ECO FRIENDLY BAG</t>
  </si>
  <si>
    <t>JARRETIERE OPTIQUE DUPLEX LC/LC OS2 5M SAC ÉCOLOGIQUE</t>
  </si>
  <si>
    <t>4897108884160</t>
  </si>
  <si>
    <t>KCDOS2LCLC10MEF</t>
  </si>
  <si>
    <t>U0904020</t>
  </si>
  <si>
    <t>LC/LC OS2 DUPLEX OPTICAL PATCH CORD 10M ECO FRIENDLY BAG</t>
  </si>
  <si>
    <t>JARRETIERE OPTIQUE DUPLEX LC/LC OS2 10M SAC ÉCOLOGIQUE</t>
  </si>
  <si>
    <t>KCDOS2LCLC15MEF</t>
  </si>
  <si>
    <t>U0904021</t>
  </si>
  <si>
    <t>LC/LC OS2 DUPLEX OPTICAL PATCH CORD 15M ECO FRIENDLY BAG</t>
  </si>
  <si>
    <t>JARRETIERE OPTIQUE DUPLEX LC/LC OS2 15M SAC ÉCOLOGIQUE</t>
  </si>
  <si>
    <t>KCDOS2LCLC25MEF</t>
  </si>
  <si>
    <t>LC/LC OS2 DUPLEX OPTICAL PATCH CORD 25M ECO FRIENDLY BAG</t>
  </si>
  <si>
    <t>JARRETIERE OPTIQUE DUPLEX LC/LC OS2 25M SAC ÉCOLOGIQUE</t>
  </si>
  <si>
    <t>U0904023</t>
  </si>
  <si>
    <t>OS2/G657A2</t>
  </si>
  <si>
    <t>KCDOS2A2SCSC1MEF</t>
  </si>
  <si>
    <t>KCDOS2A2SCSC2MEF</t>
  </si>
  <si>
    <t>KCDOS2A2SCSC3MEF</t>
  </si>
  <si>
    <t>KCDOS2A2SCSC5MEF</t>
  </si>
  <si>
    <t>KCDOS2A2SCSC10MEF</t>
  </si>
  <si>
    <t>KCDOS2A2SCSC15MEF</t>
  </si>
  <si>
    <t>KCDOS2A2SCLC1MEF</t>
  </si>
  <si>
    <t>KCDOS2A2SCLC2MEF</t>
  </si>
  <si>
    <t>KCDOS2A2SCLC3MEF</t>
  </si>
  <si>
    <t>KCDOS2A2SCLC5MEF</t>
  </si>
  <si>
    <t>KCDOS2A2SCLC10MEF</t>
  </si>
  <si>
    <t>KCDOS2A2SCLC15MEF</t>
  </si>
  <si>
    <t>KCDOS2A2LCLC1MEF</t>
  </si>
  <si>
    <t>KCDOS2A2LCLC2MEF</t>
  </si>
  <si>
    <t>KCDOS2A2LCLC3MEF</t>
  </si>
  <si>
    <t>KCDOS2A2LCLC5MEF</t>
  </si>
  <si>
    <t>KCDOS2A2LCLC10MEF</t>
  </si>
  <si>
    <t>KCDOS2A2LCLC15MEF</t>
  </si>
  <si>
    <t>KCDOS2A2LCLCB1MEF</t>
  </si>
  <si>
    <t>LC/LC OS2/G657A2 DUPLEX GRADE B OPTICAL PATCH CORD 1M ECO FRIENDLY BAG</t>
  </si>
  <si>
    <t>JARRETIERE OPTIQUE DUPLEX LC/LC OS2/G657A2 GRADE B 1M SAC ÉCOLOGIQUE</t>
  </si>
  <si>
    <t>4897108885426</t>
  </si>
  <si>
    <t>KCDOS2A2LCLCB2MEF</t>
  </si>
  <si>
    <t>LC/LC OS2/G657A2 DUPLEX GRADE B OPTICAL PATCH CORD 2M ECO FRIENDLY BAG</t>
  </si>
  <si>
    <t>JARRETIERE OPTIQUE DUPLEX LC/LC OS2/G657A2 GRADE B 2M SAC ÉCOLOGIQUE</t>
  </si>
  <si>
    <t>4897108885433</t>
  </si>
  <si>
    <t>KCDOS2A2LCLCB3MEF</t>
  </si>
  <si>
    <t>LC/LC OS2/G657A2 DUPLEX GRADE B OPTICAL PATCH CORD 3M ECO FRIENDLY BAG</t>
  </si>
  <si>
    <t>JARRETIERE OPTIQUE DUPLEX LC/LC OS2/G657A2 GRADE B 3M SAC ÉCOLOGIQUE</t>
  </si>
  <si>
    <t>4897108885440</t>
  </si>
  <si>
    <t>KCDOS2A2LCLCB5MEF</t>
  </si>
  <si>
    <t>LC/LC OS2/G657A2 DUPLEX GRADE B OPTICAL PATCH CORD 5M ECO FRIENDLY BAG</t>
  </si>
  <si>
    <t>JARRETIERE OPTIQUE DUPLEX LC/LC OS2/G657A2 GRADE B 5M SAC ÉCOLOGIQUE</t>
  </si>
  <si>
    <t>4897108885457</t>
  </si>
  <si>
    <t>KCDOS2A2LCLCB10MEF</t>
  </si>
  <si>
    <t>LC/LC OS2/G657A2 DUPLEX GRADE B OPTICAL PATCH CORD 10M ECO FRIENDLY BAG</t>
  </si>
  <si>
    <t>JARRETIERE OPTIQUE DUPLEX LC/LC OS2/G657A2 GRADE B 10M SAC ÉCOLOGIQUE</t>
  </si>
  <si>
    <t>4897108885419</t>
  </si>
  <si>
    <t>KCDOS2A2LCLCB15MEF</t>
  </si>
  <si>
    <t>LC/LC OS2/G657A2 DUPLEX GRADE B OPTICAL PATCH CORD 15M ECO FRIENDLY BAG</t>
  </si>
  <si>
    <t>JARRETIERE OPTIQUE DUPLEX LC/LC OS2/G657A2 GRADE B 15M SAC ÉCOLOGIQUE</t>
  </si>
  <si>
    <t>OPTICAL PATCH PANEL</t>
  </si>
  <si>
    <t>KSFP1U245NPCEF</t>
  </si>
  <si>
    <t>19" 1U FIBRE OPTIC BASE FRAME 245 UNLOADED WITHOUT FRONT PLATE WITH HOLE CUTTING AND ACCESSORIES PER FRIENDLY CARTON</t>
  </si>
  <si>
    <t xml:space="preserve">CHASSIS FIBRE OPTIQUE 19" 1U 245MM VIDE SANS PLAQUE AVANT AVEC DÉCOUPE DE TROU ET ACCESSOIRES PAR CARTON </t>
  </si>
  <si>
    <t>480 pcs</t>
  </si>
  <si>
    <t>4897108884009</t>
  </si>
  <si>
    <t>KSFP1U205NPCEF</t>
  </si>
  <si>
    <t>19" 1U FIBRE OPTIC BASE FRAME UNLOADED WITHOUT FRONT PLATE WITH HOLE CUTTING AND ACCESSORIES PER FRIENDLY CARTON</t>
  </si>
  <si>
    <t>CHASSIS FIBRE OPTIQUE 19" 1U 205MM  VIDE SANS PLAQUE AVANT AVEC DÉCOUPE DE TROU ET ACCESSOIRES PAR CARTON</t>
  </si>
  <si>
    <t>4897108882609</t>
  </si>
  <si>
    <t>KSFP1U245NPLCEF</t>
  </si>
  <si>
    <t>19" 1U FIBRE OPTIC BASE FRAME 245 UNLOADED WITHOUT FRONT PLATE WITH HOLE CUTTING WITH LOCKING SYSTEM AND ACCESSORIES PER FRIENDLY CARTON</t>
  </si>
  <si>
    <t xml:space="preserve">CHASSIS FIBRE OPTIQUE 19" 1U 245MM VIDE SANS PLAQUE AVANT AVEC DÉCOUPE DE TROU, SYSTEM DE VERROUILLAGE  ET ACCESSOIRES PAR CARTON </t>
  </si>
  <si>
    <t>4897108884221</t>
  </si>
  <si>
    <t>KSFP1U24SCDLCQEF</t>
  </si>
  <si>
    <t>19" 1U FIBRE OPTIC PATCH PANEL 245 UNLOADED 24 SCD/LCQ WITH HOLE CUTTING AND ACCESSORIES PER FRIENDLY CARTON</t>
  </si>
  <si>
    <t xml:space="preserve">TIROIR FIBRE OPTIQUE 19" 1U 245MM VIDE 24 SCD/LCQ AVEC DÉCOUPE ET ACCESSOIRES PAR CARTON </t>
  </si>
  <si>
    <t>853890 9900</t>
  </si>
  <si>
    <t>KSFP1U24SCSLCDEF</t>
  </si>
  <si>
    <t>19" 1U FIBRE OPTIC PATCH PANEL 245 UNLOADED 24 SCS/LCD WITH HOLE CUTTING AND ACCESSORIES PER FRIENDLY CARTON</t>
  </si>
  <si>
    <t xml:space="preserve">TIROIR FIBRE OPTIQUE 19" 1U 245MM VIDE 24 SCS/LCD AVEC DÉCOUPE ET ACCESSOIRES PAR CARTON </t>
  </si>
  <si>
    <t>KSFP1U24SCSLCDEF2</t>
  </si>
  <si>
    <t>19" 1U FIBRE OPTIC PATCH PANEL 245 UNLOADED STAGGERED 24 SCS/LCQ WITH HOLE CUTTING AND ACCESSORIES PER FRIENDLY CARTON</t>
  </si>
  <si>
    <t xml:space="preserve">TIROIR FIBRE OPTIQUE 19" 1U 245MM VIDE 24 SCS/LCD EN QUINCONCE AVEC DÉCOUPE ET ACCESSOIRES PAR CARTON </t>
  </si>
  <si>
    <t>KSFP1U12SCDLCQEF</t>
  </si>
  <si>
    <t>19" 1U FIBRE OPTIC PATCH PANEL 245 UNLOADED 12 SCD/LCQ WITH HOLE CUTTING AND ACCESSORIES PER FRIENDLY CARTON</t>
  </si>
  <si>
    <t xml:space="preserve">TIROIR FIBRE OPTIQUE 19" 1U 245MM VIDE 12 SCD/LCQ AVEC DÉCOUPE ET ACCESSOIRES PAR CARTON </t>
  </si>
  <si>
    <t>KSFP1U12SCSLCDEF</t>
  </si>
  <si>
    <t>19" 1U FIBRE OPTIC PATCH PANEL 245 UNLOADED 12 SCS/LCD WITH HOLE CUTTING AND ACCESSORIES PER FRIENDLY CARTON</t>
  </si>
  <si>
    <t xml:space="preserve">TIROIR FIBRE OPTIQUE 19" 1U 245MM VIDE 12 SCS/LCD AVEC DÉCOUPE ET ACCESSOIRES PAR CARTON </t>
  </si>
  <si>
    <t>ST</t>
  </si>
  <si>
    <t>KSFP1U24STEF</t>
  </si>
  <si>
    <t>19" 1U FIBRE OPTIC PATCH PANEL 245 UNLOADED 24 ST WITH HOLE CUTTING AND ACCESSORIES PER FRIENDLY CARTON</t>
  </si>
  <si>
    <t xml:space="preserve">TIROIR FIBRE OPTIQUE 19" 1U 245MM VIDE 24 ST AVEC DÉCOUPE ET ACCESSOIRES PAR CARTON </t>
  </si>
  <si>
    <t>OPTICAL PATCH PANEL LOADED</t>
  </si>
  <si>
    <t>KSFP1U2424SCDSEF</t>
  </si>
  <si>
    <t>19" 1U FIBRE OPTIC PATCH PANEL 24 SC DUPLEX EQUIPPED WITH 24 SC DUPLEX SINGLEMODE</t>
  </si>
  <si>
    <t>TIROIR FIBRE OPTIQUE 19" 1U 24 SC DUPLEX EQUIPPE DE 24 TRAVERSEES MONOMODE</t>
  </si>
  <si>
    <t>8537109800</t>
  </si>
  <si>
    <t>KSFP1U2412SCDSEF</t>
  </si>
  <si>
    <t>19" 1U FIBRE OPTIC PATCH PANEL 24 SC DUPLEX EQUIPPED WITH 12 SC DUPLEX SINGLEMODE</t>
  </si>
  <si>
    <t>TIROIR FIBRE OPTIQUE 19" 1U 24 SC DUPLEX EQUIPPE DE 12 TRAVERSEES MONOMODE</t>
  </si>
  <si>
    <t>KSFP1U2424LCDSEF</t>
  </si>
  <si>
    <t>U1001031</t>
  </si>
  <si>
    <t>19" 1U FIBRE OPTIC PATCH PANEL 24 LC DUPLEX EQUIPPED WITH 24 LC DUPLEX SINGLEMODE</t>
  </si>
  <si>
    <t>TIROIR FIBRE OPTIQUE 19" 1U 24 LC DUPLEX EQUIPPE DE 24 TRAVERSEES MONOMODE</t>
  </si>
  <si>
    <t>KSFP1U2412LCDSEF</t>
  </si>
  <si>
    <t>U1001032</t>
  </si>
  <si>
    <t>19" 1U FIBRE OPTIC PATCH PANEL 24 LC DUPLEX EQUIPPED WITH 12 LC DUPLEX SINGLEMODE</t>
  </si>
  <si>
    <t>TIROIR FIBRE OPTIQUE 19" 1U 24 LC DUPLEX EQUIPPE DE 12 TRAVERSEES MONOMODE</t>
  </si>
  <si>
    <t>KSFP1U2424LCDSEF2</t>
  </si>
  <si>
    <t>U1001027</t>
  </si>
  <si>
    <t>19" 1U FIBRE OPTIC PATCH PANEL 24 LC DUPLEX STAGGERED EQUIPPED WITH 24 LC DUPLEX SINGLEMODE</t>
  </si>
  <si>
    <t>TIROIR FIBRE OPTIQUE 19" 1U 24 LC DUPLEX EN QUINCONCE EQUIPPE DE 24 TRAVERSEES MONOMODE</t>
  </si>
  <si>
    <t>KSFP1U2412LCDSEF2</t>
  </si>
  <si>
    <t>U1001028</t>
  </si>
  <si>
    <t>19" 1U FIBRE OPTIC PATCH PANEL 24 LC DUPLEX STAGGERED EQUIPPED WITH 12 LC DUPLEX SINGLEMODE</t>
  </si>
  <si>
    <t>TIROIR FIBRE OPTIQUE 19" 1U 24 LC DUPLEX EN QUINCONCE EQUIPPE DE 12 TRAVERSEES MONOMODE</t>
  </si>
  <si>
    <t>KSFP1U2424SCDMEF</t>
  </si>
  <si>
    <t>19" 1U FIBRE OPTIC PATCH PANEL 24 SC DUPLEX EQUIPPED WITH 24 SC DUPLEX MULTIMODE</t>
  </si>
  <si>
    <t>TIROIR FIBRE OPTIQUE 19" 1U 24 SC DUPLEX EQUIPPE DE 24 TRAVERSEES MULTIMODE</t>
  </si>
  <si>
    <t>KSFP1U2412SCDMEF</t>
  </si>
  <si>
    <t>19" 1U FIBRE OPTIC PATCH PANEL 24 SC DUPLEX EQUIPPED WITH 12 SC DUPLEX MULTIMODE</t>
  </si>
  <si>
    <t>TIROIR FIBRE OPTIQUE 19" 1U 24 SC DUPLEX EQUIPPE DE 12 TRAVERSEES MULTIMODE</t>
  </si>
  <si>
    <t>KSFP1U2424LCDMEF</t>
  </si>
  <si>
    <t>U1001033</t>
  </si>
  <si>
    <t>19" 1U FIBRE OPTIC PATCH PANEL 24 LC DUPLEX EQUIPPED WITH 24 LC DUPLEX MULTIMODE</t>
  </si>
  <si>
    <t>TIROIR FIBRE OPTIQUE 19" 1U 24 LC DUPLEX EQUIPPE DE 24 TRAVERSEES MULTIMODE</t>
  </si>
  <si>
    <t>KSFP1U2412LCDMEF</t>
  </si>
  <si>
    <t>U1001034</t>
  </si>
  <si>
    <t>19" 1U FIBRE OPTIC PATCH PANEL 24 LC DUPLEX EQUIPPED WITH 12 LC DUPLEX MULTIMODE</t>
  </si>
  <si>
    <t>TIROIR FIBRE OPTIQUE 19" 1U 24 LC DUPLEX EQUIPPE DE 12 TRAVERSEES MULTIMODE</t>
  </si>
  <si>
    <t>KSFP1U2424LCDMEF2</t>
  </si>
  <si>
    <t>U1001029</t>
  </si>
  <si>
    <t>19" 1U FIBRE OPTIC PATCH PANEL 24 LC DUPLEX STAGGERED EQUIPPED WITH 24 LC DUPLEX MULTIMODE</t>
  </si>
  <si>
    <t>TIROIR FIBRE OPTIQUE 19" 1U 24 LC DUPLEX EN QUINCONCE EQUIPPE DE 24 TRAVERSEES MULTIMODE</t>
  </si>
  <si>
    <t>KSFP1U2412LCDMEF2</t>
  </si>
  <si>
    <t>U1001030</t>
  </si>
  <si>
    <t>19" 1U FIBRE OPTIC PATCH PANEL 24 LC DUPLEX STAGGERED EQUIPPED WITH 12 LC DUPLEX MULTIMODE</t>
  </si>
  <si>
    <t>TIROIR FIBRE OPTIQUE 19" 1U 24 LC DUPLEX EN QUINCONCE EQUIPPE DE 12 TRAVERSEES MULTIMODE</t>
  </si>
  <si>
    <t>KSFP1U06POS2LCEDF</t>
  </si>
  <si>
    <t>U1001020</t>
  </si>
  <si>
    <t>19" 1U 245MM FIBER OPTIC PANEL EQUIPPED WITH 6 OS2/G567A2 LC GRADE B PIGTAILS / 3 LCD ADAPTERS / SPOOLING CASSETTE</t>
  </si>
  <si>
    <t>TIROIR FIBRE OPTIQUE 19" 1U 245MM EQUIPPE DE 6 PIGTAILS OS2/G657A2 LC GRADE B/3 TRAVERSEES LCD/CASSETTE DE LOVAGE</t>
  </si>
  <si>
    <t>Grade B</t>
  </si>
  <si>
    <t>KSFP1U12POS2LCEDF</t>
  </si>
  <si>
    <t>U1001023</t>
  </si>
  <si>
    <t>19" 1U 245MM FIBER OPTIC PANEL EQUIPPED WITH 12 OS2/G567A2 LC GRADE B PIGTAILS / 6 LCD ADAPTERS / SPOOLING CASSETTE</t>
  </si>
  <si>
    <t>TIROIR FIBRE OPTIQUE 19" 1U 245MM EQUIPPE DE 12 PIGTAILS OS2/G657A2 LC GRADE B/6 TRAVERSEES LCD/CASSETTE DE LOVAGE</t>
  </si>
  <si>
    <t>KSFP1U24POS2LCEDF</t>
  </si>
  <si>
    <t>U1001021</t>
  </si>
  <si>
    <t>19" 1U 245MM FIBER OPTIC PANEL EQUIPPED WITH 24 OS2/G567A2 LC GRADE B PIGTAILS / 12 LCD ADAPTERS / SPOOLING CASSETTE</t>
  </si>
  <si>
    <t>TIROIR FIBRE OPTIQUE 19" 1U 245MM EQUIPPE DE 24 PIGTAILS OS2/G657A2 LC GRADE B/12 TRAVERSEES LCD/CASSETTE DE LOVAGE</t>
  </si>
  <si>
    <t>KSFP1U48POS2LCEDF</t>
  </si>
  <si>
    <t>U1001022</t>
  </si>
  <si>
    <t>19" 1U 245MM FIBER OPTIC PANEL EQUIPPED WITH 48 OS2/G567A2 LC GRADE B PIGTAILS / 24 LCD ADAPTERS / SPOOLING CASSETTE</t>
  </si>
  <si>
    <t>TIROIR FIBRE OPTIQUE 19" 1U 245MM EQUIPPE DE 48 PIGTAILS OS2/G657A2 LC GRADE B/24 TRAVERSEES LCD/CASSETTE DE LOVAGE</t>
  </si>
  <si>
    <t>KSFP1U06POM3LCEDF</t>
  </si>
  <si>
    <t>19" 1U 245MM FIBER OPTIC PANEL EQUIPPED WITH 6 OM3 LC GRADE B PIGTAILS / 3 LCD ADAPTERS / SPOOLING CASSETTE</t>
  </si>
  <si>
    <t>TIROIR FIBRE OPTIQUE 19" 1U 245MM EQUIPPE DE 6 PIGTAILS OM3 LC GRADE B /3 TRAVERSEES LCD/CASSETTE DE LOVAGE</t>
  </si>
  <si>
    <t>KSFP1U12POM3LCEDF</t>
  </si>
  <si>
    <t>19" 1U 245MM FIBER OPTIC PANEL EQUIPPED WITH 12 OM3 LC GRADE B PIGTAILS / 6 LCD ADAPTERS / SPOOLING CASSETTE</t>
  </si>
  <si>
    <t>TIROIR FIBRE OPTIQUE 19" 1U 245MM EQUIPPE DE 12 PIGTAILS OM3 LC GRADE B/6 TRAVERSEES LCD/CASSETTE DE LOVAGE</t>
  </si>
  <si>
    <t>KSFP1U24POM3LCEDF</t>
  </si>
  <si>
    <t>19" 1U 245MM FIBER OPTIC PANEL EQUIPPED WITH 24 OM3 LC GRADE B PIGTAILS / 12 LCD ADAPTERS / SPOOLING CASSETTE</t>
  </si>
  <si>
    <t>TIROIR FIBRE OPTIQUE 19" 1U 245MM EQUIPPE DE 24 PIGTAILS OM3 LC GRADE B/12 TRAVERSEES LCD/CASSETTE DE LOVAGE</t>
  </si>
  <si>
    <t>KSFP1U48POM3LCEDF</t>
  </si>
  <si>
    <t>19" 1U 245MM FIBER OPTIC PANEL EQUIPPED WITH 48 OM3 LC GRADE B PIGTAILS / 24 LCD ADAPTERS / SPOOLING CASSETTE</t>
  </si>
  <si>
    <t>TIROIR FIBRE OPTIQUE 19" 1U 245MM EQUIPPE DE 48 PIGTAILS OM3 LC GRADE B/24 TRAVERSEES LCD/CASSETTE DE LOVAGE</t>
  </si>
  <si>
    <t>KSFP1U06POM4LCEDF</t>
  </si>
  <si>
    <t>19" 1U 245MM FIBER OPTIC PANEL EQUIPPED WITH 6 OM4 LC GRADE B PIGTAILS / 3 LCD ADAPTERS / SPOOLING CASSETTE</t>
  </si>
  <si>
    <t>TIROIR FIBRE OPTIQUE 19" 1U 245MM EQUIPPE DE 6 PIGTAILS OM4 LC GRADE B/3 TRAVERSEES LCD/CASSETTE DE LOVAGE</t>
  </si>
  <si>
    <t>KSFP1U12POM4LCEDF</t>
  </si>
  <si>
    <t>U1001026</t>
  </si>
  <si>
    <t>19" 1U 245MM FIBER OPTIC PANEL EQUIPPED WITH 12 OM4 LC GRADE B PIGTAILS / 6 LCD ADAPTERS / SPOOLING CASSETTE</t>
  </si>
  <si>
    <t>TIROIR FIBRE OPTIQUE 19" 1U 245MM EQUIPPE DE 12 PIGTAILS OM4 LC GRADE B/6 TRAVERSEES LCD/CASSETTE DE LOVAGE</t>
  </si>
  <si>
    <t>KSFP1U24POM4LCEDF</t>
  </si>
  <si>
    <t>U1001025</t>
  </si>
  <si>
    <t>19" 1U 245MM FIBER OPTIC PANEL EQUIPPED WITH 24 OM4 LC GRADE B PIGTAILS / 12 LCD ADAPTERS / SPOOLING CASSETTE</t>
  </si>
  <si>
    <t>TIROIR FIBRE OPTIQUE 19" 1U 245MM EQUIPPE DE 24 PIGTAILS OM4 LC GRADE B/12 TRAVERSEES LCD/CASSETTE DE LOVAGE</t>
  </si>
  <si>
    <t>KSFP1U48POM4LCEDF</t>
  </si>
  <si>
    <t>U1001024</t>
  </si>
  <si>
    <t>19" 1U 245MM FIBER OPTIC PANEL EQUIPPED WITH 48 OM4 LC GRADE B PIGTAILS / 24 LCD ADAPTERS / SPOOLING CASSETTE</t>
  </si>
  <si>
    <t>TIROIR FIBRE OPTIQUE 19" 1U 245MM EQUIPPE DE 48 PIGTAILS OM4 LC GRADE B/24 TRAVERSEES LCD/CASSETTE DE LOVAGE</t>
  </si>
  <si>
    <t>FRONT PLATE</t>
  </si>
  <si>
    <t>KSFP1UFP24SCDEF</t>
  </si>
  <si>
    <t>19" 1U PANEL FRONT PLATE 24 SC DUPLEX/LC QUAD</t>
  </si>
  <si>
    <t>PLAQUE AVANT TIROIR 19" 1U 24 SC DUPLEX/LC QUAD</t>
  </si>
  <si>
    <t>4897108882616</t>
  </si>
  <si>
    <t>KSFP1UFP24SCSEF</t>
  </si>
  <si>
    <t>19" 1U PANEL FRONT PLATE 24 SC SIMPLEX/LC DUPLEX</t>
  </si>
  <si>
    <t>PLAQUE AVANT TIROIR 19" 1U 24 SC SIMPLEX/LC DUPLEX</t>
  </si>
  <si>
    <t>4897108882623</t>
  </si>
  <si>
    <t>KSFP1UFP12SCDEF</t>
  </si>
  <si>
    <t>19" 1U PANEL FRONT PLATE 12 SC DUPLEX/LC QUAD</t>
  </si>
  <si>
    <t>PLAQUE AVANT TIROIR 19" 1U 12 SC DUPLEX/LC QUAD</t>
  </si>
  <si>
    <t>4897108882630</t>
  </si>
  <si>
    <t>KSFP1UFP12SCSEF</t>
  </si>
  <si>
    <t>19" 1U PANEL FRONT PLATE 12 SC SIMPLEX/LC DUPLEX</t>
  </si>
  <si>
    <t>PLAQUE AVANT TIROIR 19" 1U 12 SC SIMPLEX/LC DUPLEX</t>
  </si>
  <si>
    <t>4897108882647</t>
  </si>
  <si>
    <t>KSFP1UFP24STEF</t>
  </si>
  <si>
    <t>19" 1U PANEL FRONT PLATE 24ST</t>
  </si>
  <si>
    <t>PLAQUE AVANT TIROIR 19" 1U 24ST</t>
  </si>
  <si>
    <t>KSFP1UFP12SCSLEF</t>
  </si>
  <si>
    <t>19" 1U PANEL FRONT PLATE WITH LOCKING SYSTEM 12 SC SIMPLEX/LC DUPLEX</t>
  </si>
  <si>
    <t>PLAQUE AVANT TIROIR 19" 1U AVEC VERROUILLAGE 12 SC SIMPLEX/LC DUPLEX</t>
  </si>
  <si>
    <t>4897108884238</t>
  </si>
  <si>
    <t>KSFP1UFP24SCSLEF</t>
  </si>
  <si>
    <t>19" 1U PANEL FRONT PLATE WITH LOCKING SYSTEM 24 SC SIMPLEX/LC DUPLEX</t>
  </si>
  <si>
    <t>PLAQUE AVANT TIROIR 19" 1U AVEC VERROUILLAGE 24 SC SIMPLEX/LC DUPLEX</t>
  </si>
  <si>
    <t>4897108884245</t>
  </si>
  <si>
    <t>KSFP1UFP48SCSLEF</t>
  </si>
  <si>
    <t>U1001035</t>
  </si>
  <si>
    <t>19" 1U PANEL FRONT PLATE WITH LOCKING SYSTEM 48 SC SIMPLEX/LC DUPLEX</t>
  </si>
  <si>
    <t>PLAQUE AVANT TIROIR 19" 1U AVEC VERROUILLAGE 48 SC SIMPLEX/LC DUPLEX</t>
  </si>
  <si>
    <t>LGX</t>
  </si>
  <si>
    <t>KSFP1UFP3LGXEF</t>
  </si>
  <si>
    <t>19" 1U PANEL FRONT PLATE 3 LGX MODULE</t>
  </si>
  <si>
    <t>PLAQUE AVANT TIROIR 19" 1U 3 LGX</t>
  </si>
  <si>
    <t>KSFP1UFP2424SCDSEF</t>
  </si>
  <si>
    <t>19" 1U PANEL FRONT PLATE 24 SC DUPLEX/LC QUAD EQUIPPED WITH 24 SC DUPLEX SINGLEMODE</t>
  </si>
  <si>
    <t>PLAQUE AVANT TIROIR 19" 1U 24 SC DUPLEX EQUIPPE DE 24 TRAVERSEES MONOMODE</t>
  </si>
  <si>
    <t xml:space="preserve">LOADED </t>
  </si>
  <si>
    <t>4897108884535</t>
  </si>
  <si>
    <t>KSFP1UFP2412SCDSEF</t>
  </si>
  <si>
    <t>19" 1U PANEL FRONT PLATE 24 SC DUPLEX/LC QUAD EQUIPPED WITH 12 SC DUPLEX SINGLEMODE</t>
  </si>
  <si>
    <t>PLAQUE AVANT TIROIR 19" 1U 24 SC DUPLEX EQUIPPE DE 12 TRAVERSEES MONOMODE</t>
  </si>
  <si>
    <t>4897108884511</t>
  </si>
  <si>
    <t>KSFP1UFP2424LCDSEF</t>
  </si>
  <si>
    <t>19" 1U PANEL FRONT PLATE 24 LC DUPLEX/LC DUPLEX EQUIPPED WITH 24 LC DUPLEX SINGLEMODE</t>
  </si>
  <si>
    <t>PLAQUE AVANT TIROIR 19" 1U 24 LC DUPLEX EQUIPPE DE 24 TRAVERSEES MONOMODE</t>
  </si>
  <si>
    <t>4897108884504</t>
  </si>
  <si>
    <t>KSFP1UFP2412LCDSEF</t>
  </si>
  <si>
    <t>19" 1U PANEL FRONT PLATE 24 LC DUPLEX/LC DUPLEX EQUIPPED WITH 12 LC DUPLEX SINGLEMODE</t>
  </si>
  <si>
    <t>PLAQUE AVANT TIROIR 19" 1U 24 LC DUPLEX EQUIPPE DE 12 TRAVERSEES MONOMODE</t>
  </si>
  <si>
    <t>4897108884474</t>
  </si>
  <si>
    <t>KSFP1UFP2424SCDMEF</t>
  </si>
  <si>
    <t>19" 1U PANEL FRONT PLATE 24 SC DUPLEX/LC QUAD EQUIPPED WITH 24 SC DUPLEX MULTIMODE</t>
  </si>
  <si>
    <t>PLAQUE AVANT TIROIR 19" 1U 24 SC DUPLEX EQUIPPE DE 24 TRAVERSEES MULTIMODE</t>
  </si>
  <si>
    <t>4897108884542</t>
  </si>
  <si>
    <t>KSFP1UFP2412SCDMEF</t>
  </si>
  <si>
    <t>19" 1U PANEL FRONT PLATE 24 SC DUPLEX/LC QUAD EQUIPPED WITH 12 SC DUPLEX MULTIMODE</t>
  </si>
  <si>
    <t>PLAQUE AVANT TIROIR 19" 1U 24 SC DUPLEX EQUIPPE DE 12 TRAVERSEES MULTIMODE</t>
  </si>
  <si>
    <t>4897108884528</t>
  </si>
  <si>
    <t>KSFP1UFP2424LCDMEF</t>
  </si>
  <si>
    <t>19" 1U PANEL FRONT PLATE 24 LC DUPLEX/LC DUPLEX EQUIPPED WITH 24 LC DUPLEX MULTIMODE</t>
  </si>
  <si>
    <t>PLAQUE AVANT TIROIR 19" 1U 24 LC DUPLEX EQUIPPE DE 24 TRAVERSEES MULTIMODE</t>
  </si>
  <si>
    <t>4897108884498</t>
  </si>
  <si>
    <t>KSFP1UFP2412LCDMEF</t>
  </si>
  <si>
    <t>19" 1U PANEL FRONT PLATE 24 LC DUPLEX/LC DUPLEX EQUIPPED WITH 12 LC DUPLEX MULTIMODE</t>
  </si>
  <si>
    <t>PLAQUE AVANT TIROIR 19" 1U 24 LC DUPLEX EQUIPPE DE 12 TRAVERSEES MULTIMODE</t>
  </si>
  <si>
    <t>4897108884481</t>
  </si>
  <si>
    <t>PIGTAILS</t>
  </si>
  <si>
    <t>KPIGOM3SC2MEF</t>
  </si>
  <si>
    <t>SC OM3 PIGTAIL 2 METERS ECO FRIENDLY BAG</t>
  </si>
  <si>
    <t>SC OM3 PIGTAIL 2 MÈTRES SAC ÉCOLOGIQUE</t>
  </si>
  <si>
    <t>KPIGOM3LC2MEF</t>
  </si>
  <si>
    <t>LC OM3 PIGTAIL 2 METERS ECO FRIENDLY BAG</t>
  </si>
  <si>
    <t>LC OM3 PIGTAIL 2 MÈTRES SAC ÉCOLOGIQUE</t>
  </si>
  <si>
    <t>KPIGOM4SC2MEF</t>
  </si>
  <si>
    <t>SC OM4 PIGTAIL 2 METERS ECO FRIENDLY BAG</t>
  </si>
  <si>
    <t>SC OM4 PIGTAIL 2 MÈTRES SAC ÉCOLOGIQUE</t>
  </si>
  <si>
    <t>KPIGOM4LC2MEF</t>
  </si>
  <si>
    <t>LC OM4 PIGTAIL 2 METERS ECO FRIENDLY BAG</t>
  </si>
  <si>
    <t>LC OM4 PIGTAIL 2 MÈTRES SAC ÉCOLOGIQUE</t>
  </si>
  <si>
    <t>KPIGOM5SC2MEF</t>
  </si>
  <si>
    <t>SC OM5 PIGTAIL 2 METERS ECO FRIENDLY BAG</t>
  </si>
  <si>
    <t>SC OM5 PIGTAIL 2 MÈTRES SAC ÉCOLOGIQUE</t>
  </si>
  <si>
    <t>KPIGOM5LC2MEF</t>
  </si>
  <si>
    <t>LC OM5 PIGTAIL 2 METERS ECO FRIENDLY BAG</t>
  </si>
  <si>
    <t>LC OM5 PIGTAIL 2 MÈTRES SAC ÉCOLOGIQUE</t>
  </si>
  <si>
    <t>KPIGOS2SC2MEF</t>
  </si>
  <si>
    <t>SC OS2 PIGTAIL 2 METERS ECO FRIENDLY BAG</t>
  </si>
  <si>
    <t>SC OS2 PIGTAIL 2 MÈTRES SAC ÉCOLOGIQUE</t>
  </si>
  <si>
    <t>4897108884191</t>
  </si>
  <si>
    <t>KPIGOS2LC2MEF</t>
  </si>
  <si>
    <t>LC OS2 PIGTAIL 2 METERS ECO FRIENDLY BAG</t>
  </si>
  <si>
    <t>LC OS2 PIGTAIL 2 MÈTRES SAC ÉCOLOGIQUE</t>
  </si>
  <si>
    <t>4897108884184</t>
  </si>
  <si>
    <t>KPIGOS2A2SC2MEF</t>
  </si>
  <si>
    <t>KPIGOS2A2LC2MEF</t>
  </si>
  <si>
    <t>U1101004</t>
  </si>
  <si>
    <t>KPIG12OM3SC2MEF</t>
  </si>
  <si>
    <t>12 SC OM3 PIGTAIL 2 METERS ECO FRIENDLY BAG</t>
  </si>
  <si>
    <t>12 SC OM3 PIGTAIL 2 MÈTRES SAC ÉCOLOGIQUE</t>
  </si>
  <si>
    <t>1 pc eco friendly bag (250mm*300mm)</t>
  </si>
  <si>
    <t>U1101003</t>
  </si>
  <si>
    <t>KPIG12OM3LC2MEF</t>
  </si>
  <si>
    <t>12 LC OM3 PIGTAIL 2 METERS ECO FRIENDLY BAG</t>
  </si>
  <si>
    <t>12 LC OM3 PIGTAIL 2 MÈTRES SAC ÉCOLOGIQUE</t>
  </si>
  <si>
    <t>U1102003</t>
  </si>
  <si>
    <t>KPIG12OM4SC2MEF</t>
  </si>
  <si>
    <t>12 SC OM4 PIGTAIL 2 METERS ECO FRIENDLY BAG</t>
  </si>
  <si>
    <t>12 SC OM4 PIGTAIL 2 MÈTRES SAC ÉCOLOGIQUE</t>
  </si>
  <si>
    <t>U1102004</t>
  </si>
  <si>
    <t>KPIG12OM4LC2MEF</t>
  </si>
  <si>
    <t>12 LC OM4 PIGTAIL 2 METERS ECO FRIENDLY BAG</t>
  </si>
  <si>
    <t>12 LC OM4 PIGTAIL 2 MÈTRES SAC ÉCOLOGIQUE</t>
  </si>
  <si>
    <t>KPIG12OM5SC2MEF</t>
  </si>
  <si>
    <t>12 SC OM5 PIGTAIL 2 METERS ECO FRIENDLY BAG</t>
  </si>
  <si>
    <t>12 SC OM5 PIGTAIL 2 MÈTRES SAC ÉCOLOGIQUE</t>
  </si>
  <si>
    <t>KPIG12OM5LC2MEF</t>
  </si>
  <si>
    <t>12 LC OM5 PIGTAIL 2 METERS ECO FRIENDLY BAG</t>
  </si>
  <si>
    <t>12 LC OM5 PIGTAIL 2 MÈTRES SAC ÉCOLOGIQUE</t>
  </si>
  <si>
    <t>U1104003</t>
  </si>
  <si>
    <t>KPIG12OS2A2SC2MEF</t>
  </si>
  <si>
    <t>12 SC OS2 PIGTAIL 2 METERS ECO FRIENDLY BAG</t>
  </si>
  <si>
    <t>12 SC OS2 PIGTAIL 2 MÈTRES SAC ÉCOLOGIQUE</t>
  </si>
  <si>
    <t>U1104004</t>
  </si>
  <si>
    <t>KPIG12OS2A2LC2MEF</t>
  </si>
  <si>
    <t>12 LC OS2 PIGTAIL 2 METERS ECO FRIENDLY BAG</t>
  </si>
  <si>
    <t>12 LC OS2 PIGTAIL 2 MÈTRES SAC ÉCOLOGIQUE</t>
  </si>
  <si>
    <t>RACKS &amp; ACCESSORIES</t>
  </si>
  <si>
    <t>PANEL, SHELVES,DRAWERS</t>
  </si>
  <si>
    <t>KSPFK1U4REF</t>
  </si>
  <si>
    <t>19'' CABLE MANAGEMENT WITH 4 RINGS PER ECO FRIENDLY CARTON</t>
  </si>
  <si>
    <t>PANNEAU DE GESTION DE CÂBLES 19'' AVEC 4 ANNEAUX PAR CARTON ÉCOLOGIQUE</t>
  </si>
  <si>
    <t>KSPFK1U4RCEF</t>
  </si>
  <si>
    <t>19'' CABLE MANAGEMENT WITH 4 RINGS WITH HOLE CUTTING AND ACCESSORIES PER ECO FRIENDLY CARTON</t>
  </si>
  <si>
    <t>PANNEAU DE GESTION DE CÂBLES 19'' AVEC 4 ANNEAUX AVEC TROU DECOUPE ET ACCESSOIRES PAR CARTON ÉCOLOGIQUE</t>
  </si>
  <si>
    <t>KSPFK1U4RCFEF</t>
  </si>
  <si>
    <t>19'' CABLE MANAGEMENT FULL METAL WITH 4 RINGS WITH HOLE CUTTING AND ACCESSORIES PER ECO FRIENDLY CARTON</t>
  </si>
  <si>
    <t>PANNEAU DE GESTION DE CÂBLES 19'' FULL METAL AVEC 4 ANNEAUX AVEC TROU DECOUPE ET ACCESSOIRES PAR CARTON ÉCOLOGIQUE</t>
  </si>
  <si>
    <t>4897108882814</t>
  </si>
  <si>
    <t>KSPFK1UHDCEF</t>
  </si>
  <si>
    <t>19'' CABLE MANAGEMENT HIGH DENSITY WITH HOLE CUTTING AND ACCESSORIES PER ECO FRIENDLY CARTON</t>
  </si>
  <si>
    <t>PANNEAU DE GESTION DE CÂBLES 19'' HAUTE DENSITÉ AVEC TROU DECOUPE ET ACCESSOIRES PAR CARTON ÉCOLOGIQUE</t>
  </si>
  <si>
    <t>4897108882821</t>
  </si>
  <si>
    <t xml:space="preserve">OTRANS </t>
  </si>
  <si>
    <t>KSPFK2UHDCEF</t>
  </si>
  <si>
    <t>U1201018</t>
  </si>
  <si>
    <t>19'' CABLE MANAGEMENT HIGH DENSITY 2U WITH HOLE CUTTING AND ACCESSORIES PER ECO FRIENDLY CARTON</t>
  </si>
  <si>
    <t>PANNEAU DE GESTION DE CÂBLES 19'' 2U HAUTE DENSITÉ AVEC TROU DECOUPE ET ACCESSOIRES PAR CARTON ÉCOLOGIQUE</t>
  </si>
  <si>
    <t>KSPFK1UAIHDCEF</t>
  </si>
  <si>
    <t>19'' CABLE MANAGEMENT HIGH DENSITY ALU WITH HOLE CUTTING AND ACCESSORIES PER ECO FRIENDLY CARTON</t>
  </si>
  <si>
    <t>PANNEAU DE GESTION DE CÂBLES 19'' ALU HAUTE DENSITÉ AVEC TROU DECOUPE ET ACCESSOIRES PAR CARTON ÉCOLOGIQUE</t>
  </si>
  <si>
    <t>KSBRUSHEF</t>
  </si>
  <si>
    <t>19'' CABLE MANAGEMENT WITH BRUSH PER ECO FRIENDLY CARTON</t>
  </si>
  <si>
    <t>PANNEAU DE GESTION DE CÂBLES 19'' AVEC BROSSE PAR CARTON ÉCOLOGIQUE</t>
  </si>
  <si>
    <t>KSBRUSHCEF</t>
  </si>
  <si>
    <t>19'' CABLE MANAGEMENT WITH BRUSH WITH HOLE CUTTING AND ACCESSORIES PER ECO FRIENDLY CARTON</t>
  </si>
  <si>
    <t>PANNEAU DE GESTION DE CÂBLES 19'' AVEC BROSSE AVEC TROU DECOUPE ET ACCESSOIRES PAR CARTON ÉCOLOGIQUE</t>
  </si>
  <si>
    <t>‘4897108881855</t>
  </si>
  <si>
    <t>KSFS1U250</t>
  </si>
  <si>
    <t>19" FIXED SHELVE 1U DEPTH 250 MM PER BOX</t>
  </si>
  <si>
    <t>ÉTAGÈRE FIXE 19" 1U PROFONDEUR 250 MM PAR BOITE</t>
  </si>
  <si>
    <t>9403903000</t>
  </si>
  <si>
    <t>KSFS2U250</t>
  </si>
  <si>
    <t>19" FIXED SHELVE 2U DEPTH 250 MM PER BOX</t>
  </si>
  <si>
    <t>ÉTAGÈRE FIXE 19" 2U PROFONDEUR 250 MM PAR BOÎTE</t>
  </si>
  <si>
    <t>KSOB1UC</t>
  </si>
  <si>
    <t>19" BLANK MODULE WITH ONE HOLE CUT AND ACCESSORIES PER BOX</t>
  </si>
  <si>
    <t>OBTURATEUR 19" AVEC UN TROU DECOUPE ET ACCESSOIRES PAR BOÎTE</t>
  </si>
  <si>
    <t xml:space="preserve">LY </t>
  </si>
  <si>
    <t>KSPFK1U5RCFEF</t>
  </si>
  <si>
    <t>19'' CABLE MANAGEMENT FULL METAL WITH 5 RINGS WITH HOLE CUTTING AND ACCESSORIES PER ECO FRIENDLY CARTON</t>
  </si>
  <si>
    <t>PANNEAU DE GESTION DE CÂBLES 19'' FULL METAL AVEC 5 ANNEAUX AVEC TROU DECOUPE ET ACCESSOIRES PAR CARTON ÉCOLOGIQUE</t>
  </si>
  <si>
    <t>LY-CM-51-5P</t>
  </si>
  <si>
    <t>PDU</t>
  </si>
  <si>
    <t>KPDU8PC90</t>
  </si>
  <si>
    <t>PDU FRENCH 19" 8 SOCKETS ALU WITH 90° FIXTURES PER BOX</t>
  </si>
  <si>
    <t>BLOC D'ALIMENTATION FRANÇAIS 19" 8 PRISES ALU AVEC FIXATION 90° PAR BOÎTE</t>
  </si>
  <si>
    <t>4897108882555</t>
  </si>
  <si>
    <t>8544429090</t>
  </si>
  <si>
    <t>T/T against copy of document</t>
  </si>
  <si>
    <t>MINGYE</t>
  </si>
  <si>
    <t>85366900001</t>
  </si>
  <si>
    <t>KPDU8PCSW90</t>
  </si>
  <si>
    <t>PDU FRENCH 19" 8 SOCKETS ALU WITH SWITCH WITH 90° FIXTURES PER BOX</t>
  </si>
  <si>
    <t>BLOC D'ALIMENTATION FRANÇAIS 19" 8 PRISES ALU AVEC INTERRUPTEUR AVEC FIXATION 90° PAR BOÎTE</t>
  </si>
  <si>
    <t>4897108882562</t>
  </si>
  <si>
    <t>KPDU6PCCB</t>
  </si>
  <si>
    <t>PDU FRENCH 19" 6 SOCKETS ALU WITH CIRCUIT BREAKER 16A 30MA WITH PROTECTION COVER PER BOX</t>
  </si>
  <si>
    <t>BLOC D'ALIMENTATION FRANÇAIS 19" 6 PRISES ALU AVEC DISJONCTEUR 16A 30MA AVEC COUVERCLE DE PROTECTION PAR BOITE</t>
  </si>
  <si>
    <t>OPTICAL CABLE</t>
  </si>
  <si>
    <t>CENTRAL TUBE UNIVERSAL</t>
  </si>
  <si>
    <t>6</t>
  </si>
  <si>
    <t>KFO6OM3CTZHD-92</t>
  </si>
  <si>
    <t>KFO6OM3CTZHD</t>
  </si>
  <si>
    <t>6FO OM3 CENTRAL LOOSE TUBE LSZH UNIVERSAL Dca AQUA RAL6027</t>
  </si>
  <si>
    <t>6FO OM3 TUBE CENTRAL STRUCTURE LIBRE LSZH UNIVERSEL Dca AQUA RAL6027</t>
  </si>
  <si>
    <t>4KM</t>
  </si>
  <si>
    <t>SDGI</t>
  </si>
  <si>
    <t>8</t>
  </si>
  <si>
    <t>KFO8OM3CTZHD-92</t>
  </si>
  <si>
    <t>KFO8OM3CTZHD</t>
  </si>
  <si>
    <t>8FO OM3 CENTRAL LOOSE TUBE LSZH UNIVERSAL Dca AQUA RAL6027</t>
  </si>
  <si>
    <t>8FO OM3 TUBE CENTRAL STRUCTURE LIBRE LSZH UNIVERSEL Dca AQUA RAL6027</t>
  </si>
  <si>
    <t>12</t>
  </si>
  <si>
    <t>KFO12OM3CTZHD20-92</t>
  </si>
  <si>
    <t>KFO12OM3CTZHD20</t>
  </si>
  <si>
    <t>12FO OM3 CENTRAL LOOSE TUBE LSZH UNIVERSAL Dca AQUA RAL6027</t>
  </si>
  <si>
    <t>12FO OM3 TUBE CENTRAL STRUCTURE LIBRE LSZH UNIVERSEL Dca AQUA RAL6027</t>
  </si>
  <si>
    <t>24</t>
  </si>
  <si>
    <t>KFO24OM3CTZHD-92</t>
  </si>
  <si>
    <t>KFO24OM3CTZHD</t>
  </si>
  <si>
    <t>24FO OM3 CENTRAL LOOSE TUBE LSZH UNIVERSAL Dca AQUA RAL6027</t>
  </si>
  <si>
    <t>24FO OM3 TUBE CENTRAL STRUCTURE LIBRE LSZH UNIVERSEL Dca AQUA RAL6027</t>
  </si>
  <si>
    <t>TIGHT BUFFERED</t>
  </si>
  <si>
    <t>KFO6OM3TBZHC-92</t>
  </si>
  <si>
    <t>KFO6OM3TBZHC</t>
  </si>
  <si>
    <t>6FO OM3 TIGHT BUFFERED LSZH UNIVERSAL Cca AQUA RAL6027</t>
  </si>
  <si>
    <t>6FO OM3 STRUCTURE SERRÉE LSZH UNIVERSEL Cca AQUA RAL6027</t>
  </si>
  <si>
    <t>KFO8OM3TBZHC-92</t>
  </si>
  <si>
    <t>KFO8OM3TBZHC</t>
  </si>
  <si>
    <t>8FO OM3 TIGHT BUFFERED LSZH UNIVERSAL Cca AQUA RAL6027</t>
  </si>
  <si>
    <t>8FO OM3 STRUCTURE SERRÉE  LSZH UNIVERSEL Cca AQUA RAL6027</t>
  </si>
  <si>
    <t>KFO12OM3TBZHC-92</t>
  </si>
  <si>
    <t>KFO12OM3TBZHC</t>
  </si>
  <si>
    <t>12FO OM3 TIGHT BUFFERED LSZH UNIVERSAL Cca AQUA RAL6027</t>
  </si>
  <si>
    <t>12FO OM3 STRUCTURE SERRÉE  LSZH UNIVERSEL Cca AQUA RAL6027</t>
  </si>
  <si>
    <t>KFO24OM3TBZHC-92</t>
  </si>
  <si>
    <t>KFO24OM3TBZHC</t>
  </si>
  <si>
    <t>24FO OM3 TIGHT BUFFERED LSZH UNIVERSAL Cca AQUA RAL6027</t>
  </si>
  <si>
    <t>24FO OM3 STRUCTURE SERRÉE  LSZH UNIVERSEL Cca AQUA RAL6027</t>
  </si>
  <si>
    <t>2000m drum</t>
  </si>
  <si>
    <t>2KM</t>
  </si>
  <si>
    <t>CENTRAL TUBE OUTDOOR</t>
  </si>
  <si>
    <t>KFO6OM3CT-92</t>
  </si>
  <si>
    <t>KFO6OM3CT</t>
  </si>
  <si>
    <t>6FO OM3 CENTRAL LOOSE TUBE PEHD OUTDOOR BLACK RAL 9005</t>
  </si>
  <si>
    <t>6FO OM3 TUBE CENTRAL STRUCTURE LIBRE PEHD EXTÉRIEUR NOIR RAL9005</t>
  </si>
  <si>
    <t>KFO8OM3CT-92</t>
  </si>
  <si>
    <t>KFO8OM3CT</t>
  </si>
  <si>
    <t>8FO OM3 CENTRAL LOOSE TUBE PEHD OUTDOOR BLACK RAL9005</t>
  </si>
  <si>
    <t>8FO OM3 TUBE CENTRAL STRUCTURE LIBRE PEHD EXTÉRIEUR NOIR RAL9005</t>
  </si>
  <si>
    <t>KFO12OM3CT-92</t>
  </si>
  <si>
    <t>KFO12OM3CT</t>
  </si>
  <si>
    <t>12FO OM3 CENTRAL LOOSE TUBE PEHD OUTDOOR BLACK RAL9005</t>
  </si>
  <si>
    <t>12FO OM3 TUBE CENTRAL STRUCTURE LIBRE PEHD EXTÉRIEUR NOIR RAL9005</t>
  </si>
  <si>
    <t>KFO24OM3CT-92</t>
  </si>
  <si>
    <t>KFO24OM3CT</t>
  </si>
  <si>
    <t>24FO OM3 CENTRAL LOOSE TUBE PEHD OUTDOOR BLACK RAL9005</t>
  </si>
  <si>
    <t>24FO OM3 TUBE CENTRAL STRUCTURE LIBRE PEHD EXTÉRIEUR NOIR RAL9005</t>
  </si>
  <si>
    <t>CENTRAL TUBE ARMORED OUTDOOR</t>
  </si>
  <si>
    <t>KFO6OM3CTA-92</t>
  </si>
  <si>
    <t>KFO6OM3CTA</t>
  </si>
  <si>
    <t>6FO OM3 CENTRAL LOOSE TUBE ARMORED PEHD OUTDOOR BLACK RAL9005</t>
  </si>
  <si>
    <t>6FO OM3 TUBE CENTRAL STRUCTURE LIBRE ARMÉ PEHD EXTÉRIEUR NOIR RAL9005</t>
  </si>
  <si>
    <t>KFO8OM3CTA-92</t>
  </si>
  <si>
    <t>KFO8OM3CTA</t>
  </si>
  <si>
    <t>8FO OM3 CENTRAL LOOSE TUBE ARMORED PEHD OUTDOOR BLACK RAL9005</t>
  </si>
  <si>
    <t>8FO OM3 TUBE CENTRAL STRUCTURE LIBRE ARMÉ EXTÉRIEUR NOIR RAL9005</t>
  </si>
  <si>
    <t>KFO12OM3CTA-92</t>
  </si>
  <si>
    <t>KFO12OM3CTA</t>
  </si>
  <si>
    <t>12FO OM3 CENTRAL LOOSE TUBE ARMORED PEHD OUTDOOR BLACK RAL9005</t>
  </si>
  <si>
    <t>12FO OM3 TUBE CENTRAL STRUCTURE LIBRE ARMÉ  PEHD EXTÉRIEUR NOIR RAL9005</t>
  </si>
  <si>
    <t>KFO24OM3CTA-92</t>
  </si>
  <si>
    <t>KFO24OM3CTA</t>
  </si>
  <si>
    <t>24FO OM3 CENTRAL LOOSE TUBE ARMORED PEHD OUTDOOR BLACK RAL9005</t>
  </si>
  <si>
    <t>24FO OM3 TUBE CENTRAL STRUCTURE LIBRE ARMÉ  PEHD EXTÉRIEUR NOIR RAL9005</t>
  </si>
  <si>
    <t>MULTI TUBE UNIVERSAL</t>
  </si>
  <si>
    <t>48</t>
  </si>
  <si>
    <t>KFO48OM3MTZHD-92</t>
  </si>
  <si>
    <t>KFO48OM3MTZHD</t>
  </si>
  <si>
    <t>48FO OM3 MULTI LOOSE TUBE LSZH UNIVERSAL Dca AQUA RAL6027</t>
  </si>
  <si>
    <t>48FO OM3 MULTI TUBE STRUCTURE LIBRE LSZH UNIVERSEL Dca AQUA RAL6027</t>
  </si>
  <si>
    <t>96</t>
  </si>
  <si>
    <t>KFO96OM3MTZHD-92</t>
  </si>
  <si>
    <t>KFO96OM3MTZHD</t>
  </si>
  <si>
    <t>96FO OM3 MULTI LOOSE TUBE LSZH UNIVERSAL Dca AQUA RAL6027</t>
  </si>
  <si>
    <t>96FO OM3 MULTI TUBE STRUCTURE LIBRE LSZH UNIVERSEL Dca AQUA RAL6027</t>
  </si>
  <si>
    <t>MULTI TUBE OUTDOOR</t>
  </si>
  <si>
    <t>KFO48OM3MT-92</t>
  </si>
  <si>
    <t>KFO48OM3MT</t>
  </si>
  <si>
    <t>48FO OM3 MULTI LOOSE TUBE PEHD OUTDOOR BLACK RAL 9005</t>
  </si>
  <si>
    <t>48FO OM3 MULTI TUBE STRUCTURE LIBRE PEHD EXTÉRIEUR NOIR RAL9005</t>
  </si>
  <si>
    <t>KFO96OM3MT-92</t>
  </si>
  <si>
    <t>KFO96OM3MT</t>
  </si>
  <si>
    <t>96FO OM3 MULTI LOOSE TUBE PEHD OUTDOOR BLACK RAL 9005</t>
  </si>
  <si>
    <t>96FO OM3 MULTI TUBE STRUCTURE LIBRE PEHD EXTÉRIEUR NOIR RAL9005</t>
  </si>
  <si>
    <t>MULTI TUBE ARMORED OUTDOOR</t>
  </si>
  <si>
    <t>KFO48OM3MTA-92</t>
  </si>
  <si>
    <t>KFO48OM3MTA</t>
  </si>
  <si>
    <t>48FO OM3 MULTI LOOSE TUBE ARMORDED PEHD OUTDOOR BLACK RAL 9005</t>
  </si>
  <si>
    <t>48FO OM3 MULTI TUBE STRUCTURE LIBRE ARMÉ PEHD EXTÉRIEUR NOIR RAL9005</t>
  </si>
  <si>
    <t>KFO96OM3MTA-92</t>
  </si>
  <si>
    <t>KFO96OM3MTA</t>
  </si>
  <si>
    <t>96FO OM3 MULTI LOOSE TUBE ARMORDED PEHD OUTDOOR BLACK RAL 9005</t>
  </si>
  <si>
    <t>96FO OM3 MULTI TUBE STRUCTURE LIBRE ARMÉ PEHD EXTÉRIEUR NOIR RAL9005</t>
  </si>
  <si>
    <t>KFO6OM4CTZHD-92</t>
  </si>
  <si>
    <t>KFO6OM4CTZHD</t>
  </si>
  <si>
    <t>6FO OM4 CENTRAL LOOSE TUBE LSZH UNIVERSAL Dca ERIKA VIOLET RAL4003</t>
  </si>
  <si>
    <t>6FO OM4 TUBE CENTRAL STRUCTURE LIBRE LSZH UNIVERSEL Dca VIOLET ERIKA RAL4003</t>
  </si>
  <si>
    <t>KFO8OM4CTZHD20-92</t>
  </si>
  <si>
    <t>KFO8OM4CTZHD20</t>
  </si>
  <si>
    <t>8FO OM4 CENTRAL LOOSE TUBE LSZH UNIVERSAL Dca ERIKA VIOLET RAL4003</t>
  </si>
  <si>
    <t>8FO OM4 TUBE CENTRAL STRUCTURE LIBRE LSZH UNIVERSEL Dca VIOLET ERIKA RAL4003</t>
  </si>
  <si>
    <t>KFO12OM4CTZHD20-92</t>
  </si>
  <si>
    <t>KFO12OM4CTZHD20</t>
  </si>
  <si>
    <t>12FO OM4 CENTRAL LOOSE TUBE LSZH UNIVERSAL Dca ERIKA VIOLET RAL4003</t>
  </si>
  <si>
    <t>12FO OM4 TUBE CENTRAL STRUCTURE LIBRE LSZH UNIVERSEL Dca VIOLET ERIKA RAL4003</t>
  </si>
  <si>
    <t>KFO24OM4CTZHD20-92</t>
  </si>
  <si>
    <t>KFO24OM4CTZHD20</t>
  </si>
  <si>
    <t>24FO OM4 CENTRAL LOOSE TUBE LSZH UNIVERSAL Dca ERIKA VIOLET RAL4003</t>
  </si>
  <si>
    <t>24FO OM4 TUBE CENTRAL STRUCTURE LIBRE LSZH UNIVERSEL Dca VIOLET ERIKA RAL4003</t>
  </si>
  <si>
    <t>KFO48OM4MTZHD-92</t>
  </si>
  <si>
    <t>KFO48OM4MTZHD</t>
  </si>
  <si>
    <t>48FO OM4 MULTI LOOSE TUBE LSZH UNIVERSAL Dca ERIKA VIOLET RAL4003</t>
  </si>
  <si>
    <t>48FO OM4 MULTI TUBE STRUCTURE LIBRE LSZH UNIVERSEL Dca VIOLET ERIKA RAL4003</t>
  </si>
  <si>
    <t>KFO96OM4MTZHD-92</t>
  </si>
  <si>
    <t>KFO96OM4MTZHD</t>
  </si>
  <si>
    <t>96FO OM4 MULTI LOOSE TUBE LSZH UNIVERSAL Dca ERIKA VIOLET RAL4003</t>
  </si>
  <si>
    <t>96FO OM4 MULTI TUBE STRUCTURE LIBRE LSZH UNIVERSEL Dca VIOLET ERIKA RAL4003</t>
  </si>
  <si>
    <t>KFO6OM4TBZHC-92</t>
  </si>
  <si>
    <t>KFO6OM4TBZHC</t>
  </si>
  <si>
    <t>6FO OM4 TIGHT BUFFERED LSZH UNIVERSAL Cca ERIKA VIOLET RAL4003</t>
  </si>
  <si>
    <t>6FO OM4 STRUCTURE SERRÉE LSZH UNIVERSEL Cca VIOLET ERIKA RAL4003</t>
  </si>
  <si>
    <t>KFO8OM4TBZHC-92</t>
  </si>
  <si>
    <t>KFO8OM4TBZHC</t>
  </si>
  <si>
    <t>8FO OM4 TIGHT BUFFERED LSZH UNIVERSAL Cca ERIKA VIOLET RAL4003</t>
  </si>
  <si>
    <t>8FO OM4 STRUCTURE SERRÉE  LSZH UNIVERSEL Cca VIOLET ERIKA RAL4003</t>
  </si>
  <si>
    <t>KFO12OM4TBZHC-92</t>
  </si>
  <si>
    <t>KFO12OM4TBZHC</t>
  </si>
  <si>
    <t>12FO OM4 TIGHT BUFFERED LSZH UNIVERSAL Cca ERIKA VIOLET RAL4003</t>
  </si>
  <si>
    <t>12FO OM4 STRUCTURE SERRÉE  LSZH UNIVERSEL Cca VIOLET ERIKA RAL4003</t>
  </si>
  <si>
    <t>KFO24OM4TBZHC-92</t>
  </si>
  <si>
    <t>KFO24OM4TBZHC</t>
  </si>
  <si>
    <t>24FO OM4 TIGHT BUFFERED LSZH UNIVERSAL Cca ERIKA VIOLET RAL4003</t>
  </si>
  <si>
    <t>24FO OM4 STRUCTURE SERRÉE  LSZH UNIVERSEL Cca VIOLET ERIKA RAL4003</t>
  </si>
  <si>
    <t>KFO6OM5TBZHC-92</t>
  </si>
  <si>
    <t>KFO6OM5TBZHC</t>
  </si>
  <si>
    <t>6FO OM5 TIGHT BUFFERED LSZH UNIVERSAL Cca LIME GREEN RAL 6039</t>
  </si>
  <si>
    <t>6FO OM5 STRUCTURE SERRÉE LSZH UNIVERSEL Cca VERT LIME RAL 6039</t>
  </si>
  <si>
    <t>KFO8OM5TBZHC-92</t>
  </si>
  <si>
    <t>KFO8OM5TBZHC</t>
  </si>
  <si>
    <t>8FO OM5 TIGHT BUFFERED LSZH UNIVERSAL Cca LIME GREEN RAL 6039</t>
  </si>
  <si>
    <t>8FO OM5 STRUCTURE SERRÉE  LSZH UNIVERSEL Cca VERT LIME RAL 6039</t>
  </si>
  <si>
    <t>KFO12OM5TBZHC-92</t>
  </si>
  <si>
    <t>KFO12OM5TBZHC</t>
  </si>
  <si>
    <t>12FO OM5 TIGHT BUFFERED LSZH UNIVERSAL Cca LIME GREEN RAL 6039</t>
  </si>
  <si>
    <t>12FO OM5 STRUCTURE SERRÉE  LSZH UNIVERSEL Cca VERT LIME RAL 6039</t>
  </si>
  <si>
    <t>KFO24OM5TBZHC-92</t>
  </si>
  <si>
    <t>KFO24OM5TBZHC</t>
  </si>
  <si>
    <t>24FO OM5 TIGHT BUFFERED LSZH UNIVERSAL Cca LIME GREEN RAL 6039</t>
  </si>
  <si>
    <t>24FO OM5 STRUCTURE SERRÉE  LSZH UNIVERSEL Cca VERT LIME RAL 6039</t>
  </si>
  <si>
    <t>KFO48OM4MT-92</t>
  </si>
  <si>
    <t>KFO48OM4MT</t>
  </si>
  <si>
    <t>48FO OM4 MULTI LOOSE TUBE PEHD OUTDOOR BLACK RAL 9005</t>
  </si>
  <si>
    <t xml:space="preserve">48FO OM4 MULTI TUBE STRUCTURE LIBRE PEHD EXTÉRIEUR NOIR RAL9005 </t>
  </si>
  <si>
    <t>KFO96OM4MT-92</t>
  </si>
  <si>
    <t>KFO96OM4MT</t>
  </si>
  <si>
    <t>96FO OM4 MULTI LOOSE TUBE PEHD OUTDOOR BLACK RAL 9005</t>
  </si>
  <si>
    <t xml:space="preserve">96FO OM4 MULTI TUBE STRUCTURE LIBREPEHD EXTÉRIEUR NOIR RAL9005 </t>
  </si>
  <si>
    <t>KFO48OM4MTA-92</t>
  </si>
  <si>
    <t>KFO48OM4MTA</t>
  </si>
  <si>
    <t>48FO OM4 MULTI LOOSE TUBE ARMORDED PEHD OUTDOOR BLACK RAL 9005</t>
  </si>
  <si>
    <t xml:space="preserve">48FO OM4 MULTI TUBE STRUCTURE LIBRE ARMÉ PEHD EXTÉRIEUR NOIR RAL9005 </t>
  </si>
  <si>
    <t>KFO96OM4MTA-92</t>
  </si>
  <si>
    <t>KFO96OM4MTA</t>
  </si>
  <si>
    <t>96FO OM4 MULTI LOOSE TUBE ARMORDED PEHD OUTDOOR BLACK RAL 9005</t>
  </si>
  <si>
    <t xml:space="preserve">96FO OM4 MULTI TUBE STRUCTURE LIBRE ARMÉ PEHD EXTÉRIEUR NOIR RAL9005 </t>
  </si>
  <si>
    <t>KFO6OM5CTZHD-92</t>
  </si>
  <si>
    <t>KFO6OM5CTZHD</t>
  </si>
  <si>
    <t>6FO OM5 CENTRAL LOOSE TUBE LSZH UNIVERSAL Dca LIME GREEN RAL 6039</t>
  </si>
  <si>
    <t>6FO OM5 TUBE CENTRAL STRUCTURE LIBRE LSZH UNIVERSEL Dca VERT LIME RAL 6039</t>
  </si>
  <si>
    <t>KFO8OM5CTZHD-92</t>
  </si>
  <si>
    <t>KFO8OM5CTZHD</t>
  </si>
  <si>
    <t>8FO OM5 CENTRAL LOOSE TUBE LSZH UNIVERSAL Dca LIME GREEN RAL 6039</t>
  </si>
  <si>
    <t>8FO OM5 TUBE CENTRAL STRUCTURE LIBRE LSZH UNIVERSEL Dca VERT LIME RAL 6039</t>
  </si>
  <si>
    <t>KFO12OM5CTZHD-92</t>
  </si>
  <si>
    <t>KFO12OM5CTZHD</t>
  </si>
  <si>
    <t>12FO OM5 CENTRAL LOOSE TUBE LSZH UNIVERSAL Dca LIME GREEN RAL 6039</t>
  </si>
  <si>
    <t>12FO OM5 TUBE CENTRAL STRUCTURE LIBRE LSZH UNIVERSEL Dca VERT LIME RAL 6039</t>
  </si>
  <si>
    <t>KFO24OM5CTZHD-92</t>
  </si>
  <si>
    <t>KFO24OM5CTZHD</t>
  </si>
  <si>
    <t>24FO OM5 CENTRAL LOOSE TUBE LSZH UNIVERSAL Dca LIME GREEN RAL 6039</t>
  </si>
  <si>
    <t>24FO OM5 TUBE CENTRAL STRUCTURE LIBRE LSZH UNIVERSEL Dca VERT LIME RAL 6039</t>
  </si>
  <si>
    <t>KFO48OM5MTZHD-92</t>
  </si>
  <si>
    <t>KFO48OM5MTZHD</t>
  </si>
  <si>
    <t>48FO OM5 MULTI LOOSE TUBE LSZH UNIVERSAL Dca LIME GREEN RAL 6039</t>
  </si>
  <si>
    <t>48FO OM5 MULTI TUBE STRUCTURE LIBRE LSZH UNIVERSEL Dca VERT LIME RAL 6039</t>
  </si>
  <si>
    <t>KFO96OM5MTZHD-92</t>
  </si>
  <si>
    <t>KFO96OM5MTZHD</t>
  </si>
  <si>
    <t>96FO OM5 MULTI LOOSE TUBE LSZH UNIVERSAL Dca LIME GREEN RAL 6039</t>
  </si>
  <si>
    <t>96FO OM5 MULTI TUBE STRUCTURE LIBRE LSZH UNIVERSEL Dca VERT LIME RAL 6039</t>
  </si>
  <si>
    <t>OS2</t>
  </si>
  <si>
    <t>KFO6OS2CTZHD20-92V</t>
  </si>
  <si>
    <t>KFO6OS2CTZHD20</t>
  </si>
  <si>
    <t>6FO OS2 CENTRAL LOOSE TUBE LSZH UNIVERSAL Dca YELLOW RAL1021</t>
  </si>
  <si>
    <t>6FO OS2 TUBE CENTRAL STRUCTURE LIBRE LSZH UNIVERSEL Dca JAUNE RAL1021</t>
  </si>
  <si>
    <t>Vietnam</t>
  </si>
  <si>
    <t>SDGI VIETNAM</t>
  </si>
  <si>
    <t>KFO8OS2CTZHD20-92V</t>
  </si>
  <si>
    <t>KFO8OS2CTZHD20</t>
  </si>
  <si>
    <t>8FO OS2 CENTRAL LOOSE TUBE LSZH UNIVERSAL Dca YELLOW RAL1021</t>
  </si>
  <si>
    <t>8FO OS2 TUBE CENTRAL STRUCTURE LIBRE LSZH UNIVERSEL Dca JAUNE RAL1021</t>
  </si>
  <si>
    <t>KFO12OS2CTZHD20-92V</t>
  </si>
  <si>
    <t>KFO12OS2CTZHD20</t>
  </si>
  <si>
    <t>12FO OS2 CENTRAL LOOSE TUBE LSZH UNIVERSAL Dca YELLOW RAL1021</t>
  </si>
  <si>
    <t>12FO OS2 TUBE CENTRAL STRUCTURE LIBRE LSZH UNIVERSEL Dca JAUNE RAL1021</t>
  </si>
  <si>
    <t>KFO24OS2CTZHD20-92V</t>
  </si>
  <si>
    <t>KFO24OS2CTZHD20</t>
  </si>
  <si>
    <t>24FO OS2 CENTRAL LOOSE TUBE LSZH UNIVERSAL Dca YELLOW RAL1021</t>
  </si>
  <si>
    <t>24FO OS2 TUBE CENTRAL STRUCTURE LIBRE LSZH UNIVERSEL Dca JAUNE RAL1021</t>
  </si>
  <si>
    <t>KFO6OS2TBZHC-92V</t>
  </si>
  <si>
    <t>KFO6OS2TBZHC</t>
  </si>
  <si>
    <t>6FO OS2 TIGHT BUFFERED LSZH UNIVERSAL Cca YELLOW RAL1021</t>
  </si>
  <si>
    <t>6FO OS2 STRUCTURE SERRÉE  LSZH UNIVERSEL Cca JAUNE RAL1021</t>
  </si>
  <si>
    <t>KFO8OS2TBZHC-92V</t>
  </si>
  <si>
    <t>KFO8OS2TBZHC</t>
  </si>
  <si>
    <t>8FO OS2 TIGHT BUFFERED LSZH UNIVERSAL Cca YELLOW RAL1021</t>
  </si>
  <si>
    <t>8FO OS2 STRUCTURE SERRÉE  LSZH UNIVERSEL Cca JAUNE RAL1021</t>
  </si>
  <si>
    <t>KFO12OS2TBZHC-92V</t>
  </si>
  <si>
    <t>KFO12OS2TBZHC</t>
  </si>
  <si>
    <t>12FO OS2 TIGHT BUFFERED LSZH UNIVERSAL Cca YELLOW RAL1021</t>
  </si>
  <si>
    <t>12FO OS2 STRUCTURE SERRÉE  LSZH UNIVERSEL Cca JAUNE RAL1021</t>
  </si>
  <si>
    <t>KFO24OS2TBZHC-92V</t>
  </si>
  <si>
    <t>KFO24OS2TBZHC</t>
  </si>
  <si>
    <t>24FO OS2 TIGHT BUFFERED LSZH UNIVERSAL Cca YELLOW RAL1021</t>
  </si>
  <si>
    <t>24FO OS2 STRUCTURE SERRÉE  LSZH UNIVERSEL Cca JAUNE RAL1021</t>
  </si>
  <si>
    <t>KFO6OS2CT-92V</t>
  </si>
  <si>
    <t>KFO6OS2CT</t>
  </si>
  <si>
    <t>6FO OS2 CENTRAL LOOSE TUBE PEHD OUTDOOR BLACK RAL9005</t>
  </si>
  <si>
    <t>6FO OS2 TUBE CENTRAL STRUCTURE LIBRE PEHD EXTÉRIEUR NOIR RAL9005</t>
  </si>
  <si>
    <t>KFO8OS2CT-92V</t>
  </si>
  <si>
    <t>KFO8OS2CT</t>
  </si>
  <si>
    <t>8FO OS2 CENTRAL LOOSE TUBE PEHD OUTDOOR BLACK RAL9005</t>
  </si>
  <si>
    <t>8FO OS2 TUBE CENTRAL STRUCTURE LIBRE PEHD EXTÉRIEUR NOIR RAL9005</t>
  </si>
  <si>
    <t>KFO12OS2CT-92V</t>
  </si>
  <si>
    <t>KFO12OS2CT</t>
  </si>
  <si>
    <t>12FO OS2 CENTRAL LOOSE TUBE PEHD OUTDOOR BLACK RAL9005</t>
  </si>
  <si>
    <t>12FO OS2 TUBE CENTRAL STRUCTURE LIBRE PEHD EXTÉRIEUR NOIR RAL9005</t>
  </si>
  <si>
    <t>KFO24OS2CT-92V</t>
  </si>
  <si>
    <t>KFO24OS2CT</t>
  </si>
  <si>
    <t>24FO OS2 CENTRAL LOOSE TUBE PEHD OUTDOOR BLACK RAL9005</t>
  </si>
  <si>
    <t>24FO OS2 TUBE CENTRAL STRUCTURE LIBRE PEHD EXTÉRIEUR NOIR RAL9005</t>
  </si>
  <si>
    <t>KFO6OS2CTA-92</t>
  </si>
  <si>
    <t>KFO6OS2CTA</t>
  </si>
  <si>
    <t>6FO OS2 CENTRAL LOOSE TUBE ARMORED PEHD OUTDOOR BLACK RAL9005</t>
  </si>
  <si>
    <t>6FO OS2 TUBE CENTRAL STRUCTURE LIBRE ARMÉ  PEHD EXTÉRIEUR NOIR RAL9005</t>
  </si>
  <si>
    <t>KFO8OS2CTA-92</t>
  </si>
  <si>
    <t>KFO8OS2CTA</t>
  </si>
  <si>
    <t>8FO OS2 CENTRAL LOOSE TUBE ARMORED PEHD OUTDOOR BLACK RAL9005</t>
  </si>
  <si>
    <t>8FO OS2 TUBE CENTRAL STRUCTURE LIBRE ARMÉ  PEHD EXTÉRIEUR NOIR RAL9005</t>
  </si>
  <si>
    <t>KFO12OS2CTA20-92</t>
  </si>
  <si>
    <t>KFO12OS2CTA20</t>
  </si>
  <si>
    <t>12FO OS2 CENTRAL LOOSE TUBE ARMORED PEHD OUTDOOR BLACK RAL9005</t>
  </si>
  <si>
    <t>12FO OS2 TUBE CENTRAL STRUCTURE LIBRE ARMÉ  PEHD EXTÉRIEUR NOIR RAL9005</t>
  </si>
  <si>
    <t>KFO24OS2CTA20-92</t>
  </si>
  <si>
    <t>KFO24OS2CTA20</t>
  </si>
  <si>
    <t>24FO OS2 CENTRAL LOOSE TUBE ARMORED PEHD OUTDOOR BLACK RAL9005</t>
  </si>
  <si>
    <t>24FO OS2TUBE CENTRAL STRUCTURE LIBRE ARMÉ  PEHD EXTÉRIEUR NOIR RAL9005</t>
  </si>
  <si>
    <t>KFO48OS2MTZHD-92V</t>
  </si>
  <si>
    <t>KFO48OS2MTZHD</t>
  </si>
  <si>
    <t>48FO OS2 MULTI LOOSE TUBE LSZH UNIVERSAL Dca YELLOW RAL1021</t>
  </si>
  <si>
    <t>48FO OS2 MULTI TUBE STRUCTURE LIBRE LSZH UNIVERSEL Dca JAUNE RAL1021</t>
  </si>
  <si>
    <t>KFO96OS2MTZHD-92V</t>
  </si>
  <si>
    <t>KFO96OS2MTZHD</t>
  </si>
  <si>
    <t>96FO OS2 MULTI LOOSE TUBE LSZH UNIVERSAL Dca YELLOW RAL1021</t>
  </si>
  <si>
    <t>96FO OS2 MULTI TUBE STRUCTURE LIBRE LSZH UNIVERSEL Dca JAUNE RAL1021</t>
  </si>
  <si>
    <t>KFO48OS2MT-92V</t>
  </si>
  <si>
    <t>KFO48OS2MT</t>
  </si>
  <si>
    <t>48FO OS2 MULTI LOOSE TUBE PEHD OUTDOOR BLACK RAL 9005</t>
  </si>
  <si>
    <t xml:space="preserve">48FO OS2 MULTI TUBE STRUCTURE LIBRE PEHD EXTÉRIEUR NOIR RAL9005 </t>
  </si>
  <si>
    <t>KFO96OS2MT-92V</t>
  </si>
  <si>
    <t>KFO96OS2MT</t>
  </si>
  <si>
    <t>96FO OS2 MULTI LOOSE TUBE PEHD OUTDOOR BLACK RAL 9005</t>
  </si>
  <si>
    <t xml:space="preserve">96FO OS2 MULTI TUBE STRUCTURE LIBRE PEHD EXTÉRIEUR NOIR RAL9005 </t>
  </si>
  <si>
    <t>KFO48OS2MTA-92V</t>
  </si>
  <si>
    <t>KFO48OS2MTA</t>
  </si>
  <si>
    <t>48FO OS2 MULTI LOOSE TUBE ARMORDED PEHD OUTDOOR BLACK RAL 9005</t>
  </si>
  <si>
    <t xml:space="preserve">48FO OS2 MULTI TUBE STRUCTURE LIBRE ARMÉ PEHD EXTÉRIEUR NOIR RAL9005 </t>
  </si>
  <si>
    <t>KFO96OS2MTA-92V</t>
  </si>
  <si>
    <t>KFO96OS2MTA</t>
  </si>
  <si>
    <t>96FO OS2 MULTI LOOSE TUBE ARMORDED PEHD OUTDOOR BLACK RAL 9005</t>
  </si>
  <si>
    <t xml:space="preserve">96FO OS2 MULTI TUBE STRUCTURE LIBRE ARMÉ PEHD EXTÉRIEUR NOIR RAL9005 </t>
  </si>
  <si>
    <t>KFO6OM3CTZHD-E04</t>
  </si>
  <si>
    <t>INFOKS</t>
  </si>
  <si>
    <t>KFO8OM3CTZHD-E04</t>
  </si>
  <si>
    <t>KFO12OM3CTZHD-E04</t>
  </si>
  <si>
    <t>KFO12OM3CTZHD</t>
  </si>
  <si>
    <t>KFO24OM3CTZHD-E04</t>
  </si>
  <si>
    <t>KFO6OM3CTZHC-E04</t>
  </si>
  <si>
    <t>KFO6OM3CTZHC</t>
  </si>
  <si>
    <t>6FO OM3 CENTRAL LOOSE TUBE LSZH UNIVERSAL Cca AQUA RAL6027</t>
  </si>
  <si>
    <t>6FO OM3 TUBE CENTRAL STRUCTURE LIBRE LSZH UNIVERSEL Cca AQUA RAL6027</t>
  </si>
  <si>
    <t>KFO8OM3CTZHC-E04</t>
  </si>
  <si>
    <t>KFO8OM3CTZHC</t>
  </si>
  <si>
    <t>8FO OM3 CENTRAL LOOSE TUBE LSZH UNIVERSAL Cca AQUA RAL6027</t>
  </si>
  <si>
    <t>8FO OM3 TUBE CENTRAL STRUCTURE LIBRE LSZH UNIVERSEL Cca AQUA RAL6027</t>
  </si>
  <si>
    <t>KFO12OM3CTZHC-E04</t>
  </si>
  <si>
    <t>KFO12OM3CTZHC</t>
  </si>
  <si>
    <t>12FO OM3 CENTRAL LOOSE TUBE LSZH UNIVERSAL Cca AQUA RAL6027</t>
  </si>
  <si>
    <t>12FO OM3 TUBE CENTRAL STRUCTURE LIBRE LSZH UNIVERSEL Cca AQUA RAL6027</t>
  </si>
  <si>
    <t>KFO24OM3CTZHC-E04</t>
  </si>
  <si>
    <t>KFO24OM3CTZHC</t>
  </si>
  <si>
    <t>24FO OM3 CENTRAL LOOSE TUBE LSZH UNIVERSAL Cca AQUA RAL6027</t>
  </si>
  <si>
    <t>24FO OM3 TUBE CENTRAL STRUCTURE LIBRE LSZH UNIVERSEL Cca AQUA RAL6027</t>
  </si>
  <si>
    <t>KFO6OM3TBZHC-E04</t>
  </si>
  <si>
    <t>KFO8OM3TBZHC-E04</t>
  </si>
  <si>
    <t>KFO12OM3TBZHC-E04</t>
  </si>
  <si>
    <t>KFO24OM3TBZHC-E04</t>
  </si>
  <si>
    <t>KFO6OM3CT-E04</t>
  </si>
  <si>
    <t>KFO8OM3CT-E04</t>
  </si>
  <si>
    <t>KFO12OM3CT-E04</t>
  </si>
  <si>
    <t>KFO24OM3CT-E04</t>
  </si>
  <si>
    <t>KFO2OM3CTA-E04</t>
  </si>
  <si>
    <t>KFO2OM3CTA</t>
  </si>
  <si>
    <t>2FO OM3 CENTRAL LOOSE TUBE ARMORED PEHD OUTDOOR BLACK RAL9005</t>
  </si>
  <si>
    <t>2FO OM3 TUBE CENTRAL STRUCTURE LIBRE ARMÉ PEHD EXTÉRIEUR NOIR RAL9005</t>
  </si>
  <si>
    <t>KFO4OM3CTA-E04</t>
  </si>
  <si>
    <t>KFO4OM3CTA</t>
  </si>
  <si>
    <t>4FO OM3 CENTRAL LOOSE TUBE ARMORED PEHD OUTDOOR BLACK RAL9005</t>
  </si>
  <si>
    <t>4FO OM3 TUBE CENTRAL STRUCTURE LIBRE ARMÉ PEHD EXTÉRIEUR NOIR RAL9005</t>
  </si>
  <si>
    <t>KFO6OM3CTA-E04</t>
  </si>
  <si>
    <t>KFO8OM3CTA-E04</t>
  </si>
  <si>
    <t>KFO10OM3CTA-E04</t>
  </si>
  <si>
    <t>KFO10OM3CTA</t>
  </si>
  <si>
    <t>10FO OM3 CENTRAL LOOSE TUBE ARMORED PEHD OUTDOOR BLACK RAL9005</t>
  </si>
  <si>
    <t>10FO OM3 TUBE CENTRAL STRUCTURE LIBRE ARMÉ  PEHD EXTÉRIEUR NOIR RAL9005</t>
  </si>
  <si>
    <t>KFO12OM3CTA-E04</t>
  </si>
  <si>
    <t>KFO16OM3CTA-E04</t>
  </si>
  <si>
    <t>KFO16OM3CTA</t>
  </si>
  <si>
    <t>16FO OM3 CENTRAL LOOSE TUBE ARMORED PEHD OUTDOOR BLACK RAL9005</t>
  </si>
  <si>
    <t>16FO OM3 TUBE CENTRAL STRUCTURE LIBRE ARMÉ  PEHD EXTÉRIEUR NOIR RAL9005</t>
  </si>
  <si>
    <t>KFO20OM3CTA-E04</t>
  </si>
  <si>
    <t>KFO20OM3CTA</t>
  </si>
  <si>
    <t>20FO OM3 CENTRAL LOOSE TUBE ARMORED PEHD OUTDOOR BLACK RAL9005</t>
  </si>
  <si>
    <t>20FO OM3 TUBE CENTRAL STRUCTURE LIBRE ARMÉ  PEHD EXTÉRIEUR NOIR RAL9005</t>
  </si>
  <si>
    <t>KFO24OM3CTA-E04</t>
  </si>
  <si>
    <t>KFO12OM3CTAZHB2-E04</t>
  </si>
  <si>
    <t>KFO12OM3CTAZHB2</t>
  </si>
  <si>
    <t>12FO OM3 CENTRAL LOOSE TUBE ARMORED LSZH B2ca OUTDOOR AQUA RAL6027</t>
  </si>
  <si>
    <t>12FO OM3 TUBE CENTRAL STRUCTURE LIBRE ARMÉ LSZH B2ca EXTÉRIEUR AQUA RAL6027</t>
  </si>
  <si>
    <t>KFO24OM3CTAZHB2-E04</t>
  </si>
  <si>
    <t>KFO24OM3CTAZHB2</t>
  </si>
  <si>
    <t>24FO OM3 CENTRAL LOOSE TUBE ARMORED LSZH B2ca OUTDOOR AQUA RAL6027</t>
  </si>
  <si>
    <t>24FO OM3 TUBE CENTRAL STRUCTURE LIBRE ARMÉ LSZH B2ca EXTÉRIEUR AQUA RAL6027</t>
  </si>
  <si>
    <t>4</t>
  </si>
  <si>
    <t>KFO4OM3CTAZHB2FR-E04</t>
  </si>
  <si>
    <t>KFO4OM3CTAZHB2FR</t>
  </si>
  <si>
    <t>4FO OM3 CENTRAL LOOSE TUBE ARMORED LSZH FR B2ca OUTDOOR AQUA RAL6027</t>
  </si>
  <si>
    <t>4FO OM3 TUBE CENTRAL STRUCTURE LIBRE ARMÉ LSZH FR B2ca EXTÉRIEUR AQUA RAL6027</t>
  </si>
  <si>
    <t>KFO6OM3CTAZHB2FR-E04</t>
  </si>
  <si>
    <t>KFO6OM3CTAZHB2FR</t>
  </si>
  <si>
    <t>6FO OM3 CENTRAL LOOSE TUBE ARMORED LSZH FR B2ca OUTDOOR AQUA RAL6027</t>
  </si>
  <si>
    <t>6FO OM3 TUBE CENTRAL STRUCTURE LIBRE ARMÉ LSZH FR B2ca EXTÉRIEUR AQUA RAL6027</t>
  </si>
  <si>
    <t>KFO8OM3CTAZHB2FR-E04</t>
  </si>
  <si>
    <t>KFO8OM3CTAZHB2FR</t>
  </si>
  <si>
    <t>8FO OM3 CENTRAL LOOSE TUBE ARMORED LSZH FR B2ca OUTDOOR AQUA RAL6027</t>
  </si>
  <si>
    <t>8FO OM3 TUBE CENTRAL STRUCTURE LIBRE ARMÉ LSZH FR B2ca EXTÉRIEUR AQUA RAL6027</t>
  </si>
  <si>
    <t>KFO12OM3CTAZHB2FR-E04</t>
  </si>
  <si>
    <t>KFO12OM3CTAZHB2FR</t>
  </si>
  <si>
    <t>12FO OM3 CENTRAL LOOSE TUBE ARMORED LSZH FR B2ca OUTDOOR AQUA RAL6027</t>
  </si>
  <si>
    <t>12FO OM3 TUBE CENTRAL STRUCTURE LIBRE ARMÉ LSZH FR B2ca EXTÉRIEUR AQUA RAL6027</t>
  </si>
  <si>
    <t>KFO24OM3CTAZHB2FR-E04</t>
  </si>
  <si>
    <t>KFO24OM3CTAZHB2FR</t>
  </si>
  <si>
    <t>24FO OM3 CENTRAL LOOSE TUBE ARMORED LSZH FR B2ca OUTDOOR AQUA RAL6027</t>
  </si>
  <si>
    <t>24FO OM3 TUBE CENTRAL STRUCTURE LIBRE ARMÉ LSZH FR B2ca EXTÉRIEUR AQUA RAL6027</t>
  </si>
  <si>
    <t>KFO12OM3MTZHD-E04</t>
  </si>
  <si>
    <t>KFO12OM3MTZHD</t>
  </si>
  <si>
    <t>12FO OM3 MULTI LOOSE TUBE LSZH UNIVERSAL Dca AQUA RAL6027</t>
  </si>
  <si>
    <t>12FO OM3 MULTI TUBE STRUCTURE LIBRE LSZH UNIVERSEL Dca AQUA RAL6027</t>
  </si>
  <si>
    <t>KFO24OM3MTZHD-E04</t>
  </si>
  <si>
    <t>KFO24OM3MTZHD</t>
  </si>
  <si>
    <t>24FO OM3 MULTI LOOSE TUBE LSZH UNIVERSAL Dca AQUA RAL6027</t>
  </si>
  <si>
    <t>24FO OM3 MULTI TUBE STRUCTURE LIBRE LSZH UNIVERSEL Dca AQUA RAL6027</t>
  </si>
  <si>
    <t>KFO48OM3MTZHD-E04</t>
  </si>
  <si>
    <t>72</t>
  </si>
  <si>
    <t>KFO72OM3MTZHD-E04</t>
  </si>
  <si>
    <t>KFO72OM3MTZHD</t>
  </si>
  <si>
    <t>72FO OM3 MULTI LOOSE TUBE LSZH UNIVERSAL Dca AQUA RAL6027</t>
  </si>
  <si>
    <t>72FO OM3 MULTI TUBE STRUCTURE LIBRE LSZH UNIVERSEL Dca AQUA RAL6027</t>
  </si>
  <si>
    <t>KFO96OM3MTZHD-E04</t>
  </si>
  <si>
    <t>144</t>
  </si>
  <si>
    <t>KFO144OM3MTZHD-E04</t>
  </si>
  <si>
    <t>KFO144OM3MTZHD</t>
  </si>
  <si>
    <t>144FO OM3 MULTI LOOSE TUBE LSZH UNIVERSAL Dca AQUA RAL6027</t>
  </si>
  <si>
    <t>144FO OM3 MULTI TUBE STRUCTURE LIBRE LSZH UNIVERSEL Dca AQUA RAL6027</t>
  </si>
  <si>
    <t>288</t>
  </si>
  <si>
    <t>KFO288OM3MTZHD-E04</t>
  </si>
  <si>
    <t>KFO288OM3MTZHD</t>
  </si>
  <si>
    <t>288FO OM3 MULTI LOOSE TUBE LSZH UNIVERSAL Dca AQUA RAL6027</t>
  </si>
  <si>
    <t>288FO OM3 MULTI TUBE STRUCTURE LIBRE LSZH UNIVERSEL Dca AQUA RAL6027</t>
  </si>
  <si>
    <t>KFO12OM3MTZHC-E04</t>
  </si>
  <si>
    <t>KFO12OM3MTZHC</t>
  </si>
  <si>
    <t>12FO OM3 MULTI LOOSE TUBE LSZH UNIVERSAL Cca AQUA RAL6027</t>
  </si>
  <si>
    <t>12FO OM3 MULTI TUBE STRUCTURE LIBRE LSZH UNIVERSEL Cca AQUA RAL6027</t>
  </si>
  <si>
    <t>KFO24OM3MTZHC-E04</t>
  </si>
  <si>
    <t>KFO24OM3MTZHC</t>
  </si>
  <si>
    <t>24FO OM3 MULTI LOOSE TUBE LSZH UNIVERSAL Cca AQUA RAL6027</t>
  </si>
  <si>
    <t>24FO OM3 MULTI TUBE STRUCTURE LIBRE LSZH UNIVERSEL Cca AQUA RAL6027</t>
  </si>
  <si>
    <t>KFO48OM3MTZHC-E04</t>
  </si>
  <si>
    <t>KFO48OM3MTZHC</t>
  </si>
  <si>
    <t>48FO OM3 MULTI LOOSE TUBE LSZH UNIVERSAL Cca AQUA RAL6027</t>
  </si>
  <si>
    <t>48FO OM3 MULTI TUBE STRUCTURE LIBRE LSZH UNIVERSEL Cca AQUA RAL6027</t>
  </si>
  <si>
    <t>KFO72OM3MTZHC-E04</t>
  </si>
  <si>
    <t>KFO72OM3MTZHC</t>
  </si>
  <si>
    <t>72FO OM3 MULTI LOOSE TUBE LSZH UNIVERSAL Cca AQUA RAL6027</t>
  </si>
  <si>
    <t>72FO OM3 MULTI TUBE STRUCTURE LIBRE LSZH UNIVERSEL Cca AQUA RAL6027</t>
  </si>
  <si>
    <t>KFO96OM3MTZHC-E04</t>
  </si>
  <si>
    <t>KFO96OM3MTZHC</t>
  </si>
  <si>
    <t>96FO OM3 MULTI LOOSE TUBE LSZH UNIVERSAL Cca AQUA RAL6027</t>
  </si>
  <si>
    <t>96FO OM3 MULTI TUBE STRUCTURE LIBRE LSZH UNIVERSEL Cca AQUA RAL6027</t>
  </si>
  <si>
    <t>KFO144OM3MTZHC-E04</t>
  </si>
  <si>
    <t>KFO144OM3MTZHC</t>
  </si>
  <si>
    <t>144FO OM3 MULTI LOOSE TUBE LSZH UNIVERSAL Cca AQUA RAL6027</t>
  </si>
  <si>
    <t>144FO OM3 MULTI TUBE STRUCTURE LIBRE LSZH UNIVERSEL Cca AQUA RAL6027</t>
  </si>
  <si>
    <t>KFO288OM3MTZHC-E04</t>
  </si>
  <si>
    <t>KFO288OM3MTZHC</t>
  </si>
  <si>
    <t>288FO OM3 MULTI LOOSE TUBE LSZH UNIVERSAL Cca AQUA RAL6027</t>
  </si>
  <si>
    <t>288FO OM3 MULTI TUBE STRUCTURE LIBRE LSZH UNIVERSEL Cca AQUA RAL6027</t>
  </si>
  <si>
    <t>KFO48OM3MT-E04</t>
  </si>
  <si>
    <t>KFO96OM3MT-E04</t>
  </si>
  <si>
    <t>KFO48OM3MTA-E04</t>
  </si>
  <si>
    <t>KFO96OM3MTA-E04</t>
  </si>
  <si>
    <t>MULTI TUBE ARMORED OUTDOOR SIMPLE JACKET</t>
  </si>
  <si>
    <t>KFO12OM3MTAZHB2-E04</t>
  </si>
  <si>
    <t>KFO12OM3MTAZHB2</t>
  </si>
  <si>
    <t>12FO OM3 MULTI LOOSE TUBE ARMORDED SIMPLE JACKET LSZH B2ca OUTDOOR AQUA RAL6027</t>
  </si>
  <si>
    <t>12FO OM3 MULTITUBE STRUCTURE LIBRE ARME SIMPLE GAINE LSZH B2ca EXTÉRIEUR AQUA RAL6027</t>
  </si>
  <si>
    <t>KFO24OM3MTAZHB2-E04</t>
  </si>
  <si>
    <t>KFO24OM3MTAZHB2</t>
  </si>
  <si>
    <t>24FO OM3 MULTI LOOSE TUBE ARMORDED SIMPLE JACKET LSZH B2ca OUTDOOR AQUA RAL6027</t>
  </si>
  <si>
    <t>24FO OM3 MULTITUBE STRUCTURE LIBRE ARME SIMPLE GAINE LSZH B2ca EXTÉRIEUR AQUA RAL6027</t>
  </si>
  <si>
    <t>KFO48OM3MTAZHB2-E04</t>
  </si>
  <si>
    <t>KFO48OM3MTAZHB2</t>
  </si>
  <si>
    <t>48FO OM3 MULTI LOOSE TUBE ARMORDED SIMPLE JACKET LSZH B2ca OUTDOOR AQUA RAL6027</t>
  </si>
  <si>
    <t>48FO OM3 MULTITUBE STRUCTURE LIBRE ARME SIMPLE GAINE LSZH B2ca EXTÉRIEUR AQUA RAL6027</t>
  </si>
  <si>
    <t>MULTI TUBE UNIVERSAL DOUBLE JACKET</t>
  </si>
  <si>
    <t>KFO12OM3MTZHAZHB2-E04</t>
  </si>
  <si>
    <t>KFO12OM3MTZHAZHB2</t>
  </si>
  <si>
    <t>12FO OM3 MULTI LOOSE TUBE ARMORDED DOUBLE JACKET LSZH B2ca OUTDOOR AQUA RAL6027</t>
  </si>
  <si>
    <t>12FO OM3 MULTITUBE STRUCTURE LIBRE ARME DOUBLE GAINE LSZH B2ca EXTÉRIEUR AQUA RAL6027</t>
  </si>
  <si>
    <t>KFO24OM3MTZHAZHB2-E04</t>
  </si>
  <si>
    <t>KFO24OM3MTZHAZHB2</t>
  </si>
  <si>
    <t>24FO OM3 MULTI LOOSE TUBE ARMORDED DOUBLE JACKET LSZH B2ca OUTDOOR AQUA RAL6027</t>
  </si>
  <si>
    <t>24FO OM3 MULTITUBE STRUCTURE LIBRE ARME DOUBLE GAINE LSZH B2ca EXTÉRIEUR AQUA RAL6027</t>
  </si>
  <si>
    <t>KFO48OM3MTZHAZHB2-E04</t>
  </si>
  <si>
    <t>KFO48OM3MTZHAZHB2</t>
  </si>
  <si>
    <t>48FO OM3 MULTI LOOSE TUBE ARMORDED DOUBLE JACKET LSZH B2ca OUTDOOR AQUA RAL6027</t>
  </si>
  <si>
    <t>48FO OM3 MULTITUBE STRUCTURE LIBRE ARME DOUBLE GAINE LSZH B2ca EXTÉRIEUR AQUA RAL6027</t>
  </si>
  <si>
    <t>KFO2OM4CTA-E04</t>
  </si>
  <si>
    <t>KFO2OM4CTA</t>
  </si>
  <si>
    <t>2FO OM4 CENTRAL LOOSE TUBE ARMORED PEHD OUTDOOR BLACK RAL9005</t>
  </si>
  <si>
    <t>2FO OM4 TUBE CENTRAL STRUCTURE LIBRE ARMÉ PEHD EXTÉRIEUR NOIR RAL9005</t>
  </si>
  <si>
    <t>KFO4OM4CTA-E04</t>
  </si>
  <si>
    <t>KFO4OM4CTA</t>
  </si>
  <si>
    <t>4FO OM4 CENTRAL LOOSE TUBE ARMORED PEHD OUTDOOR BLACK RAL9005</t>
  </si>
  <si>
    <t>4FO OM4 TUBE CENTRAL STRUCTURE LIBRE ARMÉ PEHD EXTÉRIEUR NOIR RAL9005</t>
  </si>
  <si>
    <t>KFO6OM4CTA-E04</t>
  </si>
  <si>
    <t>KFO6OM4CTA</t>
  </si>
  <si>
    <t>6FO OM4 CENTRAL LOOSE TUBE ARMORED PEHD OUTDOOR BLACK RAL9005</t>
  </si>
  <si>
    <t>6FO OM4 TUBE CENTRAL STRUCTURE LIBRE ARMÉ PEHD EXTÉRIEUR NOIR RAL9005</t>
  </si>
  <si>
    <t>KFO8OM4CTA-E04</t>
  </si>
  <si>
    <t>KFO8OM4CTA</t>
  </si>
  <si>
    <t>8FO OM4 CENTRAL LOOSE TUBE ARMORED PEHD OUTDOOR BLACK RAL9005</t>
  </si>
  <si>
    <t>8FO OM4 TUBE CENTRAL STRUCTURE LIBRE ARMÉ EXTÉRIEUR NOIR RAL9005</t>
  </si>
  <si>
    <t>KFO10OM4CTA-E04</t>
  </si>
  <si>
    <t>KFO10OM4CTA</t>
  </si>
  <si>
    <t>10FO OM4 CENTRAL LOOSE TUBE ARMORED PEHD OUTDOOR BLACK RAL9005</t>
  </si>
  <si>
    <t>10FO OM4 TUBE CENTRAL STRUCTURE LIBRE ARMÉ  PEHD EXTÉRIEUR NOIR RAL9005</t>
  </si>
  <si>
    <t>KFO12OM4CTA-E04</t>
  </si>
  <si>
    <t>KFO12OM4CTA</t>
  </si>
  <si>
    <t>12FO OM4 CENTRAL LOOSE TUBE ARMORED PEHD OUTDOOR BLACK RAL9005</t>
  </si>
  <si>
    <t>12FO OM4 TUBE CENTRAL STRUCTURE LIBRE ARMÉ  PEHD EXTÉRIEUR NOIR RAL9005</t>
  </si>
  <si>
    <t>KFO16OM4CTA-E04</t>
  </si>
  <si>
    <t>KFO16OM4CTA</t>
  </si>
  <si>
    <t>16FO OM4 CENTRAL LOOSE TUBE ARMORED PEHD OUTDOOR BLACK RAL9005</t>
  </si>
  <si>
    <t>16FO OM4 TUBE CENTRAL STRUCTURE LIBRE ARMÉ  PEHD EXTÉRIEUR NOIR RAL9005</t>
  </si>
  <si>
    <t>KFO20OM4CTA-E04</t>
  </si>
  <si>
    <t>KFO20OM4CTA</t>
  </si>
  <si>
    <t>20FO OM4 CENTRAL LOOSE TUBE ARMORED PEHD OUTDOOR BLACK RAL9005</t>
  </si>
  <si>
    <t>20FO OM4 TUBE CENTRAL STRUCTURE LIBRE ARMÉ  PEHD EXTÉRIEUR NOIR RAL9005</t>
  </si>
  <si>
    <t>KFO24OM4CTA-E04</t>
  </si>
  <si>
    <t>KFO24OM4CTA</t>
  </si>
  <si>
    <t>24FO OM4 CENTRAL LOOSE TUBE ARMORED PEHD OUTDOOR BLACK RAL9005</t>
  </si>
  <si>
    <t>24FO OM4 TUBE CENTRAL STRUCTURE LIBRE ARMÉ  PEHD EXTÉRIEUR NOIR RAL9005</t>
  </si>
  <si>
    <t>KFO6OM4CTZHD-E04</t>
  </si>
  <si>
    <t>KFO8OM4CTZHD-E04</t>
  </si>
  <si>
    <t>KFO8OM4CTZHD</t>
  </si>
  <si>
    <t>KFO12OM4CTZHD-E04</t>
  </si>
  <si>
    <t>KFO12OM4CTZHD</t>
  </si>
  <si>
    <t>KFO24OM4CTZHD-E04</t>
  </si>
  <si>
    <t>KFO24OM4CTZHD</t>
  </si>
  <si>
    <t>KFO4OM4CTAZHB2-E04</t>
  </si>
  <si>
    <t>KFO4OM4CTAZHB2</t>
  </si>
  <si>
    <t>4FO OM4 CENTRAL LOOSE TUBE ARMORED LSZH B2ca OUTDOOR ERIKA VIOLET RAL4003</t>
  </si>
  <si>
    <t>4FO OM4 TUBE CENTRAL STRUCTURE LIBRE ARMÉ LSZH B2ca EXTÉRIEUR VIOLET ERIKA RAL4003</t>
  </si>
  <si>
    <t>KFO8OM4CTAZHB2-E04</t>
  </si>
  <si>
    <t>KFO8OM4CTAZHB2</t>
  </si>
  <si>
    <t>8FO OM4 CENTRAL LOOSE TUBE ARMORED LSZH B2ca OUTDOOR ERIKA VIOLET RAL4003</t>
  </si>
  <si>
    <t>8FO OM4 TUBE CENTRAL STRUCTURE LIBRE ARMÉ LSZH B2ca EXTÉRIEUR VIOLET ERIKA RAL4003</t>
  </si>
  <si>
    <t>KFO12OM4CTAZHB2-E04</t>
  </si>
  <si>
    <t>KFO12OM4CTAZHB2</t>
  </si>
  <si>
    <t>12FO OM4 CENTRAL LOOSE TUBE ARMORED LSZH B2ca OUTDOOR ERIKA VIOLET RAL4003</t>
  </si>
  <si>
    <t>12FO OM4 TUBE CENTRAL STRUCTURE LIBRE ARMÉ LSZH B2ca EXTÉRIEUR VIOLET ERIKA RAL4003</t>
  </si>
  <si>
    <t>KFO24OM4CTAZHB2-E04</t>
  </si>
  <si>
    <t>KFO24OM4CTAZHB2</t>
  </si>
  <si>
    <t>24FO OM4 CENTRAL LOOSE TUBE ARMORED LSZH B2ca OUTDOOR ERIKA VIOLET RAL4003</t>
  </si>
  <si>
    <t>24FO OM4 TUBE CENTRAL STRUCTURE LIBRE ARMÉ LSZH B2ca EXTÉRIEUR VIOLET ERIKA RAL4003</t>
  </si>
  <si>
    <t>KFO12OM4MTZHD-E04</t>
  </si>
  <si>
    <t>KFO12OM4MTZHD</t>
  </si>
  <si>
    <t>12FO OM4 MULTI LOOSE TUBE LSZH UNIVERSAL Dca ERIKA VIOLET RAL4003</t>
  </si>
  <si>
    <t>12FO OM4 MULTI TUBE STRUCTURE LIBRE LSZH UNIVERSEL Dca VIOLET ERIKA RAL4003</t>
  </si>
  <si>
    <t>KFO24OM4MTZHD-E04</t>
  </si>
  <si>
    <t>KFO24OM4MTZHD</t>
  </si>
  <si>
    <t>24FO OM4 MULTI LOOSE TUBE LSZH UNIVERSAL Dca ERIKA VIOLET RAL4003</t>
  </si>
  <si>
    <t>24FO OM4 MULTI TUBE STRUCTURE LIBRE LSZH UNIVERSEL Dca VIOLET ERIKA RAL4003</t>
  </si>
  <si>
    <t>KFO48OM4MTZHD-E04</t>
  </si>
  <si>
    <t>KFO72OM4MTZHD-E04</t>
  </si>
  <si>
    <t>KFO72OM4MTZHD</t>
  </si>
  <si>
    <t>72FO OM4 MULTI LOOSE TUBE LSZH UNIVERSAL Dca ERIKA VIOLET RAL4003</t>
  </si>
  <si>
    <t>72FO OM4 MULTI TUBE STRUCTURE LIBRE LSZH UNIVERSEL Dca VIOLET ERIKA RAL4003</t>
  </si>
  <si>
    <t>KFO96OM4MTZHD-E04</t>
  </si>
  <si>
    <t>KFO144OM4MTZHD-E04</t>
  </si>
  <si>
    <t>KFO144OM4MTZHD</t>
  </si>
  <si>
    <t>144FO OM4 MULTI LOOSE TUBE LSZH UNIVERSAL Dca ERIKA VIOLET RAL4003</t>
  </si>
  <si>
    <t>144FO OM4 MULTI TUBE STRUCTURE LIBRE LSZH UNIVERSEL Dca VIOLET ERIKA RAL4003</t>
  </si>
  <si>
    <t>KFO288OM4MTZHD-E04</t>
  </si>
  <si>
    <t>KFO288OM4MTZHD</t>
  </si>
  <si>
    <t>288FO OM4 MULTI LOOSE TUBE LSZH UNIVERSAL Dca ERIKA VIOLET RAL4003</t>
  </si>
  <si>
    <t>288FO OM4 MULTI TUBE STRUCTURE LIBRE LSZH UNIVERSEL Dca VIOLET ERIKA RAL4003</t>
  </si>
  <si>
    <t>KFO6OM4CTZHC-E04</t>
  </si>
  <si>
    <t>KFO6OM4CTZHC</t>
  </si>
  <si>
    <t>6FO OM4 CENTRAL LOOSE TUBE LSZH UNIVERSAL Cca ERIKA VIOLET RAL4003</t>
  </si>
  <si>
    <t>6FO OM4 TUBE CENTRAL STRUCTURE LIBRE LSZH UNIVERSEL Cca VIOLET ERIKA RAL4003</t>
  </si>
  <si>
    <t>KFO8OM4CTZHC-E04</t>
  </si>
  <si>
    <t>KFO8OM4CTZHC</t>
  </si>
  <si>
    <t>8FO OM4 CENTRAL LOOSE TUBE LSZH UNIVERSAL Cca ERIKA VIOLET RAL4003</t>
  </si>
  <si>
    <t>8FO OM4 TUBE CENTRAL STRUCTURE LIBRE LSZH UNIVERSEL Cca VIOLET ERIKA RAL4003</t>
  </si>
  <si>
    <t>KFO12OM4CTZHC-E04</t>
  </si>
  <si>
    <t>KFO12OM4CTZHC</t>
  </si>
  <si>
    <t>12FO OM4 CENTRAL LOOSE TUBE LSZH UNIVERSAL Cca ERIKA VIOLET RAL4003</t>
  </si>
  <si>
    <t>12FO OM4 TUBE CENTRAL STRUCTURE LIBRE LSZH UNIVERSEL Cca VIOLET ERIKA RAL4003</t>
  </si>
  <si>
    <t>KFO24OM4CTZHC-E04</t>
  </si>
  <si>
    <t>KFO24OM4CTZHC</t>
  </si>
  <si>
    <t>U0803027</t>
  </si>
  <si>
    <t>24FO OM4 CENTRAL LOOSE TUBE LSZH UNIVERSAL Cca ERIKA VIOLET RAL4003</t>
  </si>
  <si>
    <t>24FO OM4 TUBE CENTRAL STRUCTURE LIBRE LSZH UNIVERSEL Cca VIOLET ERIKA RAL4003</t>
  </si>
  <si>
    <t>KFO12OM4MTZHC-E04</t>
  </si>
  <si>
    <t>KFO12OM4MTZHC</t>
  </si>
  <si>
    <t>12FO OM4 MULTI LOOSE TUBE LSZH UNIVERSAL Cca ERIKA VIOLET RAL4003</t>
  </si>
  <si>
    <t>12FO OM4 MULTI TUBE STRUCTURE LIBRE LSZH UNIVERSEL Cca VIOLET ERIKA RAL4003</t>
  </si>
  <si>
    <t>KFO24OM4MTZHC-E04</t>
  </si>
  <si>
    <t>KFO24OM4MTZHC</t>
  </si>
  <si>
    <t>24FO OM4 MULTI LOOSE TUBE LSZH UNIVERSAL Cca ERIKA VIOLET RAL4003</t>
  </si>
  <si>
    <t>24FO OM4 MULTI TUBE STRUCTURE LIBRE LSZH UNIVERSEL Cca VIOLET ERIKA RAL4003</t>
  </si>
  <si>
    <t>KFO48OM4MTZHC-E04</t>
  </si>
  <si>
    <t>KFO48OM4MTZHC</t>
  </si>
  <si>
    <t>48FO OM4 MULTI LOOSE TUBE LSZH UNIVERSAL Cca ERIKA VIOLET RAL4003</t>
  </si>
  <si>
    <t>48FO OM4 MULTI TUBE STRUCTURE LIBRE LSZH UNIVERSEL Cca VIOLET ERIKA RAL4003</t>
  </si>
  <si>
    <t>KFO72OM4MTZHC-E04</t>
  </si>
  <si>
    <t>KFO72OM4MTZHC</t>
  </si>
  <si>
    <t>72FO OM4 MULTI LOOSE TUBE LSZH UNIVERSAL Cca ERIKA VIOLET RAL4003</t>
  </si>
  <si>
    <t>72FO OM4 MULTI TUBE STRUCTURE LIBRE LSZH UNIVERSEL Cca VIOLET ERIKA RAL4003</t>
  </si>
  <si>
    <t>KFO96OM4MTZHC-E04</t>
  </si>
  <si>
    <t>KFO96OM4MTZHC</t>
  </si>
  <si>
    <t>96FO OM4 MULTI LOOSE TUBE LSZH UNIVERSAL Cca ERIKA VIOLET RAL4003</t>
  </si>
  <si>
    <t>96FO OM4 MULTI TUBE STRUCTURE LIBRE LSZH UNIVERSEL Cca VIOLET ERIKA RAL4003</t>
  </si>
  <si>
    <t>KFO144OM4MTZHC-E04</t>
  </si>
  <si>
    <t>KFO144OM4MTZHC</t>
  </si>
  <si>
    <t>144FO OM4 MULTI LOOSE TUBE LSZH UNIVERSAL Cca ERIKA VIOLET RAL4003</t>
  </si>
  <si>
    <t>144FO OM4 MULTI TUBE STRUCTURE LIBRE LSZH UNIVERSEL Cca VIOLET ERIKA RAL4003</t>
  </si>
  <si>
    <t>KFO288OM4MTZHC-E04</t>
  </si>
  <si>
    <t>KFO288OM4MTZHC</t>
  </si>
  <si>
    <t>288FO OM4 MULTI LOOSE TUBE LSZH UNIVERSAL Cca ERIKA VIOLET RAL4003</t>
  </si>
  <si>
    <t>288FO OM4 MULTI TUBE STRUCTURE LIBRE LSZH UNIVERSEL Cca VIOLET ERIKA RAL4003</t>
  </si>
  <si>
    <t>KFO6OM4TBZHC-E04</t>
  </si>
  <si>
    <t>KFO8OM4TBZHC-E04</t>
  </si>
  <si>
    <t>KFO12OM4TBZHC-E04</t>
  </si>
  <si>
    <t>KFO24OM4TBZHC-E04</t>
  </si>
  <si>
    <t>KFO6OM5TBZHC-E04</t>
  </si>
  <si>
    <t>KFO8OM5TBZHC-E04</t>
  </si>
  <si>
    <t>KFO12OM5TBZHC-E04</t>
  </si>
  <si>
    <t>KFO24OM5TBZHC-E04</t>
  </si>
  <si>
    <t>KFO48OM4MT-E04</t>
  </si>
  <si>
    <t>KFO96OM4MT-E04</t>
  </si>
  <si>
    <t>KFO48OM4MTA-E04</t>
  </si>
  <si>
    <t>KFO96OM4MTA-E04</t>
  </si>
  <si>
    <t>MULTI TUBE UNIVERSAL SIMPLE JACKET</t>
  </si>
  <si>
    <t>KFO12OM4MTAZHB2-E04</t>
  </si>
  <si>
    <t>KFO12OM4MTAZHB2</t>
  </si>
  <si>
    <t>12FO OM4 MULTI LOOSE TUBE ARMORDED SIMPLE JACKET LSZH B2ca OUTDOOR ERIKA VIOLET RAL4003</t>
  </si>
  <si>
    <t>12FO OM4 MULTITUBE STRUCTURE LIBRE ARME SIMPLE GAINE LSZH B2ca EXTÉRIEUR VIOLET ERIKA RAL4003</t>
  </si>
  <si>
    <t>KFO24OM4MTAZHB2-E04</t>
  </si>
  <si>
    <t>KFO24OM4MTAZHB2</t>
  </si>
  <si>
    <t>24FO OM4 MULTI LOOSE TUBE ARMORDED SIMPLE JACKET LSZH B2ca OUTDOOR ERIKA VIOLET RAL4003</t>
  </si>
  <si>
    <t>24FO OM4 MULTITUBE STRUCTURE LIBRE ARME SIMPLE GAINE LSZH B2ca EXTÉRIEUR VIOLET ERIKA RAL4003</t>
  </si>
  <si>
    <t>KFO48OM4MTAZHB2-E04</t>
  </si>
  <si>
    <t>KFO48OM4MTAZHB2</t>
  </si>
  <si>
    <t>48FO OM4 MULTI LOOSE TUBE ARMORDED SIMPLE JACKET LSZH B2ca OUTDOOR ERIKA VIOLET RAL4003</t>
  </si>
  <si>
    <t>48FO OM4 MULTITUBE STRUCTURE LIBRE ARME SIMPLE GAINE LSZH B2ca EXTÉRIEUR VIOLET ERIKA RAL4003</t>
  </si>
  <si>
    <t>KFO12OM4MTZHAZHB2-E04</t>
  </si>
  <si>
    <t>KFO12OM4MTZHAZHB2</t>
  </si>
  <si>
    <t>12FO OM4 MULTI LOOSE TUBE ARMORDED DOUBLE JACKET LSZH B2ca OUTDOOR ERIKA VIOLET RAL4003</t>
  </si>
  <si>
    <t>12FO OM4 MULTITUBE STRUCTURE LIBRE ARME DOUBLE GAINE LSZH B2ca EXTÉRIEUR VIOLET ERIKA RAL4003</t>
  </si>
  <si>
    <t>KFO24OM4MTZHAZHB2-E04</t>
  </si>
  <si>
    <t>KFO24OM4MTZHAZHB2</t>
  </si>
  <si>
    <t>24FO OM4 MULTI LOOSE TUBE ARMORDED DOUBLE JACKET LSZH B2ca OUTDOOR ERIKA VIOLET RAL4003</t>
  </si>
  <si>
    <t>24FO OM4 MULTITUBE STRUCTURE LIBRE ARME DOUBLE GAINE LSZH B2ca EXTÉRIEUR VIOLET ERIKA RAL4003</t>
  </si>
  <si>
    <t>KFO48OM4MTZHAZHB2-E04</t>
  </si>
  <si>
    <t>KFO48OM4MTZHAZHB2</t>
  </si>
  <si>
    <t>48FO OM4 MULTI LOOSE TUBE ARMORDED DOUBLE JACKET LSZH B2ca OUTDOOR ERIKA VIOLET RAL4003</t>
  </si>
  <si>
    <t>48FO OM4 MULTITUBE STRUCTURE LIBRE ARME DOUBLE GAINE LSZH B2ca EXTÉRIEUR VIOLET ERIKA RAL4003</t>
  </si>
  <si>
    <t>KFO2OM5CTA-E04</t>
  </si>
  <si>
    <t>KFO2OM5CTA</t>
  </si>
  <si>
    <t>2FO OM5 CENTRAL LOOSE TUBE ARMORED PEHD OUTDOOR BLACK RAL9005</t>
  </si>
  <si>
    <t>2FO OM5 TUBE CENTRAL STRUCTURE LIBRE ARMÉ PEHD EXTÉRIEUR NOIR RAL9005</t>
  </si>
  <si>
    <t>KFO4OM5CTA-E04</t>
  </si>
  <si>
    <t>KFO4OM5CTA</t>
  </si>
  <si>
    <t>5FO OM5 CENTRAL LOOSE TUBE ARMORED PEHD OUTDOOR BLACK RAL9005</t>
  </si>
  <si>
    <t>5FO OM5 TUBE CENTRAL STRUCTURE LIBRE ARMÉ PEHD EXTÉRIEUR NOIR RAL9005</t>
  </si>
  <si>
    <t>KFO6OM5CTA-E04</t>
  </si>
  <si>
    <t>KFO6OM5CTA</t>
  </si>
  <si>
    <t>6FO OM5 CENTRAL LOOSE TUBE ARMORED PEHD OUTDOOR BLACK RAL9005</t>
  </si>
  <si>
    <t>6FO OM5 TUBE CENTRAL STRUCTURE LIBRE ARMÉ PEHD EXTÉRIEUR NOIR RAL9005</t>
  </si>
  <si>
    <t>KFO8OM5CTA-E04</t>
  </si>
  <si>
    <t>KFO8OM5CTA</t>
  </si>
  <si>
    <t>8FO OM5 CENTRAL LOOSE TUBE ARMORED PEHD OUTDOOR BLACK RAL9005</t>
  </si>
  <si>
    <t>8FO OM5 TUBE CENTRAL STRUCTURE LIBRE ARMÉ EXTÉRIEUR NOIR RAL9005</t>
  </si>
  <si>
    <t>KFO10OM5CTA-E04</t>
  </si>
  <si>
    <t>KFO10OM5CTA</t>
  </si>
  <si>
    <t>10FO OM5 CENTRAL LOOSE TUBE ARMORED PEHD OUTDOOR BLACK RAL9005</t>
  </si>
  <si>
    <t>10FO OM5 TUBE CENTRAL STRUCTURE LIBRE ARMÉ  PEHD EXTÉRIEUR NOIR RAL9005</t>
  </si>
  <si>
    <t>KFO12OM5CTA-E04</t>
  </si>
  <si>
    <t>KFO12OM5CTA</t>
  </si>
  <si>
    <t>12FO OM5 CENTRAL LOOSE TUBE ARMORED PEHD OUTDOOR BLACK RAL9005</t>
  </si>
  <si>
    <t>12FO OM5 TUBE CENTRAL STRUCTURE LIBRE ARMÉ  PEHD EXTÉRIEUR NOIR RAL9005</t>
  </si>
  <si>
    <t>KFO16OM5CTA-E04</t>
  </si>
  <si>
    <t>KFO16OM5CTA</t>
  </si>
  <si>
    <t>16FO OM5 CENTRAL LOOSE TUBE ARMORED PEHD OUTDOOR BLACK RAL9005</t>
  </si>
  <si>
    <t>16FO OM5 TUBE CENTRAL STRUCTURE LIBRE ARMÉ  PEHD EXTÉRIEUR NOIR RAL9005</t>
  </si>
  <si>
    <t>KFO20OM5CTA-E04</t>
  </si>
  <si>
    <t>KFO20OM5CTA</t>
  </si>
  <si>
    <t>20FO OM5 CENTRAL LOOSE TUBE ARMORED PEHD OUTDOOR BLACK RAL9005</t>
  </si>
  <si>
    <t>20FO OM5 TUBE CENTRAL STRUCTURE LIBRE ARMÉ  PEHD EXTÉRIEUR NOIR RAL9005</t>
  </si>
  <si>
    <t>KFO24OM5CTA-E04</t>
  </si>
  <si>
    <t>KFO24OM5CTA</t>
  </si>
  <si>
    <t>24FO OM5 CENTRAL LOOSE TUBE ARMORED PEHD OUTDOOR BLACK RAL9005</t>
  </si>
  <si>
    <t>24FO OM5 TUBE CENTRAL STRUCTURE LIBRE ARMÉ  PEHD EXTÉRIEUR NOIR RAL9005</t>
  </si>
  <si>
    <t>KFO4OM5CTZHCBLACK-E04</t>
  </si>
  <si>
    <t>KFO4OM5CTZHCBLACK</t>
  </si>
  <si>
    <t>4FO OM5 CENTRAL LOOSE TUBE LSZH UNIVERSAL Cca black RAL9005</t>
  </si>
  <si>
    <t>4FO OM5 TUBE CENTRAL STRUCTURE LIBRE LSZH UNIVERSEL Cca Noir RAL 9005</t>
  </si>
  <si>
    <t>KFO6OM5CTZHD-E04</t>
  </si>
  <si>
    <t>KFO8OM5CTZHD-E04</t>
  </si>
  <si>
    <t>KFO12OM5CTZHD-E04</t>
  </si>
  <si>
    <t>KFO24OM5CTZHD-E04</t>
  </si>
  <si>
    <t>KFO12OM5MTZHD-E04</t>
  </si>
  <si>
    <t>KFO12OM5MTZHD</t>
  </si>
  <si>
    <t>12FO OM5 MULTI LOOSE TUBE LSZH UNIVERSAL Dca LIME GREEN RAL 6039</t>
  </si>
  <si>
    <t>12FO OM5 MULTI TUBE STRUCTURE LIBRE LSZH UNIVERSEL Dca VERT LIME RAL 6039</t>
  </si>
  <si>
    <t>KFO24OM5MTZHD-E04</t>
  </si>
  <si>
    <t>KFO24OM5MTZHD</t>
  </si>
  <si>
    <t>24FO OM5 MULTI LOOSE TUBE LSZH UNIVERSAL Dca LIME GREEN RAL 6039</t>
  </si>
  <si>
    <t>24FO OM5 MULTI TUBE STRUCTURE LIBRE LSZH UNIVERSEL Dca VERT LIME RAL 6039</t>
  </si>
  <si>
    <t>KFO48OM5MTZHD-E04</t>
  </si>
  <si>
    <t>KFO72OM5MTZHD-E04</t>
  </si>
  <si>
    <t>KFO72OM5MTZHD</t>
  </si>
  <si>
    <t>72FO OM5 MULTI LOOSE TUBE LSZH UNIVERSAL Dca LIME GREEN RAL 6039</t>
  </si>
  <si>
    <t>72FO OM5 MULTI TUBE STRUCTURE LIBRE LSZH UNIVERSEL Dca VERT LIME RAL 6039</t>
  </si>
  <si>
    <t>KFO96OM5MTZHD-E04</t>
  </si>
  <si>
    <t>KFO144OM5MTZHD-E04</t>
  </si>
  <si>
    <t>KFO144OM5MTZHD</t>
  </si>
  <si>
    <t>144FO OM5 MULTI LOOSE TUBE LSZH UNIVERSAL Dca LIME GREEN RAL 6039</t>
  </si>
  <si>
    <t>144FO OM5 MULTI TUBE STRUCTURE LIBRE LSZH UNIVERSEL Dca VERT LIME RAL 6039</t>
  </si>
  <si>
    <t>KFO288OM5MTZHD-E04</t>
  </si>
  <si>
    <t>KFO288OM5MTZHD</t>
  </si>
  <si>
    <t>288FO OM5 MULTI LOOSE TUBE LSZH UNIVERSAL Dca LIME GREEN RAL 6039</t>
  </si>
  <si>
    <t>288FO OM5 MULTI TUBE STRUCTURE LIBRE LSZH UNIVERSEL Dca VERT LIME RAL 6039</t>
  </si>
  <si>
    <t>KFO4OM5CTZHC-E04</t>
  </si>
  <si>
    <t>KFO4OM5CTZHC</t>
  </si>
  <si>
    <t>4FO OM5 CENTRAL LOOSE TUBE LSZH UNIVERSAL Cca ERIKA VIOLET RAL5003</t>
  </si>
  <si>
    <t>4FO OM5 TUBE CENTRAL STRUCTURE LIBRE LSZH UNIVERSEL Cca VIOLET ERIKA RAL5003</t>
  </si>
  <si>
    <t>KFO6OM5CTZHC-E04</t>
  </si>
  <si>
    <t>KFO6OM5CTZHC</t>
  </si>
  <si>
    <t>6FO OM5 CENTRAL LOOSE TUBE LSZH UNIVERSAL Cca ERIKA VIOLET RAL5003</t>
  </si>
  <si>
    <t>6FO OM5 TUBE CENTRAL STRUCTURE LIBRE LSZH UNIVERSEL Cca VIOLET ERIKA RAL5003</t>
  </si>
  <si>
    <t>KFO8OM5CTZHC-E04</t>
  </si>
  <si>
    <t>KFO8OM5CTZHC</t>
  </si>
  <si>
    <t>8FO OM5 CENTRAL LOOSE TUBE LSZH UNIVERSAL Cca ERIKA VIOLET RAL5003</t>
  </si>
  <si>
    <t>8FO OM5 TUBE CENTRAL STRUCTURE LIBRE LSZH UNIVERSEL Cca VIOLET ERIKA RAL5003</t>
  </si>
  <si>
    <t>KFO12OM5CTZHC-E04</t>
  </si>
  <si>
    <t>KFO12OM5CTZHC</t>
  </si>
  <si>
    <t>12FO OM5 CENTRAL LOOSE TUBE LSZH UNIVERSAL Cca ERIKA VIOLET RAL5003</t>
  </si>
  <si>
    <t>12FO OM5 TUBE CENTRAL STRUCTURE LIBRE LSZH UNIVERSEL Cca VIOLET ERIKA RAL5003</t>
  </si>
  <si>
    <t>KFO24OM5CTZHC-E04</t>
  </si>
  <si>
    <t>KFO24OM5CTZHC</t>
  </si>
  <si>
    <t>24FO OM5 CENTRAL LOOSE TUBE LSZH UNIVERSAL Cca ERIKA VIOLET RAL5003</t>
  </si>
  <si>
    <t>24FO OM5 TUBE CENTRAL STRUCTURE LIBRE LSZH UNIVERSEL Cca VIOLET ERIKA RAL5003</t>
  </si>
  <si>
    <t>KFO6OS2CTZHD-E04</t>
  </si>
  <si>
    <t>KFO6OS2CTZHD</t>
  </si>
  <si>
    <t>KFO8OS2CTZHD-E04</t>
  </si>
  <si>
    <t>KFO8OS2CTZHD</t>
  </si>
  <si>
    <t>KFO12OS2CTZHD-E04</t>
  </si>
  <si>
    <t>KFO12OS2CTZHD</t>
  </si>
  <si>
    <t>KFO24OS2CTZHD-E04</t>
  </si>
  <si>
    <t>KFO24OS2CTZHD</t>
  </si>
  <si>
    <t>KFO6OS2CTZHC-E04</t>
  </si>
  <si>
    <t>KFO6OS2CTZHC</t>
  </si>
  <si>
    <t>6FO OS2 CENTRAL LOOSE TUBE LSZH UNIVERSAL Cca YELLOW RAL1021</t>
  </si>
  <si>
    <t>6FO OS2 TUBE CENTRAL STRUCTURE LIBRE LSZH UNIVERSEL Cca JAUNE RAL1021</t>
  </si>
  <si>
    <t>KFO8OS2CTZHC-E04</t>
  </si>
  <si>
    <t>KFO8OS2CTZHC</t>
  </si>
  <si>
    <t>8FO OS2 CENTRAL LOOSE TUBE LSZH UNIVERSAL Cca YELLOW RAL1021</t>
  </si>
  <si>
    <t>8FO OS2 TUBE CENTRAL STRUCTURE LIBRE LSZH UNIVERSEL Cca JAUNE RAL1021</t>
  </si>
  <si>
    <t>KFO12OS2CTZHC-E04</t>
  </si>
  <si>
    <t>KFO12OS2CTZHC</t>
  </si>
  <si>
    <t>12FO OS2 CENTRAL LOOSE TUBE LSZH UNIVERSAL Cca YELLOW RAL1021</t>
  </si>
  <si>
    <t>12FO OS2 TUBE CENTRAL STRUCTURE LIBRE LSZH UNIVERSEL Cca JAUNE RAL1021</t>
  </si>
  <si>
    <t>KFO24OS2CTZHC-E04</t>
  </si>
  <si>
    <t>KFO24OS2CTZHC</t>
  </si>
  <si>
    <t>24FO OS2 CENTRAL LOOSE TUBE LSZH UNIVERSAL Cca YELLOW RAL1021</t>
  </si>
  <si>
    <t>24FO OS2 TUBE CENTRAL STRUCTURE LIBRE LSZH UNIVERSEL Cca JAUNE RAL1021</t>
  </si>
  <si>
    <t>KFO6OS2TBZHC-E04</t>
  </si>
  <si>
    <t>KFO8OS2TBZHC-E04</t>
  </si>
  <si>
    <t>KFO12OS2TBZHC-E04</t>
  </si>
  <si>
    <t>KFO24OS2TBZHC-E04</t>
  </si>
  <si>
    <t>KFO6OS2CT-E04</t>
  </si>
  <si>
    <t>KFO8OS2CT-E04</t>
  </si>
  <si>
    <t>KFO12OS2CT-E04</t>
  </si>
  <si>
    <t>KFO24OS2CT-E04</t>
  </si>
  <si>
    <t>KFO2OS2CTA-E04</t>
  </si>
  <si>
    <t>KFO2OS2CTA</t>
  </si>
  <si>
    <t>2FO OS2 CENTRAL LOOSE TUBE ARMORED PEHD OUTDOOR BLACK RAL9005</t>
  </si>
  <si>
    <t>2FO OS2 TUBE CENTRAL STRUCTURE LIBRE ARMÉ  PEHD EXTÉRIEUR NOIR RAL9005</t>
  </si>
  <si>
    <t>KFO4OS2CTA-E04</t>
  </si>
  <si>
    <t>KFO4OS2CTA</t>
  </si>
  <si>
    <t>4FO OS2 CENTRAL LOOSE TUBE ARMORED PEHD OUTDOOR BLACK RAL9005</t>
  </si>
  <si>
    <t>4FO OS2 TUBE CENTRAL STRUCTURE LIBRE ARMÉ  PEHD EXTÉRIEUR NOIR RAL9005</t>
  </si>
  <si>
    <t>KFO6OS2CTA-E04</t>
  </si>
  <si>
    <t>KFO8OS2CTA-E04</t>
  </si>
  <si>
    <t>KFO10OS2CTA-E04</t>
  </si>
  <si>
    <t>KFO10OS2CTA</t>
  </si>
  <si>
    <t>10FO OS2 CENTRAL LOOSE TUBE ARMORED PEHD OUTDOOR BLACK RAL9005</t>
  </si>
  <si>
    <t>10FO OS2 TUBE CENTRAL STRUCTURE LIBRE ARMÉ  PEHD EXTÉRIEUR NOIR RAL9005</t>
  </si>
  <si>
    <t>KFO12OS2CTA-E04</t>
  </si>
  <si>
    <t>KFO12OS2CTA</t>
  </si>
  <si>
    <t>KFO16OS2CTA-E04</t>
  </si>
  <si>
    <t>KFO16OS2CTA</t>
  </si>
  <si>
    <t>16FO OS2 CENTRAL LOOSE TUBE ARMORED PEHD OUTDOOR BLACK RAL9005</t>
  </si>
  <si>
    <t>16FO OS2 TUBE CENTRAL STRUCTURE LIBRE ARMÉ  PEHD EXTÉRIEUR NOIR RAL9005</t>
  </si>
  <si>
    <t>KFO20OS2CTA-E04</t>
  </si>
  <si>
    <t>KFO20OS2CTA</t>
  </si>
  <si>
    <t>20FO OS2 CENTRAL LOOSE TUBE ARMORED PEHD OUTDOOR BLACK RAL9005</t>
  </si>
  <si>
    <t>20FO OS2TUBE CENTRAL STRUCTURE LIBRE ARMÉ  PEHD EXTÉRIEUR NOIR RAL9005</t>
  </si>
  <si>
    <t>KFO24OS2CTA-E04</t>
  </si>
  <si>
    <t>KFO24OS2CTA</t>
  </si>
  <si>
    <t>KFO24OS2CTABLE-E04</t>
  </si>
  <si>
    <t>KFO24OS2CTABLE</t>
  </si>
  <si>
    <t>24FO OS2 CENTRAL LOOSE TUBE ARMORED PEHD OUTDOOR BLUE RAL5015</t>
  </si>
  <si>
    <t>24FO OS2TUBE CENTRAL STRUCTURE LIBRE ARMÉ  PEHD EXTÉRIEUR BLEU RAL5015</t>
  </si>
  <si>
    <t>KFO24OS2CTAZHBLE-E04</t>
  </si>
  <si>
    <t>KFO24OS2CTAZHBLE</t>
  </si>
  <si>
    <t>24FO OS2 CENTRAL LOOSE TUBE ARMORDED LSZH Eca INDOOR OUTDOOR BLUE RAL 5012</t>
  </si>
  <si>
    <t>24FO OS2TUBE CENTRAL STRUCTURE LIBRE ARMÉ  LSZH Eca BLEU RAL5015</t>
  </si>
  <si>
    <t>KFO12OS2CTAZHB2-E04</t>
  </si>
  <si>
    <t>KFO12OS2CTAZHB2</t>
  </si>
  <si>
    <t>12FO OS2 CENTRAL LOOSE TUBE ARMORED LSZH B2ca OUTDOOR YELLOW RAL 1021</t>
  </si>
  <si>
    <t>12FO OS2 TUBE CENTRAL STRUCTURE LIBRE ARMÉ LSZH B2ca EXTÉRIEUR JAUNE RAL1021</t>
  </si>
  <si>
    <t>KFO24OS2CTAZHB2-E04</t>
  </si>
  <si>
    <t>KFO24OS2CTAZHB2</t>
  </si>
  <si>
    <t>24FO OS2 CENTRAL LOOSE TUBE ARMORED LSZH B2ca OUTDOOR YELLOW RAL 1021</t>
  </si>
  <si>
    <t>24FO OS2 TUBE CENTRAL STRUCTURE LIBRE ARMÉ LSZH B2ca EXTÉRIEUR JAUNE RAL1021</t>
  </si>
  <si>
    <t>KFO4OS2CTAZHB2FR-E04</t>
  </si>
  <si>
    <t>KFO4OS2CTAZHB2FR</t>
  </si>
  <si>
    <t>4FO OS2 CENTRAL LOOSE TUBE ARMORED LSZH FR B2ca OUTDOOR YELLOW RAL 1021</t>
  </si>
  <si>
    <t>4FO OS2 TUBE CENTRAL STRUCTURE LIBRE ARMÉ LSZH FR B2ca EXTÉRIEUR JAUNE RAL1021</t>
  </si>
  <si>
    <t>KFO6OS2CTAZHB2FR-E04</t>
  </si>
  <si>
    <t>KFO6OS2CTAZHB2FR</t>
  </si>
  <si>
    <t>6FO OS2 CENTRAL LOOSE TUBE ARMORED LSZH FR B2ca OUTDOOR YELLOW RAL 1021</t>
  </si>
  <si>
    <t>6FO OS2 TUBE CENTRAL STRUCTURE LIBRE ARMÉ LSZH FR B2ca EXTÉRIEUR JAUNE RAL1021</t>
  </si>
  <si>
    <t>KFO8OS2CTAZHB2FR-E04</t>
  </si>
  <si>
    <t>KFO8OS2CTAZHB2FR</t>
  </si>
  <si>
    <t>8FO OS2 CENTRAL LOOSE TUBE ARMORED LSZH FR B2ca OUTDOOR YELLOW RAL 1021</t>
  </si>
  <si>
    <t>8FO OS2 TUBE CENTRAL STRUCTURE LIBRE ARMÉ LSZH FR B2ca EXTÉRIEUR JAUNE RAL1021</t>
  </si>
  <si>
    <t>KFO12OS2CTAZHB2FR-E04</t>
  </si>
  <si>
    <t>KFO12OS2CTAZHB2FR</t>
  </si>
  <si>
    <t>12FO OS2 CENTRAL LOOSE TUBE ARMORED LSZH FR B2ca OUTDOOR YELLOW RAL 1021</t>
  </si>
  <si>
    <t>12FO OS2 TUBE CENTRAL STRUCTURE LIBRE ARMÉ LSZH FR B2ca EXTÉRIEUR JAUNE RAL1021</t>
  </si>
  <si>
    <t>KFO24OS2CTAZHB2FR-E04</t>
  </si>
  <si>
    <t>KFO24OS2CTAZHB2FR</t>
  </si>
  <si>
    <t>24FO OS2 CENTRAL LOOSE TUBE ARMORED LSZH FR B2ca OUTDOOR YELLOW RAL 1021</t>
  </si>
  <si>
    <t>24FO OS2 TUBE CENTRAL STRUCTURE LIBRE ARMÉ LSZH FR B2ca EXTÉRIEUR JAUNE RAL1021</t>
  </si>
  <si>
    <t>KFO12OS2MTZHD-E04</t>
  </si>
  <si>
    <t>KFO12OS2MTZHD</t>
  </si>
  <si>
    <t>12FO OS2 MULTI LOOSE TUBE LSZH UNIVERSAL Dca YELLOW RAL1021</t>
  </si>
  <si>
    <t>12FO OS2 MULTI TUBE STRUCTURE LIBRE LSZH UNIVERSEL Dca JAUNE RAL1021</t>
  </si>
  <si>
    <t>KFO24OS2MTZHD-E04</t>
  </si>
  <si>
    <t>KFO24OS2MTZHD</t>
  </si>
  <si>
    <t>24FO OS2 MULTI LOOSE TUBE LSZH UNIVERSAL Dca YELLOW RAL1021</t>
  </si>
  <si>
    <t>24FO OS2 MULTI TUBE STRUCTURE LIBRE LSZH UNIVERSEL Dca JAUNE RAL1021</t>
  </si>
  <si>
    <t>KFO48OS2MTZHD-E04</t>
  </si>
  <si>
    <t>KFO72OS2MTZHD-E04</t>
  </si>
  <si>
    <t>KFO72OS2MTZHD</t>
  </si>
  <si>
    <t>72FO OS2 MULTI LOOSE TUBE LSZH UNIVERSAL Dca YELLOW RAL1021</t>
  </si>
  <si>
    <t>72FO OS2 MULTI TUBE STRUCTURE LIBRE LSZH UNIVERSEL Dca JAUNE RAL1021</t>
  </si>
  <si>
    <t>KFO96OS2MTZHD-E04</t>
  </si>
  <si>
    <t>KFO144OS2MTZHD-E04</t>
  </si>
  <si>
    <t>KFO144OS2MTZHD</t>
  </si>
  <si>
    <t>144FO OS2 MULTI LOOSE TUBE LSZH UNIVERSAL Dca YELLOW RAL1021</t>
  </si>
  <si>
    <t>144FO OS2 MULTI TUBE STRUCTURE LIBRE LSZH UNIVERSEL Dca JAUNE RAL1021</t>
  </si>
  <si>
    <t>KFO288OS2MTZHD-E04</t>
  </si>
  <si>
    <t>KFO288OS2MTZHD</t>
  </si>
  <si>
    <t>288FO OS2 MULTI LOOSE TUBE LSZH UNIVERSAL Dca YELLOW RAL1021</t>
  </si>
  <si>
    <t>288FO OS2 MULTI TUBE STRUCTURE LIBRE LSZH UNIVERSEL Dca JAUNE RAL1021</t>
  </si>
  <si>
    <t>KFO12OS2MTZHC-E04</t>
  </si>
  <si>
    <t>KFO12OS2MTZHC</t>
  </si>
  <si>
    <t>12FO OS2 MULTI LOOSE TUBE LSZH UNIVERSAL Cca YELLOW RAL1021</t>
  </si>
  <si>
    <t>12FO OS2 MULTI TUBE STRUCTURE LIBRE LSZH UNIVERSEL Cca JAUNE RAL1021</t>
  </si>
  <si>
    <t>KFO24OS2MTZHC-E04</t>
  </si>
  <si>
    <t>KFO24OS2MTZHC</t>
  </si>
  <si>
    <t>24FO OS2 MULTI LOOSE TUBE LSZH UNIVERSAL Cca YELLOW RAL1021</t>
  </si>
  <si>
    <t>24FO OS2 MULTI TUBE STRUCTURE LIBRE LSZH UNIVERSEL Cca JAUNE RAL1021</t>
  </si>
  <si>
    <t>KFO48OS2MTZHC-E04</t>
  </si>
  <si>
    <t>KFO48OS2MTZHC</t>
  </si>
  <si>
    <t>U0806009</t>
  </si>
  <si>
    <t>48FO OS2 MULTI LOOSE TUBE LSZH UNIVERSAL Cca YELLOW RAL1021</t>
  </si>
  <si>
    <t>48FO OS2 MULTI TUBE STRUCTURE LIBRE LSZH UNIVERSEL Cca JAUNE RAL1021</t>
  </si>
  <si>
    <t>KFO72OS2MTZHC-E04</t>
  </si>
  <si>
    <t>KFO72OS2MTZHC</t>
  </si>
  <si>
    <t>72FO OS2 MULTI LOOSE TUBE LSZH UNIVERSAL Cca YELLOW RAL1021</t>
  </si>
  <si>
    <t>72FO OS2 MULTI TUBE STRUCTURE LIBRE LSZH UNIVERSEL Cca JAUNE RAL1021</t>
  </si>
  <si>
    <t>KFO96OS2MTZHC-E04</t>
  </si>
  <si>
    <t>KFO96OS2MTZHC</t>
  </si>
  <si>
    <t>96FO OS2 MULTI LOOSE TUBE LSZH UNIVERSAL Cca YELLOW RAL1021</t>
  </si>
  <si>
    <t>96FO OS2 MULTI TUBE STRUCTURE LIBRE LSZH UNIVERSEL Cca JAUNE RAL1021</t>
  </si>
  <si>
    <t>KFO144OS2MTZHC-E04</t>
  </si>
  <si>
    <t>KFO144OS2MTZHC</t>
  </si>
  <si>
    <t>144FO OS2 MULTI LOOSE TUBE LSZH UNIVERSAL Cca YELLOW RAL1021</t>
  </si>
  <si>
    <t>144FO OS2 MULTI TUBE STRUCTURE LIBRE LSZH UNIVERSEL Cca JAUNE RAL1021</t>
  </si>
  <si>
    <t>KFO288OS2MTZHC-E04</t>
  </si>
  <si>
    <t>KFO288OS2MTZHC</t>
  </si>
  <si>
    <t>288FO OS2 MULTI LOOSE TUBE LSZH UNIVERSAL Cca YELLOW RAL1021</t>
  </si>
  <si>
    <t>288FO OS2 MULTI TUBE STRUCTURE LIBRE LSZH UNIVERSEL Cca JAUNE RAL1021</t>
  </si>
  <si>
    <t>KFO96OS2MT-E04</t>
  </si>
  <si>
    <t>KFO48OS2MT-E04</t>
  </si>
  <si>
    <t>KFO24OS2MT-E04</t>
  </si>
  <si>
    <t>KFO24OS2MT</t>
  </si>
  <si>
    <t>24FO OS2 MULTI LOOSE TUBE PEHD OUTDOOR BLACK RAL 9005</t>
  </si>
  <si>
    <t xml:space="preserve">24FO OS2 MULTI TUBE STRUCTURE LIBRE PEHD EXTÉRIEUR NOIR RAL9005 </t>
  </si>
  <si>
    <t>KFO48OS2MTA-E04</t>
  </si>
  <si>
    <t>KFO96OS2MTA-E04</t>
  </si>
  <si>
    <t>KFO48OS2MTAZHBLE-E04</t>
  </si>
  <si>
    <t>KFO48OS2MTAZHBLE</t>
  </si>
  <si>
    <t xml:space="preserve">48FO OS2 MULTI LOOSE TUBE ARMORDED LSZH Eca INDOOR OUTDOOR BLUE RAL 5012 </t>
  </si>
  <si>
    <t>48FO OS2 MULTITUBE STRUCTURE LIBRE ARME SIMPLE GAINE LSZH Eca INTÉRIEUR EXTÉRIEUR BLEU RAL5012</t>
  </si>
  <si>
    <t>KFO12OS2MTAZHB2-E04</t>
  </si>
  <si>
    <t>KFO12OS2MTAZHB2</t>
  </si>
  <si>
    <t>12FO OS2 MULTI LOOSE TUBE ARMORDED SIMPLE JACKET LSZH B2ca OUTDOOR YELLOW RAL 1021</t>
  </si>
  <si>
    <t>12FO OS2 MULTITUBE STRUCTURE LIBRE ARME SIMPLE GAINE LSZH B2ca EXTÉRIEUR JAUNE RAL1021</t>
  </si>
  <si>
    <t>KFO24OS2MTAZHB2-E04</t>
  </si>
  <si>
    <t>KFO24OS2MTAZHB2</t>
  </si>
  <si>
    <t>24FO OS2 MULTI LOOSE TUBE ARMORDED SIMPLE JACKET LSZH B2ca OUTDOOR YELLOW RAL 1021</t>
  </si>
  <si>
    <t>24FO OS2 MULTITUBE STRUCTURE LIBRE ARME SIMPLE GAINE LSZH B2ca EXTÉRIEUR JAUNE RAL1021</t>
  </si>
  <si>
    <t>KFO48OS2MTAZHB2-E04</t>
  </si>
  <si>
    <t>KFO48OS2MTAZHB2</t>
  </si>
  <si>
    <t>48FO OS2 MULTI LOOSE TUBE ARMORDED SIMPLE JACKET LSZH B2ca OUTDOOR YELLOW RAL 1021</t>
  </si>
  <si>
    <t>48FO OS2 MULTITUBE STRUCTURE LIBRE ARME SIMPLE GAINE LSZH B2ca EXTÉRIEUR JAUNE RAL1021</t>
  </si>
  <si>
    <t>KFO144OS2MTAZHB2-E04</t>
  </si>
  <si>
    <t>KFO144OS2MTAZHB2</t>
  </si>
  <si>
    <t>144FO OS2 MULTI LOOSE TUBE ARMORDED SIMPLE JACKET LSZH B2ca OUTDOOR YELLOW RAL 1021</t>
  </si>
  <si>
    <t>144FO OS2 MULTITUBE STRUCTURE LIBRE ARME SIMPLE GAINE LSZH B2ca EXTÉRIEUR JAUNE RAL1021</t>
  </si>
  <si>
    <t>KFO288OS2MTAZHB2-E04</t>
  </si>
  <si>
    <t>KFO288OS2MTAZHB2</t>
  </si>
  <si>
    <t>288FO OS2 MULTI LOOSE TUBE ARMORDED SIMPLE JACKET LSZH B2ca OUTDOOR YELLOW RAL 1021</t>
  </si>
  <si>
    <t>288FO OS2 MULTITUBE STRUCTURE LIBRE ARME SIMPLE GAINE LSZH B2ca EXTÉRIEUR JAUNE RAL1021</t>
  </si>
  <si>
    <t>KFO48OS2MTZHAZHB2FR-E04</t>
  </si>
  <si>
    <t>KFO48OS2MTZHAZHB2FR</t>
  </si>
  <si>
    <t>48FO OS2 MULTI LOOSE TUBE ARMORDED DOUBLE JACKET LSZH FR B2ca OUTDOOR YELLOW RAL 1021</t>
  </si>
  <si>
    <t>48FO OS2 MULTITUBE STRUCTURE LIBRE ARME DOUBLE GAINE LSZH FR B2ca EXTÉRIEUR JAUNE RAL1021</t>
  </si>
  <si>
    <t>KFO12OS2MTZHAZHB2-E04</t>
  </si>
  <si>
    <t>KFO12OS2MTZHAZHB2</t>
  </si>
  <si>
    <t>U0809001</t>
  </si>
  <si>
    <t xml:space="preserve">12FO OS2 MULTI LOOSE TUBE ARMORDED DOUBLE JACKET LSZH B2ca OUTDOOR PURPLE </t>
  </si>
  <si>
    <t xml:space="preserve">12FO OS2 MULTITUBE STRUCTURE LIBRE ARME DOUBLE GAINE LSZH B2ca EXTÉRIEUR MAUVE </t>
  </si>
  <si>
    <t>KFO24OS2MTZHAZHB2-E04</t>
  </si>
  <si>
    <t>KFO24OS2MTZHAZHB2</t>
  </si>
  <si>
    <t>U0809002</t>
  </si>
  <si>
    <t xml:space="preserve">24FO OS2 MULTI LOOSE TUBE ARMORDED DOUBLE JACKET LSZH B2ca OUTDOOR PURPLE </t>
  </si>
  <si>
    <t xml:space="preserve">24FO OS2 MULTITUBE STRUCTURE LIBRE ARME DOUBLE GAINE LSZH B2ca EXTÉRIEUR MAUVE </t>
  </si>
  <si>
    <t>KFO48OS2MTZHAZHB2-E04</t>
  </si>
  <si>
    <t>KFO48OS2MTZHAZHB2</t>
  </si>
  <si>
    <t>U0809003</t>
  </si>
  <si>
    <t xml:space="preserve">48FO OS2 MULTI LOOSE TUBE ARMORDED DOUBLE JACKET LSZH B2ca OUTDOOR PURPLE </t>
  </si>
  <si>
    <t xml:space="preserve">48FO OS2 MULTITUBE STRUCTURE LIBRE ARME DOUBLE GAINE LSZH B2ca EXTÉRIEUR MAUVE </t>
  </si>
  <si>
    <t>KFO144OS2MTZHAZHB2-E04</t>
  </si>
  <si>
    <t>KFO144OS2MTZHAZHB2</t>
  </si>
  <si>
    <t>144FO OS2 MULTI LOOSE TUBE ARMORDED DOUBLE JACKET LSZH B2ca OUTDOOR YELLOW RAL 1021</t>
  </si>
  <si>
    <t>144FO OS2 MULTITUBE STRUCTURE LIBRE ARME DOUBLE GAINE LSZH B2ca EXTÉRIEUR JAUNE RAL1021</t>
  </si>
  <si>
    <t>KFO288OS2MTZHAZHB2-E04</t>
  </si>
  <si>
    <t>KFO288OS2MTZHAZHB2</t>
  </si>
  <si>
    <t>288FO OS2 MULTI LOOSE TUBE ARMORDED DOUBLE JACKET LSZH B2ca OUTDOOR YELLOW RAL 1021</t>
  </si>
  <si>
    <t>288FO OS2 MULTITUBE STRUCTURE LIBRE ARME DOUBLE GAINE LSZH B2ca EXTÉRIEUR JAUNE RAL1021</t>
  </si>
  <si>
    <t>OEM</t>
  </si>
  <si>
    <t>XELPDUFAL6CBP</t>
  </si>
  <si>
    <t>ETR10130-E02</t>
  </si>
  <si>
    <t>ETR10130</t>
  </si>
  <si>
    <t>ETR10230-E02</t>
  </si>
  <si>
    <t>ETR10230</t>
  </si>
  <si>
    <t>KX310100-E02</t>
  </si>
  <si>
    <t>KX310100</t>
  </si>
  <si>
    <t>CAT6A CABLE F/FTP 4 PAIRS AWG23 TESTED UP TO 650MHz LSZH CPR DCA GREY RAL7035 500M KX SYSTEM</t>
  </si>
  <si>
    <t>CÂBLE CAT6A F/FTP 4 PAIRES AWG23 TEST A 650MHz LSZH CPR DCA GRIS RAL7035 500M KX SYSTEM</t>
  </si>
  <si>
    <t>KX310200-E02</t>
  </si>
  <si>
    <t>KX310200</t>
  </si>
  <si>
    <t>Z0603004</t>
  </si>
  <si>
    <t>CAT6A CABLE F/FTP 2x4 PAIRS AWG23 TESTED UP TO 650MHz LSZH CPR DCA GREY RAL7035 500M KX SYSTEM</t>
  </si>
  <si>
    <t>CÂBLE CAT6A F/FTP 2x4 PAIRES AWG23 TEST A 650MHz LSZH CPR DCA GRIS RAL7035 500M KX SYSTEM</t>
  </si>
  <si>
    <t>XELPCFUTP6G015</t>
  </si>
  <si>
    <t>CAT6 PATCH CORD F/UTP GREY PVC 0.15M</t>
  </si>
  <si>
    <t>1pc per polybag</t>
  </si>
  <si>
    <t>3KM of cable</t>
  </si>
  <si>
    <t>WEKINO</t>
  </si>
  <si>
    <t>XELPCFUTP6G03</t>
  </si>
  <si>
    <t>XELPCFUTP6G05</t>
  </si>
  <si>
    <t>XELPCFUTP6G1</t>
  </si>
  <si>
    <t>XELPCFUTP6G2</t>
  </si>
  <si>
    <t>XELPCFUTP6G3</t>
  </si>
  <si>
    <t>XELPCFUTP6G5</t>
  </si>
  <si>
    <t>XELPCFUTP6G10</t>
  </si>
  <si>
    <t>XELPCFUTP6G15</t>
  </si>
  <si>
    <t>CAT6 PATCH CORD F/UTP GREY PVC 15M</t>
  </si>
  <si>
    <t>XELPCFUTP6G20</t>
  </si>
  <si>
    <t>CAT6 PATCH CORD F/UTP GREY PVC 20M</t>
  </si>
  <si>
    <t>XELPCFUTP6G25</t>
  </si>
  <si>
    <t>CAT6 PATCH CORD F/UTP GREY PVC 25M</t>
  </si>
  <si>
    <t>XELPCFUTP6G30</t>
  </si>
  <si>
    <t>CAT6 PATCH CORD F/UTP GREY PVC 30M</t>
  </si>
  <si>
    <t>XELPCFUTP6G50</t>
  </si>
  <si>
    <t>CAT6 PATCH CORD F/UTP GREY PVC 50M</t>
  </si>
  <si>
    <t>XELPCSFTP6AZHG015</t>
  </si>
  <si>
    <t>CAT6A PATCH CORD S/FTP GREY LSZH 0.15M</t>
  </si>
  <si>
    <t>XELPCSFTP6AZHG03</t>
  </si>
  <si>
    <t>XELPCSFTP6AZHG05</t>
  </si>
  <si>
    <t>XELPCSFTP6AZHG1</t>
  </si>
  <si>
    <t>XELPCSFTP6AZHG2</t>
  </si>
  <si>
    <t>XELPCSFTP6AZHG3</t>
  </si>
  <si>
    <t>XELPCSFTP6AZHG4</t>
  </si>
  <si>
    <t>CAT6A PATCH CORD S/FTP GREY LSZH 4M</t>
  </si>
  <si>
    <t>XELPCSFTP6AZHG5</t>
  </si>
  <si>
    <t>XELPCSFTP6AZHG6</t>
  </si>
  <si>
    <t>CAT6A PATCH CORD S/FTP GREY LSZH 6M</t>
  </si>
  <si>
    <t>XELPCSFTP6AZHG7</t>
  </si>
  <si>
    <t>CAT6A PATCH CORD S/FTP GREY LSZH 7M</t>
  </si>
  <si>
    <t>XELPCSFTP6AZHG8</t>
  </si>
  <si>
    <t>CAT6A PATCH CORD S/FTP GREY LSZH 8M</t>
  </si>
  <si>
    <t>XELPCSFTP6AZHG10</t>
  </si>
  <si>
    <t>XELPCSFTP6AZHG15</t>
  </si>
  <si>
    <t>XELPCSFTP6AZHG20</t>
  </si>
  <si>
    <t>XELPCSFTP6AZHG25</t>
  </si>
  <si>
    <t>XELPCSFTP6AZHG30</t>
  </si>
  <si>
    <t>XELPCSFTP6AZHG50</t>
  </si>
  <si>
    <t xml:space="preserve">OEM </t>
  </si>
  <si>
    <t>WALL CABINET</t>
  </si>
  <si>
    <t>WALL CABINET SE</t>
  </si>
  <si>
    <t>XELWCSE6U600</t>
  </si>
  <si>
    <t>COFFRET ST 6U PROFONDEUR 600MM - NOIR - SE WALL CABINET 570*600 4-19" MOUNTING</t>
  </si>
  <si>
    <t>1pc per carton</t>
  </si>
  <si>
    <t>1x20GP=21ton,26cbm</t>
  </si>
  <si>
    <t>NO PALLET</t>
  </si>
  <si>
    <t>SHIP</t>
  </si>
  <si>
    <t>XELWCSE9U600</t>
  </si>
  <si>
    <t>COFFRET ST 9U PROFONDEUR 600MM - NOIR - SE WALL CABINET 570*600 4-19" MOUNTING</t>
  </si>
  <si>
    <t>XELWCSE12U600</t>
  </si>
  <si>
    <t>COFFRET ST 12U PROFONDEUR 600MM - NOIR - SE WALL CABINET 570*600 4-19" MOUNTING</t>
  </si>
  <si>
    <t>XELWCSE15U600</t>
  </si>
  <si>
    <t>COFFRET ST 15U PROFONDEUR 600MM - NOIR - SE WALL CABINET 570*600 4-19" MOUNTING</t>
  </si>
  <si>
    <t>XELWCSE18U600</t>
  </si>
  <si>
    <t>COFFRET ST 18U PROFONDEUR 600MM - NOIR - SE WALL CABINET 570*600 4-19" MOUNTING</t>
  </si>
  <si>
    <t>XELWCSE22U600</t>
  </si>
  <si>
    <t>COFFRET ST 22U PROFONDEUR 600MM - NOIR - SE WALL CABINET 570*600 4-19" MOUNTING</t>
  </si>
  <si>
    <t>XELWCSE27U600</t>
  </si>
  <si>
    <t>COFFRET ST 27U PROFONDEUR 600MM - NOIR - SE WALL CABINET 570*600 4-19" MOUNTING</t>
  </si>
  <si>
    <t>XELWCSE6U450</t>
  </si>
  <si>
    <t>COFFRET ST 6U PROFONDEUR 450MM - NOIR - SE WALL CABINET 570*450 2-19" MOUNTING</t>
  </si>
  <si>
    <t>XELWCSE9U450</t>
  </si>
  <si>
    <t>COFFRET ST 9U PROFONDEUR 450MM - NOIR - SE WALL CABINET 570*450 2-19" MOUNTING</t>
  </si>
  <si>
    <t>XELWCSE12U450</t>
  </si>
  <si>
    <t>COFFRET ST 12U PROFONDEUR 450MM - NOIR - SE WALL CABINET 570*450 2-19" MOUNTING</t>
  </si>
  <si>
    <t>XELWCSE15U450</t>
  </si>
  <si>
    <t>COFFRET ST 15U PROFONDEUR 450MM - NOIR - SE WALL CABINET 570*450 2-19" MOUNTING</t>
  </si>
  <si>
    <t>XELWCSE18U450</t>
  </si>
  <si>
    <t>COFFRET ST 18U PROFONDEUR 450MM - NOIR - SE WALL CABINET 570*450 2-19" MOUNTING</t>
  </si>
  <si>
    <t>XELWCSE22U450</t>
  </si>
  <si>
    <t>COFFRET ST 22U PROFONDEUR 450MM - NOIR - SE WALL CABINET 570*450 2-19" MOUNTING</t>
  </si>
  <si>
    <t>XELWCSE27U450</t>
  </si>
  <si>
    <t>COFFRET ST 27U PROFONDEUR 450MM - NOIR - SE WALL CABINET 570*450 2-19" MOUNTING</t>
  </si>
  <si>
    <t xml:space="preserve">BALUN CORDS </t>
  </si>
  <si>
    <t>RJ45 TO F CONNECTOR</t>
  </si>
  <si>
    <t>XELBC45F05</t>
  </si>
  <si>
    <t>CORDS RJ45/F CONNECTOR WHITE 0.5M CABLING 7/8.BALUN:2300MHZ</t>
  </si>
  <si>
    <t>CORDON RJ45/PRISE F BLANC 0.5M CABLAGE 7/8.BALUN:2300MHZ</t>
  </si>
  <si>
    <t>8544200030</t>
  </si>
  <si>
    <t>HUNDU</t>
  </si>
  <si>
    <t>CR503S78-0.5</t>
  </si>
  <si>
    <t>KSFP1U205NPCKRS</t>
  </si>
  <si>
    <t>19" 1U FIBRE OPTIC PATCH PANEL 205 UNLOADED WITHOUT FRONT PLATE WITH HOLE CUTTING AND ACCESSORIES PER FRIENDLY CARTON</t>
  </si>
  <si>
    <t>TIROIR FIBRE OPTIQUE 19" 1U 205MM  VIDE SANS PLAQUE AVANT AVEC DÉCOUPE DE TROU ET ACCESSOIRES PAR CARTON</t>
  </si>
  <si>
    <t>neutral packing</t>
  </si>
  <si>
    <t>BG53601.0</t>
  </si>
  <si>
    <t>KSFP1UFP24STKRS</t>
  </si>
  <si>
    <t>T24ST0TF</t>
  </si>
  <si>
    <t>INDUSTRY CABLE</t>
  </si>
  <si>
    <t xml:space="preserve">INSTRUMENTATION </t>
  </si>
  <si>
    <t>KSONO2X15ZHB2BR10</t>
  </si>
  <si>
    <t>INSTRUMENTATION CABLE HSLCH-OZ 2X1.5 LSZH BROWN B2CA 1000M DRUM</t>
  </si>
  <si>
    <t>CÂBLE INSTRUMENTATION/SONO HSLCH-OZ 2X1.5 LSZH MARRON B2CA 1000M TOURET</t>
  </si>
  <si>
    <t>8544499900</t>
  </si>
  <si>
    <t>KSONO4X15ZHB2BR10</t>
  </si>
  <si>
    <t>INSTRUMENTATION CABLE HSLCH-OZ 4X1.5 LSZH BROWN B2CA 1000M DRUM</t>
  </si>
  <si>
    <t>CÂBLE INSTRUMENTATION HSLCH-OZ 4X1.5 LSZH MARRON B2CA 1000M TOURET</t>
  </si>
  <si>
    <t>KSONO7X15ZHB2BR10</t>
  </si>
  <si>
    <t>INSTRUMENTATION CABLE HSLCH-OZ 7X1.5 LSZH BROWN B2CA 1000M DRUM</t>
  </si>
  <si>
    <t>CÂBLE INSTRUMENTATION HSLCH-OZ 7X1.5 LSZH MARRON B2CA 1000M TOURET</t>
  </si>
  <si>
    <t>KSONO8X15ZHB2BR10</t>
  </si>
  <si>
    <t>INSTRUMENTATION CABLE HSLCH-OZ 8X1.5 LSZH BROWN B2CA 1000M DRUM</t>
  </si>
  <si>
    <t>CÂBLE INSTRUMENTATION HSLCH-OZ 8X1.5 LSZH MARRON B2CA 1000M TOURET</t>
  </si>
  <si>
    <t>KSONO12X15ZHB2BR10</t>
  </si>
  <si>
    <t>INSTRUMENTATION CABLE HSLCH-OZ 12X1.5 LSZH BROWN B2CA 1000M DRUM</t>
  </si>
  <si>
    <t>CÂBLE INSTRUMENTATION HSLCH-OZ 12X1.5 LSZH MARRON B2CA 1000M TOURET</t>
  </si>
  <si>
    <t>KSONO24X15ZHB2BR10</t>
  </si>
  <si>
    <t>INSTRUMENTATION CABLE HSLCH-OZ 24X1.5 LSZH BROWN B2CA 1000M DRUM</t>
  </si>
  <si>
    <t>CÂBLE INSTRUMENTATION HSLCH-OZ 24X1.5 LSZH MARRON B2CA 1000M TOURET</t>
  </si>
  <si>
    <t>KSONO2X15ZHNAB2BR10</t>
  </si>
  <si>
    <t>INSTRUMENTATION CABLE HSLCH-OZ 2X1.5 NON ARMORED LSZH BROWN B2CA 1000M DRUM</t>
  </si>
  <si>
    <t>CÂBLE INSTRUMENTATION HSLCH-OZ 2X1.5 NON ARME LSZH MARRON B2CA 1000M TOURET</t>
  </si>
  <si>
    <t>KSONO4X15ZHNAB2BR10</t>
  </si>
  <si>
    <t>INSTRUMENTATION CABLE HSLCH-OZ 4X1.5 NON ARMORED LSZH BROWN B2CA 1000M DRUM</t>
  </si>
  <si>
    <t>CÂBLE INSTRUMENTATION HSLCH-OZ 4X1.5 NON ARME LSZH MARRON B2CA 1000M TOURET</t>
  </si>
  <si>
    <t>KSONO7X15ZHNAB2BR10</t>
  </si>
  <si>
    <t>INSTRUMENTATION CABLE HSLCH-OZ 7X1.5 NON ARMORED LSZH BROWN B2CA 1000M DRUM</t>
  </si>
  <si>
    <t>CÂBLE INSTRUMENTATION HSLCH-OZ 7X1.5 NON ARME LSZH MARRON B2CA 1000M TOURET</t>
  </si>
  <si>
    <t>KSONO12X15ZHNAB2BR10</t>
  </si>
  <si>
    <t>INSTRUMENTATION CABLE HSLCH-OZ 12X1.5 NON ARMORED LSZH BROWN B2CA 1000M DRUM</t>
  </si>
  <si>
    <t>CÂBLE INSTRUMENTATION HSLCH-OZ 12X1.5 NON ARME LSZH MARRON B2CA 1000M TOURET</t>
  </si>
  <si>
    <t>KSONO24X15ZHNAB2BR10</t>
  </si>
  <si>
    <t>INSTRUMENTATION CABLE HSLCH-OZ 24X1.5 NON ARMORED LSZH BROWN B2CA 1000M DRUM</t>
  </si>
  <si>
    <t>CÂBLE INSTRUMENTATION HSLCH-OZ 24X1.5 NON ARME LSZH MARRON B2CA 1000M TOURET</t>
  </si>
  <si>
    <t>KSONO4X25ZHB2BR10</t>
  </si>
  <si>
    <t>INSTRUMENTATION CABLE HSLCH-OZ 4X2.5 LSZH BROWN B2CA 1000M DRUM</t>
  </si>
  <si>
    <t>CÂBLE INSTRUMENTATION HSLCH-OZ 4X2.5 LSZH MARRON B2CA 1000M TOURET</t>
  </si>
  <si>
    <t>KSONO7X25ZHB2BR10</t>
  </si>
  <si>
    <t>INSTRUMENTATION CABLE HSLCH-OZ 7X2.5 LSZH BROWN B2CA 1000M DRUM</t>
  </si>
  <si>
    <t>CÂBLE INSTRUMENTATION HSLCH-OZ 7X2.5 LSZH MARRON B2CA 1000M TOURET</t>
  </si>
  <si>
    <t>KSONO12X25ZHB2BR10</t>
  </si>
  <si>
    <t>INSTRUMENTATION CABLE HSLCH-OZ 12X2.5 LSZH BROWN B2CA 1500M DRUM</t>
  </si>
  <si>
    <t>CÂBLE INSTRUMENTATION HSLCH-OZ 12X2.5 LSZH MARRON B2CA 1500M TOURET</t>
  </si>
  <si>
    <t>KSONO4X6ZHB2BR10</t>
  </si>
  <si>
    <t>INSTRUMENTATION CABLE HSLCH-OZ 4X6 LSZH BROWN B2CA 1500M DRUM</t>
  </si>
  <si>
    <t>CÂBLE INSTRUMENTATION HSLCH-OZ 4X6 LSZH MARRON B2CA 1500M TOURET</t>
  </si>
  <si>
    <t>KSONO4X15NZHB2BR10</t>
  </si>
  <si>
    <t>INSTRUMENTATION CABLE HP4X1.5 LSZH NON ARMORED BROWN B2CA 1000M DRUM</t>
  </si>
  <si>
    <t>CÂBLE INSTRUMENTATION HP4X1.5 LSZH NON ARME MARRON B2CA 1000M TOURET</t>
  </si>
  <si>
    <t>RESIDENTIAL METAL RACK FRANCE</t>
  </si>
  <si>
    <t>RESIDENTIAL METAL RACK KIT ACCESS</t>
  </si>
  <si>
    <t>XELRMKITPSACTR</t>
  </si>
  <si>
    <t>POWER SUPPLY OF ACCESS CONTROL 1PC BOX 1PC DOOR 1PC LOCK 2 DIN RAIL</t>
  </si>
  <si>
    <t>MIRSAN</t>
  </si>
  <si>
    <t>COFFRETALIM</t>
  </si>
  <si>
    <t>XELRMKITAPLATE</t>
  </si>
  <si>
    <t>PLATE STEEL CONTROLLER 15/10 
WITH DIN RAIL FIXING</t>
  </si>
  <si>
    <t>PLAQUE</t>
  </si>
  <si>
    <t>START</t>
  </si>
  <si>
    <t>KWA660F</t>
  </si>
  <si>
    <t>WALL MOUNTED RACK "START" 6U 570x600 19 INCH FLAT PACK - BLACK</t>
  </si>
  <si>
    <t>COFFRET 19 POUCES  "START" 6U 570x600 NON MONTE - NOIR</t>
  </si>
  <si>
    <t>1x20GP=21ton, &lt;26cbm</t>
  </si>
  <si>
    <t>KWA960F</t>
  </si>
  <si>
    <t>WALL MOUNTED RACK "START" 9U 570x600 19 INCH FLAT PACK - BLACK</t>
  </si>
  <si>
    <t>COFFRET 19 POUCES  "START" 9U 570x600 NON MONTE - NOIR</t>
  </si>
  <si>
    <t>KWA1260F</t>
  </si>
  <si>
    <t>WALL MOUNTED RACK "START" 12U 570x600 19 INCH FLAT PACK - BLACK</t>
  </si>
  <si>
    <t>COFFRET 19 POUCES  "START" 12U 570x600 NON MONTE - NOIR</t>
  </si>
  <si>
    <t>KWA1560F</t>
  </si>
  <si>
    <t>WALL MOUNTED RACK "START" 15U 570x600 19 INCH FLAT PACK - BLACK</t>
  </si>
  <si>
    <t>COFFRET 19 POUCES  "START" 15U 570x600 NON MONTE - NOIR</t>
  </si>
  <si>
    <t>KWA1860F</t>
  </si>
  <si>
    <t>WALL MOUNTED RACK "START" 18U 570x600 19 INCH FLAT PACK - BLACK</t>
  </si>
  <si>
    <t>COFFRET 19 POUCES  "START" 18U 570x600 NON MONTE - NOIR</t>
  </si>
  <si>
    <t>KWA2260F</t>
  </si>
  <si>
    <t>WALL MOUNTED RACK "START" 22U 570x600 19 INCH FLAT PACK - BLACK</t>
  </si>
  <si>
    <t>COFFRET 19 POUCES  "START" 22U 570x600 NON MONTE - NOIR</t>
  </si>
  <si>
    <t>KWA2760F</t>
  </si>
  <si>
    <t>WALL MOUNTED RACK "START" 27U 570x600 19 INCH FLAT PACK - BLACK</t>
  </si>
  <si>
    <t>COFFRET 19 POUCES  "START" 27U 570x600 NON MONTE - NOIR</t>
  </si>
  <si>
    <t>KWA645F</t>
  </si>
  <si>
    <t>WALL MOUNTED RACK "START" 6U 570x450 19 INCH FLAT PACK - BLACK</t>
  </si>
  <si>
    <t>COFFRET 19 POUCES  "START" 6U 570x450 NON MONTE - NOIR</t>
  </si>
  <si>
    <t>KWA945F</t>
  </si>
  <si>
    <t>WALL MOUNTED RACK "START" 9U 570x450 19 INCH FLAT PACK - BLACK</t>
  </si>
  <si>
    <t>COFFRET 19 POUCES  "START" 9U 570x450 NON MONTE - NOIR</t>
  </si>
  <si>
    <t>KWA1245F</t>
  </si>
  <si>
    <t>WALL MOUNTED RACK "START" 12U 570x450 19 INCH FLAT PACK - BLACK</t>
  </si>
  <si>
    <t>COFFRET 19 POUCES  "START" 12U 570x450 NON MONTE - NOIR</t>
  </si>
  <si>
    <t>KWA1545F</t>
  </si>
  <si>
    <t>WALL MOUNTED RACK "START" 15U 570x450 19 INCH FLAT PACK - BLACK</t>
  </si>
  <si>
    <t>COFFRET 19 POUCES  "START" 15U 570x450 NON MONTE - NOIR</t>
  </si>
  <si>
    <t>KWA1845F</t>
  </si>
  <si>
    <t>WALL MOUNTED RACK "START" 18U 570x450 19 INCH FLAT PACK - BLACK</t>
  </si>
  <si>
    <t>COFFRET 19 POUCES  "START" 18U 570x450 NON MONTE - NOIR</t>
  </si>
  <si>
    <t>KWA2245F</t>
  </si>
  <si>
    <t>WALL MOUNTED RACK "START" 22U 570x450 19 INCH FLAT PACK - BLACK</t>
  </si>
  <si>
    <t>COFFRET 19 POUCES  "START" 22U 570x450 NON MONTE - NOIR</t>
  </si>
  <si>
    <t>KWA2745F</t>
  </si>
  <si>
    <t>WALL MOUNTED RACK "START" 27U 570x450 19 INCH FLAT PACK - BLACK</t>
  </si>
  <si>
    <t>COFFRET 19 POUCES  "START" 27U 570x450 NON MONTE - NOIR</t>
  </si>
  <si>
    <t>YES</t>
  </si>
  <si>
    <t>CABINET</t>
  </si>
  <si>
    <t>22U</t>
  </si>
  <si>
    <t>600x600</t>
  </si>
  <si>
    <t>KRS2266SGR</t>
  </si>
  <si>
    <t>NETWORK CABINET "START" 22U 600x600 19 INCH SINGLE GLASS DOOR - REAR PANEL</t>
  </si>
  <si>
    <t>BAIE RESEAU "START" 22U 600x600 19 POUCES PORTE AV VITREE SIMPLE - PANNEAU AR</t>
  </si>
  <si>
    <t>Porte</t>
  </si>
  <si>
    <t>1pc</t>
  </si>
  <si>
    <t>24U</t>
  </si>
  <si>
    <t>KRS2466SGR</t>
  </si>
  <si>
    <t>NETWORK CABINET "START" 24U 600x600 19 INCH SINGLE GLASS DOOR - REAR PANEL</t>
  </si>
  <si>
    <t>BAIE RESEAU "START" 24U 600x600 19 POUCES PORTE AV VITREE SIMPLE - PANNEAU AR</t>
  </si>
  <si>
    <t>27U</t>
  </si>
  <si>
    <t>KRS2766SGR</t>
  </si>
  <si>
    <t>NETWORK CABINET "START" 27U 600x600 19 INCH SINGLE GLASS DOOR - REAR PANEL</t>
  </si>
  <si>
    <t>BAIE RESEAU "START" 27U 600x600 19 POUCES PORTE AV VITREE SIMPLE - PANNEAU AR</t>
  </si>
  <si>
    <t>32U</t>
  </si>
  <si>
    <t>KRS3266SGR</t>
  </si>
  <si>
    <t>NETWORK CABINET "START" 32U 600x600 19 INCH SINGLE GLASS DOOR - REAR PANEL</t>
  </si>
  <si>
    <t>BAIE RESEAU "START" 32U 600x600 19 POUCES PORTE AV VITREE SIMPLE - PANNEAU AR</t>
  </si>
  <si>
    <t>42U</t>
  </si>
  <si>
    <t>KRS4266SGR</t>
  </si>
  <si>
    <t>NETWORK CABINET "START" 42U 600x600 19 INCH SINGLE GLASS DOOR - REAR PANEL</t>
  </si>
  <si>
    <t>BAIE RESEAU "START" 42U 600x600 19 POUCES PORTE AV VITREE SIMPLE - PANNEAU AR</t>
  </si>
  <si>
    <t>KRS4266WDR</t>
  </si>
  <si>
    <t>NETWORK CABINET "START" 42U 600x600 19 INCH WITHOUT DOOR AND REAR PANEL</t>
  </si>
  <si>
    <t>BAIE RESEAU "START" 42U 600x600 19 POUCES SANS PORTE AV - SANS PANNEAU AR</t>
  </si>
  <si>
    <t>600x800</t>
  </si>
  <si>
    <t>KRS2268SGR</t>
  </si>
  <si>
    <t>NETWORK CABINET "START" 22U 600x800 19 INCH SINGLE GLASS DOOR - REAR PANEL</t>
  </si>
  <si>
    <t>BAIE RESEAU "START" 22U 600x800 19 POUCES PORTE AV VITREE SIMPLE - PANNEAU AR</t>
  </si>
  <si>
    <t>KRS2486SGR</t>
  </si>
  <si>
    <t>NETWORK CABINET "START" 24U 600x800 19 INCH SINGLE GLASS DOOR - REAR PANEL</t>
  </si>
  <si>
    <t>BAIE RESEAU "START" 24U 600x800 19 POUCES PORTE AV VITREE SIMPLE - PANNEAU AR</t>
  </si>
  <si>
    <t>KRS2786SGR</t>
  </si>
  <si>
    <t>NETWORK CABINET "START" 27U 600x800 19 INCH SINGLE GLASS DOOR - REAR PANEL</t>
  </si>
  <si>
    <t>BAIE RESEAU "START" 27U 600x800 19 POUCES PORTE AV VITREE SIMPLE - PANNEAU AR</t>
  </si>
  <si>
    <t>KRS3286SGR</t>
  </si>
  <si>
    <t>NETWORK CABINET "START" 32U 600x800 19 INCH SINGLE GLASS DOOR - REAR PANEL</t>
  </si>
  <si>
    <t>BAIE RESEAU "START" 32U 600x800 19 POUCES PORTE AV VITREE SIMPLE - PANNEAU AR</t>
  </si>
  <si>
    <t>KRS4286SGR</t>
  </si>
  <si>
    <t>NETWORK CABINET "START" 42U 600x800 19 INCH SINGLE GLASS DOOR - REAR PANEL</t>
  </si>
  <si>
    <t>BAIE RESEAU "START" 42U 600x800 19 POUCES PORTE AV VITREE SIMPLE - PANNEAU AR</t>
  </si>
  <si>
    <t>KRS4268WDR</t>
  </si>
  <si>
    <t>NETWORK CABINET "START" 42U 600x800 19 INCH WITHOUT DOOR AND REAR PANEL</t>
  </si>
  <si>
    <t>BAIE RESEAU "START" 42U 600x800 19 POUCES SANS PORTE AV - SANS PANNEAU AR</t>
  </si>
  <si>
    <t>600x1000</t>
  </si>
  <si>
    <t>KRS42610SGR</t>
  </si>
  <si>
    <t>NETWORK CABINET "START" 42U 600x1000 19 INCH SINGLE GLASS DOOR - REAR PANEL</t>
  </si>
  <si>
    <t>BAIE RESEAU "START" 42U 600x1000 19 POUCES PORTE AV VITREE SIMPLE - PANNEAU AR</t>
  </si>
  <si>
    <t>800x600</t>
  </si>
  <si>
    <t>KRS4286DGR</t>
  </si>
  <si>
    <t>NETWORK CABINET "START" 42U 800x600 19 INCH DOUBLE GLASS DOORS - REAR PANEL</t>
  </si>
  <si>
    <t>BAIE RESEAU "START" 42U 800x600 19 POUCES DOUBLE PORTE AV VITREE - PANNEAU AR</t>
  </si>
  <si>
    <t>KRS4286WDR</t>
  </si>
  <si>
    <t>NETWORK CABINET "START" 42U 800x600 19 INCH WITHOUT DOOR AND REAR PANEL</t>
  </si>
  <si>
    <t>BAIE RESEAU "START" 42U 800x600 19 POUCES SANS PORTE AV - SANS PANNEAU AR</t>
  </si>
  <si>
    <t>KRS42810WDR</t>
  </si>
  <si>
    <t>NETWORK CABINET "START" 42U 800x1000 19 INCH WITHOUT DOOR AND REAR PANEL</t>
  </si>
  <si>
    <t>BAIE RESEAU "START" 42U 800x1000 19 POUCES SANS PORTE AV - SANS PANNEAU AR</t>
  </si>
  <si>
    <t>800x800</t>
  </si>
  <si>
    <t>KRS2488SGR</t>
  </si>
  <si>
    <t>NETWORK CABINET "START" 24U 800x800 19 INCH SINGLE GLASS DOORS - REAR PANEL</t>
  </si>
  <si>
    <t>BAIE RESEAU "START" 24U 800x800 19 POUCES PORTE AV VITREE SIMPLE - PANNEAU AR</t>
  </si>
  <si>
    <t>KRS2788SGR</t>
  </si>
  <si>
    <t>NETWORK CABINET "START" 27U 800x800 19 INCH SINGLE GLASS DOORS - REAR PANEL</t>
  </si>
  <si>
    <t>BAIE RESEAU "START" 27U 800x800 19 POUCES PORTE AV VITREE SIMPLE - PANNEAU AR</t>
  </si>
  <si>
    <t>KRS2788DGR</t>
  </si>
  <si>
    <t>NETWORK CABINET "START" 27U 800x800 19 INCH DOUBLE GLASS DOORS - REAR PANEL</t>
  </si>
  <si>
    <t>BAIE RESEAU "START" 27U 800x800 19 POUCES DOUBLE PORTE AV VITREE - PANNEAU AR</t>
  </si>
  <si>
    <t>KRS3288SGR</t>
  </si>
  <si>
    <t>NETWORK CABINET "START" 32U 800x800 19 INCH SINGLE GLASS DOORS - REAR PANEL</t>
  </si>
  <si>
    <t>BAIE RESEAU "START" 32U 800x800 19 POUCES PORTE AV VITREE SIMPLE - PANNEAU AR</t>
  </si>
  <si>
    <t>KRS3288DGR</t>
  </si>
  <si>
    <t>NETWORK CABINET "START" 32U 800x800 19 INCH DOUBLE GLASS DOORS - REAR PANEL</t>
  </si>
  <si>
    <t>BAIE RESEAU "START" 32U 800x800 19 POUCES DOUBLE PORTE AV VITREE - PANNEAU AR</t>
  </si>
  <si>
    <t>KRS4288SGR</t>
  </si>
  <si>
    <t>NETWORK CABINET "START" 42U 800x800 19 INCH SINGLE GLASS DOORS - REAR PANEL</t>
  </si>
  <si>
    <t>BAIE RESEAU "START" 42U 800x800 19 POUCES PORTE AV VITREE SIMPLE - PANNEAU AR</t>
  </si>
  <si>
    <t>KRS4288DGR</t>
  </si>
  <si>
    <t>NETWORK CABINET "START" 42U 800x800 19 INCH DOUBLE GLASS DOORS - REAR PANEL</t>
  </si>
  <si>
    <t>BAIE RESEAU "START" 42U 800x800 19 POUCES DOUBLE PORTE AV VITREE - PANNEAU AR</t>
  </si>
  <si>
    <t>KRS4288WDR</t>
  </si>
  <si>
    <t>NETWORK CABINET "START" 42U 800x800 19 INCH WITHOUT DOORS AND REAR PANEL</t>
  </si>
  <si>
    <t>BAIE RESEAU "START" 42U 800x800 19 POUCES SANS PORTE AV - SANS PANNEAU AR</t>
  </si>
  <si>
    <t>800x1000</t>
  </si>
  <si>
    <t>KRS42810DGR</t>
  </si>
  <si>
    <t>NETWORK CABINET "START" 42U 800x1000 19 INCH DOUBLE GLASS DOORS - REAR PANEL</t>
  </si>
  <si>
    <t>BAIE RESEAU "START" 42U 800x1000 19 POUCES DOUBLE PORTE AV VITREE - PANNEAU AR</t>
  </si>
  <si>
    <t>NETWORK CABINET "START" 42U 800x1000 19 INCH WITHOUT DOORS AND REAR PANEL</t>
  </si>
  <si>
    <t>KRS42810DP2</t>
  </si>
  <si>
    <t>NETWORK CABINET "START" 42U 800x1000 
19 INCH DOUBLE FRONT/REAR PERFORATED DOORS</t>
  </si>
  <si>
    <t>BAIE RESEAU "START" 42U 800x1000 19 POUCES DOUBLE PORTE AV/AR PERFOREES</t>
  </si>
  <si>
    <t>KRS600SG</t>
  </si>
  <si>
    <t xml:space="preserve">GLASS DOOR FOR 600MM NETWORK CABINET  "START" 19 INCH </t>
  </si>
  <si>
    <t>PORTE VITRÉE POUR BAIE RESEAU "START" 19 POUCES DE 600 MM</t>
  </si>
  <si>
    <t>KRS600SP</t>
  </si>
  <si>
    <t xml:space="preserve">SINGLE PERFORATED DOOR FOR 600MM NETWORK CABINET  "START" 19 INCH </t>
  </si>
  <si>
    <t>PORTE PERFORÉE SIMPLE POUR BAIE RESEAU "START" 19 POUCES DE 600 MM</t>
  </si>
  <si>
    <t>KRS800DGR</t>
  </si>
  <si>
    <t xml:space="preserve">DOUBLE GLASS DOORS FOR 800MM NETWORK CABINET  "START" 19 INCH </t>
  </si>
  <si>
    <t>PORTES VITRÉES DOUBLES POUR BAIE RESEAU "START" 19 POUCES DE 800 MM</t>
  </si>
  <si>
    <t>KRS800DP</t>
  </si>
  <si>
    <t xml:space="preserve">DOUBLE PERFORATED DOORS FOR 800MM NETWORK CABINET  "START" 19 INCH </t>
  </si>
  <si>
    <t>PORTES PERFORÉES DOUBLES POUR BAIE RESEAU "START" 19 POUCES DE 800 MM</t>
  </si>
  <si>
    <t>KRS600R</t>
  </si>
  <si>
    <t xml:space="preserve">REAR PANNEL FOR 600MM NETWORK CABINET  "START" 19 INCH </t>
  </si>
  <si>
    <t>PANNEAU ARRIÈRE POUR BAIE RESEAU "START" 19 POUCES DE 600 MM</t>
  </si>
  <si>
    <t>KRS800R</t>
  </si>
  <si>
    <t xml:space="preserve">REAR PANNEL FOR 800MM NETWORK CABINET  "START" 19 INCH </t>
  </si>
  <si>
    <t>PANNEAU ARRIÈRE POUR BAIE RESEAU "START" 19 POUCES DE 800 MM</t>
  </si>
  <si>
    <t>GRID</t>
  </si>
  <si>
    <t>KRG2266SGR</t>
  </si>
  <si>
    <t>NETWORK CABINET "GRID" 22U 600x600 19 INCH SINGLE FRONT GLASS DOOR - FULL REAR</t>
  </si>
  <si>
    <t>BAIE RESEAU "GRID" 22U 600x600 19 POUCES PORTE AV VITREE SIMPLE - PANNEAU AR</t>
  </si>
  <si>
    <t>KRG2466SGR</t>
  </si>
  <si>
    <t>NETWORK CABINET "GRID" 24U 600x600 19 INCH SINGLE FRONT GLASS DOOR - FULL REAR</t>
  </si>
  <si>
    <t>BAIE RESEAU "GRID" 24U 600x600 19 POUCES PORTE AV VITREE SIMPLE - PANNEAU AR</t>
  </si>
  <si>
    <t>KRG2766SGR</t>
  </si>
  <si>
    <t>NETWORK CABINET "GRID" 27U 600x600 19 INCH SINGLE FRONT GLASS DOOR - FULL REAR</t>
  </si>
  <si>
    <t>BAIE RESEAU "GRID" 27U 600x600 19 POUCES PORTE AV VITREE SIMPLE - PANNEAU AR</t>
  </si>
  <si>
    <t>KRG3266SGR</t>
  </si>
  <si>
    <t>NETWORK CABINET "GRID" 32U 600x600 19 INCH SINGLE FRONT GLASS DOOR - FULL REAR</t>
  </si>
  <si>
    <t>BAIE RESEAU "GRID" 32U 600x600 19 POUCES PORTE AV VITREE SIMPLE - PANNEAU AR</t>
  </si>
  <si>
    <t>KRG4266SGR</t>
  </si>
  <si>
    <t>NETWORK CABINET "GRID" 42U 600x600 19 INCH SINGLE FRONT GLASS DOOR - FULL REAR</t>
  </si>
  <si>
    <t>BAIE RESEAU "GRID" 42U 600x600 19 POUCES PORTE AV VITREE SIMPLE - PANNEAU AR</t>
  </si>
  <si>
    <t>KRG2268SGR</t>
  </si>
  <si>
    <t>NETWORK CABINET "GRID" 22U 600x800 19 INCH SINGLE FRONT GLASS DOOR - FULL REAR</t>
  </si>
  <si>
    <t>BAIE RESEAU "GRID" 22U 600x800 19 POUCES PORTE AV VITREE SIMPLE - PANNEAU AR</t>
  </si>
  <si>
    <t>KRG2768SGR</t>
  </si>
  <si>
    <t>NETWORK CABINET "GRID" 27U 600x800 19 INCH SINGLE FRONT GLASS DOOR - FULL REAR</t>
  </si>
  <si>
    <t>BAIE RESEAU "GRID" 27U 600x800 19 POUCES PORTE AV VITREE SIMPLE - PANNEAU AR</t>
  </si>
  <si>
    <t>KRG4268SGR</t>
  </si>
  <si>
    <t>NETWORK CABINET "GRID" 42U 600x800 19 INCH SINGLE FRONT GLASS DOOR - FULL REAR</t>
  </si>
  <si>
    <t>BAIE RESEAU "GRID" 42U 600x800 19 POUCES PORTE AV VITREE SIMPLE - PANNEAU AR</t>
  </si>
  <si>
    <t>KRG42610SGR</t>
  </si>
  <si>
    <t>NETWORK CABINET "GRID" 42U 600x1000 19 INCH SINGLE FRONT GLASS DOOR - FULL REAR</t>
  </si>
  <si>
    <t>BAIE RESEAU "GRID" 42U 600x1000 19 POUCES PORTE AV VITREE SIMPLE - PANNEAU AR</t>
  </si>
  <si>
    <t>KRG4286SGR</t>
  </si>
  <si>
    <t>NETWORK CABINET "GRID" 42U 800x600 19 INCH SINGLE FRONT GLASS DOOR - FULL REAR</t>
  </si>
  <si>
    <t>BAIE RESEAU "GRID" 42U 800x600 19 POUCES PORTE AV VITREE SIMPLE - PANNEAU AR</t>
  </si>
  <si>
    <t>KRG2488SGR</t>
  </si>
  <si>
    <t>NETWORK CABINET "GRID" 24U 800x800 19 INCH SINGLE FRONT GLASS DOOR - FULL REAR</t>
  </si>
  <si>
    <t>BAIE RESEAU "GRID" 24U 800x800 19 POUCES PORTE AV VITREE SIMPLE - PANNEAU AR</t>
  </si>
  <si>
    <t>KRG2788SGR</t>
  </si>
  <si>
    <t>NETWORK CABINET "GRID" 27U 800x800 19 INCH SINGLE FRONT GLASS DOOR - FULL REAR</t>
  </si>
  <si>
    <t>BAIE RESEAU "GRID" 27U 800x800 19 POUCES PORTE AV VITREE SIMPLE - PANNEAU AR</t>
  </si>
  <si>
    <t>KRG3288SGR</t>
  </si>
  <si>
    <t>NETWORK CABINET "GRID" 32U 800x800 19 INCH SINGLE FRONT GLASS DOOR - FULL REAR</t>
  </si>
  <si>
    <t>BAIE RESEAU "GRID" 32U 800x800 19 POUCES PORTE AV VITREE SIMPLE - PANNEAU AR</t>
  </si>
  <si>
    <t>KRG4288SGR</t>
  </si>
  <si>
    <t>NETWORK CABINET "GRID" 42U 800x800 19 INCH SINGLE FRONT GLASS DOOR - FULL REAR</t>
  </si>
  <si>
    <t>BAIE RESEAU "GRID" 42U 800x800 19 POUCES PORTE AV VITREE SIMPLE - PANNEAU AR</t>
  </si>
  <si>
    <t>47U</t>
  </si>
  <si>
    <t>KRG4788SGR</t>
  </si>
  <si>
    <t>NETWORK CABINET "GRID" 47U 800x800 19 INCH SINGLE FRONT GLASS DOOR - FULL REAR</t>
  </si>
  <si>
    <t>BAIE RESEAU "GRID" 47U 800x800 19 POUCES PORTE AV VITREE SIMPLE - PANNEAU AR</t>
  </si>
  <si>
    <t>KRG42810SGR</t>
  </si>
  <si>
    <t>U1403068</t>
  </si>
  <si>
    <t>NETWORK CABINET "GRID" 42U 800x1000 19 INCH SINGLE FRONT GLASS DOOR - FULL REAR</t>
  </si>
  <si>
    <t>BAIE RESEAU "GRID" 42U 800x1000 19 POUCES PORTE AV VITREE SIMPLE - PANNEAU AR</t>
  </si>
  <si>
    <t>800X1000</t>
  </si>
  <si>
    <t>KRG47810SGR</t>
  </si>
  <si>
    <t>NETWORK CABINET "GRID" 47U 800x1000 19 INCH SINGLE FRONT GLASS DOOR - FULL REAR</t>
  </si>
  <si>
    <t>BAIE RESEAU "GRID" 47U 800x1000 19 POUCES PORTE AV VITREE SIMPLE - PANNEAU AR</t>
  </si>
  <si>
    <t>800x1200</t>
  </si>
  <si>
    <t>KRG42812SGR</t>
  </si>
  <si>
    <t>NETWORK CABINET "GRID" 42U 800x1200 19 INCH SINGLE FRONT GLASS DOOR - FULL REAR</t>
  </si>
  <si>
    <t>BAIE RESEAU "GRID" 42U 800x1200 19 POUCES PORTE AV VITREE SIMPLE - PANNEAU AR</t>
  </si>
  <si>
    <t>KRG47812SGR</t>
  </si>
  <si>
    <t>NETWORK CABINET "GRID" 47U 800x1200 19 INCH SINGLE FRONT GLASS DOOR - FULL REAR</t>
  </si>
  <si>
    <t>BAIE RESEAU "GRID" 47U 800x1200 19 POUCES PORTE AV VITREE SIMPLE - PANNEAU AR</t>
  </si>
  <si>
    <t>KRG2266SG2</t>
  </si>
  <si>
    <t>NETWORK CABINET "GRID" 22U 600x600 19 INCH SINGLE FRONT/REAR GLASS DOORS</t>
  </si>
  <si>
    <t>BAIE RESEAU "GRID" 22U 600x600 19 POUCES PORTES AV/AR VITREES SIMPLE</t>
  </si>
  <si>
    <t>KRG2466SG2</t>
  </si>
  <si>
    <t>NETWORK CABINET "GRID" 24U 600x600 19 INCH SINGLE FRONT/REAR GLASS DOORS</t>
  </si>
  <si>
    <t>BAIE RESEAU "GRID" 24U 600x600 19 POUCES PORTES AV/AR VITREES SIMPLE</t>
  </si>
  <si>
    <t>KRG2766SG2</t>
  </si>
  <si>
    <t>NETWORK CABINET "GRID" 27U 600x600 19 INCH SINGLE FRONT/REAR GLASS DOORS</t>
  </si>
  <si>
    <t>BAIE RESEAU "GRID" 27U 600x600 19 POUCES PORTES AV/AR VITREES SIMPLE</t>
  </si>
  <si>
    <t>KRG3266SG2</t>
  </si>
  <si>
    <t>NETWORK CABINET "GRID" 32U 600x600 19 INCH SINGLE FRONT/REAR GLASS DOORS</t>
  </si>
  <si>
    <t>BAIE RESEAU "GRID" 32U 600x600 19 POUCES PORTES AV/AR VITREES SIMPLE</t>
  </si>
  <si>
    <t>KRG4266SG2</t>
  </si>
  <si>
    <t>NETWORK CABINET "GRID" 42U 600x600 19 INCH SINGLE FRONT/REAR GLASS DOORS</t>
  </si>
  <si>
    <t>BAIE RESEAU "GRID" 42U 600x600 19 POUCES PORTES AV/AR VITREES SIMPLE</t>
  </si>
  <si>
    <t>KRG2268SG2</t>
  </si>
  <si>
    <t>NETWORK CABINET "GRID" 22U 600x800 19 INCH SINGLE FRONT/REAR GLASS DOORS</t>
  </si>
  <si>
    <t>BAIE RESEAU "GRID" 22U 600x800 19 POUCES PORTES AV/AR VITREES SIMPLE</t>
  </si>
  <si>
    <t>KRG2768SG2</t>
  </si>
  <si>
    <t>NETWORK CABINET "GRID" 27U 600x800 19 INCH SINGLE FRONT/REAR GLASS DOORS</t>
  </si>
  <si>
    <t>BAIE RESEAU "GRID" 27U 600x800 19 POUCES PORTES AV/AR VITREES SIMPLE</t>
  </si>
  <si>
    <t>KRG4268SG2</t>
  </si>
  <si>
    <t>NETWORK CABINET "GRID" 42U 600x800 19 INCH SINGLE FRONT/REAR GLASS DOORS</t>
  </si>
  <si>
    <t>BAIE RESEAU "GRID" 42U 600x800 19 POUCES PORTES AV/AR VITREES SIMPLE</t>
  </si>
  <si>
    <t>KRG42610SG2</t>
  </si>
  <si>
    <t>NETWORK CABINET "GRID" 42U 600x1000 19 INCH SINGLE FRONT/REAR GLASS DOORS</t>
  </si>
  <si>
    <t>BAIE RESEAU "GRID" 42U 600x1000 19 POUCES PORTES AV/AR VITREES SIMPLE</t>
  </si>
  <si>
    <t>KRG4286DGR</t>
  </si>
  <si>
    <t>NETWORK CABINET "GRID" 42U 800x600 19 INCH DOUBLE  FRONT GLASS DOOR - FULL REAR</t>
  </si>
  <si>
    <t>BAIE RESEAU "GRID" 42U 800x600 19 POUCES DOUBLE PORTE AV VITREE - PANNEAU AR</t>
  </si>
  <si>
    <t>KRG3288DGR</t>
  </si>
  <si>
    <t>NETWORK CABINET "GRID" 32U 800x800 19 INCH DOUBLE  FRONT GLASS DOOR - FULL REAR</t>
  </si>
  <si>
    <t>BAIE RESEAU "GRID" 32U 800x800 19 POUCES DOUBLE PORTE AV VITREE - PANNEAU AR</t>
  </si>
  <si>
    <t>KRG4288DGR</t>
  </si>
  <si>
    <t>NETWORK CABINET "GRID" 42U 800x800 19 INCH DOUBLE  FRONT GLASS DOOR - FULL REAR</t>
  </si>
  <si>
    <t>BAIE RESEAU "GRID" 42U 800x800 19 POUCES DOUBLE PORTE AV VITREE - PANNEAU AR</t>
  </si>
  <si>
    <t>KRG4788DGR</t>
  </si>
  <si>
    <t>NETWORK CABINET "GRID" 47U 800x800 19 INCH DOUBLE  FRONT GLASS DOOR - FULL REAR</t>
  </si>
  <si>
    <t>BAIE RESEAU "GRID" 47U 800x800 19 POUCES DOUBLE PORTE AV VITREE - PANNEAU AR</t>
  </si>
  <si>
    <t>KRG42810DGR</t>
  </si>
  <si>
    <t>NETWORK CABINET "GRID" 42U 800x1000 19 INCH DOUBLE  FRONT GLASS DOOR - FULL REAR</t>
  </si>
  <si>
    <t>BAIE RESEAU "GRID" 42U 800x1000 19 POUCES DOUBLE PORTE AV VITREE - PANNEAU AR</t>
  </si>
  <si>
    <t>KRG42812DGR</t>
  </si>
  <si>
    <t>NETWORK CABINET "GRID" 42U 800x1200 19 INCH DOUBLE  FRONT GLASS DOOR - FULL REAR</t>
  </si>
  <si>
    <t>BAIE RESEAU "GRID" 42U 800x1200 19 POUCES DOUBLE PORTE AV VITREE - PANNEAU AR</t>
  </si>
  <si>
    <t>KRG47812DGR</t>
  </si>
  <si>
    <t>NETWORK CABINET "GRID" 47U 800x1200 19 INCH DOUBLE  FRONT GLASS DOOR - FULL REAR</t>
  </si>
  <si>
    <t>BAIE RESEAU "GRID" 47U 800x1200 19 POUCES DOUBLE PORTE AV VITREE - PANNEAU AR</t>
  </si>
  <si>
    <t>KRG3288DG2</t>
  </si>
  <si>
    <t>NETWORK CABINET "GRID" 32U 800x800 19 INCH DOUBLE GLASS FRONT/REAR DOORS</t>
  </si>
  <si>
    <t>BAIE RESEAU "GRID" 32U 800x800 19 POUCES DOUBLE PORTE AV/AR VITREES</t>
  </si>
  <si>
    <t>KRG4288DG2</t>
  </si>
  <si>
    <t>NETWORK CABINET "GRID" 42U 800x800 19 INCH DOUBLE GLASS FRONT/REAR DOORS</t>
  </si>
  <si>
    <t>BAIE RESEAU "GRID" 42U 800x800 19 POUCES DOUBLE PORTE AV/AR VITREES</t>
  </si>
  <si>
    <t>KRG4788DG2</t>
  </si>
  <si>
    <t>NETWORK CABINET "GRID" 47U 800x800 19 INCH DOUBLE GLASS FRONT/REAR DOORS</t>
  </si>
  <si>
    <t>BAIE RESEAU "GRID" 47U 800x800 19 POUCES DOUBLE PORTE AV/AR VITREES</t>
  </si>
  <si>
    <t>KRG42810DG2</t>
  </si>
  <si>
    <t>NETWORK CABINET "GRID" 42U 800x1000 19 INCH DOUBLE GLASS FRONT/REAR DOORS</t>
  </si>
  <si>
    <t>BAIE RESEAU "GRID" 42U 800x1000 19 POUCES DOUBLE PORTE AV/AR VITREES</t>
  </si>
  <si>
    <t>KRG42812DG2</t>
  </si>
  <si>
    <t>NETWORK CABINET "GRID" 42U 800x1200 19 INCH DOUBLE GLASS FRONT/REAR DOORS</t>
  </si>
  <si>
    <t>BAIE RESEAU "GRID" 42U 800x1200 19 POUCES DOUBLE PORTE AV/AR VITREES</t>
  </si>
  <si>
    <t>KRG47812DG2</t>
  </si>
  <si>
    <t>NETWORK CABINET "GRID" 47U 800x1200 19 INCH DOUBLE GLASS FRONT/REAR DOORS</t>
  </si>
  <si>
    <t>BAIE RESEAU "GRID" 47U 800x1200 19 POUCES DOUBLE PORTE AV/AR VITREES</t>
  </si>
  <si>
    <t>KRG2266SPR</t>
  </si>
  <si>
    <t>NETWORK CABINET "GRID" 22U 600x600 19 INCH SINGLE FRONT PERFORATED DOOR - FULL REAR</t>
  </si>
  <si>
    <t>BAIE RESEAU "GRID" 22U 600x600 19 POUCES PORTE AV PERFOREE SIMPLE - PANNEAU AR</t>
  </si>
  <si>
    <t>KRG2466SPR</t>
  </si>
  <si>
    <t>NETWORK CABINET "GRID" 24U 600x600 19 INCH SINGLE FRONT PERFORATED DOOR - FULL REAR</t>
  </si>
  <si>
    <t>BAIE RESEAU "GRID" 24U 600x600 19 POUCES PORTE AV PERFOREE SIMPLE - PANNEAU AR</t>
  </si>
  <si>
    <t>KRG2766SPR</t>
  </si>
  <si>
    <t>NETWORK CABINET "GRID" 27U 600x600 19 INCH SINGLE FRONT PERFORATED DOOR - FULL REAR</t>
  </si>
  <si>
    <t>BAIE RESEAU "GRID" 27U 600x600 19 POUCES PORTE AV PERFOREE SIMPLE - PANNEAU AR</t>
  </si>
  <si>
    <t>KRG3266SPR</t>
  </si>
  <si>
    <t>NETWORK CABINET "GRID" 32U 600x600 19 INCH SINGLE FRONT PERFORATED DOOR - FULL REAR</t>
  </si>
  <si>
    <t>BAIE RESEAU "GRID" 32U 600x600 19 POUCES PORTE AV PERFOREE SIMPLE - PANNEAU AR</t>
  </si>
  <si>
    <t>KRG4266SPR</t>
  </si>
  <si>
    <t>NETWORK CABINET "GRID" 42U 600x600 19 INCH SINGLE FRONT PERFORATED DOOR - FULL REAR</t>
  </si>
  <si>
    <t>BAIE RESEAU "GRID" 42U 600x600 19 POUCES PORTE AV PERFOREE SIMPLE - PANNEAU AR</t>
  </si>
  <si>
    <t>KRG2268SPR</t>
  </si>
  <si>
    <t>NETWORK CABINET "GRID" 22U 600x800 19 INCH SINGLE FRONT PERFORATED DOOR - FULL REAR</t>
  </si>
  <si>
    <t>BAIE RESEAU "GRID" 22U 600x800 19 POUCES PORTE AV PERFOREE SIMPLE - PANNEAU AR</t>
  </si>
  <si>
    <t>KRG2768SPR</t>
  </si>
  <si>
    <t>NETWORK CABINET "GRID" 27U 600x800 19 INCH SINGLE FRONT PERFORATED DOOR - FULL REAR</t>
  </si>
  <si>
    <t>BAIE RESEAU "GRID" 27U 600x800 19 POUCES PORTE AV PERFOREE SIMPLE - PANNEAU AR</t>
  </si>
  <si>
    <t>KRG4268SPR</t>
  </si>
  <si>
    <t>NETWORK CABINET "GRID" 42U 600x800 19 INCH SINGLE FRONT PERFORATED DOOR - FULL REAR</t>
  </si>
  <si>
    <t>BAIE RESEAU "GRID" 42U 600x800 19 POUCES PORTE AV PERFOREE SIMPLE - PANNEAU AR</t>
  </si>
  <si>
    <t>KRG4768SPR</t>
  </si>
  <si>
    <t>NETWORK CABINET "GRID" 47U 600x800 19 INCH SINGLE FRONT PERFORATED DOOR - FULL REAR</t>
  </si>
  <si>
    <t>BAIE RESEAU "GRID" 47U 600x800 19 POUCES PORTE AV PERFOREE SIMPLE - PANNEAU AR</t>
  </si>
  <si>
    <t>KRG42610SPR</t>
  </si>
  <si>
    <t>NETWORK CABINET "GRID" 42U 600x1000 19 INCH SINGLE FRONT PERFORATED DOOR - FULL REAR</t>
  </si>
  <si>
    <t>BAIE RESEAU "GRID" 42U 600x1000 19 POUCES PORTE AV PERFOREE SIMPLE - PANNEAU AR</t>
  </si>
  <si>
    <t>600x2600</t>
  </si>
  <si>
    <t>KRG2266SP2</t>
  </si>
  <si>
    <t>NETWORK CABINET "GRID" 22U 600x600 19 INCH SINGLE FRONT/REAR PERFORATED DOORS</t>
  </si>
  <si>
    <t>BAIE RESEAU "GRID" 22U 600x600 19 POUCES PORTES AV/AR PERFOREES SIMPLE</t>
  </si>
  <si>
    <t>KRG2466SP2</t>
  </si>
  <si>
    <t>NETWORK CABINET "GRID" 24U 600x600 19 INCH SINGLE FRONT/REAR PERFORATED DOORS</t>
  </si>
  <si>
    <t>BAIE RESEAU "GRID" 24U 600x600 19 POUCES PORTES AV/AR PERFOREES SIMPLE</t>
  </si>
  <si>
    <t>KRG2766SP2</t>
  </si>
  <si>
    <t>NETWORK CABINET "GRID" 27U 600x600 19 INCH SINGLE FRONT/REAR PERFORATED DOORS</t>
  </si>
  <si>
    <t>BAIE RESEAU "GRID" 27U 600x600 19 POUCES PORTES AV/AR PERFOREES SIMPLE</t>
  </si>
  <si>
    <t>KRG3266SP2</t>
  </si>
  <si>
    <t>NETWORK CABINET "GRID" 32U 600x600 19 INCH SINGLE FRONT/REAR PERFORATED DOORS</t>
  </si>
  <si>
    <t>BAIE RESEAU "GRID" 32U 600x600 19 POUCES PORTES AV/AR PERFOREES SIMPLE</t>
  </si>
  <si>
    <t>KRG4266SP2</t>
  </si>
  <si>
    <t>NETWORK CABINET "GRID" 42U 600x600 19 INCH SINGLE FRONT/REAR PERFORATED DOORS</t>
  </si>
  <si>
    <t>BAIE RESEAU "GRID" 42U 600x600 19 POUCES PORTES AV/AR PERFOREES SIMPLE</t>
  </si>
  <si>
    <t>KRG2268SP2</t>
  </si>
  <si>
    <t>NETWORK CABINET "GRID" 22U 600x800 19 INCH SINGLE FRONT/REAR PERFORATED DOORS</t>
  </si>
  <si>
    <t>BAIE RESEAU "GRID" 22U 600x800 19 POUCES PORTES AV/AR PERFOREES SIMPLE</t>
  </si>
  <si>
    <t>KRG2768SP2</t>
  </si>
  <si>
    <t>NETWORK CABINET "GRID" 27U 600x800 19 INCH SINGLE FRONT/REAR PERFORATED DOORS</t>
  </si>
  <si>
    <t>BAIE RESEAU "GRID" 27U 600x800 19 POUCES PORTES AV/AR PERFOREES SIMPLE</t>
  </si>
  <si>
    <t>KRG4268SP2</t>
  </si>
  <si>
    <t>NETWORK CABINET "GRID" 42U 600x800 19 INCH SINGLE FRONT/REAR PERFORATED DOORS</t>
  </si>
  <si>
    <t>BAIE RESEAU "GRID" 42U 600x800 19 POUCES PORTES AV/AR PERFOREES SIMPLE</t>
  </si>
  <si>
    <t>KRG4768SP2</t>
  </si>
  <si>
    <t>NETWORK CABINET "GRID" 47U 600x800 19 INCH SINGLE FRONT/REAR PERFORATED DOORS</t>
  </si>
  <si>
    <t>BAIE RESEAU "GRID" 47U 600x800 19 POUCES PORTES AV/AR PERFOREES SIMPLE</t>
  </si>
  <si>
    <t>KRG42610SP2</t>
  </si>
  <si>
    <t>NETWORK CABINET "GRID" 42U 600x1000 19 INCH SINGLE FRONT/REAR PERFORATED DOORS</t>
  </si>
  <si>
    <t>BAIE RESEAU "GRID" 42U 600x1000 19 POUCES PORTES AV/AR PERFOREES SIMPLE</t>
  </si>
  <si>
    <t>KRG4286DPR</t>
  </si>
  <si>
    <t>NETWORK CABINET "GRID" 42U 800x600 19 INCH DOUBLE  FRONT PERFORATED DOOR - FULL REAR</t>
  </si>
  <si>
    <t>BAIE RESEAU "GRID" 42U 800x600 19 POUCES DOUBLE PORTE AV PERFOREE - PANNEAU AR</t>
  </si>
  <si>
    <t>KRG3288DPR</t>
  </si>
  <si>
    <t>NETWORK CABINET "GRID" 32U 800x800 19 INCH DOUBLE  FRONT PERFORATED DOOR - FULL REAR</t>
  </si>
  <si>
    <t>BAIE RESEAU "GRID" 32U 800x800 19 POUCES DOUBLE PORTE AV PERFOREE - PANNEAU AR</t>
  </si>
  <si>
    <t>KRG4288DPR</t>
  </si>
  <si>
    <t>NETWORK CABINET "GRID" 42U 800x800 19 INCH DOUBLE  FRONT PERFORATED DOOR - FULL REAR</t>
  </si>
  <si>
    <t>BAIE RESEAU "GRID" 42U 800x800 19 POUCES DOUBLE PORTE AV PERFOREE - PANNEAU AR</t>
  </si>
  <si>
    <t>KRG4788DPR</t>
  </si>
  <si>
    <t>NETWORK CABINET "GRID" 47U 800x800 19 INCH DOUBLE  FRONT PERFORATED DOOR - FULL REAR</t>
  </si>
  <si>
    <t>BAIE RESEAU "GRID" 47U 800x800 19 POUCES DOUBLE PORTE AV PERFOREE - PANNEAU AR</t>
  </si>
  <si>
    <t>KRG42810DPR</t>
  </si>
  <si>
    <t>NETWORK CABINET "GRID" 42U 800x1000 19 INCH DOUBLE  FRONT PERFORATED DOOR - FULL REAR</t>
  </si>
  <si>
    <t>BAIE RESEAU "GRID" 42U 800x1000 19 POUCES DOUBLE PORTE AV PERFOREE - PANNEAU AR</t>
  </si>
  <si>
    <t>KRG47810DPR</t>
  </si>
  <si>
    <t>NETWORK CABINET "GRID" 47U 800x1000 19 INCH DOUBLE  FRONT PERFORATED DOOR - FULL REAR</t>
  </si>
  <si>
    <t>BAIE RESEAU "GRID" 47U 800x1000 19 POUCES DOUBLE PORTE AV PERFOREE - PANNEAU AR</t>
  </si>
  <si>
    <t>KRG42812DPR</t>
  </si>
  <si>
    <t>NETWORK CABINET "GRID" 42U 800x1200 19 INCH DOUBLE  FRONT PERFORATED DOOR - FULL REAR</t>
  </si>
  <si>
    <t>BAIE RESEAU "GRID" 42U 800x1200 19 POUCES DOUBLE PORTE AV PERFOREE - PANNEAU AR</t>
  </si>
  <si>
    <t>KRG47812DPR</t>
  </si>
  <si>
    <t>NETWORK CABINET "GRID" 47U 800x1200 19 INCH DOUBLE  FRONT PERFORATED DOOR - FULL REAR</t>
  </si>
  <si>
    <t>BAIE RESEAU "GRID" 47U 800x1200 19 POUCES DOUBLE PORTE AV PERFOREE - PANNEAU AR</t>
  </si>
  <si>
    <t>KRG4286DP2</t>
  </si>
  <si>
    <t>NETWORK CABINET "GRID" 42U 800x600 19 INCH DOUBLE FRONT/REAR PERFORATED DOORS</t>
  </si>
  <si>
    <t>BAIE RESEAU "GRID" 42U 800x600 19 POUCES DOUBLE PORTE AV/AR PERFOREES</t>
  </si>
  <si>
    <t>KRG3288DP2</t>
  </si>
  <si>
    <t>NETWORK CABINET "GRID" 32U 800x800 19 INCH DOUBLE FRONT/REAR PERFORATED DOORS</t>
  </si>
  <si>
    <t>BAIE RESEAU "GRID" 32U 800x800 19 POUCES DOUBLE PORTE AV/AR PERFOREES</t>
  </si>
  <si>
    <t>KRG4288DP2</t>
  </si>
  <si>
    <t>NETWORK CABINET "GRID" 42U 800x800 19 INCH DOUBLE FRONT/REAR PERFORATED DOORS</t>
  </si>
  <si>
    <t>BAIE RESEAU "GRID" 42U 800x800 19 POUCES DOUBLE PORTE AV/AR PERFOREES</t>
  </si>
  <si>
    <t>KRG4788DP2</t>
  </si>
  <si>
    <t>NETWORK CABINET "GRID" 47U 800x800 19 INCH DOUBLE FRONT/REAR PERFORATED DOORS</t>
  </si>
  <si>
    <t>BAIE RESEAU "GRID" 47U 800x800 19 POUCES DOUBLE PORTE AV/AR PERFOREES</t>
  </si>
  <si>
    <t>KRG42810DP2</t>
  </si>
  <si>
    <t>NETWORK CABINET "GRID" 42U 800x1000 19 INCH DOUBLE FRONT/REAR PERFORATED DOORS</t>
  </si>
  <si>
    <t>BAIE RESEAU "GRID" 42U 800x1000 19 POUCES DOUBLE PORTE AV/AR PERFOREES</t>
  </si>
  <si>
    <t>KRG47810DP2</t>
  </si>
  <si>
    <t>NETWORK CABINET "GRID" 47U 800x1000 19 INCH DOUBLE FRONT/REAR PERFORATED DOORS</t>
  </si>
  <si>
    <t>BAIE RESEAU "GRID" 47U 800x1000 19 POUCES DOUBLE PORTE AV/AR PERFOREES</t>
  </si>
  <si>
    <t>KRG42812DP2</t>
  </si>
  <si>
    <t>NETWORK CABINET "GRID" 42U 800x1200 19 INCH DOUBLE FRONT/REAR PERFORATED DOORS</t>
  </si>
  <si>
    <t>BAIE RESEAU "GRID" 42U 800x1200 19 POUCES DOUBLE PORTE AV/AR PERFOREES</t>
  </si>
  <si>
    <t>KRG47812DP2</t>
  </si>
  <si>
    <t>NETWORK CABINET "GRID" 47U 800x1200 19 INCH DOUBLE FRONT/REAR PERFORATED DOORS</t>
  </si>
  <si>
    <t>BAIE RESEAU "GRID" 47U 800x1200 19 POUCES DOUBLE PORTE AV/AR PERFOREES</t>
  </si>
  <si>
    <t>1000x1000</t>
  </si>
  <si>
    <t>KRG321010DGR</t>
  </si>
  <si>
    <t>NETWORK CABINET "GRID" 32U 1000x1000 19 INCH DOUBLE  FRONT GLASS DOOR - FULL REAR</t>
  </si>
  <si>
    <t>BAIE RESEAU "GRID" 32U 1000x1000 19 POUCES DOUBLE PORTE AV VITREE - PANNEAU AR</t>
  </si>
  <si>
    <t>KRG421010DGR</t>
  </si>
  <si>
    <t>NETWORK CABINET "GRID" 42U 1000x1000 19 INCH DOUBLE  FRONT GLASS DOOR - FULL REAR</t>
  </si>
  <si>
    <t>BAIE RESEAU "GRID" 42U 1000x1000 19 POUCES DOUBLE PORTE AV VITREE - PANNEAU AR</t>
  </si>
  <si>
    <t>KRG471010DGR</t>
  </si>
  <si>
    <t>NETWORK CABINET "GRID" 47U 1000x1000 19 INCH DOUBLE  FRONT GLASS DOOR - FULL REAR</t>
  </si>
  <si>
    <t>BAIE RESEAU "GRID" 47U 1000x1000 19 POUCES DOUBLE PORTE AV VITREE - PANNEAU AR</t>
  </si>
  <si>
    <t>KRG321010DP2</t>
  </si>
  <si>
    <t>NETWORK CABINET "GRID" 32U 1000x1000 19 INCH DOUBLE FRONT/REAR PERFORATED DOORS</t>
  </si>
  <si>
    <t>BAIE RESEAU "GRID" 32U 1000x1000 19 POUCES DOUBLE PORTE AV/AR PERFOREES</t>
  </si>
  <si>
    <t>KRG421010DP2</t>
  </si>
  <si>
    <t>NETWORK CABINET "GRID" 42U 1000x1000 19 INCH DOUBLE FRONT/REAR PERFORATED DOORS</t>
  </si>
  <si>
    <t>BAIE RESEAU "GRID" 42U 1000x1000 19 POUCES DOUBLE PORTE AV/AR PERFOREES</t>
  </si>
  <si>
    <t>KRG471010DP2</t>
  </si>
  <si>
    <t>NETWORK CABINET "GRID" 47U 1000x1000 19 INCH DOUBLE FRONT/REAR PERFORATED DOORS</t>
  </si>
  <si>
    <t>BAIE RESEAU "GRID" 47U 1000x1000 19 POUCES DOUBLE PORTE AV/AR PERFOREES</t>
  </si>
  <si>
    <t>EDF</t>
  </si>
  <si>
    <t>KRG2788EDF</t>
  </si>
  <si>
    <t>U1405014</t>
  </si>
  <si>
    <t>NETWORK CABINET "GRID" 27U 800x800 19 INCH FRONT/REAR PERFORATED DOORS EDF SPECIAL</t>
  </si>
  <si>
    <t>BAIE RESEAU "GRID" 27U 800x800 19 POUCES PORTE AV/AR PERFOREES SPECIAL EDF</t>
  </si>
  <si>
    <t>33U</t>
  </si>
  <si>
    <t>KRG3388EDF</t>
  </si>
  <si>
    <t>U1405015</t>
  </si>
  <si>
    <t>NETWORK CABINET "GRID" 33U 800x800 19 INCH FRONT/REAR PERFORATED DOORS EDF SPECIAL</t>
  </si>
  <si>
    <t>BAIE RESEAU "GRID" 33U 800x800 19 POUCES PORTE AV/AR PERFOREES SPECIAL EDF</t>
  </si>
  <si>
    <t>KRG4288EDF</t>
  </si>
  <si>
    <t>NETWORK CABINET "GRID" 42U 800x800 19 INCH FRONT/REAR PERFORATED DOORS EDF SPECIAL</t>
  </si>
  <si>
    <t>BAIE RESEAU "GRID" 42U 800x800 19 POUCES PORTE AV/AR PERFOREES SPECIAL EDF</t>
  </si>
  <si>
    <t>KRG4288EDFP</t>
  </si>
  <si>
    <t>NETWORK CABINET EXTENSION "GRID" 42U 800x800 19 INCH FRONT/REAR PERFORATED DOORS EDF SPECIAL</t>
  </si>
  <si>
    <t>BAIE RESEAU EXTENSION "GRID" 42U 800x800 19 POUCES PORTE AV/AR PERFOREES SPECIAL EDF</t>
  </si>
  <si>
    <t>KRG4266EDF</t>
  </si>
  <si>
    <t>NETWORK CABINET "GRID" 42U 600x600 19 INCH FRONT/REAR PERFORATED DOORS EDF SPECIAL</t>
  </si>
  <si>
    <t>BAIE RESEAU "GRID" 42U 600x600 19 POUCES PORTE AV/AR PERFOREES SPECIAL EDF</t>
  </si>
  <si>
    <t>KRG4266EDFP</t>
  </si>
  <si>
    <t>NETWORK CABINET EXTENSION "GRID" 42U 600x600 19 INCH FRONT/REAR PERFORATED DOORS EDF SPECIAL</t>
  </si>
  <si>
    <t>BAIE RESEAU EXTENSION "GRID" 42U 600x600 19 POUCES PORTE AV/AR PERFOREES SPECIAL EDF</t>
  </si>
  <si>
    <t>KRG4268EDF</t>
  </si>
  <si>
    <t>NETWORK CABINET "GRID" 42U 600x800 19 INCH FRONT/REAR PERFORATED DOORS EDF SPECIAL</t>
  </si>
  <si>
    <t>BAIE RESEAU "GRID" 42U 600x800 19 POUCES PORTE AV/AR PERFOREES SPECIAL EDF</t>
  </si>
  <si>
    <t>KRG4268EDFP</t>
  </si>
  <si>
    <t>NETWORK CABINET EXTENSION "GRID" 42U 600x800 19 INCH FRONT/REAR PERFORATED DOORS EDF SPECIAL</t>
  </si>
  <si>
    <t>BAIE RESEAU EXTENSION "GRID" 42U 600x800 19 POUCES PORTE AV/AR PERFOREES SPECIAL EDF</t>
  </si>
  <si>
    <t>KRG42810EDF</t>
  </si>
  <si>
    <t>NETWORK CABINET "GRID" 42U 600x1000 19 INCH FRONT/REAR PERFORATED DOORS EDF SPECIAL</t>
  </si>
  <si>
    <t>BAIE RESEAU "GRID" 42U 600x1000 19 POUCES PORTE AV/AR PERFOREES SPECIAL EDF</t>
  </si>
  <si>
    <t>KRG42810EDFP</t>
  </si>
  <si>
    <t>NETWORK CABINET EXTENSION "GRID" 42U 600x1000 19 INCH FRONT/REAR PERFORATED DOORS EDF SPECIAL</t>
  </si>
  <si>
    <t>BAIE RESEAU EXTENSION "GRID" 42U 600x1000 19 POUCES PORTE AV/AR PERFOREES SPECIAL EDF</t>
  </si>
  <si>
    <t>KRG4788EDF</t>
  </si>
  <si>
    <t>NETWORK CABINET "GRID" 47U 800x800 19 INCH FRONT/REAR PERFORATED DOORS EDF SPECIAL</t>
  </si>
  <si>
    <t>BAIE RESEAU "GRID" 47U 800x800 19 POUCES PORTE AV/AR PERFOREES SPECIAL EDF</t>
  </si>
  <si>
    <t>KRG4788EDFP</t>
  </si>
  <si>
    <t>NETWORK CABINET EXTENSION "GRID" 47U 800x800 19 INCH FRONT/REAR PERFORATED DOORS EDF SPECIAL</t>
  </si>
  <si>
    <t>BAIE RESEAU EXTENSION "GRID" 47U 800x800 19 POUCES PORTE AV/AR PERFOREES SPECIAL EDF</t>
  </si>
  <si>
    <t>KRG47810EDF</t>
  </si>
  <si>
    <t>NETWORK CABINET "GRID" 47U 800x1000 19 INCH FRONT/REAR PERFORATED DOORS EDF SPECIAL</t>
  </si>
  <si>
    <t>BAIE RESEAU "GRID" 47U 800x1000 19 POUCES PORTE AV/AR PERFOREES SPECIAL EDF</t>
  </si>
  <si>
    <t>KRG47810EDFP</t>
  </si>
  <si>
    <t>NETWORK CABINET EXTENSION "GRID" 47U 800x1000 19 INCH FRONT/REAR PERFORATED DOORS EDF SPECIAL</t>
  </si>
  <si>
    <t>BAIE RESEAU EXTENSION "GRID" 47U 800x1000 19 POUCES PORTE AV/AR PERFOREES SPECIAL EDF</t>
  </si>
  <si>
    <t>KRH4288EDF</t>
  </si>
  <si>
    <t>CABINET 19’’ EDF 42U 800X800</t>
  </si>
  <si>
    <t>BAIE 19’’ EDF 42U 800X800</t>
  </si>
  <si>
    <t>09U</t>
  </si>
  <si>
    <t>KWG09600FD</t>
  </si>
  <si>
    <t>19 INCH WALL MOUNTED RACK 09U PROF600 WITH SOLID FRONT DOOR</t>
  </si>
  <si>
    <t>COFFRET 19 POUCES 09U PROF600 PORTE AV PLEINE</t>
  </si>
  <si>
    <t>12U</t>
  </si>
  <si>
    <t>KWG12600</t>
  </si>
  <si>
    <t>19 INCH WALL MOUNTED RACK 12U PROF600</t>
  </si>
  <si>
    <t>COFFRET 19 POUCES 12U PROF600</t>
  </si>
  <si>
    <t>KWG12600FD</t>
  </si>
  <si>
    <t>19 INCH WALL MOUNTED RACK 12U PROF600 WITH SOLID FRONT DOOR</t>
  </si>
  <si>
    <t>COFFRET 19 POUCES 12U PROF600 PORTE AV PLEINE</t>
  </si>
  <si>
    <t>KWG12600PED</t>
  </si>
  <si>
    <t>19 INCH WALL MOUNTED RACK 12U PROF600 WITH PERFORATED FRONT DOOR</t>
  </si>
  <si>
    <t>COFFRET 19 POUCES 12U PROF600 PORTE AV PERFOREE</t>
  </si>
  <si>
    <t>KWGDOOR12PED</t>
  </si>
  <si>
    <t>PERFORATED FRONT DOOR 12U</t>
  </si>
  <si>
    <t>PORTE AV PERFOREE 12U</t>
  </si>
  <si>
    <t>KWGDOOR12FD</t>
  </si>
  <si>
    <t>SOLID FRONT DOOR 12U</t>
  </si>
  <si>
    <t>PORTE AV PLEINE 12U</t>
  </si>
  <si>
    <t>KWG22450</t>
  </si>
  <si>
    <t>19 INCH WALL MOUNTED RACK 22U PROF450</t>
  </si>
  <si>
    <t>COFFRET 19 POUCES 22U PROF450</t>
  </si>
  <si>
    <t>KWG22450FD</t>
  </si>
  <si>
    <t>19 INCH WALL MOUNTED RACK 22U PROF450 WITH SOLID FRONT DOOR</t>
  </si>
  <si>
    <t>COFFRET 19 POUCES 22U PROF450 PORTE AV PLEINE</t>
  </si>
  <si>
    <t>KWG22450PED</t>
  </si>
  <si>
    <t>19 INCH WALL MOUNTED RACK 22U PROF450 WITH PERFORATED FRONT DOOR</t>
  </si>
  <si>
    <t>COFFRET 19 POUCES 22U PROF450  PORTE AV PERFOREE</t>
  </si>
  <si>
    <t>KWG22600</t>
  </si>
  <si>
    <t>19 INCH WALL MOUNTED RACK 22U PROF600</t>
  </si>
  <si>
    <t>COFFRET 19 POUCES 22U PROF600</t>
  </si>
  <si>
    <t>KWG22600FD</t>
  </si>
  <si>
    <t>19 INCH WALL MOUNTED RACK 22U PROF600 WITH SOLID FRONT DOOR</t>
  </si>
  <si>
    <t>COFFRET 19 POUCES 22U PROF600 PORTE AV PLEINE</t>
  </si>
  <si>
    <t>KWG226000PED</t>
  </si>
  <si>
    <t>19 INCH WALL MOUNTED RACK 22U PROF600 WITH PERFORATED FRONT DOOR</t>
  </si>
  <si>
    <t>COFFRET 19 POUCES 22U PROF600  PORTE AV PERFOREE</t>
  </si>
  <si>
    <t>KWGDOOR22FD</t>
  </si>
  <si>
    <t>PERFORATED FRONT DOOR 22U</t>
  </si>
  <si>
    <t>PORTE AV PERFOREE 22U</t>
  </si>
  <si>
    <t>KWGDOOR22PED</t>
  </si>
  <si>
    <t>SOLID FRONT DOOR 22U</t>
  </si>
  <si>
    <t>PORTE AV PLEINE 22U</t>
  </si>
  <si>
    <t>IP55</t>
  </si>
  <si>
    <t>07U</t>
  </si>
  <si>
    <t>KWI07600</t>
  </si>
  <si>
    <t>U1504001</t>
  </si>
  <si>
    <t>IP 55 WALL MOUNTED RACK 7U 600x600 19 INCH - LIGHT GREY</t>
  </si>
  <si>
    <t>COFFRET 19 POUCES IP55  7U 600x600 - GRIS CLAIR</t>
  </si>
  <si>
    <t>KWI09600</t>
  </si>
  <si>
    <t>IP 55 WALL MOUNTED RACK 9U 600x600 19 INCH - LIGHT GREY</t>
  </si>
  <si>
    <t>COFFRET 19 POUCES IP55  9U 600x600 - GRIS CLAIR</t>
  </si>
  <si>
    <t>KWI12600</t>
  </si>
  <si>
    <t>IP 55 WALL MOUNTED RACK 12U 600x600 19 INCH - LIGHT GREY</t>
  </si>
  <si>
    <t>COFFRET 19 POUCES IP55  12U 600x600 - GRIS CLAIR</t>
  </si>
  <si>
    <t>16U</t>
  </si>
  <si>
    <t>KWI16600</t>
  </si>
  <si>
    <t>IP 55 WALL MOUNTED RACK 16U 600x600 19 INCH - LIGHT GREY</t>
  </si>
  <si>
    <t>COFFRET 19 POUCES IP55  16U 600x600 - GRIS CLAIR</t>
  </si>
  <si>
    <t>18U</t>
  </si>
  <si>
    <t>KWI18600</t>
  </si>
  <si>
    <t>IP 55 WALL MOUNTED RACK 18U 600x600 19 INCH - LIGHT GREY</t>
  </si>
  <si>
    <t>COFFRET 19 POUCES IP55  18U 600x600 - GRIS CLAIR</t>
  </si>
  <si>
    <t>20U</t>
  </si>
  <si>
    <t>KWI20600</t>
  </si>
  <si>
    <t>IP 55 WALL MOUNTED RACK 20U 600x600 19 INCH - LIGHT GREY</t>
  </si>
  <si>
    <t>COFFRET 19 POUCES IP55  20U 600x600 - GRIS CLAIR</t>
  </si>
  <si>
    <t>KWI22600</t>
  </si>
  <si>
    <t>IP 55 WALL MOUNTED RACK 22U 600x600 19 INCH - LIGHT GREY</t>
  </si>
  <si>
    <t>COFFRET 19 POUCES IP55  22U 600x600 - GRIS CLAIR</t>
  </si>
  <si>
    <t>NO</t>
  </si>
  <si>
    <t>KWI07600FDRA</t>
  </si>
  <si>
    <t>U1504002</t>
  </si>
  <si>
    <t>IP 55 WALL MOUNTED RACK 7U 600x600 19 INCH REMOVABLE SIDE PANEL - LIGHT GREY</t>
  </si>
  <si>
    <t>COFFRET 19 POUCES IP55  7U 600x600  PANNEAU LATERAL AMOVIBLE - GRIS CLAIR</t>
  </si>
  <si>
    <t>KWI09600FDRA</t>
  </si>
  <si>
    <t>IP 55 WALL MOUNTED RACK 9U 600x600 19 INCH REMOVABLE SIDE PANEL - LIGHT GREY</t>
  </si>
  <si>
    <t>COFFRET 19 POUCES IP55  9U 600x600 PANNEAU LATERAL AMOVIBLE - GRIS CLAIR</t>
  </si>
  <si>
    <t>KWI12600FDRA</t>
  </si>
  <si>
    <t>IP 55 WALL MOUNTED RACK 12U 600x600 19 INCH REMOVABLE SIDE PANEL - LIGHT GREY</t>
  </si>
  <si>
    <t>COFFRET 19 POUCES IP55  12U 600x600 PANNEAU LATERAL AMOVIBLE - GRIS CLAIR</t>
  </si>
  <si>
    <t>KWI16600FDRA</t>
  </si>
  <si>
    <t>IP 55 WALL MOUNTED RACK 16U 600x600 19 INCH REMOVABLE SIDE PANEL - LIGHT GREY</t>
  </si>
  <si>
    <t>COFFRET 19 POUCES IP55  16U 600x600 PANNEAU LATERAL AMOVIBLE - GRIS CLAIR</t>
  </si>
  <si>
    <t>KWI18600FDRA</t>
  </si>
  <si>
    <t>IP 55 WALL MOUNTED RACK 18U 600x600 19 INCH REMOVABLE SIDE PANEL - LIGHT GREY</t>
  </si>
  <si>
    <t>COFFRET 19 POUCES IP55  18U 600x600 PANNEAU LATERAL AMOVIBLE - GRIS CLAIR</t>
  </si>
  <si>
    <t>KWI20600FDRA</t>
  </si>
  <si>
    <t>IP 55 WALL MOUNTED RACK 20U 600x600 19 INCH REMOVABLE SIDE PANEL - LIGHT GREY</t>
  </si>
  <si>
    <t>COFFRET 19 POUCES IP55  20U 600x600 PANNEAU LATERAL AMOVIBLE - GRIS CLAIR</t>
  </si>
  <si>
    <t>KWI22600FDRA</t>
  </si>
  <si>
    <t>IP 55 WALL MOUNTED RACK 22U 600x600 19 INCH REMOVABLE SIDE PANEL - LIGHT GREY</t>
  </si>
  <si>
    <t>COFFRET 19 POUCES IP55  22U 600x600 PANNEAU LATERAL AMOVIBLE - GRIS CLAIR</t>
  </si>
  <si>
    <t>KWI07600SGRA</t>
  </si>
  <si>
    <t>IP 55 WALL MOUNTED RACK 7U 600x600 19 INCH FRONT GLASS DOOR &amp; REMOVABLE SIDE PANEL - LIGHT GREY</t>
  </si>
  <si>
    <t>COFFRET 19 POUCES IP55  7U 600x600 PORTE AVANT VERRE &amp;  PANNEAU LATERAL AMOVIBLE - GRIS CLAIR</t>
  </si>
  <si>
    <t>KWI09600SGRA</t>
  </si>
  <si>
    <t>IP 55 WALL MOUNTED RACK 9U 600x600 19 INCH FRONT GLASS DOOR &amp; REMOVABLE SIDE PANEL - LIGHT GREY</t>
  </si>
  <si>
    <t>COFFRET 19 POUCES IP55  9U 600x600 PORTE AVANT VERRE &amp;  PANNEAU LATERAL AMOVIBLE - GRIS CLAIR</t>
  </si>
  <si>
    <t>KWI12600SGRA</t>
  </si>
  <si>
    <t>IP 55 WALL MOUNTED RACK 12U 600x600 19 INCH FRONT GLASS DOOR &amp; REMOVABLE SIDE PANEL - LIGHT GREY</t>
  </si>
  <si>
    <t>COFFRET 19 POUCES IP55  12U 600x600 PORTE AVANT VERRE &amp;  PANNEAU LATERAL AMOVIBLE - GRIS CLAIR</t>
  </si>
  <si>
    <t>KWI16600SGRA</t>
  </si>
  <si>
    <t>IP 55 WALL MOUNTED RACK 16U 600x600 19 INCH FRONT GLASS DOOR &amp; REMOVABLE SIDE PANEL - LIGHT GREY</t>
  </si>
  <si>
    <t>COFFRET 19 POUCES IP55  16U 600x600 PORTE AVANT VERRE &amp;  PANNEAU LATERAL AMOVIBLE - GRIS CLAIR</t>
  </si>
  <si>
    <t>KWI18600SGRA</t>
  </si>
  <si>
    <t>IP 55 WALL MOUNTED RACK 18U 600x600 19 INCH FRONT GLASS DOOR &amp; REMOVABLE SIDE PANEL - LIGHT GREY</t>
  </si>
  <si>
    <t>COFFRET 19 POUCES IP55  18U 600x600 PORTE AVANT VERRE &amp;  PANNEAU LATERAL AMOVIBLE - GRIS CLAIR</t>
  </si>
  <si>
    <t>KWI20600SGRA</t>
  </si>
  <si>
    <t>IP 55 WALL MOUNTED RACK 20U 600x600 19 INCH FRONT GLASS DOOR &amp; REMOVABLE SIDE PANEL - LIGHT GREY</t>
  </si>
  <si>
    <t>COFFRET 19 POUCES IP55  20U 600x600 PORTE AVANT VERRE &amp;  PANNEAU LATERAL AMOVIBLE - GRIS CLAIR</t>
  </si>
  <si>
    <t>KWI22600SGRA</t>
  </si>
  <si>
    <t>IP 55 WALL MOUNTED RACK 22U 600x600 19 INCH FRONT GLASS DOOR &amp; REMOVABLE SIDE PANEL - LIGHT GREY</t>
  </si>
  <si>
    <t>COFFRET 19 POUCES IP55  22U 600x600 PORTE AVANT VERRE &amp;  PANNEAU LATERAL AMOVIBLE - GRIS CLAIR</t>
  </si>
  <si>
    <t>KWI07800FDRA</t>
  </si>
  <si>
    <t>IP 55 WALL MOUNTED RACK 7U 600x800 19 INCH REMOVABLE SIDE PANEL - LIGHT GREY</t>
  </si>
  <si>
    <t>COFFRET 19 POUCES IP55  7U 600x800  PANNEAU LATERAL AMOVIBLE - GRIS CLAIR</t>
  </si>
  <si>
    <t>KWI09800FDRA</t>
  </si>
  <si>
    <t>IP 55 WALL MOUNTED RACK 9U 600x800 19 INCH REMOVABLE SIDE PANEL - LIGHT GREY</t>
  </si>
  <si>
    <t>COFFRET 19 POUCES IP55  9U 600x800 PANNEAU LATERAL AMOVIBLE - GRIS CLAIR</t>
  </si>
  <si>
    <t>KWI12800FDRA</t>
  </si>
  <si>
    <t>IP 55 WALL MOUNTED RACK 12U 600x800 19 INCH REMOVABLE SIDE PANEL - LIGHT GREY</t>
  </si>
  <si>
    <t>COFFRET 19 POUCES IP55  12U 600x800 PANNEAU LATERAL AMOVIBLE - GRIS CLAIR</t>
  </si>
  <si>
    <t>KWI16800FDRA</t>
  </si>
  <si>
    <t>IP 55 WALL MOUNTED RACK 16U 600x800 19 INCH REMOVABLE SIDE PANEL - LIGHT GREY</t>
  </si>
  <si>
    <t>COFFRET 19 POUCES IP55  16U 600x800 PANNEAU LATERAL AMOVIBLE - GRIS CLAIR</t>
  </si>
  <si>
    <t>KWI18800FDRA</t>
  </si>
  <si>
    <t>IP 55 WALL MOUNTED RACK 18U 600x800 19 INCH REMOVABLE SIDE PANEL - LIGHT GREY</t>
  </si>
  <si>
    <t>COFFRET 19 POUCES IP55  18U 600x800 PANNEAU LATERAL AMOVIBLE - GRIS CLAIR</t>
  </si>
  <si>
    <t>KWI20800FDRA</t>
  </si>
  <si>
    <t>IP 55 WALL MOUNTED RACK 20U 600x800 19 INCH REMOVABLE SIDE PANEL - LIGHT GREY</t>
  </si>
  <si>
    <t>COFFRET 19 POUCES IP55  20U 600x800 PANNEAU LATERAL AMOVIBLE - GRIS CLAIR</t>
  </si>
  <si>
    <t>KWI22800FDRA</t>
  </si>
  <si>
    <t>IP 55 WALL MOUNTED RACK 22U 600x800 19 INCH REMOVABLE SIDE PANEL - LIGHT GREY</t>
  </si>
  <si>
    <t>COFFRET 19 POUCES IP55  22U 600x800 PANNEAU LATERAL AMOVIBLE - GRIS CLAIR</t>
  </si>
  <si>
    <t>KWI07800SGRA</t>
  </si>
  <si>
    <t>IP 55 WALL MOUNTED RACK 7U 600x800 19 INCH FRONT GLASS DOOR &amp; REMOVABLE SIDE PANEL - LIGHT GREY</t>
  </si>
  <si>
    <t>COFFRET 19 POUCES IP55  7U 600x800 PORTE AVANT VERRE &amp;  PANNEAU LATERAL AMOVIBLE - GRIS CLAIR</t>
  </si>
  <si>
    <t>KWI09800SGRA</t>
  </si>
  <si>
    <t>IP 55 WALL MOUNTED RACK 9U 600x800 19 INCH FRONT GLASS DOOR &amp; REMOVABLE SIDE PANEL - LIGHT GREY</t>
  </si>
  <si>
    <t>COFFRET 19 POUCES IP55  9U 600x800 PORTE AVANT VERRE &amp;  PANNEAU LATERAL AMOVIBLE - GRIS CLAIR</t>
  </si>
  <si>
    <t>KWI12800SGRA</t>
  </si>
  <si>
    <t>IP 55 WALL MOUNTED RACK 12U 600x800 19 INCH FRONT GLASS DOOR &amp; REMOVABLE SIDE PANEL - LIGHT GREY</t>
  </si>
  <si>
    <t>COFFRET 19 POUCES IP55  12U 600x800 PORTE AVANT VERRE &amp;  PANNEAU LATERAL AMOVIBLE - GRIS CLAIR</t>
  </si>
  <si>
    <t>KWI16800SGRA</t>
  </si>
  <si>
    <t>IP 55 WALL MOUNTED RACK 16U 600x800 19 INCH FRONT GLASS DOOR &amp; REMOVABLE SIDE PANEL - LIGHT GREY</t>
  </si>
  <si>
    <t>COFFRET 19 POUCES IP55  16U 600x800 PORTE AVANT VERRE &amp;  PANNEAU LATERAL AMOVIBLE - GRIS CLAIR</t>
  </si>
  <si>
    <t>KWI18800SGRA</t>
  </si>
  <si>
    <t>IP 55 WALL MOUNTED RACK 18U 600x800 19 INCH FRONT GLASS DOOR &amp; REMOVABLE SIDE PANEL - LIGHT GREY</t>
  </si>
  <si>
    <t>COFFRET 19 POUCES IP55  18U 600x800 PORTE AVANT VERRE &amp;  PANNEAU LATERAL AMOVIBLE - GRIS CLAIR</t>
  </si>
  <si>
    <t>KWI20800SGRA</t>
  </si>
  <si>
    <t>IP 55 WALL MOUNTED RACK 20U 600x800 19 INCH FRONT GLASS DOOR &amp; REMOVABLE SIDE PANEL - LIGHT GREY</t>
  </si>
  <si>
    <t>COFFRET 19 POUCES IP55  20U 600x800 PORTE AVANT VERRE &amp;  PANNEAU LATERAL AMOVIBLE - GRIS CLAIR</t>
  </si>
  <si>
    <t>KWI22800SGRA</t>
  </si>
  <si>
    <t>IP 55 WALL MOUNTED RACK 22U 600x800 19 INCH FRONT GLASS DOOR &amp; REMOVABLE SIDE PANEL - LIGHT GREY</t>
  </si>
  <si>
    <t>COFFRET 19 POUCES IP55  22U 600x800 PORTE AVANT VERRE &amp;  PANNEAU LATERAL AMOVIBLE - GRIS CLAIR</t>
  </si>
  <si>
    <t>06U</t>
  </si>
  <si>
    <t>KWG06450SG</t>
  </si>
  <si>
    <t>WALL MOUNTED RACK "GRID" 6U 565x450 19 INCH - BLACK</t>
  </si>
  <si>
    <t>COFFRET 19 POUCES  "GRID" 6U 565x450  - NOIR</t>
  </si>
  <si>
    <t>KWG09450SG</t>
  </si>
  <si>
    <t>WALL MOUNTED RACK "GRID" 9U 565x450 19 INCH - BLACK</t>
  </si>
  <si>
    <t>COFFRET 19 POUCES  "GRID" 9U 565x450  - NOIR</t>
  </si>
  <si>
    <t>KWG12450SG</t>
  </si>
  <si>
    <t>WALL MOUNTED RACK "GRID" 12U 565x450 19 INCH - BLACK</t>
  </si>
  <si>
    <t>COFFRET 19 POUCES  "GRID" 12U 565x450  - NOIR</t>
  </si>
  <si>
    <t>15U</t>
  </si>
  <si>
    <t>KWG15450SG</t>
  </si>
  <si>
    <t>WALL MOUNTED RACK "GRID" 15U 565x450 19 INCH - BLACK</t>
  </si>
  <si>
    <t>COFFRET 19 POUCES  "GRID" 15U 565x450  - NOIR</t>
  </si>
  <si>
    <t>KWG18450SG</t>
  </si>
  <si>
    <t>WALL MOUNTED RACK "GRID" 18U 565x450 19 INCH - BLACK</t>
  </si>
  <si>
    <t>COFFRET 19 POUCES  "GRID" 18U 565x450  - NOIR</t>
  </si>
  <si>
    <t>KWG22450SG</t>
  </si>
  <si>
    <t>WALL MOUNTED RACK "GRID" 22U 565x450 19 INCH - BLACK</t>
  </si>
  <si>
    <t>COFFRET 19 POUCES  "GRID" 22U 565x450  - NOIR</t>
  </si>
  <si>
    <t>KWG06600SG</t>
  </si>
  <si>
    <t>WALL MOUNTED RACK "GRID" 6U 565x600 19 INCH - BLACK</t>
  </si>
  <si>
    <t>COFFRET 19 POUCES  "GRID" 6U 565x600  - NOIR</t>
  </si>
  <si>
    <t>KWG09600SG</t>
  </si>
  <si>
    <t>U1503015</t>
  </si>
  <si>
    <t>WALL MOUNTED RACK "GRID" 9U 565x600 19 INCH - BLACK</t>
  </si>
  <si>
    <t>COFFRET 19 POUCES  "GRID" 9U 565x600  - NOIR</t>
  </si>
  <si>
    <t>KWG12600SG</t>
  </si>
  <si>
    <t>WALL MOUNTED RACK "GRID" 12U 565x600 19 INCH - BLACK</t>
  </si>
  <si>
    <t>COFFRET 19 POUCES  "GRID" 12U 565x600  - NOIR</t>
  </si>
  <si>
    <t>KWG15600SG</t>
  </si>
  <si>
    <t>WALL MOUNTED RACK "GRID" 15U 565x600 19 INCH - BLACK</t>
  </si>
  <si>
    <t>COFFRET 19 POUCES  "GRID" 15U 565x600  - NOIR</t>
  </si>
  <si>
    <t>KWG18600SG</t>
  </si>
  <si>
    <t>WALL MOUNTED RACK "GRID" 18U 565x600 19 INCH - BLACK</t>
  </si>
  <si>
    <t>COFFRET 19 POUCES  "GRID" 18U 565x600  - NOIR</t>
  </si>
  <si>
    <t>KWG22600SG</t>
  </si>
  <si>
    <t>WALL MOUNTED RACK "GRID" 22U 565x600 19 INCH - BLACK</t>
  </si>
  <si>
    <t>COFFRET 19 POUCES  "GRID" 22U 565x600  - NOIR</t>
  </si>
  <si>
    <t xml:space="preserve">CABINET </t>
  </si>
  <si>
    <t>ACCESSORIES</t>
  </si>
  <si>
    <t>KCH881628</t>
  </si>
  <si>
    <t>U1601003</t>
  </si>
  <si>
    <t>ADJUSTABLE CHAIR 800x800 H158-280</t>
  </si>
  <si>
    <t>CHAISES DE BAIE 800x800 H158-280</t>
  </si>
  <si>
    <t>KCH882852</t>
  </si>
  <si>
    <t>U1601004</t>
  </si>
  <si>
    <t>ADJUSTABLE CHAIR 800x800 H278-520</t>
  </si>
  <si>
    <t>CHAISES DE BAIE 800x800 H278-520</t>
  </si>
  <si>
    <t>KCH8101628</t>
  </si>
  <si>
    <t>U1601002</t>
  </si>
  <si>
    <t>ADJUSTABLE CHAIR 800x1000 H158-280</t>
  </si>
  <si>
    <t>CHAISES DE BAIE 800x1000 H158-280</t>
  </si>
  <si>
    <t>KCH8102852</t>
  </si>
  <si>
    <t>U1601005</t>
  </si>
  <si>
    <t>ADJUSTABLE CHAIR 800x1000 H278-520</t>
  </si>
  <si>
    <t>CHAISES DE BAIE 800x1000 H278-520</t>
  </si>
  <si>
    <t>KCH8121628</t>
  </si>
  <si>
    <t>ADJUSTABLE CHAIR 800x1200 H158-280.5</t>
  </si>
  <si>
    <t>CHAISES DE BAIE 800x1200 H158-280.5</t>
  </si>
  <si>
    <t>KCH8122852</t>
  </si>
  <si>
    <t>ADJUSTABLE CHAIR 800x1200 H278-520.5</t>
  </si>
  <si>
    <t>CHAISES DE BAIE 800x1200 H278-520.5</t>
  </si>
  <si>
    <t>KCH661628</t>
  </si>
  <si>
    <t>U1601006</t>
  </si>
  <si>
    <t>ADJUSTABLE CHAIR 600x600 H158-280</t>
  </si>
  <si>
    <t>CHAISES DE BAIE 600x600 H158-280</t>
  </si>
  <si>
    <t>KCH662852</t>
  </si>
  <si>
    <t>U1601007</t>
  </si>
  <si>
    <t>ADJUSTABLE CHAIR 600x600 H278-520</t>
  </si>
  <si>
    <t>CHAISES DE BAIE 600x600 H278-520</t>
  </si>
  <si>
    <t>KCH681628</t>
  </si>
  <si>
    <t>ADJUSTABLE CHAIR 600x800 H158-280</t>
  </si>
  <si>
    <t>CHAISES DE BAIE 600x800 H158-280</t>
  </si>
  <si>
    <t>KCH682852</t>
  </si>
  <si>
    <t>ADJUSTABLE CHAIR 600x800 H278-520</t>
  </si>
  <si>
    <t>CHAISES DE BAIE 600x800 H278-520</t>
  </si>
  <si>
    <t>KCH6101628</t>
  </si>
  <si>
    <t>ADJUSTABLE CHAIR 600x1000 H158-280</t>
  </si>
  <si>
    <t>CHAISES DE BAIE 600x1000 H158-280</t>
  </si>
  <si>
    <t>6x1000</t>
  </si>
  <si>
    <t>KCH6102852</t>
  </si>
  <si>
    <t>ADJUSTABLE CHAIR 600x1000 H278-520</t>
  </si>
  <si>
    <t>CHAISES DE BAIE 600x1000 H278-520</t>
  </si>
  <si>
    <t>KFAN2V</t>
  </si>
  <si>
    <t>2FANS,ANALOG THERMOSTAT CONTROLLED FAN MODULE</t>
  </si>
  <si>
    <t>PLAQUE 2 VENTILATEURS, MODULE DE VENTILATEUR CONTRÔLÉ PAR THERMOSTAT ANALOGIQUE</t>
  </si>
  <si>
    <t>KFAN4V</t>
  </si>
  <si>
    <t>4FANS,ANALOG THERMOSTAT CONTROLLED FAN MODULE</t>
  </si>
  <si>
    <t>PLAQUE 4 VENTILATEURS, MODULE DE VENTILATEUR CONTRÔLÉ PAR THERMOSTAT ANALOGIQUE</t>
  </si>
  <si>
    <t>KTRAY400MM</t>
  </si>
  <si>
    <t>19" FIXED SHELVE 1U DEPTH 400 MM PER BOX</t>
  </si>
  <si>
    <t>ÉTAGÈRE FIXE 19" 1U PROFONDEUR 400 MM PAR BOITE</t>
  </si>
  <si>
    <t>100 pcs</t>
  </si>
  <si>
    <t>KTRAY450MM</t>
  </si>
  <si>
    <t>19" FIXED SHELVE 1U DEPTH 450 MM PER BOX</t>
  </si>
  <si>
    <t>ÉTAGÈRE FIXE 19" 1U PROFONDEUR 450 MM PAR BOITE</t>
  </si>
  <si>
    <t>KTRAY550MM</t>
  </si>
  <si>
    <t>19" FIXED SHELVE 1U DEPTH 550 MM PER BOX</t>
  </si>
  <si>
    <t>ÉTAGÈRE FIXE 19" 1U PROFONDEUR 550 MM PAR BOITE</t>
  </si>
  <si>
    <t>KTRAY720MM</t>
  </si>
  <si>
    <t>19" FIXED SHELVE 1U DEPTH 720 MM ADJUSTABLE PER BOX</t>
  </si>
  <si>
    <t>ÉTAGÈRE FIXE 19" 1U PROFONDEUR 720 MM AJUSTABLE PAR BOITE</t>
  </si>
  <si>
    <t>KTRAY1000MM</t>
  </si>
  <si>
    <t>19" FIXED SHELVE 1U DEPTH 1000 MM ADJUSTABLE PER BOX</t>
  </si>
  <si>
    <t>ÉTAGÈRE FIXE 19" 1U PROFONDEUR 1000 MM AJUSTABLE PAR BOITE</t>
  </si>
  <si>
    <t>KTRAYSLID720MM</t>
  </si>
  <si>
    <t>19" SLIDING  SHELVE 1U DEPTH 720 MM ADJUSTABLE PER BOX</t>
  </si>
  <si>
    <t>ÉTAGÈRE GLISSIERE 19" 1U PROFONDEUR 720 MM AJUSTABLE PAR BOITE</t>
  </si>
  <si>
    <t>KTRAY920MM</t>
  </si>
  <si>
    <t>19" FIXED SHELVE 1U DEPTH 920 MM ADJUSTABLE PER BOX</t>
  </si>
  <si>
    <t>ÉTAGÈRE FIXE 19" 1U PROFONDEUR 920 MM AJUSTABLE PAR BOITE</t>
  </si>
  <si>
    <t>KTRAYSLID350MM</t>
  </si>
  <si>
    <t>19" SLIDING  SHELVE 1U DEPTH 350 MM ADJUSTABLE PER BOX</t>
  </si>
  <si>
    <t>ÉTAGÈRE GLISSIERE 19" 1U PROFONDEUR 350 MM AJUSTABLE PAR BOITE</t>
  </si>
  <si>
    <t>KTRAYSLID550MM</t>
  </si>
  <si>
    <t>19" SLIDING  SHELVE 1U DEPTH 550 MM ADJUSTABLE PER BOX</t>
  </si>
  <si>
    <t>ÉTAGÈRE GLISSIERE 19" 1U PROFONDEUR 550 MM AJUSTABLE PAR BOITE</t>
  </si>
  <si>
    <t>KLEDPAN1U</t>
  </si>
  <si>
    <t>1U 19" LED LIGHTING MODULE, MANUEL ON/OFF SWITCH</t>
  </si>
  <si>
    <t>MODULE D’ÉCLAIRAGE LED 1U 19", INTERRUPTEUR MARCHE/ARRÊT MANUEL</t>
  </si>
  <si>
    <t>KGRND</t>
  </si>
  <si>
    <t>6 EARTHING POINTS, 4 PCS EARTHING CABLE, 1 PCS 200MM BUSBAR EARTHING SET</t>
  </si>
  <si>
    <t>KIT DE MISE À LA TERRE JEU DE BARRES DE 200 MM 6 POINTS DE MISE À LA TERRE 4 CÂBLES  PAR BOITE</t>
  </si>
  <si>
    <t>KIT6RINGS</t>
  </si>
  <si>
    <t>CABLE ORGANIZER SET (HOOK TYPE), ALUMINIUM 44X60MM, 1SET =1PCS</t>
  </si>
  <si>
    <t>ENSEMBLE D’ORGANISATEUR DE CÂBLES (TYPE CROCHET), ALUMINIUM 44X60MM PAR BOITE</t>
  </si>
  <si>
    <t>KITSCRW50</t>
  </si>
  <si>
    <t>M6 CAGE NUT SET AND MOUNTING SCREWS, 1SET= 50PCS</t>
  </si>
  <si>
    <t>KIT VIS RONDELLES ÉCROUS-CAGES M6, 50PCS PAR BOITE</t>
  </si>
  <si>
    <t>KBLANK1U</t>
  </si>
  <si>
    <t>19" 1U BLANK PANEL PER BOX</t>
  </si>
  <si>
    <t>PANNEAU OBTURATEUR  19'' 1U PAR BOITE</t>
  </si>
  <si>
    <t>KBLANK2U</t>
  </si>
  <si>
    <t>19" 2U BLANK PANEL PER BOX</t>
  </si>
  <si>
    <t>PANNEAU OBTURATEUR  19'' 2U PAR BOITE</t>
  </si>
  <si>
    <t>KBLANK3U</t>
  </si>
  <si>
    <t>19" 3U BLANK PANEL PER BOX</t>
  </si>
  <si>
    <t>PANNEAU OBTURATEUR  19'' 3U PAR BOITE</t>
  </si>
  <si>
    <t>KBLANK5U</t>
  </si>
  <si>
    <t>19" 5U BLANK PANEL PER BOX</t>
  </si>
  <si>
    <t>PANNEAU OBTURATEUR  19'' 5U PAR BOITE</t>
  </si>
  <si>
    <t>KPLINT66</t>
  </si>
  <si>
    <t>W=600 D=600 H=100MM PLINTH MODULE</t>
  </si>
  <si>
    <t>SOCLE DE BAIE 600x600x100</t>
  </si>
  <si>
    <t>KPLINT68</t>
  </si>
  <si>
    <t>W=600 D=800 H=100MM PLINTH MODULE</t>
  </si>
  <si>
    <t>SOCLE DE BAIE 600x800x100</t>
  </si>
  <si>
    <t>KPLINT86</t>
  </si>
  <si>
    <t>W=800 D=600 H=100MM PLINTH MODULE</t>
  </si>
  <si>
    <t>SOCLE DE BAIE 800x600x100</t>
  </si>
  <si>
    <t>KPLINT88</t>
  </si>
  <si>
    <t>W=800 D=800 H=100MM PLINTH MODULE</t>
  </si>
  <si>
    <t>SOCLE DE BAIE 800x800x100</t>
  </si>
  <si>
    <t>KPLINT610</t>
  </si>
  <si>
    <t>W=600 D=1000 H=100MM PLINTH MODULE</t>
  </si>
  <si>
    <t>SOCLE DE BAIE 600x1000x100</t>
  </si>
  <si>
    <t>KPLINT810</t>
  </si>
  <si>
    <t>W=800 D=1000 H=100MM PLINTH MODULE</t>
  </si>
  <si>
    <t>SOCLE DE BAIE 800x1000x100</t>
  </si>
  <si>
    <t>KPLINT812</t>
  </si>
  <si>
    <t>W=800 D=1200 H=100MM PLINTH MODULE</t>
  </si>
  <si>
    <t>SOCLE DE BAIE 800x1200x100</t>
  </si>
  <si>
    <t>KCASTOR4</t>
  </si>
  <si>
    <t>U1201013</t>
  </si>
  <si>
    <t>FREE STANDING TYPE CASTER GROUP, 4 POINT CONNECTION1SET= 4PCS. (2 WITH BRAKES)</t>
  </si>
  <si>
    <t>ROULETTES AUTOPORTANTES  4 POINTS CONNECTION 4PCS (2 AVEC FREINS) PAR BOITE</t>
  </si>
  <si>
    <t>8302200000</t>
  </si>
  <si>
    <t>KFEET4</t>
  </si>
  <si>
    <t>PVC  BODY, PINION FEET, 1SET= 4PCS.</t>
  </si>
  <si>
    <t>PIEDS DE BAIE 4PCS PAR BOITE</t>
  </si>
  <si>
    <t>KSFS1U800</t>
  </si>
  <si>
    <t>U1201014</t>
  </si>
  <si>
    <t>19" FIXED SHELVE 1U DEPTH 800 MM PER BOX</t>
  </si>
  <si>
    <t>ÉTAGÈRE FIXE 19" 1U PROFONDEUR 800 MM PAR BOITE</t>
  </si>
  <si>
    <t>KSFS1U1000</t>
  </si>
  <si>
    <t>U1201015</t>
  </si>
  <si>
    <t>19" FIXED SHELVE 1U DEPTH 1000 MM PER BOX</t>
  </si>
  <si>
    <t>ÉTAGÈRE FIXE 19" 1U PROFONDEUR 1000 MM PAR BOITE</t>
  </si>
  <si>
    <t>KSC1U800</t>
  </si>
  <si>
    <t>U1201016</t>
  </si>
  <si>
    <t>19" SLIDING SHELVE 1U DEPTH 800 MM PER BOX</t>
  </si>
  <si>
    <t>ÉTAGÈRE COULISSANTE 19" 1U PROFONDEUR 800 MM PAR BOITE</t>
  </si>
  <si>
    <t>KSC1U1000</t>
  </si>
  <si>
    <t>U1201017</t>
  </si>
  <si>
    <t>19" SLIDING SHELVE 1U DEPTH 1000 MM PER BOX</t>
  </si>
  <si>
    <t>ÉTAGÈRE COULISSANTE 19" 1U PROFONDEUR 1000 MM PAR BOITE</t>
  </si>
  <si>
    <t>KW1/4T</t>
  </si>
  <si>
    <t>U1601008</t>
  </si>
  <si>
    <t>1/4 TURN SECURED CAM LOCK CYLINDER, FOR PANELS AND WALL CABINETS</t>
  </si>
  <si>
    <t>BARILLET VERROUILLÉ PAR 1/4 DE TOUR, POUR PANNEAUX ET ARMOIRES</t>
  </si>
  <si>
    <t>8301409090</t>
  </si>
  <si>
    <t>KWMTBALAI</t>
  </si>
  <si>
    <t>U1601009</t>
  </si>
  <si>
    <t>BRUSH MODULE FOR CABINET ROOF</t>
  </si>
  <si>
    <t xml:space="preserve">MODULE BALAI POUR TOIT DE COFFRETS </t>
  </si>
  <si>
    <t>KCUF6A4PZHCOUT5-21</t>
  </si>
  <si>
    <t>KCUF6A4PZHCOUT5</t>
  </si>
  <si>
    <t>U0103026</t>
  </si>
  <si>
    <t>CAT6A CABLE U/FTP 4 PAIRS AWG23 TESTED UP TO 650MHz LSZH CPR CCA INDOOR/OUTDOOR BLACK RAL9005 500M</t>
  </si>
  <si>
    <t>CÂBLE CAT6A U/FTP 4 PAIRES AWG23 TEST A 650MHz LSZH CPR CCA INTERIEUR/EXETERIEUR NOIR RAL9005 500M</t>
  </si>
  <si>
    <t>KSALCDOM340</t>
  </si>
  <si>
    <t>U0601006</t>
  </si>
  <si>
    <t>LC DUPLEX MULTIMODE OM3 AQUA ADAPTOR 40PCS PER ECO FRIENDLY BAG</t>
  </si>
  <si>
    <t>TRAVERSEE MULTIMODE OM3 AQUA LC DUPLEX 40PCS PAR SAC ÉCOLOGIQUE</t>
  </si>
  <si>
    <t>KSALCDOM440</t>
  </si>
  <si>
    <t>U0601007</t>
  </si>
  <si>
    <t>LC DUPLEX MULTIMODE OM4 ERIKA VIOLET ADAPTOR 40PCS PER ECO FRIENDLY BAG</t>
  </si>
  <si>
    <t>TRAVERSEE MULTIMODE OM4 ERIKA VIOLET LC DUPLEX 40PCS PAR SAC ÉCOLOGIQUE</t>
  </si>
  <si>
    <t>KSASCDOM320</t>
  </si>
  <si>
    <t>U0601008</t>
  </si>
  <si>
    <t>SC DUPLEX MULTIMODE OM3 AQUA ADAPTOR 20PCS PER ECO FRIENDLY BAG</t>
  </si>
  <si>
    <t>TRAVERSEE SC DUPLEX MULTIMODE OM3 AQUA 20PCS PAR SAC ÉCOLOGIQUE</t>
  </si>
  <si>
    <t>KSASCDOM420</t>
  </si>
  <si>
    <t>U0601009</t>
  </si>
  <si>
    <t>SC DUPLEX MULTIMODE OM4 ERIKA VIOLET ADAPTOR 20PCS PER ECO FRIENDLY BAG</t>
  </si>
  <si>
    <t>TRAVERSEE SC DUPLEX MULTIMODE OM4 ERIKA VIOLET 20PCS PAR SAC ÉCOLOGIQUE</t>
  </si>
  <si>
    <t>KFO12OM4MTZHAZHC20</t>
  </si>
  <si>
    <t>Fiber accessories</t>
  </si>
  <si>
    <t xml:space="preserve">Copper accessories </t>
  </si>
  <si>
    <t xml:space="preserve">Grade B version extra cost </t>
  </si>
  <si>
    <t xml:space="preserve">Keystone jack </t>
  </si>
  <si>
    <t>Singlemode</t>
  </si>
  <si>
    <t>Duplex = RMB 1.26 x 4 = RMB5.04 will be added on each cord</t>
  </si>
  <si>
    <t>1) Modified the PCB from UKN keystone jack improved performance and increased the headroom (from order SCSKT2500024)</t>
  </si>
  <si>
    <t xml:space="preserve">Simplex = RMB 1.26 x 2 =RMB2.52 will be added on each cord </t>
  </si>
  <si>
    <t>2) From 2026, HQ keep 50um and channel version update to 15um to reduce the cost. ( the prices will update after CNY).</t>
  </si>
  <si>
    <t>Multimode</t>
  </si>
  <si>
    <t>Duplex = RMB 0.2 x 4 = RMB5.04 will be added on each cord</t>
  </si>
  <si>
    <t xml:space="preserve">Simplex = RMB 0.2 x 2 =RMB2.52 will be added on each cord </t>
  </si>
  <si>
    <t>* Pigtail 1.26x 1 for Singlemode and 0.2x1 for Multimode</t>
  </si>
  <si>
    <t>UKN current fiber patch cords OD2.0mm G652D</t>
  </si>
  <si>
    <t>OD3.0mm, keep same prices as 2.0mm</t>
  </si>
  <si>
    <t>Copper panel &amp; management</t>
  </si>
  <si>
    <t>G657A2 fiber extra cost</t>
  </si>
  <si>
    <t>Patch cords extra RMB0.05/meter, Pigtail RMB0.03/meter will be added</t>
  </si>
  <si>
    <t>KSPFK1U4RCEF/KSPFK1U4RCFEF = ELENDIL</t>
  </si>
  <si>
    <t>KJPP1UBMCTEF =ELENDIL</t>
  </si>
  <si>
    <t>KSPFK1U4RCFEF = 3D CORIS / XEILOM / KOROS</t>
  </si>
  <si>
    <t>KJPP1UBCTEF= 3D CORIS / XEILOM / KOROS</t>
  </si>
  <si>
    <t xml:space="preserve">Fiber panel </t>
  </si>
  <si>
    <t xml:space="preserve">1) UKN fiber panel 245mm by default </t>
  </si>
  <si>
    <t>2) UKN fiber panel 205mm only for KOROS, and if need for special market, need advice or double check.</t>
  </si>
  <si>
    <r>
      <rPr>
        <rFont val="Aptos"/>
        <color theme="1"/>
        <sz val="10.0"/>
      </rPr>
      <t>3) UKN fiber panel to Saudi, normally purchase "</t>
    </r>
    <r>
      <rPr>
        <rFont val="Aptos"/>
        <b/>
        <color theme="1"/>
        <sz val="10.0"/>
      </rPr>
      <t>lock</t>
    </r>
    <r>
      <rPr>
        <rFont val="Aptos"/>
        <color theme="1"/>
        <sz val="10.0"/>
      </rPr>
      <t>" system panel and front plates, if not, need double check</t>
    </r>
  </si>
  <si>
    <t xml:space="preserve">Adaptor </t>
  </si>
  <si>
    <t>Saudi customer</t>
  </si>
  <si>
    <t>UKN standard</t>
  </si>
  <si>
    <t>Multimode OM3</t>
  </si>
  <si>
    <t xml:space="preserve">AQUA </t>
  </si>
  <si>
    <t>BEIGE</t>
  </si>
  <si>
    <t>Multimode OM4</t>
  </si>
  <si>
    <t>ERIKA VIOLET</t>
  </si>
  <si>
    <t xml:space="preserve">Single mode </t>
  </si>
  <si>
    <t>BLUE</t>
  </si>
  <si>
    <t>Supplier's ID</t>
  </si>
  <si>
    <t>Supplier code on products</t>
  </si>
  <si>
    <t>E02</t>
  </si>
  <si>
    <t>92V</t>
  </si>
  <si>
    <t>E04</t>
  </si>
  <si>
    <t>Q1 2025</t>
  </si>
  <si>
    <t>29.01.2025</t>
  </si>
  <si>
    <r>
      <rPr>
        <rFont val="Calibri"/>
        <b/>
        <color rgb="FF162F56"/>
        <sz val="10.0"/>
      </rPr>
      <t xml:space="preserve">1x20GP ocean freight 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</si>
  <si>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</si>
  <si>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(Turkey)</t>
    </r>
  </si>
  <si>
    <t>univers</t>
  </si>
  <si>
    <t>Gamme</t>
  </si>
  <si>
    <t>Sous gamme</t>
  </si>
  <si>
    <t>Référence</t>
  </si>
  <si>
    <t>Conditionnement</t>
  </si>
  <si>
    <t>Prix Franco H.T</t>
  </si>
  <si>
    <t>CUIVRE</t>
  </si>
  <si>
    <t>CABLES RESEAUX</t>
  </si>
  <si>
    <t xml:space="preserve"> CABLE CAT6</t>
  </si>
  <si>
    <t xml:space="preserve"> CABLE CAT6A</t>
  </si>
  <si>
    <t xml:space="preserve"> CABLE CAT7</t>
  </si>
  <si>
    <t>PLASTRONS</t>
  </si>
  <si>
    <t>KEYSTONE  &amp; ACCESSOIRES</t>
  </si>
  <si>
    <t>CONNECTEUR DE TERRAIN CAT6A</t>
  </si>
  <si>
    <t>KPL6AFSEF8</t>
  </si>
  <si>
    <t>CONNECTEUR DE TERRAIN CAT6A RJ45 BLINDÉE SANS OUTIL 8PCS PAR CARTON ÉCOLOGIQUE</t>
  </si>
  <si>
    <t>KPLFF6AFSEF8</t>
  </si>
  <si>
    <t>TRAVERSEE DE TERRAIN CAT6A FEMELLE/FEMELLE BLINDÉE SANS OUTIL 8PCS PAR CARTON ÉCOLOGIQUE</t>
  </si>
  <si>
    <t>ACCESSOIRES</t>
  </si>
  <si>
    <t>CORDONS RJ45</t>
  </si>
  <si>
    <t>label+paper tag+10pcs PE bag+outer carton</t>
  </si>
  <si>
    <t>PANNEAU DE BRASSAGE</t>
  </si>
  <si>
    <t>PANNEAU DE BRASSAGE VIDE 24 PORTS 1U METAL MISE A LA TERRE DIRECTE AVEC TROU DECOUPE NOIR PAR CARTON ÉCOLOGIQUE</t>
  </si>
  <si>
    <t>PANNEAU DE BRASSAGE VIDE 48 PORTS 2U METAL MISE A LA TERRE DIRECTE AVEC TROU DECOUPE NOIR PAR CARTON ÉCOLOGIQUE</t>
  </si>
  <si>
    <t>PANNEAU DE BRASSAGE VIDE 24 PORTS 1U MISE A LA TERRE DIRECTE AVEC TROU DECOUPE NOIR PAR CARTON ÉCOLOGIQUE</t>
  </si>
  <si>
    <t>FIBRE OPTIQUE</t>
  </si>
  <si>
    <t>TRAVERSEES</t>
  </si>
  <si>
    <t>TRAVERSEE BLEU MONOMODE LC DUPLEX 40PCS PAR SAC ÉCOLOGIQUE</t>
  </si>
  <si>
    <t>TRAVERSEE LC DUPLEX MULTIMODE BEIGE 40PCS PAR SAC ÉCOLOGIQUE</t>
  </si>
  <si>
    <t>TRAVERSEE SC DUPLEX MONOGODE BLEU 20PCS PAR SAC ÉCOLOGIQUE</t>
  </si>
  <si>
    <t>ACCCESSOIRES OPTIQUES</t>
  </si>
  <si>
    <t>CASSETTE DE LOVAGE</t>
  </si>
  <si>
    <t>JARRETIERE OPTIQUE</t>
  </si>
  <si>
    <t>JARRETIERE OPTIQUE OM3</t>
  </si>
  <si>
    <t>JARRETIERE OPTIQUE OM4</t>
  </si>
  <si>
    <t>JARRETIERE OPTIQUE OM5</t>
  </si>
  <si>
    <t>JARRETIERE OPTIQUE OS2</t>
  </si>
  <si>
    <t>TIROIR OPTIQUE</t>
  </si>
  <si>
    <t xml:space="preserve">TIROIR FIBRE OPTIQUE 19" 1U 245MM VIDE SANS PLAQUE AVANT AVEC DÉCOUPE DE TROU ET ACCESSOIRES PAR CARTON </t>
  </si>
  <si>
    <t>2 pc eco friendly box</t>
  </si>
  <si>
    <t>3 pc eco friendly box</t>
  </si>
  <si>
    <t>KSFP1UFP2424SCSSEF</t>
  </si>
  <si>
    <t>PLAQUE AVANT TIROIR 19" 1U 24 SC SIMPLEX EQUIPPE DE 24 TRAVERSEES MONOMODE</t>
  </si>
  <si>
    <t>4 pc eco friendly box</t>
  </si>
  <si>
    <t>5 pc eco friendly box</t>
  </si>
  <si>
    <t>6 pc eco friendly box</t>
  </si>
  <si>
    <t>7 pc eco friendly box</t>
  </si>
  <si>
    <t>8 pc eco friendly box</t>
  </si>
  <si>
    <t>9 pc eco friendly box</t>
  </si>
  <si>
    <t>10 pc eco friendly box</t>
  </si>
  <si>
    <t>CABLE FIBRE OPTIQUE</t>
  </si>
  <si>
    <t xml:space="preserve"> STRUCTURE LIBRE UNIVERSEL OM3</t>
  </si>
  <si>
    <t>STRUCTURE SERREE OM3</t>
  </si>
  <si>
    <t xml:space="preserve"> STRUCTURE LIBRE EXTERIEURE OM3</t>
  </si>
  <si>
    <t xml:space="preserve"> STRUCTURE LIBRE EXTERIEURE ARMEE OM3</t>
  </si>
  <si>
    <t xml:space="preserve"> STRUCTURE LIBRE UNIVERSEL OM4</t>
  </si>
  <si>
    <t>STRUCTURE SERREE OM4</t>
  </si>
  <si>
    <t>STRUCTURE SERREE OM5</t>
  </si>
  <si>
    <t xml:space="preserve"> STRUCTURE LIBRE EXTERIEURE OM4</t>
  </si>
  <si>
    <t xml:space="preserve"> STRUCTURE LIBRE EXTERIEURE ARMEE OM4</t>
  </si>
  <si>
    <t xml:space="preserve"> STRUCTURE LIBRE UNIVERSEL OM5</t>
  </si>
  <si>
    <t xml:space="preserve"> STRUCTURE LIBRE UNIVERSEL OS2</t>
  </si>
  <si>
    <t>STRUCTURE SERREE OS2</t>
  </si>
  <si>
    <t xml:space="preserve"> STRUCTURE LIBRE EXTERIEURE OS2</t>
  </si>
  <si>
    <t xml:space="preserve"> STRUCTURE LIBRE EXTERIEURE ARMEE OS2</t>
  </si>
  <si>
    <t>TÔLERIE</t>
  </si>
  <si>
    <t>PANNEAU, ETAGERE, TIROIR</t>
  </si>
  <si>
    <t>BLOC D'ALIMENTATION</t>
  </si>
  <si>
    <t>28.01.2025</t>
  </si>
  <si>
    <r>
      <rPr>
        <rFont val="Calibri"/>
        <b/>
        <color rgb="FF162F56"/>
        <sz val="10.0"/>
      </rPr>
      <t xml:space="preserve">1x20GP ocean freight 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</si>
  <si>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</si>
  <si>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(Turkey)</t>
    </r>
  </si>
  <si>
    <t>Conditionnemen</t>
  </si>
  <si>
    <t>Distributor SC DDP Price (€/km)</t>
  </si>
  <si>
    <t>TRAVERSEE SC DUPLEX MONONODE BLEU 20PCS PAR SAC ÉCOLOGIQUE</t>
  </si>
  <si>
    <t>Q3 &amp; Q4 2025</t>
  </si>
  <si>
    <r>
      <rPr>
        <rFont val="Calibri"/>
        <b/>
        <color rgb="FF162F56"/>
        <sz val="10.0"/>
      </rPr>
      <t xml:space="preserve">1x20GP ocean freight 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</si>
  <si>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(China)</t>
    </r>
  </si>
  <si>
    <r>
      <rPr>
        <rFont val="Calibri"/>
        <b/>
        <color rgb="FF162F56"/>
        <sz val="10.0"/>
      </rPr>
      <t xml:space="preserve">1x40GP ocean freight </t>
    </r>
    <r>
      <rPr>
        <rFont val="Calibri"/>
        <b/>
        <color theme="8"/>
        <sz val="10.0"/>
      </rPr>
      <t>(Turkey)</t>
    </r>
  </si>
  <si>
    <t>AWG</t>
  </si>
  <si>
    <t>CABLE CAT6</t>
  </si>
  <si>
    <t>U0102001</t>
  </si>
  <si>
    <t>U0102003</t>
  </si>
  <si>
    <t>CABLE CAT6A</t>
  </si>
  <si>
    <t>U0103014</t>
  </si>
  <si>
    <t>U0103015</t>
  </si>
  <si>
    <t>U0103018</t>
  </si>
  <si>
    <t>U0103001</t>
  </si>
  <si>
    <t>U0103007</t>
  </si>
  <si>
    <t>U0103016</t>
  </si>
  <si>
    <t>U0103017</t>
  </si>
  <si>
    <t>U0103006</t>
  </si>
  <si>
    <t>U0103003</t>
  </si>
  <si>
    <t>U0103020</t>
  </si>
  <si>
    <t>U0103008</t>
  </si>
  <si>
    <t>U0103021</t>
  </si>
  <si>
    <t>CABLE CAT7</t>
  </si>
  <si>
    <t>U0104004</t>
  </si>
  <si>
    <t>U0104007</t>
  </si>
  <si>
    <t>CABLE CAT7A</t>
  </si>
  <si>
    <t>CABLE CAT8</t>
  </si>
  <si>
    <t>U0106001</t>
  </si>
  <si>
    <t>CABLES SPE</t>
  </si>
  <si>
    <t>CABLE GRADE3 TV</t>
  </si>
  <si>
    <t>O0101002</t>
  </si>
  <si>
    <t>O0101001</t>
  </si>
  <si>
    <t>U0301003</t>
  </si>
  <si>
    <t>U0301006</t>
  </si>
  <si>
    <t>U0301004</t>
  </si>
  <si>
    <t>U0301007</t>
  </si>
  <si>
    <t>U0301002</t>
  </si>
  <si>
    <t>U0301005</t>
  </si>
  <si>
    <t>KEYSTONE JACK &amp; ACCESSOIRES</t>
  </si>
  <si>
    <t>CONNECTEUR DE TERRAIN CAT8</t>
  </si>
  <si>
    <t>U0202001</t>
  </si>
  <si>
    <t>U0202002</t>
  </si>
  <si>
    <t>U0203005</t>
  </si>
  <si>
    <t>U0203006</t>
  </si>
  <si>
    <t>U0203009</t>
  </si>
  <si>
    <t>U0204001</t>
  </si>
  <si>
    <t>PLUGS &amp; ACCESSOIRES</t>
  </si>
  <si>
    <t>U0203004</t>
  </si>
  <si>
    <t>U0203001</t>
  </si>
  <si>
    <t>U0203002</t>
  </si>
  <si>
    <t>U0203003</t>
  </si>
  <si>
    <t>U0403001</t>
  </si>
  <si>
    <t>U0403002</t>
  </si>
  <si>
    <t>U0403004</t>
  </si>
  <si>
    <t>U0403005</t>
  </si>
  <si>
    <t>U0403006</t>
  </si>
  <si>
    <t>U0403007</t>
  </si>
  <si>
    <t>U0403003</t>
  </si>
  <si>
    <t>U0403008</t>
  </si>
  <si>
    <t>U0403009</t>
  </si>
  <si>
    <t>U0403011</t>
  </si>
  <si>
    <t>U0403012</t>
  </si>
  <si>
    <t>U0403013</t>
  </si>
  <si>
    <t>U0403014</t>
  </si>
  <si>
    <t>U0403010</t>
  </si>
  <si>
    <t>U0405001</t>
  </si>
  <si>
    <t>U0405002</t>
  </si>
  <si>
    <t>U0405005</t>
  </si>
  <si>
    <t>U0405007</t>
  </si>
  <si>
    <t>U0405008</t>
  </si>
  <si>
    <t>U0405009</t>
  </si>
  <si>
    <t>U0405003</t>
  </si>
  <si>
    <t>U0405004</t>
  </si>
  <si>
    <t>U0405006</t>
  </si>
  <si>
    <t>U0407001</t>
  </si>
  <si>
    <t>U0407002</t>
  </si>
  <si>
    <t>U0407004</t>
  </si>
  <si>
    <t>U0407005</t>
  </si>
  <si>
    <t>U0407006</t>
  </si>
  <si>
    <t>U0407007</t>
  </si>
  <si>
    <t>U0501011</t>
  </si>
  <si>
    <t>U0501015</t>
  </si>
  <si>
    <t>U0501009</t>
  </si>
  <si>
    <t>U0501007</t>
  </si>
  <si>
    <t>U0501006</t>
  </si>
  <si>
    <t>CABLES SYT</t>
  </si>
  <si>
    <t>KSYT2A245PZHB2BR5</t>
  </si>
  <si>
    <t>U0601002</t>
  </si>
  <si>
    <t>U0601001</t>
  </si>
  <si>
    <t>U0601004</t>
  </si>
  <si>
    <t>U0601003</t>
  </si>
  <si>
    <t>U0701002</t>
  </si>
  <si>
    <t>U0701001</t>
  </si>
  <si>
    <t>U0901009</t>
  </si>
  <si>
    <t>U0901010</t>
  </si>
  <si>
    <t>U0901011</t>
  </si>
  <si>
    <t>U0901012</t>
  </si>
  <si>
    <t>U0901005</t>
  </si>
  <si>
    <t>U0901006</t>
  </si>
  <si>
    <t>U0901007</t>
  </si>
  <si>
    <t>U0901008</t>
  </si>
  <si>
    <t>U0901001</t>
  </si>
  <si>
    <t>U0901002</t>
  </si>
  <si>
    <t>U0901003</t>
  </si>
  <si>
    <t>U0901004</t>
  </si>
  <si>
    <t>U0902009</t>
  </si>
  <si>
    <t>U0902010</t>
  </si>
  <si>
    <t>U0902011</t>
  </si>
  <si>
    <t>U0902012</t>
  </si>
  <si>
    <t>U0902005</t>
  </si>
  <si>
    <t>U0902006</t>
  </si>
  <si>
    <t>U0902007</t>
  </si>
  <si>
    <t>U0902008</t>
  </si>
  <si>
    <t>U0902001</t>
  </si>
  <si>
    <t>U0902002</t>
  </si>
  <si>
    <t>U0902003</t>
  </si>
  <si>
    <t>U0902004</t>
  </si>
  <si>
    <t>U0903009</t>
  </si>
  <si>
    <t>U0903010</t>
  </si>
  <si>
    <t>U0903011</t>
  </si>
  <si>
    <t>U0903012</t>
  </si>
  <si>
    <t>U0903005</t>
  </si>
  <si>
    <t>U0903006</t>
  </si>
  <si>
    <t>U0903007</t>
  </si>
  <si>
    <t>U0903008</t>
  </si>
  <si>
    <t>U0903001</t>
  </si>
  <si>
    <t>U0903002</t>
  </si>
  <si>
    <t>U0903003</t>
  </si>
  <si>
    <t>U0903004</t>
  </si>
  <si>
    <t>U0904009</t>
  </si>
  <si>
    <t>U0904010</t>
  </si>
  <si>
    <t>U0904011</t>
  </si>
  <si>
    <t>U0904012</t>
  </si>
  <si>
    <t>U0904005</t>
  </si>
  <si>
    <t>U0904006</t>
  </si>
  <si>
    <t>U0904007</t>
  </si>
  <si>
    <t>U0904008</t>
  </si>
  <si>
    <t>U0904001</t>
  </si>
  <si>
    <t>U0904002</t>
  </si>
  <si>
    <t>U0904003</t>
  </si>
  <si>
    <t>U0904004</t>
  </si>
  <si>
    <t>U1001002</t>
  </si>
  <si>
    <t>U1001001</t>
  </si>
  <si>
    <t>U1001015</t>
  </si>
  <si>
    <t>U1001016</t>
  </si>
  <si>
    <t>U1001004</t>
  </si>
  <si>
    <t>U1001005</t>
  </si>
  <si>
    <t>U1001018</t>
  </si>
  <si>
    <t>U1001014</t>
  </si>
  <si>
    <t>U1001010</t>
  </si>
  <si>
    <t>U1001012</t>
  </si>
  <si>
    <t>U1001008</t>
  </si>
  <si>
    <t>U1001013</t>
  </si>
  <si>
    <t>U1001009</t>
  </si>
  <si>
    <t>U1001011</t>
  </si>
  <si>
    <t>U1001007</t>
  </si>
  <si>
    <t>U1101002</t>
  </si>
  <si>
    <t>U1101001</t>
  </si>
  <si>
    <t>U1102002</t>
  </si>
  <si>
    <t>U1102001</t>
  </si>
  <si>
    <t>U1104002</t>
  </si>
  <si>
    <t>U1104001</t>
  </si>
  <si>
    <t>KPIG12OS2SC2MEF</t>
  </si>
  <si>
    <t>KPIG12OS2LC2MEF</t>
  </si>
  <si>
    <t>U1201006</t>
  </si>
  <si>
    <t>U1201007</t>
  </si>
  <si>
    <t>U1201011</t>
  </si>
  <si>
    <t>U1201010</t>
  </si>
  <si>
    <t>U1201001</t>
  </si>
  <si>
    <t>U1201003</t>
  </si>
  <si>
    <t>U1201004</t>
  </si>
  <si>
    <t>U1201005</t>
  </si>
  <si>
    <t>U1201009</t>
  </si>
  <si>
    <t>U1301002</t>
  </si>
  <si>
    <t>U1301003</t>
  </si>
  <si>
    <t>U1301001</t>
  </si>
  <si>
    <t>TUBE CENTRAL UNIVERSEL</t>
  </si>
  <si>
    <t>U0803019</t>
  </si>
  <si>
    <t>U0803021</t>
  </si>
  <si>
    <t>STRUCTURE SERREE UNIVERSEL</t>
  </si>
  <si>
    <t>U0807009</t>
  </si>
  <si>
    <t>U0807013</t>
  </si>
  <si>
    <t>U0807001</t>
  </si>
  <si>
    <t>U0807005</t>
  </si>
  <si>
    <t>TUBE CENTRAL EXTÉRIEUR</t>
  </si>
  <si>
    <t>U0802005</t>
  </si>
  <si>
    <t>U0802007</t>
  </si>
  <si>
    <t>U0802001</t>
  </si>
  <si>
    <t>U0802003</t>
  </si>
  <si>
    <t>TUBE CENTRAL ARMÉ EXTÉRIEUR</t>
  </si>
  <si>
    <t>U0801005</t>
  </si>
  <si>
    <t>U0801007</t>
  </si>
  <si>
    <t>U0801001</t>
  </si>
  <si>
    <t>U0801003</t>
  </si>
  <si>
    <t>MULTI-TUBES UNIVERSEL</t>
  </si>
  <si>
    <t>MULTI-TUBES EXTÉRIEUR</t>
  </si>
  <si>
    <t>U0805001</t>
  </si>
  <si>
    <t>U0805004</t>
  </si>
  <si>
    <t>MULTI-TUBES ARMÉ EXTÉRIEUR</t>
  </si>
  <si>
    <t>U0804001</t>
  </si>
  <si>
    <t>U0804004</t>
  </si>
  <si>
    <t>MULTI-TUBES ARMÉ GAINE SIMPLE UNIVERSEL</t>
  </si>
  <si>
    <t>MULTI-TUBES ARMÉ GAINE DOUBLE UNIVERSEL</t>
  </si>
  <si>
    <t>U0807010</t>
  </si>
  <si>
    <t>U0807014</t>
  </si>
  <si>
    <t>U0807002</t>
  </si>
  <si>
    <t>U0807006</t>
  </si>
  <si>
    <t>U0807011</t>
  </si>
  <si>
    <t>U0807015</t>
  </si>
  <si>
    <t>U0807003</t>
  </si>
  <si>
    <t>U0807007</t>
  </si>
  <si>
    <t>U0805002</t>
  </si>
  <si>
    <t>U0805005</t>
  </si>
  <si>
    <t>U0804002</t>
  </si>
  <si>
    <t>U0804005</t>
  </si>
  <si>
    <t>U0803023</t>
  </si>
  <si>
    <t>U0803020</t>
  </si>
  <si>
    <t>U0803022</t>
  </si>
  <si>
    <t>U0807012</t>
  </si>
  <si>
    <t>U0807016</t>
  </si>
  <si>
    <t>U0807004</t>
  </si>
  <si>
    <t>U0807008</t>
  </si>
  <si>
    <t>U0802006</t>
  </si>
  <si>
    <t>U0802008</t>
  </si>
  <si>
    <t>U0802002</t>
  </si>
  <si>
    <t>U0802004</t>
  </si>
  <si>
    <t>U0801006</t>
  </si>
  <si>
    <t>U0801008</t>
  </si>
  <si>
    <t>U0801002</t>
  </si>
  <si>
    <t>U0801004</t>
  </si>
  <si>
    <t>U0805006</t>
  </si>
  <si>
    <t>U0805003</t>
  </si>
  <si>
    <t>U0804003</t>
  </si>
  <si>
    <t>U0804006</t>
  </si>
  <si>
    <t>COFFRET 19"</t>
  </si>
  <si>
    <t>BAIES</t>
  </si>
  <si>
    <t>U1402001</t>
  </si>
  <si>
    <t>U1402002</t>
  </si>
  <si>
    <t>U1402003</t>
  </si>
  <si>
    <t>U1402004</t>
  </si>
  <si>
    <t>U1402005</t>
  </si>
  <si>
    <t>U1402006</t>
  </si>
  <si>
    <t>U1402007</t>
  </si>
  <si>
    <t>KRS2468SGR</t>
  </si>
  <si>
    <t>U1402008</t>
  </si>
  <si>
    <t>KRS2768SGR</t>
  </si>
  <si>
    <t>U1402009</t>
  </si>
  <si>
    <t>KRS3268SGR</t>
  </si>
  <si>
    <t>U1402010</t>
  </si>
  <si>
    <t>KRS4268SGR</t>
  </si>
  <si>
    <t>U1402011</t>
  </si>
  <si>
    <t>U1402012</t>
  </si>
  <si>
    <t>U1402013</t>
  </si>
  <si>
    <t>U1402014</t>
  </si>
  <si>
    <t>U1402015</t>
  </si>
  <si>
    <t>U1402016</t>
  </si>
  <si>
    <t>U1402017</t>
  </si>
  <si>
    <t>U1402018</t>
  </si>
  <si>
    <t>U1402019</t>
  </si>
  <si>
    <t>U1402020</t>
  </si>
  <si>
    <t>U1402021</t>
  </si>
  <si>
    <t>U1403001</t>
  </si>
  <si>
    <t>U1403002</t>
  </si>
  <si>
    <t>U1403003</t>
  </si>
  <si>
    <t>U1403004</t>
  </si>
  <si>
    <t>U1403005</t>
  </si>
  <si>
    <t>U1403006</t>
  </si>
  <si>
    <t>U1403007</t>
  </si>
  <si>
    <t>U1403008</t>
  </si>
  <si>
    <t>U1403009</t>
  </si>
  <si>
    <t>U1403010</t>
  </si>
  <si>
    <t>U1403011</t>
  </si>
  <si>
    <t>U1403012</t>
  </si>
  <si>
    <t>U1403013</t>
  </si>
  <si>
    <t>U1403014</t>
  </si>
  <si>
    <t>U1403015</t>
  </si>
  <si>
    <t>U1403016</t>
  </si>
  <si>
    <t>U1403017</t>
  </si>
  <si>
    <t>U1403018</t>
  </si>
  <si>
    <t>U1403019</t>
  </si>
  <si>
    <t>U1403020</t>
  </si>
  <si>
    <t>U1403021</t>
  </si>
  <si>
    <t>U1403022</t>
  </si>
  <si>
    <t>U1403023</t>
  </si>
  <si>
    <t>U1403024</t>
  </si>
  <si>
    <t>U1403025</t>
  </si>
  <si>
    <t>U1403026</t>
  </si>
  <si>
    <t>U1403027</t>
  </si>
  <si>
    <t>U1403028</t>
  </si>
  <si>
    <t>U1403029</t>
  </si>
  <si>
    <t>U1403030</t>
  </si>
  <si>
    <t>U1403031</t>
  </si>
  <si>
    <t>U1403032</t>
  </si>
  <si>
    <t>U1403033</t>
  </si>
  <si>
    <t>U1403034</t>
  </si>
  <si>
    <t>U1403035</t>
  </si>
  <si>
    <t>U1403036</t>
  </si>
  <si>
    <t>U1403037</t>
  </si>
  <si>
    <t>U1403038</t>
  </si>
  <si>
    <t>U1403039</t>
  </si>
  <si>
    <t>U1403040</t>
  </si>
  <si>
    <t>U1403041</t>
  </si>
  <si>
    <t>U1403042</t>
  </si>
  <si>
    <t>U1403043</t>
  </si>
  <si>
    <t>U1403044</t>
  </si>
  <si>
    <t>U1403045</t>
  </si>
  <si>
    <t>U1403046</t>
  </si>
  <si>
    <t>U1403047</t>
  </si>
  <si>
    <t>U1403048</t>
  </si>
  <si>
    <t>U1403049</t>
  </si>
  <si>
    <t>U1403050</t>
  </si>
  <si>
    <t>U1403051</t>
  </si>
  <si>
    <t>U1403052</t>
  </si>
  <si>
    <t>U1403053</t>
  </si>
  <si>
    <t>U1403054</t>
  </si>
  <si>
    <t>U1403055</t>
  </si>
  <si>
    <t>U1403056</t>
  </si>
  <si>
    <t>U1403057</t>
  </si>
  <si>
    <t>U1403058</t>
  </si>
  <si>
    <t>U1403059</t>
  </si>
  <si>
    <t>U1403060</t>
  </si>
  <si>
    <t>U1403061</t>
  </si>
  <si>
    <t>U1403062</t>
  </si>
  <si>
    <t>U1403063</t>
  </si>
  <si>
    <t>U1403064</t>
  </si>
  <si>
    <t>U1403065</t>
  </si>
  <si>
    <t>U1403066</t>
  </si>
  <si>
    <t>U1403067</t>
  </si>
  <si>
    <t>U1405002</t>
  </si>
  <si>
    <t>U1405003</t>
  </si>
  <si>
    <t>U1405004</t>
  </si>
  <si>
    <t>U1405005</t>
  </si>
  <si>
    <t>U1405006</t>
  </si>
  <si>
    <t>U1405007</t>
  </si>
  <si>
    <t>U1405008</t>
  </si>
  <si>
    <t>U1405009</t>
  </si>
  <si>
    <t>U1405010</t>
  </si>
  <si>
    <t>U1405011</t>
  </si>
  <si>
    <t>U1405012</t>
  </si>
  <si>
    <t>U1405013</t>
  </si>
  <si>
    <t>U1503001</t>
  </si>
  <si>
    <t>U1503002</t>
  </si>
  <si>
    <t>U1503003</t>
  </si>
  <si>
    <t>U1503004</t>
  </si>
  <si>
    <t>U1503005</t>
  </si>
  <si>
    <t>U1503006</t>
  </si>
  <si>
    <t>U1503007</t>
  </si>
  <si>
    <t>U1503008</t>
  </si>
  <si>
    <t>U1503009</t>
  </si>
  <si>
    <t>U1503010</t>
  </si>
  <si>
    <t>U1503011</t>
  </si>
  <si>
    <t>U1503012</t>
  </si>
  <si>
    <t>U1503013</t>
  </si>
  <si>
    <t>U1503014</t>
  </si>
  <si>
    <t>18.09.2025</t>
  </si>
  <si>
    <t>853669 9000</t>
  </si>
  <si>
    <t>CÂBLES 6/10 SYT 2 ARMEE LSZH 5 PAIRES MARRON B2CA</t>
  </si>
  <si>
    <t>CÂBLES 6/10 SYT 2 ARMEE LSZH 10 PAIRES MARRON B2CA</t>
  </si>
  <si>
    <t>CÂBLES 6/10 SYT 2 ARMEE LSZH 15 PAIRES MARRON B2CA</t>
  </si>
  <si>
    <t>CÂBLES 6/10 SYT 2 ARMEE LSZH 56 PAIRES MARRON B2CA</t>
  </si>
  <si>
    <t>CÂBLES 6/10 SYT 2 ARMEE LSZH 112 PAIRES MARRON B2CA</t>
  </si>
  <si>
    <t>CÂBLES 9/10 SYT 2 ARMEE LSZH 5 PAIRES MARRON B2CA</t>
  </si>
  <si>
    <t>CÂBLES 9/10 SYT 2 ARMEE LSZH 10 PAIRES MARRON B2CA</t>
  </si>
  <si>
    <t>CÂBLES 9/10 SYT 2 ARMEE LSZH 15 PAIRES MARRON B2CA</t>
  </si>
  <si>
    <t>CÂBLES 9/10 SYT 2 ARMEE LSZH 56 PAIRES MARRON B2CA</t>
  </si>
  <si>
    <t>CÂBLES 9/10 SYT 2 ARMEE LSZH 112 PAIRES MARRON B2CA</t>
  </si>
  <si>
    <t>392690 9700</t>
  </si>
  <si>
    <t>TIROIR FIBRE OPTIQUE 19" 1U 245MM EQUIPPE DE 6 PIGTAILS OS2 LC/3 TRAVERSEES LCD/CASSETTE DE LOVAGE</t>
  </si>
  <si>
    <t>TIROIR FIBRE OPTIQUE 19" 1U 245MM EQUIPPE DE 12 PIGTAILS OS2 LC/6 TRAVERSEES LCD/CASSETTE DE LOVAGE</t>
  </si>
  <si>
    <t>TIROIR FIBRE OPTIQUE 19" 1U 245MM EQUIPPE DE 24 PIGTAILS OS2 LC/12 TRAVERSEES LCD/CASSETTE DE LOVAGE</t>
  </si>
  <si>
    <t>TIROIR FIBRE OPTIQUE 19" 1U 245MM EQUIPPE DE 48 PIGTAILS OS2 LC/24 TRAVERSEES LCD/CASSETTE DE LOVAGE</t>
  </si>
  <si>
    <t>TIROIR FIBRE OPTIQUE 19" 1U 245MM EQUIPPE DE 6 PIGTAILS OM4 LC/3 TRAVERSEES LCD/CASSETTE DE LOVAGE</t>
  </si>
  <si>
    <t>TIROIR FIBRE OPTIQUE 19" 1U 245MM EQUIPPE DE 12 PIGTAILS OM4 LC/6 TRAVERSEES LCD/CASSETTE DE LOVAGE</t>
  </si>
  <si>
    <t>TIROIR FIBRE OPTIQUE 19" 1U 245MM EQUIPPE DE 24 PIGTAILS OM4 LC/12 TRAVERSEES LCD/CASSETTE DE LOVAGE</t>
  </si>
  <si>
    <t>TIROIR FIBRE OPTIQUE 19" 1U 245MM EQUIPPE DE 48 PIGTAILS OM4 LC/24 TRAVERSEES LCD/CASSETTE DE LOVAGE</t>
  </si>
  <si>
    <t>732690 9890</t>
  </si>
  <si>
    <t>940390 1000</t>
  </si>
  <si>
    <t>853561 9090</t>
  </si>
  <si>
    <t>12FO OS2 MULTITUBE STRUCTURE LIBRE ARME DOUBLE GAINE LSZH B2ca EXTÉRIEUR JAUNE RAL1021</t>
  </si>
  <si>
    <t>24FO OS2 MULTITUBE STRUCTURE LIBRE ARME DOUBLE GAINE LSZH B2ca EXTÉRIEUR JAUNE RAL1021</t>
  </si>
  <si>
    <t>48FO OS2 MULTITUBE STRUCTURE LIBRE ARME DOUBLE GAINE LSZH B2ca EXTÉRIEUR JAUNE RAL1021</t>
  </si>
  <si>
    <t>Z0603003</t>
  </si>
  <si>
    <t>Z0403006</t>
  </si>
  <si>
    <t>Z0403007</t>
  </si>
  <si>
    <t>Z0403008</t>
  </si>
  <si>
    <t>Z0403009</t>
  </si>
  <si>
    <t>Z0403010</t>
  </si>
  <si>
    <t>200x2600</t>
  </si>
  <si>
    <t>02.10.2025</t>
  </si>
  <si>
    <t>U0103019</t>
  </si>
  <si>
    <t>U0105002</t>
  </si>
  <si>
    <t>PANNEAU DE BRASSAGE EN MÉTAL 19 POUCES 1U 24 PORTS RJ45 KEYSTONE MISE À LA TERRE AUTOMATIQUE ET OUIES DE FIXATION DÉCOUPÉES</t>
  </si>
  <si>
    <t>U1405001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</si>
</sst>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8">
    <numFmt numFmtId="164" formatCode="D/M/YYYY"/>
    <numFmt numFmtId="165" formatCode="0.0%"/>
    <numFmt numFmtId="166" formatCode="#,##0.0\ &quot;€&quot;"/>
    <numFmt numFmtId="167" formatCode="[$¥-804]#,##0.00"/>
    <numFmt numFmtId="168" formatCode="[$¥-804]#,##0.000"/>
    <numFmt numFmtId="169" formatCode="[$¥-804]#,##0"/>
    <numFmt numFmtId="170" formatCode="&quot;$&quot;#,##0.0"/>
    <numFmt numFmtId="171" formatCode="[$€-2]\ #,##0.00"/>
    <numFmt numFmtId="172" formatCode="#,##0.000\ &quot;€&quot;"/>
    <numFmt numFmtId="173" formatCode="&quot;$&quot;#,##0.00"/>
    <numFmt numFmtId="174" formatCode="#,##0.00\ &quot;€&quot;"/>
    <numFmt numFmtId="175" formatCode="&quot;$&quot;#,##0"/>
    <numFmt numFmtId="176" formatCode="#,##0\ &quot;€&quot;"/>
    <numFmt numFmtId="177" formatCode="0.000_);[Red]\(0.000\)"/>
    <numFmt numFmtId="178" formatCode="[$$-C09]#,##0.00"/>
    <numFmt numFmtId="179" formatCode="[$€-2]\ #,##0.00;[$€-2]\ \-#,##0.00"/>
    <numFmt numFmtId="180" formatCode="&quot;$&quot;#,##0.000"/>
    <numFmt numFmtId="181" formatCode="#,##0.000_-\ [$€-1];#,##0.000\-\ [$€-1]"/>
    <numFmt numFmtId="182" formatCode="[$$-C09]#,##0.000"/>
    <numFmt numFmtId="183" formatCode="&quot;¥&quot;#,##0.000_);[Red]\(&quot;¥&quot;#,##0.000\)"/>
    <numFmt numFmtId="184" formatCode="\$#,##0.000;\-\$#,##0.000"/>
    <numFmt numFmtId="185" formatCode="[$¥-804]#,##0.00;[$¥-804]\-#,##0.00"/>
    <numFmt numFmtId="186" formatCode="&quot;¥&quot;#,##0.00;&quot;¥&quot;\-#,##0.00"/>
    <numFmt numFmtId="187" formatCode="0_ "/>
    <numFmt numFmtId="188" formatCode="[$€-2]\ #,##0;[$€-2]\ \-#,##0"/>
    <numFmt numFmtId="189" formatCode="_-* #,##0\ &quot;€&quot;_-;\-* #,##0\ &quot;€&quot;_-;_-* &quot;-&quot;??\ &quot;€&quot;_-;_-@"/>
    <numFmt numFmtId="190" formatCode="#,##0.00\ [$€-1]"/>
    <numFmt numFmtId="191" formatCode="\$#,##0.000_);[Red]\(\$#,##0.000\)"/>
  </numFmts>
  <fonts count="39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rgb="FF162F56"/>
      <name val="Calibri"/>
    </font>
    <font>
      <b/>
      <sz val="10.0"/>
      <color rgb="FF649E5F"/>
      <name val="Calibri"/>
    </font>
    <font>
      <b/>
      <sz val="10.0"/>
      <color rgb="FF0033CC"/>
      <name val="Calibri"/>
    </font>
    <font>
      <b/>
      <sz val="10.0"/>
      <color theme="1"/>
      <name val="Calibri"/>
    </font>
    <font>
      <b/>
      <sz val="10.0"/>
      <color rgb="FF0000FF"/>
      <name val="Calibri"/>
    </font>
    <font>
      <sz val="10.0"/>
      <color rgb="FF7030A0"/>
      <name val="Calibri"/>
    </font>
    <font>
      <sz val="10.0"/>
      <color rgb="FF0033CC"/>
      <name val="Calibri"/>
    </font>
    <font>
      <sz val="10.0"/>
      <color rgb="FF162F56"/>
      <name val="Calibri"/>
    </font>
    <font/>
    <font>
      <b/>
      <sz val="10.0"/>
      <color rgb="FF7030A0"/>
      <name val="Calibri"/>
    </font>
    <font>
      <b/>
      <sz val="10.0"/>
      <color rgb="FFFF0000"/>
      <name val="Calibri"/>
    </font>
    <font>
      <sz val="10.0"/>
      <color rgb="FF1E4E79"/>
      <name val="Calibri"/>
    </font>
    <font>
      <sz val="10.0"/>
      <color rgb="FFFF0000"/>
      <name val="Calibri"/>
    </font>
    <font>
      <sz val="10.0"/>
      <color rgb="FF000000"/>
      <name val="Aptos"/>
    </font>
    <font>
      <sz val="10.0"/>
      <color rgb="FF000000"/>
      <name val="Calibri"/>
    </font>
    <font>
      <b/>
      <sz val="18.0"/>
      <color theme="1"/>
      <name val="Calibri"/>
    </font>
    <font>
      <sz val="11.0"/>
      <color rgb="FF1E4E79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162F56"/>
      <name val="Calibri"/>
    </font>
    <font>
      <b/>
      <sz val="11.0"/>
      <color rgb="FFEE0000"/>
      <name val="Aptos Narrow"/>
    </font>
    <font>
      <sz val="10.0"/>
      <color theme="1"/>
      <name val="Aptos"/>
    </font>
    <font>
      <sz val="12.0"/>
      <color theme="1"/>
      <name val="Aptos"/>
    </font>
    <font>
      <b/>
      <sz val="12.0"/>
      <color theme="0"/>
      <name val="Aptos"/>
    </font>
    <font>
      <b/>
      <sz val="10.0"/>
      <color rgb="FF000000"/>
      <name val="Aptos"/>
    </font>
    <font>
      <b/>
      <sz val="10.0"/>
      <color theme="1"/>
      <name val="Aptos"/>
    </font>
    <font>
      <b/>
      <sz val="11.0"/>
      <color rgb="FF000000"/>
      <name val="Aptos"/>
    </font>
    <font>
      <sz val="11.0"/>
      <color rgb="FF000000"/>
      <name val="Aptos"/>
    </font>
    <font>
      <b/>
      <sz val="10.0"/>
      <color rgb="FF0000FF"/>
      <name val="Aptos"/>
    </font>
    <font>
      <sz val="11.0"/>
      <color theme="1"/>
      <name val="Calibri"/>
    </font>
    <font>
      <sz val="10.0"/>
      <color rgb="FFFFFFFF"/>
      <name val="Calibri"/>
    </font>
    <font>
      <b/>
      <sz val="10.0"/>
      <color theme="9"/>
      <name val="Calibri"/>
    </font>
    <font>
      <b/>
      <sz val="10.0"/>
      <color rgb="FF002060"/>
      <name val="Calibri"/>
    </font>
    <font>
      <sz val="10.0"/>
      <color rgb="FF002060"/>
      <name val="Calibri"/>
    </font>
    <font>
      <sz val="10.0"/>
      <color rgb="FF00B050"/>
      <name val="Calibri"/>
    </font>
    <font>
      <b/>
      <sz val="10.0"/>
      <color rgb="FFFF33CC"/>
      <name val="Calibri"/>
    </font>
    <font>
      <sz val="10.0"/>
      <color rgb="FFFF33CC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649E5F"/>
        <bgColor rgb="FF649E5F"/>
      </patternFill>
    </fill>
    <fill>
      <patternFill patternType="solid">
        <fgColor rgb="FFFFFFCC"/>
        <bgColor rgb="FFFFFFCC"/>
      </patternFill>
    </fill>
    <fill>
      <patternFill patternType="solid">
        <fgColor rgb="FFFFFF99"/>
        <bgColor rgb="FFFFFF99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D60093"/>
        <bgColor rgb="FFD60093"/>
      </patternFill>
    </fill>
    <fill>
      <patternFill patternType="solid">
        <fgColor rgb="FFFF9933"/>
        <bgColor rgb="FFFF9933"/>
      </patternFill>
    </fill>
    <fill>
      <patternFill patternType="solid">
        <fgColor rgb="FF3366FF"/>
        <bgColor rgb="FF3366FF"/>
      </patternFill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theme="1"/>
      </left>
      <right style="thin">
        <color theme="1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4" numFmtId="16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1" numFmtId="16" xfId="0" applyAlignment="1" applyFont="1" applyNumberFormat="1">
      <alignment horizontal="left" vertical="center"/>
    </xf>
    <xf borderId="0" fillId="0" fontId="1" numFmtId="1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3" numFmtId="169" xfId="0" applyAlignment="1" applyFont="1" applyNumberFormat="1">
      <alignment horizontal="center" vertical="center"/>
    </xf>
    <xf borderId="0" fillId="0" fontId="8" numFmtId="16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" fillId="2" fontId="2" numFmtId="3" xfId="0" applyAlignment="1" applyBorder="1" applyFill="1" applyFont="1" applyNumberFormat="1">
      <alignment horizontal="center" shrinkToFit="0" vertical="center" wrapText="1"/>
    </xf>
    <xf borderId="2" fillId="2" fontId="2" numFmtId="3" xfId="0" applyAlignment="1" applyBorder="1" applyFont="1" applyNumberFormat="1">
      <alignment horizontal="left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8" numFmtId="170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9" xfId="0" applyAlignment="1" applyBorder="1" applyFont="1" applyNumberFormat="1">
      <alignment horizontal="center" vertical="center"/>
    </xf>
    <xf borderId="0" fillId="0" fontId="3" numFmtId="171" xfId="0" applyAlignment="1" applyFont="1" applyNumberFormat="1">
      <alignment horizontal="center" vertical="center"/>
    </xf>
    <xf borderId="0" fillId="0" fontId="4" numFmtId="171" xfId="0" applyAlignment="1" applyFont="1" applyNumberFormat="1">
      <alignment horizontal="center" vertical="center"/>
    </xf>
    <xf borderId="0" fillId="0" fontId="1" numFmtId="172" xfId="0" applyAlignment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0" fillId="0" fontId="7" numFmtId="167" xfId="0" applyAlignment="1" applyFont="1" applyNumberFormat="1">
      <alignment horizontal="center" shrinkToFit="0" vertical="center" wrapText="1"/>
    </xf>
    <xf borderId="0" fillId="0" fontId="1" numFmtId="173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3" fontId="1" numFmtId="0" xfId="0" applyAlignment="1" applyBorder="1" applyFill="1" applyFont="1">
      <alignment horizontal="center"/>
    </xf>
    <xf borderId="6" fillId="3" fontId="1" numFmtId="9" xfId="0" applyAlignment="1" applyBorder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74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7" fillId="4" fontId="3" numFmtId="175" xfId="0" applyAlignment="1" applyBorder="1" applyFill="1" applyFont="1" applyNumberFormat="1">
      <alignment horizontal="center" vertical="center"/>
    </xf>
    <xf borderId="0" fillId="0" fontId="8" numFmtId="175" xfId="0" applyAlignment="1" applyFont="1" applyNumberFormat="1">
      <alignment horizontal="center" vertical="center"/>
    </xf>
    <xf borderId="0" fillId="0" fontId="4" numFmtId="175" xfId="0" applyAlignment="1" applyFont="1" applyNumberFormat="1">
      <alignment horizontal="center" vertical="center"/>
    </xf>
    <xf borderId="0" fillId="0" fontId="3" numFmtId="175" xfId="0" applyAlignment="1" applyFont="1" applyNumberFormat="1">
      <alignment horizontal="left" vertical="center"/>
    </xf>
    <xf borderId="0" fillId="0" fontId="1" numFmtId="10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vertical="center"/>
    </xf>
    <xf borderId="0" fillId="0" fontId="1" numFmtId="176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shrinkToFit="0" vertical="center" wrapText="1"/>
    </xf>
    <xf borderId="0" fillId="0" fontId="5" numFmtId="168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shrinkToFit="0" vertical="center" wrapText="1"/>
    </xf>
    <xf borderId="0" fillId="0" fontId="1" numFmtId="0" xfId="0" applyFont="1"/>
    <xf borderId="0" fillId="0" fontId="5" numFmtId="0" xfId="0" applyFont="1"/>
    <xf borderId="0" fillId="0" fontId="1" numFmtId="166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77" xfId="0" applyAlignment="1" applyFont="1" applyNumberFormat="1">
      <alignment horizontal="left"/>
    </xf>
    <xf borderId="0" fillId="0" fontId="6" numFmtId="177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5" numFmtId="0" xfId="0" applyAlignment="1" applyFont="1">
      <alignment horizontal="center" vertical="center"/>
    </xf>
    <xf borderId="8" fillId="5" fontId="5" numFmtId="0" xfId="0" applyAlignment="1" applyBorder="1" applyFill="1" applyFont="1">
      <alignment horizontal="center" vertical="center"/>
    </xf>
    <xf borderId="9" fillId="0" fontId="10" numFmtId="0" xfId="0" applyBorder="1" applyFont="1"/>
    <xf borderId="10" fillId="6" fontId="5" numFmtId="0" xfId="0" applyAlignment="1" applyBorder="1" applyFill="1" applyFont="1">
      <alignment vertical="center"/>
    </xf>
    <xf borderId="11" fillId="6" fontId="5" numFmtId="0" xfId="0" applyAlignment="1" applyBorder="1" applyFont="1">
      <alignment vertical="center"/>
    </xf>
    <xf borderId="12" fillId="6" fontId="5" numFmtId="0" xfId="0" applyAlignment="1" applyBorder="1" applyFont="1">
      <alignment vertical="center"/>
    </xf>
    <xf borderId="13" fillId="7" fontId="11" numFmtId="167" xfId="0" applyAlignment="1" applyBorder="1" applyFill="1" applyFont="1" applyNumberForma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16" fillId="0" fontId="1" numFmtId="0" xfId="0" applyAlignment="1" applyBorder="1" applyFont="1">
      <alignment horizontal="center" vertical="center"/>
    </xf>
    <xf borderId="17" fillId="2" fontId="2" numFmtId="0" xfId="0" applyAlignment="1" applyBorder="1" applyFont="1">
      <alignment horizontal="left" vertical="center"/>
    </xf>
    <xf borderId="17" fillId="2" fontId="2" numFmtId="0" xfId="0" applyAlignment="1" applyBorder="1" applyFont="1">
      <alignment horizontal="center" shrinkToFit="0" vertical="center" wrapText="1"/>
    </xf>
    <xf borderId="18" fillId="2" fontId="2" numFmtId="0" xfId="0" applyAlignment="1" applyBorder="1" applyFont="1">
      <alignment horizontal="left" vertical="center"/>
    </xf>
    <xf borderId="18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center" shrinkToFit="0" vertical="center" wrapText="1"/>
    </xf>
    <xf borderId="18" fillId="2" fontId="2" numFmtId="0" xfId="0" applyAlignment="1" applyBorder="1" applyFont="1">
      <alignment vertical="center"/>
    </xf>
    <xf borderId="18" fillId="2" fontId="2" numFmtId="3" xfId="0" applyAlignment="1" applyBorder="1" applyFont="1" applyNumberFormat="1">
      <alignment horizontal="center" shrinkToFit="0" vertical="center" wrapText="1"/>
    </xf>
    <xf borderId="18" fillId="2" fontId="2" numFmtId="165" xfId="0" applyAlignment="1" applyBorder="1" applyFont="1" applyNumberFormat="1">
      <alignment horizontal="center" shrinkToFit="0" vertical="center" wrapText="1"/>
    </xf>
    <xf borderId="18" fillId="2" fontId="2" numFmtId="171" xfId="0" applyAlignment="1" applyBorder="1" applyFont="1" applyNumberFormat="1">
      <alignment horizontal="center" shrinkToFit="0" vertical="center" wrapText="1"/>
    </xf>
    <xf borderId="18" fillId="8" fontId="2" numFmtId="171" xfId="0" applyAlignment="1" applyBorder="1" applyFill="1" applyFont="1" applyNumberFormat="1">
      <alignment horizontal="center" shrinkToFit="0" vertical="center" wrapText="1"/>
    </xf>
    <xf borderId="18" fillId="9" fontId="2" numFmtId="171" xfId="0" applyAlignment="1" applyBorder="1" applyFill="1" applyFont="1" applyNumberFormat="1">
      <alignment horizontal="center" shrinkToFit="0" vertical="center" wrapText="1"/>
    </xf>
    <xf borderId="18" fillId="8" fontId="2" numFmtId="166" xfId="0" applyAlignment="1" applyBorder="1" applyFont="1" applyNumberFormat="1">
      <alignment horizontal="center" shrinkToFit="0" vertical="center" wrapText="1"/>
    </xf>
    <xf borderId="18" fillId="7" fontId="11" numFmtId="171" xfId="0" applyAlignment="1" applyBorder="1" applyFont="1" applyNumberFormat="1">
      <alignment horizontal="center" shrinkToFit="0" vertical="center" wrapText="1"/>
    </xf>
    <xf borderId="19" fillId="7" fontId="12" numFmtId="171" xfId="0" applyAlignment="1" applyBorder="1" applyFont="1" applyNumberFormat="1">
      <alignment horizontal="center" shrinkToFit="0" vertical="center" wrapText="1"/>
    </xf>
    <xf borderId="20" fillId="10" fontId="12" numFmtId="171" xfId="0" applyAlignment="1" applyBorder="1" applyFill="1" applyFont="1" applyNumberFormat="1">
      <alignment horizontal="center" shrinkToFit="0" vertical="center" wrapText="1"/>
    </xf>
    <xf borderId="20" fillId="10" fontId="11" numFmtId="171" xfId="0" applyAlignment="1" applyBorder="1" applyFont="1" applyNumberFormat="1">
      <alignment horizontal="center" shrinkToFit="0" vertical="center" wrapText="1"/>
    </xf>
    <xf borderId="0" fillId="0" fontId="11" numFmtId="10" xfId="0" applyAlignment="1" applyFont="1" applyNumberFormat="1">
      <alignment horizontal="center" shrinkToFit="0" vertical="center" wrapText="1"/>
    </xf>
    <xf borderId="21" fillId="11" fontId="11" numFmtId="171" xfId="0" applyAlignment="1" applyBorder="1" applyFill="1" applyFont="1" applyNumberFormat="1">
      <alignment horizontal="center" shrinkToFit="0" vertical="center" wrapText="1"/>
    </xf>
    <xf borderId="21" fillId="11" fontId="11" numFmtId="165" xfId="0" applyAlignment="1" applyBorder="1" applyFont="1" applyNumberFormat="1">
      <alignment horizontal="center" shrinkToFit="0" vertical="center" wrapText="1"/>
    </xf>
    <xf borderId="0" fillId="0" fontId="11" numFmtId="171" xfId="0" applyAlignment="1" applyFont="1" applyNumberFormat="1">
      <alignment horizontal="left" shrinkToFit="0" vertical="center" wrapText="1"/>
    </xf>
    <xf borderId="16" fillId="7" fontId="11" numFmtId="167" xfId="0" applyAlignment="1" applyBorder="1" applyFont="1" applyNumberFormat="1">
      <alignment horizontal="center" shrinkToFit="0" vertical="center" wrapText="1"/>
    </xf>
    <xf borderId="16" fillId="7" fontId="11" numFmtId="168" xfId="0" applyAlignment="1" applyBorder="1" applyFont="1" applyNumberFormat="1">
      <alignment horizontal="center" shrinkToFit="0" vertical="center" wrapText="1"/>
    </xf>
    <xf borderId="16" fillId="7" fontId="11" numFmtId="173" xfId="0" applyAlignment="1" applyBorder="1" applyFont="1" applyNumberFormat="1">
      <alignment horizontal="center" shrinkToFit="0" vertical="center" wrapText="1"/>
    </xf>
    <xf borderId="16" fillId="7" fontId="11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vertical="center"/>
    </xf>
    <xf borderId="22" fillId="0" fontId="9" numFmtId="0" xfId="0" applyAlignment="1" applyBorder="1" applyFont="1">
      <alignment horizontal="left" vertical="center"/>
    </xf>
    <xf borderId="22" fillId="0" fontId="9" numFmtId="0" xfId="0" applyAlignment="1" applyBorder="1" applyFont="1">
      <alignment horizontal="left"/>
    </xf>
    <xf borderId="22" fillId="0" fontId="9" numFmtId="0" xfId="0" applyAlignment="1" applyBorder="1" applyFont="1">
      <alignment horizontal="center"/>
    </xf>
    <xf borderId="22" fillId="0" fontId="13" numFmtId="0" xfId="0" applyBorder="1" applyFont="1"/>
    <xf borderId="22" fillId="0" fontId="2" numFmtId="0" xfId="0" applyBorder="1" applyFont="1"/>
    <xf borderId="22" fillId="0" fontId="9" numFmtId="0" xfId="0" applyBorder="1" applyFont="1"/>
    <xf borderId="22" fillId="0" fontId="9" numFmtId="0" xfId="0" applyAlignment="1" applyBorder="1" applyFont="1">
      <alignment horizontal="center" vertical="center"/>
    </xf>
    <xf borderId="22" fillId="0" fontId="9" numFmtId="174" xfId="0" applyAlignment="1" applyBorder="1" applyFont="1" applyNumberFormat="1">
      <alignment horizontal="center" vertical="center"/>
    </xf>
    <xf borderId="22" fillId="0" fontId="9" numFmtId="165" xfId="0" applyAlignment="1" applyBorder="1" applyFont="1" applyNumberFormat="1">
      <alignment horizontal="center" vertical="center"/>
    </xf>
    <xf borderId="22" fillId="0" fontId="9" numFmtId="3" xfId="0" applyAlignment="1" applyBorder="1" applyFont="1" applyNumberFormat="1">
      <alignment horizontal="center" vertical="center"/>
    </xf>
    <xf borderId="22" fillId="12" fontId="2" numFmtId="178" xfId="0" applyAlignment="1" applyBorder="1" applyFill="1" applyFont="1" applyNumberFormat="1">
      <alignment horizontal="center" vertical="center"/>
    </xf>
    <xf borderId="22" fillId="0" fontId="9" numFmtId="178" xfId="0" applyAlignment="1" applyBorder="1" applyFont="1" applyNumberFormat="1">
      <alignment horizontal="center" vertical="center"/>
    </xf>
    <xf borderId="22" fillId="12" fontId="2" numFmtId="176" xfId="0" applyAlignment="1" applyBorder="1" applyFont="1" applyNumberFormat="1">
      <alignment horizontal="center" vertical="center"/>
    </xf>
    <xf borderId="22" fillId="13" fontId="2" numFmtId="176" xfId="0" applyAlignment="1" applyBorder="1" applyFill="1" applyFont="1" applyNumberFormat="1">
      <alignment horizontal="center" vertical="center"/>
    </xf>
    <xf borderId="22" fillId="0" fontId="2" numFmtId="176" xfId="0" applyAlignment="1" applyBorder="1" applyFont="1" applyNumberFormat="1">
      <alignment horizontal="center" vertical="center"/>
    </xf>
    <xf borderId="22" fillId="0" fontId="2" numFmtId="165" xfId="0" applyAlignment="1" applyBorder="1" applyFont="1" applyNumberFormat="1">
      <alignment horizontal="center" vertical="center"/>
    </xf>
    <xf borderId="22" fillId="0" fontId="2" numFmtId="166" xfId="0" applyAlignment="1" applyBorder="1" applyFont="1" applyNumberFormat="1">
      <alignment horizontal="center" vertical="center"/>
    </xf>
    <xf borderId="22" fillId="14" fontId="9" numFmtId="165" xfId="0" applyAlignment="1" applyBorder="1" applyFill="1" applyFont="1" applyNumberFormat="1">
      <alignment horizontal="center" vertical="center"/>
    </xf>
    <xf borderId="22" fillId="11" fontId="9" numFmtId="165" xfId="0" applyAlignment="1" applyBorder="1" applyFont="1" applyNumberFormat="1">
      <alignment horizontal="center" vertical="center"/>
    </xf>
    <xf borderId="23" fillId="11" fontId="9" numFmtId="166" xfId="0" applyAlignment="1" applyBorder="1" applyFont="1" applyNumberFormat="1">
      <alignment horizontal="center" vertical="center"/>
    </xf>
    <xf borderId="23" fillId="11" fontId="9" numFmtId="165" xfId="0" applyAlignment="1" applyBorder="1" applyFont="1" applyNumberFormat="1">
      <alignment horizontal="center" vertical="center"/>
    </xf>
    <xf borderId="16" fillId="0" fontId="9" numFmtId="176" xfId="0" applyAlignment="1" applyBorder="1" applyFont="1" applyNumberFormat="1">
      <alignment horizontal="center" vertical="center"/>
    </xf>
    <xf borderId="16" fillId="0" fontId="9" numFmtId="165" xfId="0" applyAlignment="1" applyBorder="1" applyFont="1" applyNumberFormat="1">
      <alignment horizontal="center" vertical="center"/>
    </xf>
    <xf borderId="0" fillId="0" fontId="9" numFmtId="10" xfId="0" applyAlignment="1" applyFont="1" applyNumberFormat="1">
      <alignment horizontal="center" vertical="center"/>
    </xf>
    <xf borderId="16" fillId="0" fontId="9" numFmtId="178" xfId="0" applyAlignment="1" applyBorder="1" applyFont="1" applyNumberFormat="1">
      <alignment horizontal="center" vertical="center"/>
    </xf>
    <xf borderId="0" fillId="0" fontId="9" numFmtId="174" xfId="0" applyAlignment="1" applyFont="1" applyNumberFormat="1">
      <alignment horizontal="center" vertical="center"/>
    </xf>
    <xf borderId="16" fillId="0" fontId="9" numFmtId="167" xfId="0" applyAlignment="1" applyBorder="1" applyFont="1" applyNumberFormat="1">
      <alignment horizontal="center" vertical="center"/>
    </xf>
    <xf borderId="16" fillId="0" fontId="2" numFmtId="173" xfId="0" applyAlignment="1" applyBorder="1" applyFont="1" applyNumberFormat="1">
      <alignment horizontal="center" shrinkToFit="0" vertical="center" wrapText="1"/>
    </xf>
    <xf borderId="16" fillId="0" fontId="2" numFmtId="17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16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left"/>
    </xf>
    <xf borderId="16" fillId="3" fontId="9" numFmtId="174" xfId="0" applyAlignment="1" applyBorder="1" applyFont="1" applyNumberFormat="1">
      <alignment horizontal="center" vertical="center"/>
    </xf>
    <xf borderId="16" fillId="0" fontId="2" numFmtId="179" xfId="0" applyAlignment="1" applyBorder="1" applyFont="1" applyNumberFormat="1">
      <alignment horizontal="center" shrinkToFit="0" vertical="center" wrapText="1"/>
    </xf>
    <xf borderId="22" fillId="8" fontId="2" numFmtId="0" xfId="0" applyBorder="1" applyFont="1"/>
    <xf borderId="16" fillId="0" fontId="9" numFmtId="174" xfId="0" applyAlignment="1" applyBorder="1" applyFont="1" applyNumberFormat="1">
      <alignment horizontal="center" vertical="center"/>
    </xf>
    <xf borderId="16" fillId="0" fontId="2" numFmtId="167" xfId="0" applyAlignment="1" applyBorder="1" applyFont="1" applyNumberFormat="1">
      <alignment horizontal="center" vertical="center"/>
    </xf>
    <xf borderId="24" fillId="0" fontId="9" numFmtId="165" xfId="0" applyAlignment="1" applyBorder="1" applyFont="1" applyNumberFormat="1">
      <alignment horizontal="center" vertical="center"/>
    </xf>
    <xf borderId="25" fillId="0" fontId="9" numFmtId="178" xfId="0" applyAlignment="1" applyBorder="1" applyFont="1" applyNumberFormat="1">
      <alignment horizontal="center" vertical="center"/>
    </xf>
    <xf borderId="25" fillId="0" fontId="9" numFmtId="176" xfId="0" applyAlignment="1" applyBorder="1" applyFont="1" applyNumberFormat="1">
      <alignment horizontal="center" vertical="center"/>
    </xf>
    <xf borderId="25" fillId="0" fontId="9" numFmtId="165" xfId="0" applyAlignment="1" applyBorder="1" applyFont="1" applyNumberFormat="1">
      <alignment horizontal="center" vertical="center"/>
    </xf>
    <xf borderId="26" fillId="0" fontId="9" numFmtId="165" xfId="0" applyAlignment="1" applyBorder="1" applyFont="1" applyNumberFormat="1">
      <alignment horizontal="center" vertical="center"/>
    </xf>
    <xf borderId="27" fillId="0" fontId="9" numFmtId="178" xfId="0" applyAlignment="1" applyBorder="1" applyFont="1" applyNumberFormat="1">
      <alignment horizontal="center" vertical="center"/>
    </xf>
    <xf borderId="27" fillId="0" fontId="9" numFmtId="176" xfId="0" applyAlignment="1" applyBorder="1" applyFont="1" applyNumberFormat="1">
      <alignment horizontal="center" vertical="center"/>
    </xf>
    <xf borderId="27" fillId="0" fontId="9" numFmtId="165" xfId="0" applyAlignment="1" applyBorder="1" applyFont="1" applyNumberFormat="1">
      <alignment horizontal="center" vertical="center"/>
    </xf>
    <xf borderId="22" fillId="15" fontId="9" numFmtId="0" xfId="0" applyAlignment="1" applyBorder="1" applyFill="1" applyFont="1">
      <alignment vertical="center"/>
    </xf>
    <xf borderId="22" fillId="15" fontId="9" numFmtId="0" xfId="0" applyAlignment="1" applyBorder="1" applyFont="1">
      <alignment horizontal="left" vertical="center"/>
    </xf>
    <xf borderId="22" fillId="15" fontId="9" numFmtId="0" xfId="0" applyAlignment="1" applyBorder="1" applyFont="1">
      <alignment horizontal="left"/>
    </xf>
    <xf borderId="22" fillId="15" fontId="9" numFmtId="0" xfId="0" applyAlignment="1" applyBorder="1" applyFont="1">
      <alignment horizontal="center"/>
    </xf>
    <xf borderId="22" fillId="15" fontId="2" numFmtId="0" xfId="0" applyBorder="1" applyFont="1"/>
    <xf borderId="22" fillId="15" fontId="9" numFmtId="0" xfId="0" applyBorder="1" applyFont="1"/>
    <xf borderId="22" fillId="15" fontId="9" numFmtId="0" xfId="0" applyAlignment="1" applyBorder="1" applyFont="1">
      <alignment horizontal="center" vertical="center"/>
    </xf>
    <xf borderId="22" fillId="15" fontId="9" numFmtId="174" xfId="0" applyAlignment="1" applyBorder="1" applyFont="1" applyNumberFormat="1">
      <alignment horizontal="center" vertical="center"/>
    </xf>
    <xf borderId="22" fillId="15" fontId="9" numFmtId="165" xfId="0" applyAlignment="1" applyBorder="1" applyFont="1" applyNumberFormat="1">
      <alignment horizontal="center" vertical="center"/>
    </xf>
    <xf borderId="22" fillId="15" fontId="9" numFmtId="3" xfId="0" applyAlignment="1" applyBorder="1" applyFont="1" applyNumberFormat="1">
      <alignment horizontal="center" vertical="center"/>
    </xf>
    <xf borderId="22" fillId="15" fontId="2" numFmtId="176" xfId="0" applyAlignment="1" applyBorder="1" applyFont="1" applyNumberFormat="1">
      <alignment horizontal="center" vertical="center"/>
    </xf>
    <xf borderId="23" fillId="15" fontId="9" numFmtId="165" xfId="0" applyAlignment="1" applyBorder="1" applyFont="1" applyNumberFormat="1">
      <alignment horizontal="center" vertical="center"/>
    </xf>
    <xf borderId="16" fillId="15" fontId="9" numFmtId="176" xfId="0" applyAlignment="1" applyBorder="1" applyFont="1" applyNumberFormat="1">
      <alignment horizontal="center" vertical="center"/>
    </xf>
    <xf borderId="16" fillId="15" fontId="9" numFmtId="165" xfId="0" applyAlignment="1" applyBorder="1" applyFont="1" applyNumberFormat="1">
      <alignment horizontal="center" vertical="center"/>
    </xf>
    <xf borderId="16" fillId="15" fontId="9" numFmtId="178" xfId="0" applyAlignment="1" applyBorder="1" applyFont="1" applyNumberFormat="1">
      <alignment horizontal="center" vertical="center"/>
    </xf>
    <xf borderId="7" fillId="15" fontId="2" numFmtId="0" xfId="0" applyAlignment="1" applyBorder="1" applyFont="1">
      <alignment horizontal="center" vertical="center"/>
    </xf>
    <xf borderId="16" fillId="15" fontId="9" numFmtId="167" xfId="0" applyAlignment="1" applyBorder="1" applyFont="1" applyNumberFormat="1">
      <alignment horizontal="center" vertical="center"/>
    </xf>
    <xf borderId="16" fillId="15" fontId="2" numFmtId="173" xfId="0" applyAlignment="1" applyBorder="1" applyFont="1" applyNumberFormat="1">
      <alignment horizontal="center" shrinkToFit="0" vertical="center" wrapText="1"/>
    </xf>
    <xf borderId="16" fillId="15" fontId="2" numFmtId="174" xfId="0" applyAlignment="1" applyBorder="1" applyFont="1" applyNumberFormat="1">
      <alignment horizontal="center" vertical="center"/>
    </xf>
    <xf borderId="7" fillId="15" fontId="9" numFmtId="0" xfId="0" applyAlignment="1" applyBorder="1" applyFont="1">
      <alignment horizontal="left"/>
    </xf>
    <xf borderId="16" fillId="15" fontId="9" numFmtId="0" xfId="0" applyAlignment="1" applyBorder="1" applyFont="1">
      <alignment horizontal="center" vertical="center"/>
    </xf>
    <xf borderId="7" fillId="15" fontId="9" numFmtId="0" xfId="0" applyAlignment="1" applyBorder="1" applyFont="1">
      <alignment vertical="center"/>
    </xf>
    <xf borderId="22" fillId="0" fontId="1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22" fillId="15" fontId="1" numFmtId="0" xfId="0" applyAlignment="1" applyBorder="1" applyFont="1">
      <alignment horizontal="center" vertical="center"/>
    </xf>
    <xf borderId="22" fillId="15" fontId="14" numFmtId="0" xfId="0" applyAlignment="1" applyBorder="1" applyFont="1">
      <alignment horizontal="center" vertical="center"/>
    </xf>
    <xf borderId="7" fillId="15" fontId="9" numFmtId="0" xfId="0" applyAlignment="1" applyBorder="1" applyFont="1">
      <alignment horizontal="left" vertical="center"/>
    </xf>
    <xf borderId="16" fillId="0" fontId="9" numFmtId="173" xfId="0" applyAlignment="1" applyBorder="1" applyFont="1" applyNumberFormat="1">
      <alignment horizontal="center" shrinkToFit="0" vertical="center" wrapText="1"/>
    </xf>
    <xf borderId="22" fillId="0" fontId="9" numFmtId="176" xfId="0" applyAlignment="1" applyBorder="1" applyFont="1" applyNumberFormat="1">
      <alignment horizontal="center" vertical="center"/>
    </xf>
    <xf quotePrefix="1" borderId="22" fillId="0" fontId="9" numFmtId="0" xfId="0" applyAlignment="1" applyBorder="1" applyFont="1">
      <alignment horizontal="center" vertical="center"/>
    </xf>
    <xf borderId="22" fillId="16" fontId="9" numFmtId="0" xfId="0" applyAlignment="1" applyBorder="1" applyFill="1" applyFont="1">
      <alignment vertical="center"/>
    </xf>
    <xf borderId="22" fillId="16" fontId="9" numFmtId="0" xfId="0" applyAlignment="1" applyBorder="1" applyFont="1">
      <alignment horizontal="left" vertical="center"/>
    </xf>
    <xf borderId="22" fillId="16" fontId="9" numFmtId="0" xfId="0" applyAlignment="1" applyBorder="1" applyFont="1">
      <alignment horizontal="left"/>
    </xf>
    <xf borderId="22" fillId="16" fontId="9" numFmtId="0" xfId="0" applyAlignment="1" applyBorder="1" applyFont="1">
      <alignment horizontal="center"/>
    </xf>
    <xf borderId="22" fillId="16" fontId="2" numFmtId="0" xfId="0" applyBorder="1" applyFont="1"/>
    <xf borderId="22" fillId="16" fontId="9" numFmtId="0" xfId="0" applyBorder="1" applyFont="1"/>
    <xf borderId="22" fillId="16" fontId="9" numFmtId="0" xfId="0" applyAlignment="1" applyBorder="1" applyFont="1">
      <alignment horizontal="center" vertical="center"/>
    </xf>
    <xf borderId="22" fillId="16" fontId="9" numFmtId="174" xfId="0" applyAlignment="1" applyBorder="1" applyFont="1" applyNumberFormat="1">
      <alignment horizontal="center" vertical="center"/>
    </xf>
    <xf borderId="22" fillId="16" fontId="9" numFmtId="165" xfId="0" applyAlignment="1" applyBorder="1" applyFont="1" applyNumberFormat="1">
      <alignment horizontal="center" vertical="center"/>
    </xf>
    <xf borderId="22" fillId="16" fontId="9" numFmtId="3" xfId="0" applyAlignment="1" applyBorder="1" applyFont="1" applyNumberFormat="1">
      <alignment horizontal="center" vertical="center"/>
    </xf>
    <xf borderId="22" fillId="16" fontId="9" numFmtId="178" xfId="0" applyAlignment="1" applyBorder="1" applyFont="1" applyNumberFormat="1">
      <alignment horizontal="center" vertical="center"/>
    </xf>
    <xf borderId="22" fillId="16" fontId="2" numFmtId="176" xfId="0" applyAlignment="1" applyBorder="1" applyFont="1" applyNumberFormat="1">
      <alignment horizontal="center" vertical="center"/>
    </xf>
    <xf borderId="22" fillId="16" fontId="2" numFmtId="165" xfId="0" applyAlignment="1" applyBorder="1" applyFont="1" applyNumberFormat="1">
      <alignment horizontal="center" vertical="center"/>
    </xf>
    <xf borderId="23" fillId="16" fontId="9" numFmtId="165" xfId="0" applyAlignment="1" applyBorder="1" applyFont="1" applyNumberFormat="1">
      <alignment horizontal="center" vertical="center"/>
    </xf>
    <xf borderId="16" fillId="16" fontId="9" numFmtId="176" xfId="0" applyAlignment="1" applyBorder="1" applyFont="1" applyNumberFormat="1">
      <alignment horizontal="center" vertical="center"/>
    </xf>
    <xf borderId="16" fillId="16" fontId="9" numFmtId="165" xfId="0" applyAlignment="1" applyBorder="1" applyFont="1" applyNumberFormat="1">
      <alignment horizontal="center" vertical="center"/>
    </xf>
    <xf borderId="7" fillId="16" fontId="9" numFmtId="10" xfId="0" applyAlignment="1" applyBorder="1" applyFont="1" applyNumberFormat="1">
      <alignment horizontal="center" vertical="center"/>
    </xf>
    <xf borderId="16" fillId="16" fontId="9" numFmtId="178" xfId="0" applyAlignment="1" applyBorder="1" applyFont="1" applyNumberFormat="1">
      <alignment horizontal="center" vertical="center"/>
    </xf>
    <xf borderId="7" fillId="16" fontId="2" numFmtId="0" xfId="0" applyAlignment="1" applyBorder="1" applyFont="1">
      <alignment horizontal="center" vertical="center"/>
    </xf>
    <xf borderId="16" fillId="16" fontId="9" numFmtId="167" xfId="0" applyAlignment="1" applyBorder="1" applyFont="1" applyNumberFormat="1">
      <alignment horizontal="center" vertical="center"/>
    </xf>
    <xf borderId="16" fillId="16" fontId="2" numFmtId="173" xfId="0" applyAlignment="1" applyBorder="1" applyFont="1" applyNumberFormat="1">
      <alignment horizontal="center" shrinkToFit="0" vertical="center" wrapText="1"/>
    </xf>
    <xf borderId="16" fillId="16" fontId="2" numFmtId="174" xfId="0" applyAlignment="1" applyBorder="1" applyFont="1" applyNumberFormat="1">
      <alignment horizontal="center" vertical="center"/>
    </xf>
    <xf borderId="7" fillId="16" fontId="2" numFmtId="0" xfId="0" applyAlignment="1" applyBorder="1" applyFont="1">
      <alignment horizontal="center"/>
    </xf>
    <xf borderId="16" fillId="16" fontId="9" numFmtId="0" xfId="0" applyAlignment="1" applyBorder="1" applyFont="1">
      <alignment horizontal="center" vertical="center"/>
    </xf>
    <xf borderId="7" fillId="16" fontId="9" numFmtId="0" xfId="0" applyAlignment="1" applyBorder="1" applyFont="1">
      <alignment vertical="center"/>
    </xf>
    <xf borderId="22" fillId="13" fontId="2" numFmtId="0" xfId="0" applyBorder="1" applyFont="1"/>
    <xf borderId="28" fillId="0" fontId="9" numFmtId="165" xfId="0" applyAlignment="1" applyBorder="1" applyFont="1" applyNumberFormat="1">
      <alignment horizontal="center" vertical="center"/>
    </xf>
    <xf borderId="29" fillId="0" fontId="9" numFmtId="165" xfId="0" applyAlignment="1" applyBorder="1" applyFont="1" applyNumberFormat="1">
      <alignment horizontal="center" vertical="center"/>
    </xf>
    <xf borderId="29" fillId="0" fontId="9" numFmtId="178" xfId="0" applyAlignment="1" applyBorder="1" applyFont="1" applyNumberFormat="1">
      <alignment horizontal="center" vertical="center"/>
    </xf>
    <xf borderId="29" fillId="0" fontId="9" numFmtId="176" xfId="0" applyAlignment="1" applyBorder="1" applyFont="1" applyNumberFormat="1">
      <alignment horizontal="center" vertical="center"/>
    </xf>
    <xf borderId="22" fillId="12" fontId="2" numFmtId="165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vertical="center"/>
    </xf>
    <xf borderId="22" fillId="12" fontId="2" numFmtId="174" xfId="0" applyAlignment="1" applyBorder="1" applyFont="1" applyNumberFormat="1">
      <alignment horizontal="center" vertical="center"/>
    </xf>
    <xf borderId="22" fillId="13" fontId="2" numFmtId="174" xfId="0" applyAlignment="1" applyBorder="1" applyFont="1" applyNumberFormat="1">
      <alignment horizontal="center" vertical="center"/>
    </xf>
    <xf borderId="16" fillId="0" fontId="9" numFmtId="167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/>
    </xf>
    <xf borderId="0" fillId="0" fontId="14" numFmtId="0" xfId="0" applyAlignment="1" applyFont="1">
      <alignment vertical="center"/>
    </xf>
    <xf borderId="16" fillId="0" fontId="2" numFmtId="167" xfId="0" applyAlignment="1" applyBorder="1" applyFont="1" applyNumberFormat="1">
      <alignment horizontal="center" shrinkToFit="0" vertical="center" wrapText="1"/>
    </xf>
    <xf borderId="22" fillId="15" fontId="2" numFmtId="174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vertical="center"/>
    </xf>
    <xf borderId="22" fillId="0" fontId="2" numFmtId="0" xfId="0" applyAlignment="1" applyBorder="1" applyFont="1">
      <alignment horizontal="left" vertical="center"/>
    </xf>
    <xf borderId="22" fillId="12" fontId="9" numFmtId="174" xfId="0" applyAlignment="1" applyBorder="1" applyFont="1" applyNumberFormat="1">
      <alignment horizontal="center" vertical="center"/>
    </xf>
    <xf borderId="22" fillId="13" fontId="9" numFmtId="174" xfId="0" applyAlignment="1" applyBorder="1" applyFont="1" applyNumberFormat="1">
      <alignment horizontal="center" vertical="center"/>
    </xf>
    <xf borderId="22" fillId="12" fontId="9" numFmtId="165" xfId="0" applyAlignment="1" applyBorder="1" applyFont="1" applyNumberFormat="1">
      <alignment horizontal="center" vertical="center"/>
    </xf>
    <xf borderId="22" fillId="0" fontId="2" numFmtId="174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 shrinkToFit="0" wrapText="1"/>
    </xf>
    <xf borderId="16" fillId="0" fontId="9" numFmtId="168" xfId="0" applyAlignment="1" applyBorder="1" applyFont="1" applyNumberFormat="1">
      <alignment horizontal="center" shrinkToFit="0" vertical="center" wrapText="1"/>
    </xf>
    <xf borderId="22" fillId="0" fontId="14" numFmtId="0" xfId="0" applyAlignment="1" applyBorder="1" applyFont="1">
      <alignment horizontal="left"/>
    </xf>
    <xf borderId="16" fillId="0" fontId="2" numFmtId="180" xfId="0" applyAlignment="1" applyBorder="1" applyFont="1" applyNumberFormat="1">
      <alignment horizontal="center" shrinkToFit="0" vertical="center" wrapText="1"/>
    </xf>
    <xf borderId="22" fillId="16" fontId="2" numFmtId="0" xfId="0" applyAlignment="1" applyBorder="1" applyFont="1">
      <alignment horizontal="left" vertical="center"/>
    </xf>
    <xf borderId="22" fillId="16" fontId="14" numFmtId="0" xfId="0" applyAlignment="1" applyBorder="1" applyFont="1">
      <alignment horizontal="left"/>
    </xf>
    <xf borderId="22" fillId="16" fontId="2" numFmtId="174" xfId="0" applyAlignment="1" applyBorder="1" applyFont="1" applyNumberFormat="1">
      <alignment horizontal="center" vertical="center"/>
    </xf>
    <xf borderId="16" fillId="16" fontId="9" numFmtId="174" xfId="0" applyAlignment="1" applyBorder="1" applyFont="1" applyNumberFormat="1">
      <alignment horizontal="center" vertical="center"/>
    </xf>
    <xf borderId="16" fillId="16" fontId="9" numFmtId="167" xfId="0" applyAlignment="1" applyBorder="1" applyFont="1" applyNumberFormat="1">
      <alignment horizontal="center" shrinkToFit="0" vertical="center" wrapText="1"/>
    </xf>
    <xf borderId="16" fillId="16" fontId="9" numFmtId="168" xfId="0" applyAlignment="1" applyBorder="1" applyFont="1" applyNumberFormat="1">
      <alignment horizontal="center" shrinkToFit="0" vertical="center" wrapText="1"/>
    </xf>
    <xf borderId="16" fillId="16" fontId="2" numFmtId="180" xfId="0" applyAlignment="1" applyBorder="1" applyFont="1" applyNumberFormat="1">
      <alignment horizontal="center" shrinkToFit="0" vertical="center" wrapText="1"/>
    </xf>
    <xf borderId="7" fillId="16" fontId="9" numFmtId="0" xfId="0" applyAlignment="1" applyBorder="1" applyFont="1">
      <alignment horizontal="left"/>
    </xf>
    <xf borderId="30" fillId="0" fontId="15" numFmtId="0" xfId="0" applyAlignment="1" applyBorder="1" applyFont="1">
      <alignment vertical="center"/>
    </xf>
    <xf borderId="22" fillId="12" fontId="2" numFmtId="181" xfId="0" applyAlignment="1" applyBorder="1" applyFont="1" applyNumberFormat="1">
      <alignment horizontal="center" vertical="center"/>
    </xf>
    <xf borderId="22" fillId="13" fontId="2" numFmtId="181" xfId="0" applyAlignment="1" applyBorder="1" applyFont="1" applyNumberFormat="1">
      <alignment horizontal="center" vertical="center"/>
    </xf>
    <xf borderId="16" fillId="0" fontId="9" numFmtId="182" xfId="0" applyAlignment="1" applyBorder="1" applyFont="1" applyNumberFormat="1">
      <alignment horizontal="center" vertical="center"/>
    </xf>
    <xf borderId="16" fillId="0" fontId="9" numFmtId="181" xfId="0" applyAlignment="1" applyBorder="1" applyFont="1" applyNumberFormat="1">
      <alignment horizontal="center" vertical="center"/>
    </xf>
    <xf borderId="16" fillId="0" fontId="9" numFmtId="183" xfId="0" applyAlignment="1" applyBorder="1" applyFont="1" applyNumberFormat="1">
      <alignment horizontal="center" vertical="center"/>
    </xf>
    <xf borderId="16" fillId="0" fontId="9" numFmtId="168" xfId="0" applyAlignment="1" applyBorder="1" applyFont="1" applyNumberFormat="1">
      <alignment horizontal="center" vertical="center"/>
    </xf>
    <xf borderId="16" fillId="0" fontId="2" numFmtId="184" xfId="0" applyAlignment="1" applyBorder="1" applyFont="1" applyNumberFormat="1">
      <alignment horizontal="center" shrinkToFit="0" vertical="center" wrapText="1"/>
    </xf>
    <xf borderId="22" fillId="0" fontId="2" numFmtId="181" xfId="0" applyAlignment="1" applyBorder="1" applyFont="1" applyNumberFormat="1">
      <alignment horizontal="center" vertical="center"/>
    </xf>
    <xf borderId="16" fillId="0" fontId="9" numFmtId="180" xfId="0" applyAlignment="1" applyBorder="1" applyFont="1" applyNumberFormat="1">
      <alignment horizontal="center" vertical="center"/>
    </xf>
    <xf borderId="22" fillId="0" fontId="12" numFmtId="0" xfId="0" applyAlignment="1" applyBorder="1" applyFont="1">
      <alignment horizontal="left" vertical="center"/>
    </xf>
    <xf borderId="16" fillId="0" fontId="9" numFmtId="183" xfId="0" applyAlignment="1" applyBorder="1" applyFont="1" applyNumberFormat="1">
      <alignment horizontal="center" shrinkToFit="0" vertical="center" wrapText="1"/>
    </xf>
    <xf borderId="26" fillId="0" fontId="9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center" vertical="center"/>
    </xf>
    <xf borderId="32" fillId="17" fontId="9" numFmtId="174" xfId="0" applyAlignment="1" applyBorder="1" applyFill="1" applyFont="1" applyNumberFormat="1">
      <alignment horizontal="center" vertical="center"/>
    </xf>
    <xf borderId="22" fillId="17" fontId="9" numFmtId="165" xfId="0" applyAlignment="1" applyBorder="1" applyFont="1" applyNumberFormat="1">
      <alignment horizontal="center" vertical="center"/>
    </xf>
    <xf borderId="22" fillId="17" fontId="9" numFmtId="3" xfId="0" applyAlignment="1" applyBorder="1" applyFont="1" applyNumberFormat="1">
      <alignment horizontal="center" vertical="center"/>
    </xf>
    <xf borderId="22" fillId="17" fontId="9" numFmtId="178" xfId="0" applyAlignment="1" applyBorder="1" applyFont="1" applyNumberFormat="1">
      <alignment horizontal="center" vertical="center"/>
    </xf>
    <xf borderId="22" fillId="17" fontId="2" numFmtId="181" xfId="0" applyAlignment="1" applyBorder="1" applyFont="1" applyNumberFormat="1">
      <alignment horizontal="center" vertical="center"/>
    </xf>
    <xf borderId="22" fillId="17" fontId="2" numFmtId="165" xfId="0" applyAlignment="1" applyBorder="1" applyFont="1" applyNumberFormat="1">
      <alignment horizontal="center" vertical="center"/>
    </xf>
    <xf borderId="16" fillId="17" fontId="9" numFmtId="176" xfId="0" applyAlignment="1" applyBorder="1" applyFont="1" applyNumberFormat="1">
      <alignment horizontal="center" vertical="center"/>
    </xf>
    <xf borderId="16" fillId="17" fontId="9" numFmtId="182" xfId="0" applyAlignment="1" applyBorder="1" applyFont="1" applyNumberFormat="1">
      <alignment horizontal="center" vertical="center"/>
    </xf>
    <xf borderId="16" fillId="17" fontId="9" numFmtId="181" xfId="0" applyAlignment="1" applyBorder="1" applyFont="1" applyNumberFormat="1">
      <alignment horizontal="center" vertical="center"/>
    </xf>
    <xf borderId="16" fillId="17" fontId="9" numFmtId="165" xfId="0" applyAlignment="1" applyBorder="1" applyFont="1" applyNumberFormat="1">
      <alignment horizontal="center" vertical="center"/>
    </xf>
    <xf borderId="16" fillId="17" fontId="9" numFmtId="0" xfId="0" applyAlignment="1" applyBorder="1" applyFont="1">
      <alignment horizontal="center" vertical="center"/>
    </xf>
    <xf quotePrefix="1" borderId="16" fillId="17" fontId="9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22" fillId="17" fontId="9" numFmtId="174" xfId="0" applyAlignment="1" applyBorder="1" applyFont="1" applyNumberFormat="1">
      <alignment horizontal="center" vertical="center"/>
    </xf>
    <xf borderId="16" fillId="0" fontId="2" numFmtId="183" xfId="0" applyAlignment="1" applyBorder="1" applyFont="1" applyNumberFormat="1">
      <alignment horizontal="center" vertical="center"/>
    </xf>
    <xf borderId="16" fillId="0" fontId="2" numFmtId="180" xfId="0" applyAlignment="1" applyBorder="1" applyFont="1" applyNumberFormat="1">
      <alignment horizontal="center" vertical="center"/>
    </xf>
    <xf borderId="16" fillId="0" fontId="2" numFmtId="168" xfId="0" applyAlignment="1" applyBorder="1" applyFont="1" applyNumberFormat="1">
      <alignment horizontal="center" vertical="center"/>
    </xf>
    <xf borderId="16" fillId="0" fontId="2" numFmtId="168" xfId="0" applyAlignment="1" applyBorder="1" applyFont="1" applyNumberFormat="1">
      <alignment horizontal="center" shrinkToFit="0" vertical="center" wrapText="1"/>
    </xf>
    <xf borderId="22" fillId="16" fontId="14" numFmtId="0" xfId="0" applyAlignment="1" applyBorder="1" applyFont="1">
      <alignment horizontal="center" vertical="center"/>
    </xf>
    <xf borderId="22" fillId="16" fontId="2" numFmtId="181" xfId="0" applyAlignment="1" applyBorder="1" applyFont="1" applyNumberFormat="1">
      <alignment horizontal="center" vertical="center"/>
    </xf>
    <xf borderId="16" fillId="16" fontId="9" numFmtId="182" xfId="0" applyAlignment="1" applyBorder="1" applyFont="1" applyNumberFormat="1">
      <alignment horizontal="center" vertical="center"/>
    </xf>
    <xf borderId="16" fillId="16" fontId="9" numFmtId="181" xfId="0" applyAlignment="1" applyBorder="1" applyFont="1" applyNumberFormat="1">
      <alignment horizontal="center" vertical="center"/>
    </xf>
    <xf borderId="16" fillId="16" fontId="9" numFmtId="183" xfId="0" applyAlignment="1" applyBorder="1" applyFont="1" applyNumberFormat="1">
      <alignment horizontal="center" vertical="center"/>
    </xf>
    <xf borderId="16" fillId="16" fontId="9" numFmtId="180" xfId="0" applyAlignment="1" applyBorder="1" applyFont="1" applyNumberFormat="1">
      <alignment horizontal="center" vertical="center"/>
    </xf>
    <xf borderId="16" fillId="16" fontId="9" numFmtId="168" xfId="0" applyAlignment="1" applyBorder="1" applyFont="1" applyNumberFormat="1">
      <alignment horizontal="center" vertical="center"/>
    </xf>
    <xf borderId="16" fillId="16" fontId="2" numFmtId="168" xfId="0" applyAlignment="1" applyBorder="1" applyFont="1" applyNumberFormat="1">
      <alignment horizontal="center" shrinkToFit="0" vertical="center" wrapText="1"/>
    </xf>
    <xf borderId="0" fillId="0" fontId="9" numFmtId="183" xfId="0" applyAlignment="1" applyFont="1" applyNumberFormat="1">
      <alignment horizontal="center" vertical="center"/>
    </xf>
    <xf borderId="33" fillId="0" fontId="9" numFmtId="165" xfId="0" applyAlignment="1" applyBorder="1" applyFont="1" applyNumberFormat="1">
      <alignment horizontal="center" vertical="center"/>
    </xf>
    <xf borderId="0" fillId="0" fontId="9" numFmtId="185" xfId="0" applyAlignment="1" applyFont="1" applyNumberFormat="1">
      <alignment horizontal="center" vertical="center"/>
    </xf>
    <xf borderId="0" fillId="0" fontId="9" numFmtId="185" xfId="0" applyAlignment="1" applyFont="1" applyNumberFormat="1">
      <alignment vertical="center"/>
    </xf>
    <xf borderId="22" fillId="0" fontId="9" numFmtId="0" xfId="0" applyAlignment="1" applyBorder="1" applyFont="1">
      <alignment horizontal="left" shrinkToFit="0" wrapText="1"/>
    </xf>
    <xf borderId="0" fillId="0" fontId="12" numFmtId="0" xfId="0" applyAlignment="1" applyFont="1">
      <alignment horizontal="center" vertical="center"/>
    </xf>
    <xf borderId="31" fillId="0" fontId="9" numFmtId="174" xfId="0" applyAlignment="1" applyBorder="1" applyFont="1" applyNumberFormat="1">
      <alignment horizontal="center" vertical="center"/>
    </xf>
    <xf borderId="16" fillId="0" fontId="9" numFmtId="0" xfId="0" applyAlignment="1" applyBorder="1" applyFont="1">
      <alignment horizontal="center" shrinkToFit="0" vertical="center" wrapText="1"/>
    </xf>
    <xf borderId="16" fillId="0" fontId="9" numFmtId="179" xfId="0" applyAlignment="1" applyBorder="1" applyFont="1" applyNumberFormat="1">
      <alignment horizontal="center" shrinkToFit="0" vertical="center" wrapText="1"/>
    </xf>
    <xf borderId="16" fillId="3" fontId="9" numFmtId="179" xfId="0" applyAlignment="1" applyBorder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left" vertical="center"/>
    </xf>
    <xf borderId="22" fillId="18" fontId="9" numFmtId="0" xfId="0" applyAlignment="1" applyBorder="1" applyFill="1" applyFont="1">
      <alignment vertical="center"/>
    </xf>
    <xf borderId="22" fillId="18" fontId="9" numFmtId="0" xfId="0" applyAlignment="1" applyBorder="1" applyFont="1">
      <alignment horizontal="left" vertical="center"/>
    </xf>
    <xf borderId="22" fillId="18" fontId="9" numFmtId="0" xfId="0" applyAlignment="1" applyBorder="1" applyFont="1">
      <alignment horizontal="center" vertical="center"/>
    </xf>
    <xf borderId="22" fillId="18" fontId="2" numFmtId="0" xfId="0" applyBorder="1" applyFont="1"/>
    <xf borderId="22" fillId="18" fontId="9" numFmtId="0" xfId="0" applyBorder="1" applyFont="1"/>
    <xf borderId="23" fillId="18" fontId="9" numFmtId="0" xfId="0" applyAlignment="1" applyBorder="1" applyFont="1">
      <alignment horizontal="center" vertical="center"/>
    </xf>
    <xf borderId="16" fillId="18" fontId="9" numFmtId="0" xfId="0" applyAlignment="1" applyBorder="1" applyFont="1">
      <alignment horizontal="center" vertical="center"/>
    </xf>
    <xf borderId="32" fillId="18" fontId="9" numFmtId="165" xfId="0" applyAlignment="1" applyBorder="1" applyFont="1" applyNumberFormat="1">
      <alignment horizontal="center" vertical="center"/>
    </xf>
    <xf borderId="22" fillId="18" fontId="9" numFmtId="3" xfId="0" applyAlignment="1" applyBorder="1" applyFont="1" applyNumberFormat="1">
      <alignment horizontal="center" vertical="center"/>
    </xf>
    <xf borderId="22" fillId="18" fontId="9" numFmtId="178" xfId="0" applyAlignment="1" applyBorder="1" applyFont="1" applyNumberFormat="1">
      <alignment horizontal="center" vertical="center"/>
    </xf>
    <xf borderId="22" fillId="18" fontId="2" numFmtId="174" xfId="0" applyAlignment="1" applyBorder="1" applyFont="1" applyNumberFormat="1">
      <alignment horizontal="center" vertical="center"/>
    </xf>
    <xf borderId="22" fillId="18" fontId="2" numFmtId="165" xfId="0" applyAlignment="1" applyBorder="1" applyFont="1" applyNumberFormat="1">
      <alignment horizontal="center" vertical="center"/>
    </xf>
    <xf borderId="22" fillId="18" fontId="9" numFmtId="165" xfId="0" applyAlignment="1" applyBorder="1" applyFont="1" applyNumberFormat="1">
      <alignment horizontal="center" vertical="center"/>
    </xf>
    <xf borderId="16" fillId="18" fontId="9" numFmtId="176" xfId="0" applyAlignment="1" applyBorder="1" applyFont="1" applyNumberFormat="1">
      <alignment horizontal="center" vertical="center"/>
    </xf>
    <xf borderId="16" fillId="18" fontId="9" numFmtId="178" xfId="0" applyAlignment="1" applyBorder="1" applyFont="1" applyNumberFormat="1">
      <alignment horizontal="center" vertical="center"/>
    </xf>
    <xf borderId="16" fillId="18" fontId="9" numFmtId="174" xfId="0" applyAlignment="1" applyBorder="1" applyFont="1" applyNumberFormat="1">
      <alignment horizontal="center" vertical="center"/>
    </xf>
    <xf borderId="16" fillId="18" fontId="9" numFmtId="165" xfId="0" applyAlignment="1" applyBorder="1" applyFont="1" applyNumberFormat="1">
      <alignment horizontal="center" vertical="center"/>
    </xf>
    <xf borderId="7" fillId="18" fontId="2" numFmtId="0" xfId="0" applyAlignment="1" applyBorder="1" applyFont="1">
      <alignment horizontal="center" vertical="center"/>
    </xf>
    <xf borderId="16" fillId="18" fontId="9" numFmtId="167" xfId="0" applyAlignment="1" applyBorder="1" applyFont="1" applyNumberFormat="1">
      <alignment horizontal="center" vertical="center"/>
    </xf>
    <xf borderId="16" fillId="18" fontId="2" numFmtId="167" xfId="0" applyAlignment="1" applyBorder="1" applyFont="1" applyNumberFormat="1">
      <alignment horizontal="center" vertical="center"/>
    </xf>
    <xf borderId="16" fillId="18" fontId="2" numFmtId="173" xfId="0" applyAlignment="1" applyBorder="1" applyFont="1" applyNumberFormat="1">
      <alignment horizontal="center" shrinkToFit="0" vertical="center" wrapText="1"/>
    </xf>
    <xf borderId="16" fillId="18" fontId="2" numFmtId="174" xfId="0" applyAlignment="1" applyBorder="1" applyFont="1" applyNumberFormat="1">
      <alignment horizontal="center" vertical="center"/>
    </xf>
    <xf borderId="7" fillId="18" fontId="2" numFmtId="167" xfId="0" applyAlignment="1" applyBorder="1" applyFont="1" applyNumberFormat="1">
      <alignment horizontal="center" vertical="center"/>
    </xf>
    <xf borderId="7" fillId="18" fontId="9" numFmtId="0" xfId="0" applyAlignment="1" applyBorder="1" applyFont="1">
      <alignment vertical="center"/>
    </xf>
    <xf borderId="24" fillId="0" fontId="9" numFmtId="0" xfId="0" applyAlignment="1" applyBorder="1" applyFont="1">
      <alignment horizontal="center" vertical="center"/>
    </xf>
    <xf borderId="16" fillId="0" fontId="1" numFmtId="167" xfId="0" applyAlignment="1" applyBorder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22" fillId="0" fontId="9" numFmtId="4" xfId="0" applyAlignment="1" applyBorder="1" applyFont="1" applyNumberFormat="1">
      <alignment horizontal="left" vertical="center"/>
    </xf>
    <xf borderId="22" fillId="19" fontId="9" numFmtId="0" xfId="0" applyAlignment="1" applyBorder="1" applyFill="1" applyFont="1">
      <alignment vertical="center"/>
    </xf>
    <xf borderId="22" fillId="19" fontId="9" numFmtId="0" xfId="0" applyAlignment="1" applyBorder="1" applyFont="1">
      <alignment horizontal="center" vertical="center"/>
    </xf>
    <xf borderId="22" fillId="19" fontId="14" numFmtId="0" xfId="0" applyAlignment="1" applyBorder="1" applyFont="1">
      <alignment horizontal="center" vertical="center"/>
    </xf>
    <xf borderId="22" fillId="19" fontId="14" numFmtId="165" xfId="0" applyAlignment="1" applyBorder="1" applyFont="1" applyNumberFormat="1">
      <alignment horizontal="center" vertical="center"/>
    </xf>
    <xf borderId="22" fillId="19" fontId="14" numFmtId="3" xfId="0" applyAlignment="1" applyBorder="1" applyFont="1" applyNumberFormat="1">
      <alignment horizontal="center" vertical="center"/>
    </xf>
    <xf borderId="22" fillId="12" fontId="12" numFmtId="178" xfId="0" applyAlignment="1" applyBorder="1" applyFont="1" applyNumberFormat="1">
      <alignment horizontal="center" vertical="center"/>
    </xf>
    <xf borderId="22" fillId="19" fontId="14" numFmtId="178" xfId="0" applyAlignment="1" applyBorder="1" applyFont="1" applyNumberFormat="1">
      <alignment horizontal="center" vertical="center"/>
    </xf>
    <xf borderId="22" fillId="19" fontId="12" numFmtId="174" xfId="0" applyAlignment="1" applyBorder="1" applyFont="1" applyNumberFormat="1">
      <alignment horizontal="center" vertical="center"/>
    </xf>
    <xf borderId="22" fillId="13" fontId="12" numFmtId="174" xfId="0" applyAlignment="1" applyBorder="1" applyFont="1" applyNumberFormat="1">
      <alignment horizontal="center" vertical="center"/>
    </xf>
    <xf borderId="22" fillId="19" fontId="12" numFmtId="165" xfId="0" applyAlignment="1" applyBorder="1" applyFont="1" applyNumberFormat="1">
      <alignment horizontal="center" vertical="center"/>
    </xf>
    <xf borderId="22" fillId="19" fontId="14" numFmtId="174" xfId="0" applyAlignment="1" applyBorder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16" fillId="19" fontId="14" numFmtId="178" xfId="0" applyAlignment="1" applyBorder="1" applyFont="1" applyNumberFormat="1">
      <alignment horizontal="center" vertical="center"/>
    </xf>
    <xf borderId="16" fillId="19" fontId="14" numFmtId="174" xfId="0" applyAlignment="1" applyBorder="1" applyFont="1" applyNumberFormat="1">
      <alignment horizontal="center" vertical="center"/>
    </xf>
    <xf borderId="16" fillId="19" fontId="14" numFmtId="165" xfId="0" applyAlignment="1" applyBorder="1" applyFont="1" applyNumberFormat="1">
      <alignment horizontal="center" vertical="center"/>
    </xf>
    <xf borderId="16" fillId="0" fontId="14" numFmtId="167" xfId="0" applyAlignment="1" applyBorder="1" applyFont="1" applyNumberFormat="1">
      <alignment horizontal="center" vertical="center"/>
    </xf>
    <xf borderId="16" fillId="0" fontId="12" numFmtId="167" xfId="0" applyAlignment="1" applyBorder="1" applyFont="1" applyNumberFormat="1">
      <alignment horizontal="center" vertical="center"/>
    </xf>
    <xf borderId="16" fillId="0" fontId="12" numFmtId="173" xfId="0" applyAlignment="1" applyBorder="1" applyFont="1" applyNumberFormat="1">
      <alignment horizontal="center" shrinkToFit="0" vertical="center" wrapText="1"/>
    </xf>
    <xf borderId="16" fillId="0" fontId="12" numFmtId="174" xfId="0" applyAlignment="1" applyBorder="1" applyFont="1" applyNumberFormat="1">
      <alignment horizontal="center" vertical="center"/>
    </xf>
    <xf borderId="0" fillId="0" fontId="12" numFmtId="167" xfId="0" applyAlignment="1" applyFont="1" applyNumberFormat="1">
      <alignment horizontal="center" vertical="center"/>
    </xf>
    <xf borderId="16" fillId="0" fontId="14" numFmtId="0" xfId="0" applyAlignment="1" applyBorder="1" applyFont="1">
      <alignment horizontal="center" vertical="center"/>
    </xf>
    <xf borderId="22" fillId="0" fontId="12" numFmtId="174" xfId="0" applyAlignment="1" applyBorder="1" applyFont="1" applyNumberFormat="1">
      <alignment horizontal="center" vertical="center"/>
    </xf>
    <xf borderId="22" fillId="19" fontId="1" numFmtId="0" xfId="0" applyAlignment="1" applyBorder="1" applyFont="1">
      <alignment horizontal="left"/>
    </xf>
    <xf borderId="22" fillId="19" fontId="9" numFmtId="0" xfId="0" applyAlignment="1" applyBorder="1" applyFont="1">
      <alignment horizontal="left"/>
    </xf>
    <xf borderId="22" fillId="19" fontId="9" numFmtId="165" xfId="0" applyAlignment="1" applyBorder="1" applyFont="1" applyNumberFormat="1">
      <alignment horizontal="center" vertical="center"/>
    </xf>
    <xf borderId="22" fillId="19" fontId="9" numFmtId="3" xfId="0" applyAlignment="1" applyBorder="1" applyFont="1" applyNumberFormat="1">
      <alignment horizontal="center" vertical="center"/>
    </xf>
    <xf borderId="22" fillId="19" fontId="9" numFmtId="178" xfId="0" applyAlignment="1" applyBorder="1" applyFont="1" applyNumberFormat="1">
      <alignment horizontal="center" vertical="center"/>
    </xf>
    <xf borderId="22" fillId="19" fontId="2" numFmtId="174" xfId="0" applyAlignment="1" applyBorder="1" applyFont="1" applyNumberFormat="1">
      <alignment horizontal="center" vertical="center"/>
    </xf>
    <xf borderId="22" fillId="19" fontId="2" numFmtId="165" xfId="0" applyAlignment="1" applyBorder="1" applyFont="1" applyNumberFormat="1">
      <alignment horizontal="center" vertical="center"/>
    </xf>
    <xf borderId="22" fillId="19" fontId="9" numFmtId="174" xfId="0" applyAlignment="1" applyBorder="1" applyFont="1" applyNumberFormat="1">
      <alignment horizontal="center" vertical="center"/>
    </xf>
    <xf borderId="16" fillId="19" fontId="9" numFmtId="178" xfId="0" applyAlignment="1" applyBorder="1" applyFont="1" applyNumberFormat="1">
      <alignment horizontal="center" vertical="center"/>
    </xf>
    <xf borderId="16" fillId="19" fontId="9" numFmtId="174" xfId="0" applyAlignment="1" applyBorder="1" applyFont="1" applyNumberFormat="1">
      <alignment horizontal="center" vertical="center"/>
    </xf>
    <xf borderId="16" fillId="19" fontId="9" numFmtId="165" xfId="0" applyAlignment="1" applyBorder="1" applyFont="1" applyNumberFormat="1">
      <alignment horizontal="center" vertical="center"/>
    </xf>
    <xf borderId="16" fillId="0" fontId="16" numFmtId="0" xfId="0" applyAlignment="1" applyBorder="1" applyFont="1">
      <alignment horizontal="center" vertical="center"/>
    </xf>
    <xf borderId="16" fillId="20" fontId="16" numFmtId="0" xfId="0" applyAlignment="1" applyBorder="1" applyFill="1" applyFont="1">
      <alignment horizontal="center" vertical="center"/>
    </xf>
    <xf borderId="27" fillId="0" fontId="9" numFmtId="174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horizontal="left"/>
    </xf>
    <xf borderId="16" fillId="0" fontId="9" numFmtId="165" xfId="0" applyAlignment="1" applyBorder="1" applyFont="1" applyNumberFormat="1">
      <alignment vertical="center"/>
    </xf>
    <xf borderId="22" fillId="15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horizontal="center" vertical="center"/>
    </xf>
    <xf borderId="16" fillId="0" fontId="13" numFmtId="0" xfId="0" applyBorder="1" applyFont="1"/>
    <xf borderId="16" fillId="0" fontId="2" numFmtId="0" xfId="0" applyAlignment="1" applyBorder="1" applyFont="1">
      <alignment vertical="center"/>
    </xf>
    <xf borderId="16" fillId="0" fontId="9" numFmtId="186" xfId="0" applyAlignment="1" applyBorder="1" applyFont="1" applyNumberFormat="1">
      <alignment horizontal="center"/>
    </xf>
    <xf borderId="16" fillId="15" fontId="2" numFmtId="0" xfId="0" applyAlignment="1" applyBorder="1" applyFont="1">
      <alignment vertical="center"/>
    </xf>
    <xf borderId="16" fillId="0" fontId="9" numFmtId="0" xfId="0" applyAlignment="1" applyBorder="1" applyFont="1">
      <alignment horizontal="center"/>
    </xf>
    <xf borderId="22" fillId="0" fontId="14" numFmtId="165" xfId="0" applyAlignment="1" applyBorder="1" applyFont="1" applyNumberFormat="1">
      <alignment horizontal="center" vertical="center"/>
    </xf>
    <xf borderId="22" fillId="0" fontId="14" numFmtId="3" xfId="0" applyAlignment="1" applyBorder="1" applyFont="1" applyNumberFormat="1">
      <alignment horizontal="center" vertical="center"/>
    </xf>
    <xf borderId="22" fillId="0" fontId="14" numFmtId="178" xfId="0" applyAlignment="1" applyBorder="1" applyFont="1" applyNumberFormat="1">
      <alignment horizontal="center" vertical="center"/>
    </xf>
    <xf borderId="22" fillId="12" fontId="12" numFmtId="174" xfId="0" applyAlignment="1" applyBorder="1" applyFont="1" applyNumberFormat="1">
      <alignment horizontal="center" vertical="center"/>
    </xf>
    <xf borderId="22" fillId="12" fontId="12" numFmtId="165" xfId="0" applyAlignment="1" applyBorder="1" applyFont="1" applyNumberFormat="1">
      <alignment horizontal="center" vertical="center"/>
    </xf>
    <xf borderId="22" fillId="14" fontId="14" numFmtId="165" xfId="0" applyAlignment="1" applyBorder="1" applyFont="1" applyNumberFormat="1">
      <alignment horizontal="center" vertical="center"/>
    </xf>
    <xf borderId="22" fillId="11" fontId="14" numFmtId="165" xfId="0" applyAlignment="1" applyBorder="1" applyFont="1" applyNumberFormat="1">
      <alignment horizontal="center" vertical="center"/>
    </xf>
    <xf borderId="16" fillId="0" fontId="14" numFmtId="176" xfId="0" applyAlignment="1" applyBorder="1" applyFont="1" applyNumberFormat="1">
      <alignment horizontal="center" vertical="center"/>
    </xf>
    <xf borderId="16" fillId="0" fontId="14" numFmtId="178" xfId="0" applyAlignment="1" applyBorder="1" applyFont="1" applyNumberFormat="1">
      <alignment horizontal="center" vertical="center"/>
    </xf>
    <xf borderId="16" fillId="0" fontId="14" numFmtId="174" xfId="0" applyAlignment="1" applyBorder="1" applyFont="1" applyNumberFormat="1">
      <alignment horizontal="center" vertical="center"/>
    </xf>
    <xf borderId="16" fillId="0" fontId="14" numFmtId="165" xfId="0" applyAlignment="1" applyBorder="1" applyFont="1" applyNumberFormat="1">
      <alignment horizontal="center" vertical="center"/>
    </xf>
    <xf borderId="16" fillId="0" fontId="14" numFmtId="167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left"/>
    </xf>
    <xf borderId="22" fillId="0" fontId="1" numFmtId="165" xfId="0" applyAlignment="1" applyBorder="1" applyFont="1" applyNumberFormat="1">
      <alignment horizontal="center" vertical="center"/>
    </xf>
    <xf borderId="22" fillId="0" fontId="1" numFmtId="3" xfId="0" applyAlignment="1" applyBorder="1" applyFont="1" applyNumberFormat="1">
      <alignment horizontal="center" vertical="center"/>
    </xf>
    <xf borderId="22" fillId="12" fontId="5" numFmtId="178" xfId="0" applyAlignment="1" applyBorder="1" applyFont="1" applyNumberFormat="1">
      <alignment horizontal="center" vertical="center"/>
    </xf>
    <xf borderId="22" fillId="0" fontId="1" numFmtId="178" xfId="0" applyAlignment="1" applyBorder="1" applyFont="1" applyNumberFormat="1">
      <alignment horizontal="center" vertical="center"/>
    </xf>
    <xf borderId="22" fillId="12" fontId="1" numFmtId="174" xfId="0" applyAlignment="1" applyBorder="1" applyFont="1" applyNumberFormat="1">
      <alignment horizontal="center" vertical="center"/>
    </xf>
    <xf borderId="22" fillId="13" fontId="1" numFmtId="174" xfId="0" applyAlignment="1" applyBorder="1" applyFont="1" applyNumberFormat="1">
      <alignment horizontal="center" vertical="center"/>
    </xf>
    <xf borderId="22" fillId="12" fontId="1" numFmtId="165" xfId="0" applyAlignment="1" applyBorder="1" applyFont="1" applyNumberFormat="1">
      <alignment horizontal="center" vertical="center"/>
    </xf>
    <xf borderId="22" fillId="14" fontId="1" numFmtId="165" xfId="0" applyAlignment="1" applyBorder="1" applyFont="1" applyNumberFormat="1">
      <alignment horizontal="center" vertical="center"/>
    </xf>
    <xf borderId="22" fillId="11" fontId="1" numFmtId="165" xfId="0" applyAlignment="1" applyBorder="1" applyFont="1" applyNumberFormat="1">
      <alignment horizontal="center" vertical="center"/>
    </xf>
    <xf borderId="16" fillId="0" fontId="1" numFmtId="176" xfId="0" applyAlignment="1" applyBorder="1" applyFont="1" applyNumberFormat="1">
      <alignment horizontal="center" vertical="center"/>
    </xf>
    <xf borderId="16" fillId="0" fontId="1" numFmtId="178" xfId="0" applyAlignment="1" applyBorder="1" applyFont="1" applyNumberFormat="1">
      <alignment horizontal="center" vertical="center"/>
    </xf>
    <xf borderId="16" fillId="0" fontId="1" numFmtId="174" xfId="0" applyAlignment="1" applyBorder="1" applyFont="1" applyNumberFormat="1">
      <alignment horizontal="center" vertical="center"/>
    </xf>
    <xf borderId="16" fillId="0" fontId="1" numFmtId="165" xfId="0" applyAlignment="1" applyBorder="1" applyFont="1" applyNumberFormat="1">
      <alignment horizontal="center" vertical="center"/>
    </xf>
    <xf borderId="16" fillId="0" fontId="1" numFmtId="167" xfId="0" applyAlignment="1" applyBorder="1" applyFont="1" applyNumberFormat="1">
      <alignment horizontal="center" shrinkToFit="0" vertical="center" wrapText="1"/>
    </xf>
    <xf borderId="16" fillId="0" fontId="1" numFmtId="173" xfId="0" applyAlignment="1" applyBorder="1" applyFont="1" applyNumberFormat="1">
      <alignment horizontal="center" shrinkToFit="0" vertical="center" wrapText="1"/>
    </xf>
    <xf borderId="22" fillId="0" fontId="9" numFmtId="187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horizontal="left" vertical="center"/>
    </xf>
    <xf borderId="16" fillId="0" fontId="2" numFmtId="188" xfId="0" applyAlignment="1" applyBorder="1" applyFont="1" applyNumberFormat="1">
      <alignment horizontal="center" shrinkToFit="0" vertical="center" wrapText="1"/>
    </xf>
    <xf borderId="0" fillId="0" fontId="2" numFmtId="188" xfId="0" applyAlignment="1" applyFont="1" applyNumberFormat="1">
      <alignment horizontal="center" vertical="center"/>
    </xf>
    <xf borderId="0" fillId="0" fontId="17" numFmtId="189" xfId="0" applyAlignment="1" applyFont="1" applyNumberFormat="1">
      <alignment horizontal="center"/>
    </xf>
    <xf borderId="22" fillId="15" fontId="9" numFmtId="178" xfId="0" applyAlignment="1" applyBorder="1" applyFont="1" applyNumberFormat="1">
      <alignment horizontal="center" vertical="center"/>
    </xf>
    <xf borderId="22" fillId="15" fontId="2" numFmtId="165" xfId="0" applyAlignment="1" applyBorder="1" applyFont="1" applyNumberFormat="1">
      <alignment horizontal="center" vertical="center"/>
    </xf>
    <xf borderId="22" fillId="3" fontId="2" numFmtId="176" xfId="0" applyAlignment="1" applyBorder="1" applyFont="1" applyNumberFormat="1">
      <alignment horizontal="center" vertical="center"/>
    </xf>
    <xf borderId="26" fillId="0" fontId="9" numFmtId="0" xfId="0" applyAlignment="1" applyBorder="1" applyFont="1">
      <alignment horizontal="center" shrinkToFit="0" vertical="center" wrapText="1"/>
    </xf>
    <xf borderId="22" fillId="14" fontId="9" numFmtId="9" xfId="0" applyAlignment="1" applyBorder="1" applyFont="1" applyNumberFormat="1">
      <alignment horizontal="center" vertical="center"/>
    </xf>
    <xf borderId="22" fillId="11" fontId="9" numFmtId="9" xfId="0" applyAlignment="1" applyBorder="1" applyFont="1" applyNumberFormat="1">
      <alignment horizontal="center" vertical="center"/>
    </xf>
    <xf borderId="22" fillId="11" fontId="9" numFmtId="3" xfId="0" applyAlignment="1" applyBorder="1" applyFont="1" applyNumberFormat="1">
      <alignment horizontal="center" vertical="center"/>
    </xf>
    <xf borderId="22" fillId="0" fontId="9" numFmtId="9" xfId="0" applyAlignment="1" applyBorder="1" applyFont="1" applyNumberFormat="1">
      <alignment horizontal="center" vertical="center"/>
    </xf>
    <xf borderId="16" fillId="0" fontId="9" numFmtId="173" xfId="0" applyAlignment="1" applyBorder="1" applyFont="1" applyNumberFormat="1">
      <alignment horizontal="center" vertical="center"/>
    </xf>
    <xf borderId="16" fillId="0" fontId="9" numFmtId="190" xfId="0" applyAlignment="1" applyBorder="1" applyFont="1" applyNumberFormat="1">
      <alignment horizontal="center" vertical="center"/>
    </xf>
    <xf borderId="16" fillId="0" fontId="9" numFmtId="9" xfId="0" applyAlignment="1" applyBorder="1" applyFont="1" applyNumberFormat="1">
      <alignment horizontal="center" vertical="center"/>
    </xf>
    <xf borderId="16" fillId="0" fontId="9" numFmtId="183" xfId="0" applyAlignment="1" applyBorder="1" applyFont="1" applyNumberFormat="1">
      <alignment horizontal="center"/>
    </xf>
    <xf borderId="28" fillId="0" fontId="10" numFmtId="0" xfId="0" applyBorder="1" applyFont="1"/>
    <xf borderId="24" fillId="0" fontId="10" numFmtId="0" xfId="0" applyBorder="1" applyFont="1"/>
    <xf borderId="22" fillId="0" fontId="13" numFmtId="0" xfId="0" applyAlignment="1" applyBorder="1" applyFont="1">
      <alignment horizontal="left"/>
    </xf>
    <xf borderId="22" fillId="0" fontId="2" numFmtId="0" xfId="0" applyAlignment="1" applyBorder="1" applyFont="1">
      <alignment horizontal="left"/>
    </xf>
    <xf borderId="16" fillId="0" fontId="9" numFmtId="191" xfId="0" applyAlignment="1" applyBorder="1" applyFont="1" applyNumberFormat="1">
      <alignment horizontal="center"/>
    </xf>
    <xf borderId="16" fillId="0" fontId="2" numFmtId="173" xfId="0" applyAlignment="1" applyBorder="1" applyFont="1" applyNumberFormat="1">
      <alignment horizontal="center"/>
    </xf>
    <xf borderId="22" fillId="0" fontId="2" numFmtId="0" xfId="0" applyAlignment="1" applyBorder="1" applyFont="1">
      <alignment horizontal="left" shrinkToFit="0" vertical="top" wrapText="1"/>
    </xf>
    <xf borderId="22" fillId="0" fontId="9" numFmtId="0" xfId="0" applyAlignment="1" applyBorder="1" applyFont="1">
      <alignment horizontal="left" shrinkToFit="0" vertical="top" wrapText="1"/>
    </xf>
    <xf borderId="22" fillId="0" fontId="9" numFmtId="0" xfId="0" applyAlignment="1" applyBorder="1" applyFont="1">
      <alignment horizontal="center" shrinkToFit="0" vertical="top" wrapText="1"/>
    </xf>
    <xf borderId="16" fillId="0" fontId="9" numFmtId="177" xfId="0" applyAlignment="1" applyBorder="1" applyFont="1" applyNumberFormat="1">
      <alignment horizontal="center"/>
    </xf>
    <xf borderId="22" fillId="13" fontId="2" numFmtId="0" xfId="0" applyAlignment="1" applyBorder="1" applyFont="1">
      <alignment horizontal="left"/>
    </xf>
    <xf borderId="22" fillId="11" fontId="9" numFmtId="9" xfId="0" applyAlignment="1" applyBorder="1" applyFont="1" applyNumberFormat="1">
      <alignment horizontal="center"/>
    </xf>
    <xf borderId="22" fillId="11" fontId="9" numFmtId="0" xfId="0" applyAlignment="1" applyBorder="1" applyFont="1">
      <alignment horizontal="center"/>
    </xf>
    <xf borderId="16" fillId="0" fontId="9" numFmtId="179" xfId="0" applyAlignment="1" applyBorder="1" applyFont="1" applyNumberFormat="1">
      <alignment horizontal="center"/>
    </xf>
    <xf borderId="16" fillId="3" fontId="9" numFmtId="179" xfId="0" applyAlignment="1" applyBorder="1" applyFont="1" applyNumberFormat="1">
      <alignment horizontal="center"/>
    </xf>
    <xf borderId="0" fillId="0" fontId="2" numFmtId="173" xfId="0" applyAlignment="1" applyFont="1" applyNumberFormat="1">
      <alignment horizontal="center"/>
    </xf>
    <xf borderId="16" fillId="0" fontId="9" numFmtId="0" xfId="0" applyAlignment="1" applyBorder="1" applyFont="1">
      <alignment vertical="center"/>
    </xf>
    <xf borderId="22" fillId="0" fontId="9" numFmtId="9" xfId="0" applyAlignment="1" applyBorder="1" applyFont="1" applyNumberFormat="1">
      <alignment horizontal="center"/>
    </xf>
    <xf borderId="22" fillId="3" fontId="9" numFmtId="0" xfId="0" applyAlignment="1" applyBorder="1" applyFont="1">
      <alignment vertical="center"/>
    </xf>
    <xf borderId="22" fillId="3" fontId="9" numFmtId="0" xfId="0" applyBorder="1" applyFont="1"/>
    <xf borderId="22" fillId="3" fontId="9" numFmtId="0" xfId="0" applyAlignment="1" applyBorder="1" applyFont="1">
      <alignment horizontal="left"/>
    </xf>
    <xf borderId="22" fillId="3" fontId="9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7" fillId="3" fontId="19" numFmtId="0" xfId="0" applyAlignment="1" applyBorder="1" applyFont="1">
      <alignment vertical="center"/>
    </xf>
    <xf borderId="22" fillId="3" fontId="2" numFmtId="0" xfId="0" applyBorder="1" applyFont="1"/>
    <xf borderId="0" fillId="0" fontId="9" numFmtId="0" xfId="0" applyFont="1"/>
    <xf borderId="16" fillId="3" fontId="13" numFmtId="0" xfId="0" applyAlignment="1" applyBorder="1" applyFont="1">
      <alignment horizontal="left" vertical="center"/>
    </xf>
    <xf borderId="22" fillId="3" fontId="9" numFmtId="0" xfId="0" applyAlignment="1" applyBorder="1" applyFont="1">
      <alignment horizontal="center"/>
    </xf>
    <xf borderId="22" fillId="3" fontId="9" numFmtId="165" xfId="0" applyAlignment="1" applyBorder="1" applyFont="1" applyNumberFormat="1">
      <alignment horizontal="center" vertical="center"/>
    </xf>
    <xf borderId="22" fillId="3" fontId="9" numFmtId="178" xfId="0" applyAlignment="1" applyBorder="1" applyFont="1" applyNumberFormat="1">
      <alignment horizontal="center" vertical="center"/>
    </xf>
    <xf borderId="22" fillId="3" fontId="2" numFmtId="174" xfId="0" applyAlignment="1" applyBorder="1" applyFont="1" applyNumberFormat="1">
      <alignment horizontal="center" vertical="center"/>
    </xf>
    <xf borderId="22" fillId="3" fontId="2" numFmtId="165" xfId="0" applyAlignment="1" applyBorder="1" applyFont="1" applyNumberFormat="1">
      <alignment horizontal="center" vertical="center"/>
    </xf>
    <xf borderId="22" fillId="3" fontId="9" numFmtId="9" xfId="0" applyAlignment="1" applyBorder="1" applyFont="1" applyNumberFormat="1">
      <alignment horizontal="center"/>
    </xf>
    <xf borderId="22" fillId="3" fontId="9" numFmtId="3" xfId="0" applyAlignment="1" applyBorder="1" applyFont="1" applyNumberFormat="1">
      <alignment horizontal="center" vertical="center"/>
    </xf>
    <xf borderId="16" fillId="3" fontId="9" numFmtId="176" xfId="0" applyAlignment="1" applyBorder="1" applyFont="1" applyNumberFormat="1">
      <alignment horizontal="center" vertical="center"/>
    </xf>
    <xf borderId="22" fillId="3" fontId="9" numFmtId="9" xfId="0" applyAlignment="1" applyBorder="1" applyFont="1" applyNumberFormat="1">
      <alignment horizontal="center" vertical="center"/>
    </xf>
    <xf borderId="16" fillId="3" fontId="9" numFmtId="178" xfId="0" applyAlignment="1" applyBorder="1" applyFont="1" applyNumberFormat="1">
      <alignment horizontal="center" vertical="center"/>
    </xf>
    <xf borderId="16" fillId="3" fontId="9" numFmtId="190" xfId="0" applyAlignment="1" applyBorder="1" applyFont="1" applyNumberFormat="1">
      <alignment horizontal="center" vertical="center"/>
    </xf>
    <xf borderId="16" fillId="3" fontId="9" numFmtId="9" xfId="0" applyAlignment="1" applyBorder="1" applyFont="1" applyNumberFormat="1">
      <alignment horizontal="center" vertical="center"/>
    </xf>
    <xf borderId="7" fillId="3" fontId="9" numFmtId="0" xfId="0" applyAlignment="1" applyBorder="1" applyFont="1">
      <alignment horizontal="center"/>
    </xf>
    <xf borderId="16" fillId="3" fontId="9" numFmtId="177" xfId="0" applyAlignment="1" applyBorder="1" applyFont="1" applyNumberFormat="1">
      <alignment horizontal="center"/>
    </xf>
    <xf borderId="16" fillId="3" fontId="9" numFmtId="0" xfId="0" applyAlignment="1" applyBorder="1" applyFont="1">
      <alignment horizontal="center"/>
    </xf>
    <xf borderId="16" fillId="3" fontId="9" numFmtId="167" xfId="0" applyAlignment="1" applyBorder="1" applyFont="1" applyNumberFormat="1">
      <alignment horizontal="center" shrinkToFit="0" vertical="center" wrapText="1"/>
    </xf>
    <xf borderId="16" fillId="3" fontId="9" numFmtId="168" xfId="0" applyAlignment="1" applyBorder="1" applyFont="1" applyNumberFormat="1">
      <alignment horizontal="center" shrinkToFit="0" vertical="center" wrapText="1"/>
    </xf>
    <xf borderId="16" fillId="3" fontId="2" numFmtId="173" xfId="0" applyAlignment="1" applyBorder="1" applyFont="1" applyNumberFormat="1">
      <alignment horizontal="center"/>
    </xf>
    <xf borderId="16" fillId="3" fontId="2" numFmtId="174" xfId="0" applyAlignment="1" applyBorder="1" applyFont="1" applyNumberFormat="1">
      <alignment horizontal="center" vertical="center"/>
    </xf>
    <xf borderId="7" fillId="3" fontId="2" numFmtId="0" xfId="0" applyAlignment="1" applyBorder="1" applyFont="1">
      <alignment horizontal="left"/>
    </xf>
    <xf borderId="7" fillId="3" fontId="9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22" fillId="19" fontId="9" numFmtId="0" xfId="0" applyBorder="1" applyFont="1"/>
    <xf borderId="22" fillId="19" fontId="2" numFmtId="0" xfId="0" applyBorder="1" applyFont="1"/>
    <xf borderId="22" fillId="19" fontId="9" numFmtId="0" xfId="0" applyAlignment="1" applyBorder="1" applyFont="1">
      <alignment horizontal="left" vertical="center"/>
    </xf>
    <xf borderId="22" fillId="19" fontId="9" numFmtId="0" xfId="0" applyAlignment="1" applyBorder="1" applyFont="1">
      <alignment horizontal="center"/>
    </xf>
    <xf borderId="22" fillId="19" fontId="9" numFmtId="9" xfId="0" applyAlignment="1" applyBorder="1" applyFont="1" applyNumberFormat="1">
      <alignment horizontal="center"/>
    </xf>
    <xf borderId="16" fillId="19" fontId="9" numFmtId="176" xfId="0" applyAlignment="1" applyBorder="1" applyFont="1" applyNumberFormat="1">
      <alignment horizontal="center" vertical="center"/>
    </xf>
    <xf borderId="22" fillId="19" fontId="9" numFmtId="9" xfId="0" applyAlignment="1" applyBorder="1" applyFont="1" applyNumberFormat="1">
      <alignment horizontal="center" vertical="center"/>
    </xf>
    <xf borderId="16" fillId="19" fontId="9" numFmtId="190" xfId="0" applyAlignment="1" applyBorder="1" applyFont="1" applyNumberFormat="1">
      <alignment horizontal="center" vertical="center"/>
    </xf>
    <xf borderId="16" fillId="19" fontId="9" numFmtId="9" xfId="0" applyAlignment="1" applyBorder="1" applyFont="1" applyNumberFormat="1">
      <alignment horizontal="center" vertical="center"/>
    </xf>
    <xf borderId="7" fillId="19" fontId="9" numFmtId="0" xfId="0" applyAlignment="1" applyBorder="1" applyFont="1">
      <alignment horizontal="center"/>
    </xf>
    <xf borderId="16" fillId="19" fontId="9" numFmtId="177" xfId="0" applyAlignment="1" applyBorder="1" applyFont="1" applyNumberFormat="1">
      <alignment horizontal="center"/>
    </xf>
    <xf borderId="16" fillId="19" fontId="9" numFmtId="0" xfId="0" applyAlignment="1" applyBorder="1" applyFont="1">
      <alignment horizontal="center"/>
    </xf>
    <xf borderId="16" fillId="19" fontId="9" numFmtId="167" xfId="0" applyAlignment="1" applyBorder="1" applyFont="1" applyNumberFormat="1">
      <alignment horizontal="center" shrinkToFit="0" vertical="center" wrapText="1"/>
    </xf>
    <xf borderId="16" fillId="19" fontId="9" numFmtId="168" xfId="0" applyAlignment="1" applyBorder="1" applyFont="1" applyNumberFormat="1">
      <alignment horizontal="center" shrinkToFit="0" vertical="center" wrapText="1"/>
    </xf>
    <xf borderId="16" fillId="19" fontId="2" numFmtId="173" xfId="0" applyAlignment="1" applyBorder="1" applyFont="1" applyNumberFormat="1">
      <alignment horizontal="center"/>
    </xf>
    <xf borderId="16" fillId="19" fontId="2" numFmtId="174" xfId="0" applyAlignment="1" applyBorder="1" applyFont="1" applyNumberFormat="1">
      <alignment horizontal="center" vertical="center"/>
    </xf>
    <xf borderId="7" fillId="19" fontId="2" numFmtId="0" xfId="0" applyAlignment="1" applyBorder="1" applyFont="1">
      <alignment horizontal="left"/>
    </xf>
    <xf borderId="7" fillId="19" fontId="9" numFmtId="0" xfId="0" applyAlignment="1" applyBorder="1" applyFont="1">
      <alignment horizontal="center" vertical="center"/>
    </xf>
    <xf borderId="7" fillId="19" fontId="9" numFmtId="0" xfId="0" applyAlignment="1" applyBorder="1" applyFont="1">
      <alignment vertical="center"/>
    </xf>
    <xf borderId="22" fillId="0" fontId="2" numFmtId="178" xfId="0" applyAlignment="1" applyBorder="1" applyFont="1" applyNumberFormat="1">
      <alignment horizontal="center" vertical="center"/>
    </xf>
    <xf borderId="31" fillId="0" fontId="9" numFmtId="166" xfId="0" applyAlignment="1" applyBorder="1" applyFont="1" applyNumberFormat="1">
      <alignment horizontal="center" vertical="center"/>
    </xf>
    <xf borderId="0" fillId="0" fontId="20" numFmtId="0" xfId="0" applyFont="1"/>
    <xf borderId="16" fillId="0" fontId="18" numFmtId="0" xfId="0" applyAlignment="1" applyBorder="1" applyFont="1">
      <alignment horizontal="left" vertical="center"/>
    </xf>
    <xf borderId="16" fillId="0" fontId="21" numFmtId="0" xfId="0" applyAlignment="1" applyBorder="1" applyFont="1">
      <alignment horizontal="left" vertical="center"/>
    </xf>
    <xf borderId="34" fillId="12" fontId="2" numFmtId="178" xfId="0" applyAlignment="1" applyBorder="1" applyFont="1" applyNumberFormat="1">
      <alignment horizontal="center" vertical="center"/>
    </xf>
    <xf borderId="26" fillId="0" fontId="9" numFmtId="178" xfId="0" applyAlignment="1" applyBorder="1" applyFont="1" applyNumberFormat="1">
      <alignment horizontal="center" vertical="center"/>
    </xf>
    <xf borderId="34" fillId="12" fontId="2" numFmtId="174" xfId="0" applyAlignment="1" applyBorder="1" applyFont="1" applyNumberFormat="1">
      <alignment horizontal="center" vertical="center"/>
    </xf>
    <xf borderId="34" fillId="13" fontId="2" numFmtId="174" xfId="0" applyAlignment="1" applyBorder="1" applyFont="1" applyNumberFormat="1">
      <alignment horizontal="center" vertical="center"/>
    </xf>
    <xf borderId="34" fillId="12" fontId="2" numFmtId="165" xfId="0" applyAlignment="1" applyBorder="1" applyFont="1" applyNumberFormat="1">
      <alignment horizontal="center" vertical="center"/>
    </xf>
    <xf borderId="34" fillId="14" fontId="9" numFmtId="165" xfId="0" applyAlignment="1" applyBorder="1" applyFont="1" applyNumberFormat="1">
      <alignment horizontal="center" vertical="center"/>
    </xf>
    <xf borderId="34" fillId="11" fontId="9" numFmtId="9" xfId="0" applyAlignment="1" applyBorder="1" applyFont="1" applyNumberFormat="1">
      <alignment horizontal="center"/>
    </xf>
    <xf borderId="34" fillId="11" fontId="9" numFmtId="3" xfId="0" applyAlignment="1" applyBorder="1" applyFont="1" applyNumberFormat="1">
      <alignment horizontal="center" vertical="center"/>
    </xf>
    <xf borderId="26" fillId="0" fontId="9" numFmtId="9" xfId="0" applyAlignment="1" applyBorder="1" applyFont="1" applyNumberFormat="1">
      <alignment horizontal="center" vertical="center"/>
    </xf>
    <xf borderId="27" fillId="0" fontId="9" numFmtId="173" xfId="0" applyAlignment="1" applyBorder="1" applyFont="1" applyNumberFormat="1">
      <alignment horizontal="center" vertical="center"/>
    </xf>
    <xf borderId="27" fillId="0" fontId="9" numFmtId="190" xfId="0" applyAlignment="1" applyBorder="1" applyFont="1" applyNumberFormat="1">
      <alignment horizontal="center" vertical="center"/>
    </xf>
    <xf borderId="27" fillId="0" fontId="9" numFmtId="9" xfId="0" applyAlignment="1" applyBorder="1" applyFont="1" applyNumberFormat="1">
      <alignment horizontal="center" vertical="center"/>
    </xf>
    <xf borderId="27" fillId="0" fontId="9" numFmtId="177" xfId="0" applyAlignment="1" applyBorder="1" applyFont="1" applyNumberFormat="1">
      <alignment horizontal="center"/>
    </xf>
    <xf borderId="27" fillId="0" fontId="9" numFmtId="0" xfId="0" applyAlignment="1" applyBorder="1" applyFont="1">
      <alignment horizontal="center"/>
    </xf>
    <xf borderId="27" fillId="0" fontId="9" numFmtId="167" xfId="0" applyAlignment="1" applyBorder="1" applyFont="1" applyNumberFormat="1">
      <alignment horizontal="center" shrinkToFit="0" vertical="center" wrapText="1"/>
    </xf>
    <xf borderId="27" fillId="0" fontId="9" numFmtId="168" xfId="0" applyAlignment="1" applyBorder="1" applyFont="1" applyNumberFormat="1">
      <alignment horizontal="center" shrinkToFit="0" vertical="center" wrapText="1"/>
    </xf>
    <xf borderId="27" fillId="0" fontId="2" numFmtId="174" xfId="0" applyAlignment="1" applyBorder="1" applyFont="1" applyNumberFormat="1">
      <alignment horizontal="center" vertical="center"/>
    </xf>
    <xf borderId="16" fillId="12" fontId="2" numFmtId="178" xfId="0" applyAlignment="1" applyBorder="1" applyFont="1" applyNumberFormat="1">
      <alignment horizontal="center" vertical="center"/>
    </xf>
    <xf borderId="16" fillId="12" fontId="2" numFmtId="174" xfId="0" applyAlignment="1" applyBorder="1" applyFont="1" applyNumberFormat="1">
      <alignment horizontal="center" vertical="center"/>
    </xf>
    <xf borderId="16" fillId="13" fontId="2" numFmtId="174" xfId="0" applyAlignment="1" applyBorder="1" applyFont="1" applyNumberFormat="1">
      <alignment horizontal="center" vertical="center"/>
    </xf>
    <xf borderId="16" fillId="12" fontId="2" numFmtId="165" xfId="0" applyAlignment="1" applyBorder="1" applyFont="1" applyNumberFormat="1">
      <alignment horizontal="center" vertical="center"/>
    </xf>
    <xf borderId="16" fillId="14" fontId="9" numFmtId="165" xfId="0" applyAlignment="1" applyBorder="1" applyFont="1" applyNumberFormat="1">
      <alignment horizontal="center" vertical="center"/>
    </xf>
    <xf borderId="16" fillId="11" fontId="9" numFmtId="9" xfId="0" applyAlignment="1" applyBorder="1" applyFont="1" applyNumberFormat="1">
      <alignment horizontal="center"/>
    </xf>
    <xf borderId="16" fillId="11" fontId="9" numFmtId="3" xfId="0" applyAlignment="1" applyBorder="1" applyFont="1" applyNumberFormat="1">
      <alignment horizontal="center" vertical="center"/>
    </xf>
    <xf borderId="22" fillId="0" fontId="12" numFmtId="0" xfId="0" applyAlignment="1" applyBorder="1" applyFont="1">
      <alignment horizontal="center" vertical="center"/>
    </xf>
    <xf borderId="33" fillId="0" fontId="12" numFmtId="0" xfId="0" applyAlignment="1" applyBorder="1" applyFon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9" numFmtId="178" xfId="0" applyAlignment="1" applyFont="1" applyNumberFormat="1">
      <alignment horizontal="center" vertical="center"/>
    </xf>
    <xf borderId="0" fillId="0" fontId="2" numFmtId="174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9" numFmtId="9" xfId="0" applyAlignment="1" applyFont="1" applyNumberFormat="1">
      <alignment horizontal="center"/>
    </xf>
    <xf borderId="0" fillId="0" fontId="9" numFmtId="176" xfId="0" applyAlignment="1" applyFont="1" applyNumberFormat="1">
      <alignment horizontal="center" vertical="center"/>
    </xf>
    <xf borderId="0" fillId="0" fontId="9" numFmtId="165" xfId="0" applyAlignment="1" applyFont="1" applyNumberFormat="1">
      <alignment vertical="center"/>
    </xf>
    <xf borderId="0" fillId="0" fontId="9" numFmtId="167" xfId="0" applyAlignment="1" applyFont="1" applyNumberFormat="1">
      <alignment horizontal="center" vertical="center"/>
    </xf>
    <xf borderId="0" fillId="0" fontId="2" numFmtId="173" xfId="0" applyAlignment="1" applyFont="1" applyNumberFormat="1">
      <alignment horizontal="center" shrinkToFit="0" vertical="center" wrapText="1"/>
    </xf>
    <xf borderId="7" fillId="12" fontId="2" numFmtId="174" xfId="0" applyAlignment="1" applyBorder="1" applyFont="1" applyNumberFormat="1">
      <alignment horizontal="center" vertical="center"/>
    </xf>
    <xf borderId="0" fillId="0" fontId="22" numFmtId="0" xfId="0" applyFont="1"/>
    <xf borderId="0" fillId="0" fontId="9" numFmtId="9" xfId="0" applyAlignment="1" applyFont="1" applyNumberFormat="1">
      <alignment horizontal="center" vertical="center"/>
    </xf>
    <xf borderId="0" fillId="0" fontId="9" numFmtId="173" xfId="0" applyAlignment="1" applyFont="1" applyNumberFormat="1">
      <alignment horizontal="center" vertical="center"/>
    </xf>
    <xf borderId="0" fillId="0" fontId="9" numFmtId="190" xfId="0" applyAlignment="1" applyFont="1" applyNumberFormat="1">
      <alignment horizontal="center" vertical="center"/>
    </xf>
    <xf borderId="0" fillId="0" fontId="9" numFmtId="177" xfId="0" applyAlignment="1" applyFont="1" applyNumberFormat="1">
      <alignment horizontal="center"/>
    </xf>
    <xf borderId="0" fillId="0" fontId="9" numFmtId="167" xfId="0" applyAlignment="1" applyFont="1" applyNumberFormat="1">
      <alignment horizontal="center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0" fillId="0" fontId="23" numFmtId="0" xfId="0" applyFont="1"/>
    <xf borderId="0" fillId="0" fontId="23" numFmtId="0" xfId="0" applyAlignment="1" applyFont="1">
      <alignment horizontal="left"/>
    </xf>
    <xf borderId="0" fillId="0" fontId="24" numFmtId="0" xfId="0" applyFont="1"/>
    <xf borderId="7" fillId="21" fontId="25" numFmtId="0" xfId="0" applyAlignment="1" applyBorder="1" applyFill="1" applyFont="1">
      <alignment horizontal="left"/>
    </xf>
    <xf borderId="7" fillId="22" fontId="25" numFmtId="0" xfId="0" applyBorder="1" applyFill="1" applyFont="1"/>
    <xf borderId="0" fillId="0" fontId="26" numFmtId="0" xfId="0" applyAlignment="1" applyFont="1">
      <alignment horizontal="left" vertical="center"/>
    </xf>
    <xf borderId="0" fillId="0" fontId="15" numFmtId="0" xfId="0" applyAlignment="1" applyFont="1">
      <alignment horizontal="right" vertical="center"/>
    </xf>
    <xf borderId="0" fillId="0" fontId="15" numFmtId="0" xfId="0" applyAlignment="1" applyFont="1">
      <alignment vertical="center"/>
    </xf>
    <xf borderId="0" fillId="0" fontId="23" numFmtId="0" xfId="0" applyAlignment="1" applyFont="1">
      <alignment horizontal="right"/>
    </xf>
    <xf borderId="0" fillId="0" fontId="27" numFmtId="0" xfId="0" applyFont="1"/>
    <xf borderId="0" fillId="0" fontId="28" numFmtId="0" xfId="0" applyAlignment="1" applyFont="1">
      <alignment horizontal="center" vertical="center"/>
    </xf>
    <xf borderId="0" fillId="0" fontId="29" numFmtId="0" xfId="0" applyAlignment="1" applyFont="1">
      <alignment horizontal="center" vertical="center"/>
    </xf>
    <xf borderId="16" fillId="0" fontId="30" numFmtId="0" xfId="0" applyBorder="1" applyFont="1"/>
    <xf borderId="16" fillId="0" fontId="27" numFmtId="0" xfId="0" applyBorder="1" applyFont="1"/>
    <xf borderId="16" fillId="0" fontId="23" numFmtId="0" xfId="0" applyBorder="1" applyFont="1"/>
    <xf borderId="16" fillId="0" fontId="23" numFmtId="0" xfId="0" applyAlignment="1" applyBorder="1" applyFont="1">
      <alignment horizontal="left"/>
    </xf>
    <xf borderId="0" fillId="0" fontId="31" numFmtId="0" xfId="0" applyAlignment="1" applyFont="1">
      <alignment horizontal="center"/>
    </xf>
    <xf borderId="16" fillId="23" fontId="32" numFmtId="0" xfId="0" applyAlignment="1" applyBorder="1" applyFill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6" fillId="0" fontId="19" numFmtId="0" xfId="0" applyAlignment="1" applyBorder="1" applyFont="1">
      <alignment horizontal="center"/>
    </xf>
    <xf borderId="16" fillId="0" fontId="31" numFmtId="0" xfId="0" applyAlignment="1" applyBorder="1" applyFont="1">
      <alignment horizontal="center"/>
    </xf>
    <xf borderId="16" fillId="0" fontId="23" numFmtId="0" xfId="0" applyAlignment="1" applyBorder="1" applyFont="1">
      <alignment horizontal="center" vertical="center"/>
    </xf>
    <xf borderId="0" fillId="0" fontId="33" numFmtId="2" xfId="0" applyAlignment="1" applyFont="1" applyNumberFormat="1">
      <alignment horizontal="center" vertical="center"/>
    </xf>
    <xf borderId="0" fillId="0" fontId="33" numFmtId="175" xfId="0" applyAlignment="1" applyFont="1" applyNumberFormat="1">
      <alignment horizontal="center" vertical="center"/>
    </xf>
    <xf borderId="0" fillId="0" fontId="1" numFmtId="0" xfId="0" applyAlignment="1" applyFont="1">
      <alignment horizontal="left"/>
    </xf>
    <xf borderId="1" fillId="2" fontId="2" numFmtId="0" xfId="0" applyAlignment="1" applyBorder="1" applyFont="1">
      <alignment horizontal="left" vertical="center"/>
    </xf>
    <xf borderId="35" fillId="2" fontId="2" numFmtId="0" xfId="0" applyAlignment="1" applyBorder="1" applyFont="1">
      <alignment horizontal="left" vertical="center"/>
    </xf>
    <xf borderId="35" fillId="2" fontId="2" numFmtId="0" xfId="0" applyAlignment="1" applyBorder="1" applyFont="1">
      <alignment horizontal="center" vertical="center"/>
    </xf>
    <xf borderId="35" fillId="2" fontId="2" numFmtId="0" xfId="0" applyAlignment="1" applyBorder="1" applyFont="1">
      <alignment horizontal="center" shrinkToFit="0" vertical="center" wrapText="1"/>
    </xf>
    <xf borderId="35" fillId="2" fontId="2" numFmtId="171" xfId="0" applyAlignment="1" applyBorder="1" applyFont="1" applyNumberFormat="1">
      <alignment horizontal="center" shrinkToFit="0" vertical="center" wrapText="1"/>
    </xf>
    <xf borderId="16" fillId="0" fontId="13" numFmtId="0" xfId="0" applyAlignment="1" applyBorder="1" applyFont="1">
      <alignment vertical="center"/>
    </xf>
    <xf borderId="16" fillId="0" fontId="13" numFmtId="0" xfId="0" applyAlignment="1" applyBorder="1" applyFont="1">
      <alignment horizontal="left" vertical="center"/>
    </xf>
    <xf borderId="16" fillId="0" fontId="13" numFmtId="0" xfId="0" applyAlignment="1" applyBorder="1" applyFont="1">
      <alignment horizontal="left"/>
    </xf>
    <xf borderId="16" fillId="0" fontId="13" numFmtId="0" xfId="0" applyAlignment="1" applyBorder="1" applyFont="1">
      <alignment horizontal="center" vertical="center"/>
    </xf>
    <xf borderId="36" fillId="12" fontId="34" numFmtId="176" xfId="0" applyAlignment="1" applyBorder="1" applyFont="1" applyNumberFormat="1">
      <alignment horizontal="center" vertical="center"/>
    </xf>
    <xf borderId="16" fillId="0" fontId="35" numFmtId="165" xfId="0" applyAlignment="1" applyBorder="1" applyFont="1" applyNumberFormat="1">
      <alignment horizontal="center" vertical="center"/>
    </xf>
    <xf borderId="0" fillId="0" fontId="36" numFmtId="0" xfId="0" applyAlignment="1" applyFont="1">
      <alignment vertical="center"/>
    </xf>
    <xf borderId="36" fillId="12" fontId="34" numFmtId="174" xfId="0" applyAlignment="1" applyBorder="1" applyFont="1" applyNumberFormat="1">
      <alignment horizontal="center" vertical="center"/>
    </xf>
    <xf borderId="36" fillId="12" fontId="34" numFmtId="181" xfId="0" applyAlignment="1" applyBorder="1" applyFont="1" applyNumberFormat="1">
      <alignment horizontal="center" vertical="center"/>
    </xf>
    <xf borderId="0" fillId="0" fontId="37" numFmtId="0" xfId="0" applyAlignment="1" applyFont="1">
      <alignment vertical="center"/>
    </xf>
    <xf borderId="0" fillId="0" fontId="38" numFmtId="0" xfId="0" applyAlignment="1" applyFont="1">
      <alignment vertical="center"/>
    </xf>
    <xf borderId="25" fillId="0" fontId="34" numFmtId="176" xfId="0" applyAlignment="1" applyBorder="1" applyFont="1" applyNumberFormat="1">
      <alignment horizontal="center" vertical="center"/>
    </xf>
    <xf borderId="25" fillId="0" fontId="13" numFmtId="0" xfId="0" applyAlignment="1" applyBorder="1" applyFont="1">
      <alignment vertical="center"/>
    </xf>
    <xf borderId="25" fillId="0" fontId="13" numFmtId="0" xfId="0" applyAlignment="1" applyBorder="1" applyFont="1">
      <alignment horizontal="left" vertical="center"/>
    </xf>
    <xf borderId="25" fillId="0" fontId="13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22" fillId="12" fontId="34" numFmtId="176" xfId="0" applyAlignment="1" applyBorder="1" applyFont="1" applyNumberFormat="1">
      <alignment horizontal="center" vertical="center"/>
    </xf>
    <xf borderId="22" fillId="0" fontId="35" numFmtId="165" xfId="0" applyAlignment="1" applyBorder="1" applyFont="1" applyNumberFormat="1">
      <alignment horizontal="center" vertical="center"/>
    </xf>
    <xf borderId="22" fillId="12" fontId="34" numFmtId="17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left" vertical="center"/>
    </xf>
    <xf borderId="0" fillId="0" fontId="3" numFmtId="169" xfId="0" applyAlignment="1" applyFont="1" applyNumberFormat="1">
      <alignment horizontal="left" vertical="center"/>
    </xf>
    <xf borderId="0" fillId="0" fontId="3" numFmtId="170" xfId="0" applyAlignment="1" applyFont="1" applyNumberFormat="1">
      <alignment horizontal="left" vertical="center"/>
    </xf>
    <xf borderId="0" fillId="0" fontId="3" numFmtId="171" xfId="0" applyAlignment="1" applyFont="1" applyNumberFormat="1">
      <alignment horizontal="left" vertical="center"/>
    </xf>
    <xf borderId="0" fillId="0" fontId="8" numFmtId="171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7" fillId="4" fontId="3" numFmtId="175" xfId="0" applyAlignment="1" applyBorder="1" applyFont="1" applyNumberFormat="1">
      <alignment horizontal="left" vertical="center"/>
    </xf>
    <xf borderId="16" fillId="0" fontId="9" numFmtId="0" xfId="0" applyAlignment="1" applyBorder="1" applyFont="1">
      <alignment horizontal="left" vertical="center"/>
    </xf>
    <xf borderId="16" fillId="0" fontId="9" numFmtId="0" xfId="0" applyAlignment="1" applyBorder="1" applyFont="1">
      <alignment horizontal="left"/>
    </xf>
    <xf borderId="16" fillId="0" fontId="2" numFmtId="0" xfId="0" applyBorder="1" applyFont="1"/>
    <xf borderId="16" fillId="0" fontId="2" numFmtId="0" xfId="0" applyAlignment="1" applyBorder="1" applyFont="1">
      <alignment horizontal="left" vertical="center"/>
    </xf>
    <xf borderId="16" fillId="0" fontId="9" numFmtId="0" xfId="0" applyBorder="1" applyFont="1"/>
    <xf borderId="16" fillId="0" fontId="2" numFmtId="0" xfId="0" applyAlignment="1" applyBorder="1" applyFont="1">
      <alignment horizontal="left"/>
    </xf>
    <xf borderId="16" fillId="12" fontId="2" numFmtId="176" xfId="0" applyAlignment="1" applyBorder="1" applyFont="1" applyNumberFormat="1">
      <alignment horizontal="center" vertical="center"/>
    </xf>
    <xf borderId="16" fillId="12" fontId="2" numFmtId="181" xfId="0" applyAlignment="1" applyBorder="1" applyFont="1" applyNumberFormat="1">
      <alignment horizontal="center" vertical="center"/>
    </xf>
    <xf borderId="16" fillId="0" fontId="9" numFmtId="0" xfId="0" applyAlignment="1" applyBorder="1" applyFont="1">
      <alignment horizontal="left" shrinkToFit="0" wrapText="1"/>
    </xf>
    <xf borderId="16" fillId="0" fontId="2" numFmtId="0" xfId="0" applyAlignment="1" applyBorder="1" applyFont="1">
      <alignment horizontal="left" shrinkToFit="0" vertical="top" wrapText="1"/>
    </xf>
    <xf borderId="16" fillId="0" fontId="9" numFmtId="0" xfId="0" applyAlignment="1" applyBorder="1" applyFont="1">
      <alignment horizontal="center" shrinkToFit="0" vertical="top" wrapText="1"/>
    </xf>
    <xf borderId="16" fillId="0" fontId="9" numFmtId="3" xfId="0" applyAlignment="1" applyBorder="1" applyFont="1" applyNumberFormat="1">
      <alignment horizontal="center" vertical="center"/>
    </xf>
    <xf borderId="27" fillId="0" fontId="9" numFmtId="0" xfId="0" applyAlignment="1" applyBorder="1" applyFont="1">
      <alignment horizontal="center" vertical="center"/>
    </xf>
    <xf borderId="29" fillId="0" fontId="10" numFmtId="0" xfId="0" applyBorder="1" applyFont="1"/>
    <xf borderId="25" fillId="0" fontId="10" numFmtId="0" xfId="0" applyBorder="1" applyFont="1"/>
    <xf borderId="0" fillId="0" fontId="3" numFmtId="167" xfId="0" applyAlignment="1" applyFont="1" applyNumberFormat="1">
      <alignment horizontal="left" vertical="center"/>
    </xf>
    <xf borderId="16" fillId="0" fontId="2" numFmtId="176" xfId="0" applyAlignment="1" applyBorder="1" applyFont="1" applyNumberFormat="1">
      <alignment horizontal="center" vertical="center"/>
    </xf>
    <xf borderId="16" fillId="0" fontId="2" numFmtId="181" xfId="0" applyAlignment="1" applyBorder="1" applyFont="1" applyNumberFormat="1">
      <alignment horizontal="center" vertical="center"/>
    </xf>
    <xf borderId="0" fillId="0" fontId="19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7CAAC"/>
          <bgColor rgb="FFF7CAA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0</xdr:row>
      <xdr:rowOff>180975</xdr:rowOff>
    </xdr:from>
    <xdr:ext cx="1047750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2133600</xdr:colOff>
      <xdr:row>14</xdr:row>
      <xdr:rowOff>133350</xdr:rowOff>
    </xdr:from>
    <xdr:ext cx="2914650" cy="2333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152400</xdr:rowOff>
    </xdr:from>
    <xdr:ext cx="116205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152400</xdr:rowOff>
    </xdr:from>
    <xdr:ext cx="1171575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57150</xdr:rowOff>
    </xdr:from>
    <xdr:ext cx="111442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9525</xdr:rowOff>
    </xdr:from>
    <xdr:ext cx="111442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0</xdr:row>
      <xdr:rowOff>57150</xdr:rowOff>
    </xdr:from>
    <xdr:ext cx="112395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sites/SYSKERN/Shared%20Documents/General/Packing%20details/ODOO%20ITEMS%20BASE%2025072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2025/UKN_RANGE_PRICES_SEPTEMBER%202025%20-%20Prix%20Moyen%20Annuel%202025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WORK\SYMEA%20-%20UNIKKERN\BUSINESS\ELENDIL\UKN_RANGE_PRICES_MARCH%202024_v4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22513\Desktop\BASE_210126_UPDATED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sites/EGS-China/Shared%20Documents/SYMEA%20UKN/TDS/@%20SYSKERN%20UNIKKERN/UKN%20all%20items%20list%20-%20GTIN%20code%20&amp;%20packing%20details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22513\Desktop\MIRSAN_PRICES_LIST_2025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sites/SYSKERN/Shared%20Documents/General/ACHATS/3.0%20MIRSAN/MIRSAN_PRICES_LIST_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 &amp; SC Sept 2025"/>
      <sheetName val="Info."/>
      <sheetName val="SC FRANCE Q1 2025"/>
      <sheetName val="SC FRANCE Q1 2025 v2"/>
      <sheetName val="ARBORESCENCE FRANCAISE"/>
      <sheetName val="SC FRANCE Q3&amp;Q4 2025 v1"/>
      <sheetName val="SC FRANCE Q3&amp;Q4 2025 v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 &amp; SC March 2024"/>
      <sheetName val="Copper"/>
      <sheetName val="Optical Otrans"/>
      <sheetName val="Rack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TIN code &amp; packing details"/>
      <sheetName val="NEXKERN GTIN code &amp; packing"/>
      <sheetName val="ORSEAN GTIN code &amp; packing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DIFICATION"/>
      <sheetName val="START CABINETS"/>
      <sheetName val="GRID CABINETS"/>
      <sheetName val="RACKS &amp; OPEN RACKS"/>
      <sheetName val="EDF MARKET"/>
      <sheetName val="ACCESSORIES 19"/>
      <sheetName val="OPEN RA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DIFICATION"/>
      <sheetName val="START CABINETS"/>
      <sheetName val="GRID CABINETS"/>
      <sheetName val="RACKS &amp; OPEN RACKS"/>
      <sheetName val="EDF MARKET"/>
      <sheetName val="ACCESSORIES 19"/>
      <sheetName val="OPEN RACKS"/>
      <sheetName val="OFFERS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4.43" defaultRowHeight="15.0" outlineLevelCol="1"/>
  <cols>
    <col customWidth="1" min="1" max="1" width="8.86"/>
    <col customWidth="1" min="2" max="2" width="13.86"/>
    <col customWidth="1" min="3" max="3" width="13.71"/>
    <col customWidth="1" min="4" max="4" width="20.86"/>
    <col customWidth="1" min="5" max="5" width="29.0"/>
    <col customWidth="1" min="6" max="6" width="43.14"/>
    <col customWidth="1" min="7" max="7" width="11.86"/>
    <col customWidth="1" min="8" max="8" width="15.14"/>
    <col customWidth="1" min="9" max="9" width="25.71"/>
    <col customWidth="1" min="10" max="10" width="27.86"/>
    <col customWidth="1" min="11" max="11" width="12.14"/>
    <col customWidth="1" min="12" max="12" width="152.29" outlineLevel="1"/>
    <col customWidth="1" min="13" max="13" width="66.86" outlineLevel="1"/>
    <col customWidth="1" min="14" max="14" width="16.86"/>
    <col customWidth="1" min="15" max="15" width="9.14"/>
    <col customWidth="1" min="16" max="16" width="15.86"/>
    <col customWidth="1" min="17" max="17" width="18.86"/>
    <col customWidth="1" min="18" max="18" width="21.86"/>
    <col customWidth="1" min="19" max="19" width="15.14"/>
    <col customWidth="1" min="20" max="20" width="29.86" outlineLevel="1"/>
    <col customWidth="1" min="21" max="21" width="13.14" outlineLevel="1"/>
    <col customWidth="1" min="22" max="22" width="18.14" outlineLevel="1"/>
    <col customWidth="1" min="23" max="23" width="14.86" outlineLevel="1"/>
    <col customWidth="1" min="24" max="26" width="21.14" outlineLevel="1"/>
    <col customWidth="1" min="27" max="27" width="24.86" outlineLevel="1"/>
    <col customWidth="1" min="28" max="28" width="18.86" outlineLevel="1"/>
    <col customWidth="1" min="29" max="30" width="32.14" outlineLevel="1"/>
    <col customWidth="1" min="31" max="34" width="19.0" outlineLevel="1"/>
    <col customWidth="1" min="35" max="35" width="14.86" outlineLevel="1"/>
    <col customWidth="1" min="36" max="36" width="15.86" outlineLevel="1"/>
    <col customWidth="1" min="37" max="38" width="17.14" outlineLevel="1"/>
    <col customWidth="1" min="39" max="39" width="15.14" outlineLevel="1"/>
    <col customWidth="1" min="40" max="40" width="14.86" outlineLevel="1"/>
    <col customWidth="1" min="41" max="41" width="28.14" outlineLevel="1"/>
    <col customWidth="1" min="42" max="42" width="10.14" outlineLevel="1"/>
    <col customWidth="1" min="43" max="43" width="18.0" outlineLevel="1"/>
    <col customWidth="1" min="44" max="44" width="17.86" outlineLevel="1"/>
    <col customWidth="1" min="45" max="45" width="15.0" outlineLevel="1"/>
    <col customWidth="1" min="46" max="46" width="15.14" outlineLevel="1"/>
    <col customWidth="1" min="47" max="47" width="16.0" outlineLevel="1"/>
    <col customWidth="1" min="48" max="48" width="16.14"/>
    <col customWidth="1" min="49" max="50" width="12.0"/>
    <col customWidth="1" min="51" max="51" width="17.14"/>
    <col customWidth="1" min="52" max="52" width="12.0"/>
    <col customWidth="1" min="53" max="53" width="16.14"/>
    <col customWidth="1" min="54" max="54" width="12.14"/>
    <col customWidth="1" min="55" max="55" width="21.14"/>
    <col customWidth="1" min="56" max="56" width="12.0"/>
    <col customWidth="1" min="57" max="57" width="92.14"/>
    <col customWidth="1" hidden="1" min="58" max="58" width="15.14"/>
    <col customWidth="1" hidden="1" min="59" max="59" width="9.14"/>
    <col customWidth="1" hidden="1" min="60" max="63" width="31.86" outlineLevel="1"/>
    <col customWidth="1" hidden="1" min="64" max="64" width="11.29"/>
    <col customWidth="1" hidden="1" min="65" max="65" width="9.14"/>
    <col customWidth="1" min="66" max="66" width="14.71"/>
    <col customWidth="1" min="67" max="84" width="9.14"/>
  </cols>
  <sheetData>
    <row r="1" ht="14.25" customHeight="1">
      <c r="A1" s="1"/>
      <c r="B1" s="1"/>
      <c r="C1" s="1"/>
      <c r="D1" s="1"/>
      <c r="E1" s="2" t="s">
        <v>0</v>
      </c>
      <c r="F1" s="3" t="s">
        <v>1</v>
      </c>
      <c r="G1" s="4"/>
      <c r="H1" s="4" t="s">
        <v>2</v>
      </c>
      <c r="I1" s="4"/>
      <c r="J1" s="5"/>
      <c r="K1" s="5"/>
      <c r="L1" s="6"/>
      <c r="M1" s="6"/>
      <c r="N1" s="7"/>
      <c r="O1" s="6"/>
      <c r="P1" s="8"/>
      <c r="Q1" s="1"/>
      <c r="R1" s="8"/>
      <c r="S1" s="8"/>
      <c r="T1" s="1"/>
      <c r="U1" s="9"/>
      <c r="V1" s="10"/>
      <c r="W1" s="9"/>
      <c r="X1" s="9"/>
      <c r="Y1" s="9"/>
      <c r="Z1" s="9"/>
      <c r="AA1" s="8"/>
      <c r="AB1" s="8"/>
      <c r="AC1" s="8"/>
      <c r="AD1" s="8"/>
      <c r="AE1" s="8"/>
      <c r="AF1" s="8"/>
      <c r="AG1" s="8"/>
      <c r="AH1" s="11"/>
      <c r="AI1" s="8"/>
      <c r="AJ1" s="8"/>
      <c r="AK1" s="8"/>
      <c r="AL1" s="8"/>
      <c r="AM1" s="8"/>
      <c r="AN1" s="8"/>
      <c r="AO1" s="8"/>
      <c r="AP1" s="12"/>
      <c r="AQ1" s="8"/>
      <c r="AR1" s="8"/>
      <c r="AS1" s="10"/>
      <c r="AT1" s="10"/>
      <c r="AU1" s="13"/>
      <c r="AV1" s="14"/>
      <c r="AW1" s="15"/>
      <c r="AX1" s="16"/>
      <c r="AY1" s="16"/>
      <c r="AZ1" s="17"/>
      <c r="BA1" s="15"/>
      <c r="BB1" s="18"/>
      <c r="BC1" s="16"/>
      <c r="BD1" s="16"/>
      <c r="BE1" s="19"/>
      <c r="BF1" s="8"/>
      <c r="BG1" s="1"/>
      <c r="BH1" s="8"/>
      <c r="BI1" s="8"/>
      <c r="BJ1" s="8"/>
      <c r="BK1" s="8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ht="14.25" customHeight="1">
      <c r="A2" s="1"/>
      <c r="B2" s="1"/>
      <c r="C2" s="1"/>
      <c r="D2" s="1"/>
      <c r="E2" s="2" t="s">
        <v>3</v>
      </c>
      <c r="F2" s="20">
        <v>97000.0</v>
      </c>
      <c r="G2" s="21"/>
      <c r="H2" s="22"/>
      <c r="I2" s="22"/>
      <c r="J2" s="5"/>
      <c r="K2" s="5"/>
      <c r="L2" s="6"/>
      <c r="M2" s="6"/>
      <c r="N2" s="7"/>
      <c r="O2" s="6"/>
      <c r="P2" s="8"/>
      <c r="Q2" s="1"/>
      <c r="R2" s="8"/>
      <c r="S2" s="8"/>
      <c r="T2" s="8"/>
      <c r="U2" s="9"/>
      <c r="V2" s="10"/>
      <c r="W2" s="9"/>
      <c r="X2" s="9"/>
      <c r="Y2" s="9"/>
      <c r="Z2" s="9"/>
      <c r="AA2" s="8"/>
      <c r="AB2" s="8"/>
      <c r="AC2" s="8"/>
      <c r="AD2" s="8"/>
      <c r="AE2" s="8"/>
      <c r="AF2" s="8"/>
      <c r="AG2" s="8"/>
      <c r="AH2" s="11"/>
      <c r="AI2" s="8"/>
      <c r="AJ2" s="8"/>
      <c r="AK2" s="8"/>
      <c r="AL2" s="8"/>
      <c r="AM2" s="23" t="s">
        <v>4</v>
      </c>
      <c r="AN2" s="24"/>
      <c r="AO2" s="8"/>
      <c r="AP2" s="12"/>
      <c r="AQ2" s="8"/>
      <c r="AR2" s="8"/>
      <c r="AS2" s="10"/>
      <c r="AT2" s="10"/>
      <c r="AU2" s="13"/>
      <c r="AV2" s="14"/>
      <c r="AW2" s="15"/>
      <c r="AX2" s="16"/>
      <c r="AY2" s="16"/>
      <c r="AZ2" s="17"/>
      <c r="BA2" s="15"/>
      <c r="BB2" s="18"/>
      <c r="BC2" s="16"/>
      <c r="BD2" s="16"/>
      <c r="BE2" s="19"/>
      <c r="BF2" s="8"/>
      <c r="BG2" s="1"/>
      <c r="BH2" s="8"/>
      <c r="BI2" s="8"/>
      <c r="BJ2" s="8"/>
      <c r="BK2" s="8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ht="14.25" customHeight="1">
      <c r="A3" s="1"/>
      <c r="B3" s="1"/>
      <c r="C3" s="1"/>
      <c r="D3" s="1"/>
      <c r="E3" s="2" t="s">
        <v>5</v>
      </c>
      <c r="F3" s="25">
        <f>F4*F6</f>
        <v>12075</v>
      </c>
      <c r="G3" s="26"/>
      <c r="H3" s="27"/>
      <c r="I3" s="27"/>
      <c r="J3" s="5"/>
      <c r="K3" s="5"/>
      <c r="L3" s="6"/>
      <c r="M3" s="6"/>
      <c r="N3" s="7"/>
      <c r="O3" s="6"/>
      <c r="P3" s="8"/>
      <c r="Q3" s="1"/>
      <c r="R3" s="8"/>
      <c r="S3" s="8"/>
      <c r="T3" s="8"/>
      <c r="U3" s="9"/>
      <c r="V3" s="10"/>
      <c r="W3" s="9"/>
      <c r="X3" s="9"/>
      <c r="Y3" s="9"/>
      <c r="Z3" s="9"/>
      <c r="AA3" s="8"/>
      <c r="AB3" s="8"/>
      <c r="AC3" s="8"/>
      <c r="AD3" s="8"/>
      <c r="AE3" s="8"/>
      <c r="AF3" s="8"/>
      <c r="AG3" s="8"/>
      <c r="AH3" s="11"/>
      <c r="AI3" s="8"/>
      <c r="AJ3" s="8"/>
      <c r="AK3" s="8"/>
      <c r="AL3" s="8"/>
      <c r="AM3" s="28" t="s">
        <v>6</v>
      </c>
      <c r="AN3" s="29">
        <v>0.1</v>
      </c>
      <c r="AO3" s="8"/>
      <c r="AP3" s="12"/>
      <c r="AQ3" s="8"/>
      <c r="AR3" s="8"/>
      <c r="AS3" s="10"/>
      <c r="AT3" s="10"/>
      <c r="AU3" s="13"/>
      <c r="AV3" s="14"/>
      <c r="AW3" s="15"/>
      <c r="AX3" s="16"/>
      <c r="AY3" s="16"/>
      <c r="AZ3" s="17"/>
      <c r="BA3" s="15"/>
      <c r="BB3" s="18"/>
      <c r="BC3" s="16"/>
      <c r="BD3" s="16"/>
      <c r="BE3" s="19"/>
      <c r="BF3" s="8"/>
      <c r="BG3" s="1"/>
      <c r="BH3" s="8"/>
      <c r="BI3" s="8"/>
      <c r="BJ3" s="8"/>
      <c r="BK3" s="8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ht="14.25" customHeight="1">
      <c r="A4" s="1"/>
      <c r="B4" s="1"/>
      <c r="C4" s="1"/>
      <c r="D4" s="1"/>
      <c r="E4" s="2" t="s">
        <v>7</v>
      </c>
      <c r="F4" s="30">
        <v>10500.0</v>
      </c>
      <c r="G4" s="26"/>
      <c r="H4" s="31"/>
      <c r="I4" s="31"/>
      <c r="J4" s="5"/>
      <c r="K4" s="5"/>
      <c r="L4" s="6"/>
      <c r="M4" s="6"/>
      <c r="N4" s="7"/>
      <c r="O4" s="6"/>
      <c r="P4" s="8"/>
      <c r="Q4" s="1"/>
      <c r="R4" s="8"/>
      <c r="S4" s="8"/>
      <c r="T4" s="8"/>
      <c r="U4" s="9"/>
      <c r="V4" s="10"/>
      <c r="W4" s="9"/>
      <c r="X4" s="9"/>
      <c r="Y4" s="9"/>
      <c r="Z4" s="9"/>
      <c r="AA4" s="8"/>
      <c r="AB4" s="8"/>
      <c r="AC4" s="8"/>
      <c r="AD4" s="8"/>
      <c r="AE4" s="8"/>
      <c r="AF4" s="8"/>
      <c r="AG4" s="8"/>
      <c r="AH4" s="11"/>
      <c r="AI4" s="8"/>
      <c r="AJ4" s="8"/>
      <c r="AK4" s="8"/>
      <c r="AL4" s="8"/>
      <c r="AM4" s="28" t="s">
        <v>8</v>
      </c>
      <c r="AN4" s="29">
        <v>0.05</v>
      </c>
      <c r="AO4" s="8"/>
      <c r="AP4" s="12"/>
      <c r="AQ4" s="8"/>
      <c r="AR4" s="8"/>
      <c r="AS4" s="10"/>
      <c r="AT4" s="10"/>
      <c r="AU4" s="13"/>
      <c r="AV4" s="14"/>
      <c r="AW4" s="15"/>
      <c r="AX4" s="15"/>
      <c r="AY4" s="16"/>
      <c r="AZ4" s="17"/>
      <c r="BA4" s="15"/>
      <c r="BB4" s="32"/>
      <c r="BC4" s="32"/>
      <c r="BD4" s="32"/>
      <c r="BE4" s="19"/>
      <c r="BF4" s="8"/>
      <c r="BG4" s="1"/>
      <c r="BH4" s="8"/>
      <c r="BI4" s="8"/>
      <c r="BJ4" s="8"/>
      <c r="BK4" s="8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ht="14.25" customHeight="1">
      <c r="A5" s="1"/>
      <c r="B5" s="1"/>
      <c r="C5" s="1"/>
      <c r="D5" s="1"/>
      <c r="E5" s="2" t="s">
        <v>9</v>
      </c>
      <c r="F5" s="33">
        <f>ROUND(6.9*0.995,2)</f>
        <v>6.87</v>
      </c>
      <c r="G5" s="34"/>
      <c r="H5" s="31"/>
      <c r="I5" s="31"/>
      <c r="J5" s="5"/>
      <c r="K5" s="5"/>
      <c r="L5" s="6"/>
      <c r="M5" s="6"/>
      <c r="N5" s="7"/>
      <c r="O5" s="6"/>
      <c r="P5" s="8"/>
      <c r="Q5" s="1"/>
      <c r="R5" s="8"/>
      <c r="S5" s="8"/>
      <c r="T5" s="8"/>
      <c r="U5" s="9"/>
      <c r="V5" s="10"/>
      <c r="W5" s="9"/>
      <c r="X5" s="9"/>
      <c r="Y5" s="9"/>
      <c r="Z5" s="9"/>
      <c r="AA5" s="8"/>
      <c r="AB5" s="8"/>
      <c r="AC5" s="8"/>
      <c r="AD5" s="8"/>
      <c r="AE5" s="8"/>
      <c r="AF5" s="8"/>
      <c r="AG5" s="8"/>
      <c r="AH5" s="11"/>
      <c r="AI5" s="8"/>
      <c r="AJ5" s="8"/>
      <c r="AK5" s="8"/>
      <c r="AL5" s="8"/>
      <c r="AM5" s="35" t="s">
        <v>10</v>
      </c>
      <c r="AN5" s="36">
        <v>0.0</v>
      </c>
      <c r="AO5" s="8"/>
      <c r="AP5" s="12"/>
      <c r="AQ5" s="8"/>
      <c r="AR5" s="8"/>
      <c r="AS5" s="10"/>
      <c r="AT5" s="10"/>
      <c r="AU5" s="13"/>
      <c r="AV5" s="14"/>
      <c r="AW5" s="15"/>
      <c r="AX5" s="15"/>
      <c r="AY5" s="15"/>
      <c r="AZ5" s="37"/>
      <c r="BA5" s="15"/>
      <c r="BB5" s="18"/>
      <c r="BC5" s="38"/>
      <c r="BD5" s="16"/>
      <c r="BE5" s="19"/>
      <c r="BF5" s="8"/>
      <c r="BG5" s="1"/>
      <c r="BH5" s="8"/>
      <c r="BI5" s="8"/>
      <c r="BJ5" s="8"/>
      <c r="BK5" s="8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ht="14.25" customHeight="1">
      <c r="A6" s="39"/>
      <c r="B6" s="39"/>
      <c r="C6" s="40"/>
      <c r="D6" s="39" t="s">
        <v>11</v>
      </c>
      <c r="E6" s="2" t="s">
        <v>12</v>
      </c>
      <c r="F6" s="41">
        <f>ROUND(1.154,2)</f>
        <v>1.15</v>
      </c>
      <c r="G6" s="42"/>
      <c r="H6" s="43"/>
      <c r="I6" s="43"/>
      <c r="J6" s="5"/>
      <c r="K6" s="5"/>
      <c r="L6" s="13"/>
      <c r="M6" s="13"/>
      <c r="N6" s="8"/>
      <c r="O6" s="13"/>
      <c r="P6" s="8"/>
      <c r="Q6" s="1"/>
      <c r="R6" s="8"/>
      <c r="S6" s="8"/>
      <c r="T6" s="8"/>
      <c r="U6" s="9"/>
      <c r="V6" s="10"/>
      <c r="W6" s="9"/>
      <c r="X6" s="9"/>
      <c r="Y6" s="9"/>
      <c r="Z6" s="9"/>
      <c r="AA6" s="8"/>
      <c r="AB6" s="8"/>
      <c r="AC6" s="8"/>
      <c r="AD6" s="8"/>
      <c r="AE6" s="8"/>
      <c r="AF6" s="8"/>
      <c r="AG6" s="8"/>
      <c r="AH6" s="11"/>
      <c r="AI6" s="8"/>
      <c r="AJ6" s="8"/>
      <c r="AK6" s="8"/>
      <c r="AL6" s="8"/>
      <c r="AM6" s="44" t="s">
        <v>13</v>
      </c>
      <c r="AN6" s="45">
        <v>0.03</v>
      </c>
      <c r="AO6" s="46" t="s">
        <v>14</v>
      </c>
      <c r="AP6" s="12"/>
      <c r="AQ6" s="8"/>
      <c r="AR6" s="8"/>
      <c r="AS6" s="10"/>
      <c r="AT6" s="10"/>
      <c r="AU6" s="13"/>
      <c r="AV6" s="14"/>
      <c r="AW6" s="15"/>
      <c r="AX6" s="15"/>
      <c r="AY6" s="15"/>
      <c r="AZ6" s="37"/>
      <c r="BA6" s="15"/>
      <c r="BB6" s="18"/>
      <c r="BC6" s="47"/>
      <c r="BD6" s="16"/>
      <c r="BE6" s="19"/>
      <c r="BF6" s="8"/>
      <c r="BG6" s="1"/>
      <c r="BH6" s="8"/>
      <c r="BI6" s="8"/>
      <c r="BJ6" s="8"/>
      <c r="BK6" s="8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ht="14.25" customHeight="1">
      <c r="A7" s="39"/>
      <c r="B7" s="39"/>
      <c r="C7" s="40"/>
      <c r="D7" s="48" t="s">
        <v>15</v>
      </c>
      <c r="E7" s="2" t="s">
        <v>16</v>
      </c>
      <c r="F7" s="33">
        <f>F6*F5</f>
        <v>7.9005</v>
      </c>
      <c r="G7" s="42"/>
      <c r="H7" s="43"/>
      <c r="I7" s="43"/>
      <c r="J7" s="5"/>
      <c r="K7" s="5"/>
      <c r="L7" s="13"/>
      <c r="M7" s="13"/>
      <c r="N7" s="8"/>
      <c r="O7" s="13"/>
      <c r="P7" s="8"/>
      <c r="Q7" s="1"/>
      <c r="R7" s="8"/>
      <c r="S7" s="8"/>
      <c r="T7" s="8"/>
      <c r="U7" s="9"/>
      <c r="V7" s="10"/>
      <c r="W7" s="9"/>
      <c r="X7" s="9"/>
      <c r="Y7" s="9"/>
      <c r="Z7" s="9"/>
      <c r="AA7" s="8"/>
      <c r="AB7" s="8"/>
      <c r="AC7" s="8"/>
      <c r="AD7" s="8"/>
      <c r="AE7" s="8"/>
      <c r="AF7" s="8"/>
      <c r="AG7" s="8"/>
      <c r="AH7" s="11"/>
      <c r="AI7" s="8"/>
      <c r="AJ7" s="8"/>
      <c r="AK7" s="8"/>
      <c r="AL7" s="8"/>
      <c r="AM7" s="8"/>
      <c r="AN7" s="8"/>
      <c r="AO7" s="46"/>
      <c r="AP7" s="12"/>
      <c r="AQ7" s="8"/>
      <c r="AR7" s="8"/>
      <c r="AS7" s="10"/>
      <c r="AT7" s="10"/>
      <c r="AU7" s="13"/>
      <c r="AV7" s="14"/>
      <c r="AW7" s="15"/>
      <c r="AX7" s="15"/>
      <c r="AY7" s="15"/>
      <c r="AZ7" s="37"/>
      <c r="BA7" s="15"/>
      <c r="BB7" s="18"/>
      <c r="BC7" s="47"/>
      <c r="BD7" s="16"/>
      <c r="BE7" s="19"/>
      <c r="BF7" s="8"/>
      <c r="BG7" s="1"/>
      <c r="BH7" s="8"/>
      <c r="BI7" s="8"/>
      <c r="BJ7" s="8"/>
      <c r="BK7" s="8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ht="14.25" customHeight="1">
      <c r="A8" s="48"/>
      <c r="B8" s="48"/>
      <c r="C8" s="49"/>
      <c r="D8" s="1"/>
      <c r="E8" s="2" t="s">
        <v>17</v>
      </c>
      <c r="F8" s="50">
        <v>3000.0</v>
      </c>
      <c r="G8" s="51">
        <f t="shared" ref="G8:G10" si="1">H8-F8</f>
        <v>0</v>
      </c>
      <c r="H8" s="52">
        <v>3000.0</v>
      </c>
      <c r="I8" s="52"/>
      <c r="J8" s="2"/>
      <c r="K8" s="2"/>
      <c r="L8" s="53"/>
      <c r="M8" s="53"/>
      <c r="N8" s="8"/>
      <c r="O8" s="13"/>
      <c r="P8" s="8"/>
      <c r="Q8" s="1"/>
      <c r="R8" s="8"/>
      <c r="S8" s="8"/>
      <c r="T8" s="8"/>
      <c r="U8" s="9"/>
      <c r="V8" s="10"/>
      <c r="W8" s="9"/>
      <c r="X8" s="9"/>
      <c r="Y8" s="9"/>
      <c r="Z8" s="9"/>
      <c r="AA8" s="8"/>
      <c r="AB8" s="8"/>
      <c r="AC8" s="8"/>
      <c r="AD8" s="8"/>
      <c r="AE8" s="8"/>
      <c r="AF8" s="8"/>
      <c r="AG8" s="8"/>
      <c r="AH8" s="11"/>
      <c r="AI8" s="8"/>
      <c r="AJ8" s="8"/>
      <c r="AK8" s="8"/>
      <c r="AL8" s="8"/>
      <c r="AM8" s="8"/>
      <c r="AN8" s="8"/>
      <c r="AO8" s="8"/>
      <c r="AP8" s="12"/>
      <c r="AQ8" s="8"/>
      <c r="AR8" s="8"/>
      <c r="AS8" s="10"/>
      <c r="AT8" s="10"/>
      <c r="AU8" s="13"/>
      <c r="AV8" s="14"/>
      <c r="AW8" s="54"/>
      <c r="AX8" s="54"/>
      <c r="AY8" s="15"/>
      <c r="AZ8" s="37"/>
      <c r="BA8" s="15"/>
      <c r="BB8" s="18"/>
      <c r="BC8" s="38"/>
      <c r="BD8" s="16"/>
      <c r="BE8" s="19"/>
      <c r="BF8" s="8"/>
      <c r="BG8" s="1"/>
      <c r="BH8" s="8"/>
      <c r="BI8" s="8"/>
      <c r="BJ8" s="8"/>
      <c r="BK8" s="8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ht="14.25" customHeight="1">
      <c r="A9" s="1"/>
      <c r="B9" s="1"/>
      <c r="C9" s="1"/>
      <c r="D9" s="1"/>
      <c r="E9" s="2" t="s">
        <v>18</v>
      </c>
      <c r="F9" s="50">
        <v>4000.0</v>
      </c>
      <c r="G9" s="51">
        <f t="shared" si="1"/>
        <v>0</v>
      </c>
      <c r="H9" s="52">
        <v>4000.0</v>
      </c>
      <c r="I9" s="52"/>
      <c r="J9" s="2"/>
      <c r="K9" s="2"/>
      <c r="L9" s="53"/>
      <c r="M9" s="13"/>
      <c r="N9" s="8"/>
      <c r="O9" s="13"/>
      <c r="P9" s="55"/>
      <c r="Q9" s="1"/>
      <c r="R9" s="8"/>
      <c r="S9" s="8"/>
      <c r="T9" s="8"/>
      <c r="U9" s="9"/>
      <c r="V9" s="10"/>
      <c r="W9" s="9"/>
      <c r="X9" s="9"/>
      <c r="Y9" s="9"/>
      <c r="Z9" s="9"/>
      <c r="AA9" s="8"/>
      <c r="AB9" s="8"/>
      <c r="AC9" s="56"/>
      <c r="AD9" s="56"/>
      <c r="AE9" s="8"/>
      <c r="AF9" s="8"/>
      <c r="AG9" s="8"/>
      <c r="AH9" s="11"/>
      <c r="AI9" s="8"/>
      <c r="AJ9" s="8"/>
      <c r="AK9" s="8"/>
      <c r="AL9" s="8"/>
      <c r="AM9" s="8"/>
      <c r="AN9" s="8"/>
      <c r="AO9" s="8"/>
      <c r="AP9" s="12"/>
      <c r="AQ9" s="8"/>
      <c r="AR9" s="8"/>
      <c r="AS9" s="10"/>
      <c r="AT9" s="10"/>
      <c r="AU9" s="13"/>
      <c r="AV9" s="14"/>
      <c r="AW9" s="15"/>
      <c r="AX9" s="15"/>
      <c r="AY9" s="54"/>
      <c r="AZ9" s="57"/>
      <c r="BA9" s="57"/>
      <c r="BB9" s="58"/>
      <c r="BC9" s="38"/>
      <c r="BD9" s="16"/>
      <c r="BE9" s="19"/>
      <c r="BF9" s="8"/>
      <c r="BG9" s="1"/>
      <c r="BH9" s="8"/>
      <c r="BI9" s="8"/>
      <c r="BJ9" s="8"/>
      <c r="BK9" s="8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0" ht="14.25" customHeight="1">
      <c r="A10" s="1"/>
      <c r="B10" s="1"/>
      <c r="C10" s="1"/>
      <c r="D10" s="1"/>
      <c r="E10" s="2" t="s">
        <v>19</v>
      </c>
      <c r="F10" s="50">
        <v>3000.0</v>
      </c>
      <c r="G10" s="51">
        <f t="shared" si="1"/>
        <v>0</v>
      </c>
      <c r="H10" s="52">
        <v>3000.0</v>
      </c>
      <c r="I10" s="52"/>
      <c r="J10" s="2"/>
      <c r="K10" s="2"/>
      <c r="L10" s="59"/>
      <c r="M10" s="53"/>
      <c r="N10" s="8"/>
      <c r="O10" s="13"/>
      <c r="P10" s="55"/>
      <c r="Q10" s="1"/>
      <c r="R10" s="8"/>
      <c r="S10" s="8"/>
      <c r="T10" s="8"/>
      <c r="U10" s="9"/>
      <c r="V10" s="10"/>
      <c r="W10" s="9"/>
      <c r="X10" s="9"/>
      <c r="Y10" s="9"/>
      <c r="Z10" s="9"/>
      <c r="AA10" s="8"/>
      <c r="AB10" s="8"/>
      <c r="AC10" s="8"/>
      <c r="AD10" s="8"/>
      <c r="AE10" s="10"/>
      <c r="AF10" s="10"/>
      <c r="AG10" s="10"/>
      <c r="AH10" s="11"/>
      <c r="AI10" s="8"/>
      <c r="AJ10" s="8"/>
      <c r="AK10" s="8"/>
      <c r="AL10" s="8"/>
      <c r="AM10" s="8"/>
      <c r="AN10" s="8"/>
      <c r="AO10" s="8"/>
      <c r="AP10" s="12"/>
      <c r="AQ10" s="8"/>
      <c r="AR10" s="8"/>
      <c r="AS10" s="10"/>
      <c r="AT10" s="10"/>
      <c r="AU10" s="13"/>
      <c r="AV10" s="14"/>
      <c r="AW10" s="15"/>
      <c r="AX10" s="60"/>
      <c r="AY10" s="15"/>
      <c r="AZ10" s="57"/>
      <c r="BA10" s="57"/>
      <c r="BB10" s="58"/>
      <c r="BC10" s="38"/>
      <c r="BD10" s="16"/>
      <c r="BE10" s="19"/>
      <c r="BF10" s="8"/>
      <c r="BG10" s="1"/>
      <c r="BH10" s="8"/>
      <c r="BI10" s="8"/>
      <c r="BJ10" s="8"/>
      <c r="BK10" s="8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ht="14.25" customHeight="1">
      <c r="A11" s="61"/>
      <c r="B11" s="61"/>
      <c r="C11" s="61"/>
      <c r="D11" s="61"/>
      <c r="E11" s="2" t="s">
        <v>20</v>
      </c>
      <c r="F11" s="50">
        <v>350.0</v>
      </c>
      <c r="G11" s="51"/>
      <c r="H11" s="2"/>
      <c r="I11" s="2"/>
      <c r="J11" s="62"/>
      <c r="K11" s="62"/>
      <c r="L11" s="61"/>
      <c r="M11" s="59"/>
      <c r="N11" s="59"/>
      <c r="O11" s="59"/>
      <c r="P11" s="59"/>
      <c r="Q11" s="61"/>
      <c r="R11" s="59"/>
      <c r="S11" s="59"/>
      <c r="T11" s="59"/>
      <c r="U11" s="59"/>
      <c r="V11" s="59"/>
      <c r="W11" s="59"/>
      <c r="X11" s="59"/>
      <c r="Y11" s="59"/>
      <c r="Z11" s="46"/>
      <c r="AA11" s="46"/>
      <c r="AB11" s="46"/>
      <c r="AC11" s="46"/>
      <c r="AD11" s="46"/>
      <c r="AE11" s="46"/>
      <c r="AF11" s="46"/>
      <c r="AG11" s="46"/>
      <c r="AH11" s="63"/>
      <c r="AI11" s="59"/>
      <c r="AJ11" s="59"/>
      <c r="AK11" s="59"/>
      <c r="AL11" s="59"/>
      <c r="AM11" s="59"/>
      <c r="AN11" s="59"/>
      <c r="AO11" s="59"/>
      <c r="AP11" s="64"/>
      <c r="AQ11" s="46"/>
      <c r="AR11" s="59"/>
      <c r="AS11" s="59"/>
      <c r="AT11" s="59"/>
      <c r="AU11" s="65"/>
      <c r="AV11" s="66"/>
      <c r="AW11" s="67"/>
      <c r="AX11" s="60"/>
      <c r="AY11" s="61"/>
      <c r="AZ11" s="61"/>
      <c r="BA11" s="57"/>
      <c r="BB11" s="61"/>
      <c r="BC11" s="61"/>
      <c r="BD11" s="61"/>
      <c r="BE11" s="61"/>
      <c r="BF11" s="61"/>
      <c r="BG11" s="61"/>
      <c r="BH11" s="46"/>
      <c r="BI11" s="46"/>
      <c r="BJ11" s="46"/>
      <c r="BK11" s="46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</row>
    <row r="12" ht="14.25" customHeight="1">
      <c r="A12" s="1"/>
      <c r="B12" s="1"/>
      <c r="C12" s="1"/>
      <c r="D12" s="1"/>
      <c r="E12" s="1"/>
      <c r="F12" s="13"/>
      <c r="G12" s="8"/>
      <c r="H12" s="68"/>
      <c r="I12" s="68"/>
      <c r="J12" s="5"/>
      <c r="K12" s="5"/>
      <c r="L12" s="13"/>
      <c r="M12" s="13"/>
      <c r="N12" s="8"/>
      <c r="O12" s="13"/>
      <c r="P12" s="8"/>
      <c r="Q12" s="1"/>
      <c r="R12" s="8"/>
      <c r="S12" s="8"/>
      <c r="T12" s="8"/>
      <c r="U12" s="9"/>
      <c r="V12" s="10"/>
      <c r="W12" s="9"/>
      <c r="X12" s="9"/>
      <c r="Y12" s="9"/>
      <c r="Z12" s="9"/>
      <c r="AA12" s="8"/>
      <c r="AB12" s="8"/>
      <c r="AC12" s="8"/>
      <c r="AD12" s="8"/>
      <c r="AE12" s="8"/>
      <c r="AF12" s="8"/>
      <c r="AG12" s="8"/>
      <c r="AH12" s="11"/>
      <c r="AI12" s="69" t="s">
        <v>21</v>
      </c>
      <c r="AJ12" s="70"/>
      <c r="AK12" s="8"/>
      <c r="AL12" s="8"/>
      <c r="AM12" s="8"/>
      <c r="AN12" s="8"/>
      <c r="AO12" s="8"/>
      <c r="AP12" s="12"/>
      <c r="AQ12" s="71" t="s">
        <v>22</v>
      </c>
      <c r="AR12" s="72"/>
      <c r="AS12" s="72"/>
      <c r="AT12" s="73"/>
      <c r="AU12" s="13"/>
      <c r="AV12" s="14"/>
      <c r="AW12" s="74" t="s">
        <v>23</v>
      </c>
      <c r="AX12" s="75"/>
      <c r="AY12" s="75"/>
      <c r="AZ12" s="75"/>
      <c r="BA12" s="75"/>
      <c r="BB12" s="75"/>
      <c r="BC12" s="75"/>
      <c r="BD12" s="76"/>
      <c r="BE12" s="19"/>
      <c r="BF12" s="77"/>
      <c r="BG12" s="1"/>
      <c r="BH12" s="8"/>
      <c r="BI12" s="8"/>
      <c r="BJ12" s="8"/>
      <c r="BK12" s="8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ht="14.25" customHeight="1">
      <c r="A13" s="78" t="s">
        <v>24</v>
      </c>
      <c r="B13" s="79" t="s">
        <v>25</v>
      </c>
      <c r="C13" s="79" t="s">
        <v>26</v>
      </c>
      <c r="D13" s="78" t="s">
        <v>27</v>
      </c>
      <c r="E13" s="80" t="s">
        <v>28</v>
      </c>
      <c r="F13" s="80" t="s">
        <v>29</v>
      </c>
      <c r="G13" s="81" t="s">
        <v>30</v>
      </c>
      <c r="H13" s="81" t="s">
        <v>31</v>
      </c>
      <c r="I13" s="81" t="s">
        <v>32</v>
      </c>
      <c r="J13" s="80" t="s">
        <v>33</v>
      </c>
      <c r="K13" s="80" t="s">
        <v>34</v>
      </c>
      <c r="L13" s="80" t="s">
        <v>35</v>
      </c>
      <c r="M13" s="80" t="s">
        <v>36</v>
      </c>
      <c r="N13" s="81" t="s">
        <v>37</v>
      </c>
      <c r="O13" s="80" t="s">
        <v>38</v>
      </c>
      <c r="P13" s="82" t="s">
        <v>39</v>
      </c>
      <c r="Q13" s="83" t="s">
        <v>40</v>
      </c>
      <c r="R13" s="81" t="s">
        <v>41</v>
      </c>
      <c r="S13" s="82" t="s">
        <v>42</v>
      </c>
      <c r="T13" s="82" t="s">
        <v>43</v>
      </c>
      <c r="U13" s="84" t="s">
        <v>44</v>
      </c>
      <c r="V13" s="85" t="s">
        <v>45</v>
      </c>
      <c r="W13" s="84" t="s">
        <v>46</v>
      </c>
      <c r="X13" s="84" t="s">
        <v>47</v>
      </c>
      <c r="Y13" s="84" t="s">
        <v>48</v>
      </c>
      <c r="Z13" s="84" t="s">
        <v>49</v>
      </c>
      <c r="AA13" s="86" t="s">
        <v>50</v>
      </c>
      <c r="AB13" s="87" t="s">
        <v>51</v>
      </c>
      <c r="AC13" s="86" t="s">
        <v>52</v>
      </c>
      <c r="AD13" s="88" t="s">
        <v>53</v>
      </c>
      <c r="AE13" s="87" t="s">
        <v>54</v>
      </c>
      <c r="AF13" s="87" t="s">
        <v>55</v>
      </c>
      <c r="AG13" s="87" t="s">
        <v>56</v>
      </c>
      <c r="AH13" s="89" t="s">
        <v>57</v>
      </c>
      <c r="AI13" s="90" t="s">
        <v>58</v>
      </c>
      <c r="AJ13" s="91" t="s">
        <v>59</v>
      </c>
      <c r="AK13" s="92" t="s">
        <v>60</v>
      </c>
      <c r="AL13" s="92" t="s">
        <v>57</v>
      </c>
      <c r="AM13" s="86" t="s">
        <v>61</v>
      </c>
      <c r="AN13" s="86" t="s">
        <v>62</v>
      </c>
      <c r="AO13" s="93" t="s">
        <v>63</v>
      </c>
      <c r="AP13" s="94"/>
      <c r="AQ13" s="95" t="s">
        <v>64</v>
      </c>
      <c r="AR13" s="95" t="s">
        <v>65</v>
      </c>
      <c r="AS13" s="96" t="s">
        <v>66</v>
      </c>
      <c r="AT13" s="96" t="s">
        <v>67</v>
      </c>
      <c r="AU13" s="97" t="s">
        <v>68</v>
      </c>
      <c r="AV13" s="14" t="s">
        <v>69</v>
      </c>
      <c r="AW13" s="98" t="s">
        <v>70</v>
      </c>
      <c r="AX13" s="98" t="s">
        <v>71</v>
      </c>
      <c r="AY13" s="98" t="s">
        <v>72</v>
      </c>
      <c r="AZ13" s="98" t="s">
        <v>73</v>
      </c>
      <c r="BA13" s="98" t="s">
        <v>74</v>
      </c>
      <c r="BB13" s="99" t="s">
        <v>75</v>
      </c>
      <c r="BC13" s="100" t="s">
        <v>76</v>
      </c>
      <c r="BD13" s="101" t="s">
        <v>77</v>
      </c>
      <c r="BE13" s="5" t="s">
        <v>78</v>
      </c>
      <c r="BF13" s="102" t="s">
        <v>79</v>
      </c>
      <c r="BG13" s="1"/>
      <c r="BH13" s="86" t="s">
        <v>80</v>
      </c>
      <c r="BI13" s="86" t="s">
        <v>81</v>
      </c>
      <c r="BJ13" s="86" t="s">
        <v>82</v>
      </c>
      <c r="BK13" s="86" t="s">
        <v>83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ht="14.25" customHeight="1">
      <c r="A14" s="103" t="s">
        <v>84</v>
      </c>
      <c r="B14" s="103" t="s">
        <v>85</v>
      </c>
      <c r="C14" s="103" t="s">
        <v>85</v>
      </c>
      <c r="D14" s="103" t="s">
        <v>86</v>
      </c>
      <c r="E14" s="104" t="s">
        <v>87</v>
      </c>
      <c r="F14" s="105" t="s">
        <v>88</v>
      </c>
      <c r="G14" s="106" t="s">
        <v>89</v>
      </c>
      <c r="H14" s="106">
        <v>24.0</v>
      </c>
      <c r="I14" s="107" t="s">
        <v>90</v>
      </c>
      <c r="J14" s="108" t="s">
        <v>91</v>
      </c>
      <c r="K14" s="108" t="str">
        <f>_xlfn.XLOOKUP(J14,[1]Sheet1!$A:$A,[1]Sheet1!$B:$B,"")</f>
        <v>#ERROR!</v>
      </c>
      <c r="L14" s="105" t="s">
        <v>92</v>
      </c>
      <c r="M14" s="105" t="s">
        <v>93</v>
      </c>
      <c r="N14" s="106" t="s">
        <v>94</v>
      </c>
      <c r="O14" s="109" t="s">
        <v>95</v>
      </c>
      <c r="P14" s="110">
        <v>13.9</v>
      </c>
      <c r="Q14" s="103" t="s">
        <v>96</v>
      </c>
      <c r="R14" s="110" t="s">
        <v>97</v>
      </c>
      <c r="S14" s="110">
        <v>12.0</v>
      </c>
      <c r="T14" s="111" t="e">
        <v>#N/A</v>
      </c>
      <c r="U14" s="106" t="s">
        <v>98</v>
      </c>
      <c r="V14" s="112">
        <v>0.0</v>
      </c>
      <c r="W14" s="113">
        <v>45.0</v>
      </c>
      <c r="X14" s="113">
        <v>45.0</v>
      </c>
      <c r="Y14" s="113">
        <v>55.0</v>
      </c>
      <c r="Z14" s="113" t="s">
        <v>99</v>
      </c>
      <c r="AA14" s="114">
        <f t="shared" ref="AA14:AA22" si="3">BC14/(1-(AK14+2%))</f>
        <v>281.5248835</v>
      </c>
      <c r="AB14" s="115" t="str">
        <f t="shared" ref="AB14:AB29" si="4">VLOOKUP(J14,'[2]PO &amp; SC Sept 2025'!$I$14:$BK$660,55,FALSE)+(($F$3/1000)-1.5)*P14</f>
        <v>#REF!</v>
      </c>
      <c r="AC14" s="116">
        <f t="shared" ref="AC14:AC104" si="5">BD14/(1-AK14)</f>
        <v>249.047763</v>
      </c>
      <c r="AD14" s="117">
        <f t="shared" ref="AD14:AD104" si="6">AC14/0.95</f>
        <v>262.15554</v>
      </c>
      <c r="AE14" s="118" t="str">
        <f t="shared" ref="AE14:AE29" si="7">VLOOKUP(J14,'[2]PO &amp; SC Sept 2025'!$I$14:$BE$660,49,FALSE)+(P14*(($F$4/1000)-1.5))</f>
        <v>#REF!</v>
      </c>
      <c r="AF14" s="118" t="str">
        <f t="shared" ref="AF14:AF29" si="8">VLOOKUP(J14,'[2]PO &amp; SC Sept 2025'!$I$14:$AA$938,19,FALSE)</f>
        <v>#REF!</v>
      </c>
      <c r="AG14" s="119" t="str">
        <f t="shared" ref="AG14:AG29" si="9">VLOOKUP(J14,'[2]PO &amp; SC Sept 2025'!$I$14:$AD$938,22,FALSE)</f>
        <v>#REF!</v>
      </c>
      <c r="AH14" s="120" t="str">
        <f t="shared" ref="AH14:AH35" si="10">AG14*AF14</f>
        <v>#REF!</v>
      </c>
      <c r="AI14" s="121">
        <v>0.09</v>
      </c>
      <c r="AJ14" s="121">
        <v>0.09</v>
      </c>
      <c r="AK14" s="122">
        <v>0.19</v>
      </c>
      <c r="AL14" s="123">
        <f t="shared" ref="AL14:AL1107" si="11">AK14*AC14</f>
        <v>47.31907498</v>
      </c>
      <c r="AM14" s="124" t="s">
        <v>10</v>
      </c>
      <c r="AN14" s="125">
        <f t="shared" ref="AN14:AN114" si="12">AC14</f>
        <v>249.047763</v>
      </c>
      <c r="AO14" s="126">
        <f t="shared" ref="AO14:AO59" si="13">1-(BD14/AN14)</f>
        <v>0.19</v>
      </c>
      <c r="AP14" s="127"/>
      <c r="AQ14" s="128">
        <f t="shared" ref="AQ14:AR14" si="2">BC14/(1-AI14)</f>
        <v>244.400723</v>
      </c>
      <c r="AR14" s="125">
        <f t="shared" si="2"/>
        <v>221.679877</v>
      </c>
      <c r="AS14" s="126">
        <f t="shared" ref="AS14:AS60" si="15">1-(AQ14/AA14)</f>
        <v>0.1318681319</v>
      </c>
      <c r="AT14" s="126">
        <f t="shared" ref="AT14:AT60" si="16">1-(AR14/AC14)</f>
        <v>0.1098901099</v>
      </c>
      <c r="AU14" s="129"/>
      <c r="AV14" s="39" t="s">
        <v>100</v>
      </c>
      <c r="AW14" s="130">
        <f t="shared" ref="AW14:AW15" si="17">6.53*2</f>
        <v>13.06</v>
      </c>
      <c r="AX14" s="130">
        <v>1170.3</v>
      </c>
      <c r="AY14" s="130"/>
      <c r="AZ14" s="130">
        <v>5.0</v>
      </c>
      <c r="BA14" s="130">
        <f t="shared" ref="BA14:BA22" si="18">($F$2-70000)/1000*AW14+AX14</f>
        <v>1522.92</v>
      </c>
      <c r="BB14" s="130">
        <f t="shared" ref="BB14:BB22" si="19">AZ14+BA14</f>
        <v>1527.92</v>
      </c>
      <c r="BC14" s="131">
        <f t="shared" ref="BC14:BC22" si="20">(AZ14+BA14)/$F$5</f>
        <v>222.4046579</v>
      </c>
      <c r="BD14" s="132">
        <f t="shared" ref="BD14:BD22" si="21">(BC14/$F$6)+(($F$9+$G$9)/40/S14)+BC14*V14</f>
        <v>201.7286881</v>
      </c>
      <c r="BE14" s="133"/>
      <c r="BF14" s="134" t="s">
        <v>101</v>
      </c>
      <c r="BG14" s="49"/>
      <c r="BH14" s="116">
        <f t="shared" ref="BH14:BH174" si="22">AC14/0.3</f>
        <v>830.1592101</v>
      </c>
      <c r="BI14" s="116">
        <f t="shared" ref="BI14:BI174" si="23">BH14*0.6</f>
        <v>498.0955261</v>
      </c>
      <c r="BJ14" s="116">
        <f t="shared" ref="BJ14:BJ174" si="24">BH14*0.5</f>
        <v>415.0796051</v>
      </c>
      <c r="BK14" s="116">
        <f t="shared" ref="BK14:BK174" si="25">BH14*0.4</f>
        <v>332.063684</v>
      </c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</row>
    <row r="15" ht="14.25" customHeight="1">
      <c r="A15" s="103" t="s">
        <v>84</v>
      </c>
      <c r="B15" s="103" t="s">
        <v>85</v>
      </c>
      <c r="C15" s="103" t="s">
        <v>85</v>
      </c>
      <c r="D15" s="103" t="s">
        <v>86</v>
      </c>
      <c r="E15" s="104" t="s">
        <v>87</v>
      </c>
      <c r="F15" s="105" t="s">
        <v>88</v>
      </c>
      <c r="G15" s="106" t="s">
        <v>89</v>
      </c>
      <c r="H15" s="106">
        <v>24.0</v>
      </c>
      <c r="I15" s="107" t="s">
        <v>102</v>
      </c>
      <c r="J15" s="108" t="s">
        <v>103</v>
      </c>
      <c r="K15" s="108" t="str">
        <f>_xlfn.XLOOKUP(J15,[1]Sheet1!$A:$A,[1]Sheet1!$B:$B,"")</f>
        <v>#ERROR!</v>
      </c>
      <c r="L15" s="105" t="s">
        <v>104</v>
      </c>
      <c r="M15" s="105" t="s">
        <v>105</v>
      </c>
      <c r="N15" s="106" t="s">
        <v>106</v>
      </c>
      <c r="O15" s="109" t="s">
        <v>95</v>
      </c>
      <c r="P15" s="110">
        <v>13.9</v>
      </c>
      <c r="Q15" s="103" t="s">
        <v>96</v>
      </c>
      <c r="R15" s="110" t="s">
        <v>97</v>
      </c>
      <c r="S15" s="110">
        <v>12.0</v>
      </c>
      <c r="T15" s="111" t="e">
        <v>#N/A</v>
      </c>
      <c r="U15" s="106" t="s">
        <v>98</v>
      </c>
      <c r="V15" s="112">
        <v>0.0</v>
      </c>
      <c r="W15" s="113">
        <v>45.0</v>
      </c>
      <c r="X15" s="113">
        <v>45.0</v>
      </c>
      <c r="Y15" s="113">
        <v>55.0</v>
      </c>
      <c r="Z15" s="113" t="s">
        <v>99</v>
      </c>
      <c r="AA15" s="114">
        <f t="shared" si="3"/>
        <v>295.3588624</v>
      </c>
      <c r="AB15" s="115" t="str">
        <f t="shared" si="4"/>
        <v>#REF!</v>
      </c>
      <c r="AC15" s="116">
        <f t="shared" si="5"/>
        <v>260.8296152</v>
      </c>
      <c r="AD15" s="117">
        <f t="shared" si="6"/>
        <v>274.5574897</v>
      </c>
      <c r="AE15" s="118" t="str">
        <f t="shared" si="7"/>
        <v>#REF!</v>
      </c>
      <c r="AF15" s="118" t="str">
        <f t="shared" si="8"/>
        <v>#REF!</v>
      </c>
      <c r="AG15" s="119" t="str">
        <f t="shared" si="9"/>
        <v>#REF!</v>
      </c>
      <c r="AH15" s="120" t="str">
        <f t="shared" si="10"/>
        <v>#REF!</v>
      </c>
      <c r="AI15" s="121">
        <v>0.09</v>
      </c>
      <c r="AJ15" s="121">
        <v>0.09</v>
      </c>
      <c r="AK15" s="122">
        <v>0.2</v>
      </c>
      <c r="AL15" s="123">
        <f t="shared" si="11"/>
        <v>52.16592304</v>
      </c>
      <c r="AM15" s="124" t="s">
        <v>10</v>
      </c>
      <c r="AN15" s="125">
        <f t="shared" si="12"/>
        <v>260.8296152</v>
      </c>
      <c r="AO15" s="126">
        <f t="shared" si="13"/>
        <v>0.2</v>
      </c>
      <c r="AP15" s="127"/>
      <c r="AQ15" s="128">
        <f t="shared" ref="AQ15:AR15" si="14">BC15/(1-AI15)</f>
        <v>253.1647392</v>
      </c>
      <c r="AR15" s="125">
        <f t="shared" si="14"/>
        <v>229.3007606</v>
      </c>
      <c r="AS15" s="126">
        <f t="shared" si="15"/>
        <v>0.1428571429</v>
      </c>
      <c r="AT15" s="126">
        <f t="shared" si="16"/>
        <v>0.1208791209</v>
      </c>
      <c r="AU15" s="129"/>
      <c r="AV15" s="39" t="s">
        <v>100</v>
      </c>
      <c r="AW15" s="130">
        <f t="shared" si="17"/>
        <v>13.06</v>
      </c>
      <c r="AX15" s="130">
        <v>1225.09</v>
      </c>
      <c r="AY15" s="130"/>
      <c r="AZ15" s="130">
        <v>5.0</v>
      </c>
      <c r="BA15" s="130">
        <f t="shared" si="18"/>
        <v>1577.71</v>
      </c>
      <c r="BB15" s="130">
        <f t="shared" si="19"/>
        <v>1582.71</v>
      </c>
      <c r="BC15" s="131">
        <f t="shared" si="20"/>
        <v>230.3799127</v>
      </c>
      <c r="BD15" s="132">
        <f t="shared" si="21"/>
        <v>208.6636922</v>
      </c>
      <c r="BE15" s="133"/>
      <c r="BF15" s="134" t="s">
        <v>101</v>
      </c>
      <c r="BG15" s="49"/>
      <c r="BH15" s="116">
        <f t="shared" si="22"/>
        <v>869.4320507</v>
      </c>
      <c r="BI15" s="116">
        <f t="shared" si="23"/>
        <v>521.6592304</v>
      </c>
      <c r="BJ15" s="116">
        <f t="shared" si="24"/>
        <v>434.7160254</v>
      </c>
      <c r="BK15" s="116">
        <f t="shared" si="25"/>
        <v>347.7728203</v>
      </c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</row>
    <row r="16" ht="14.25" customHeight="1">
      <c r="A16" s="103" t="s">
        <v>84</v>
      </c>
      <c r="B16" s="103" t="s">
        <v>85</v>
      </c>
      <c r="C16" s="103" t="s">
        <v>85</v>
      </c>
      <c r="D16" s="103" t="s">
        <v>86</v>
      </c>
      <c r="E16" s="104" t="s">
        <v>87</v>
      </c>
      <c r="F16" s="105" t="s">
        <v>88</v>
      </c>
      <c r="G16" s="106" t="s">
        <v>107</v>
      </c>
      <c r="H16" s="106">
        <v>24.0</v>
      </c>
      <c r="I16" s="107" t="s">
        <v>108</v>
      </c>
      <c r="J16" s="108" t="s">
        <v>109</v>
      </c>
      <c r="K16" s="108" t="str">
        <f>_xlfn.XLOOKUP(J16,[1]Sheet1!$A:$A,[1]Sheet1!$B:$B,"")</f>
        <v>#ERROR!</v>
      </c>
      <c r="L16" s="105" t="s">
        <v>110</v>
      </c>
      <c r="M16" s="105" t="s">
        <v>111</v>
      </c>
      <c r="N16" s="106" t="s">
        <v>94</v>
      </c>
      <c r="O16" s="109" t="s">
        <v>95</v>
      </c>
      <c r="P16" s="110">
        <v>15.5</v>
      </c>
      <c r="Q16" s="103" t="s">
        <v>96</v>
      </c>
      <c r="R16" s="110" t="s">
        <v>97</v>
      </c>
      <c r="S16" s="110">
        <v>15.0</v>
      </c>
      <c r="T16" s="111" t="e">
        <v>#N/A</v>
      </c>
      <c r="U16" s="106" t="s">
        <v>98</v>
      </c>
      <c r="V16" s="112">
        <v>0.0</v>
      </c>
      <c r="W16" s="113">
        <v>45.0</v>
      </c>
      <c r="X16" s="113">
        <v>45.0</v>
      </c>
      <c r="Y16" s="113">
        <v>55.0</v>
      </c>
      <c r="Z16" s="113" t="s">
        <v>99</v>
      </c>
      <c r="AA16" s="114">
        <f t="shared" si="3"/>
        <v>380.8817896</v>
      </c>
      <c r="AB16" s="115" t="str">
        <f t="shared" si="4"/>
        <v>#REF!</v>
      </c>
      <c r="AC16" s="116">
        <f t="shared" si="5"/>
        <v>331.2562171</v>
      </c>
      <c r="AD16" s="117">
        <f t="shared" si="6"/>
        <v>348.6907549</v>
      </c>
      <c r="AE16" s="118" t="str">
        <f t="shared" si="7"/>
        <v>#REF!</v>
      </c>
      <c r="AF16" s="118" t="str">
        <f t="shared" si="8"/>
        <v>#REF!</v>
      </c>
      <c r="AG16" s="119" t="str">
        <f t="shared" si="9"/>
        <v>#REF!</v>
      </c>
      <c r="AH16" s="120" t="str">
        <f t="shared" si="10"/>
        <v>#REF!</v>
      </c>
      <c r="AI16" s="121">
        <v>0.09</v>
      </c>
      <c r="AJ16" s="121">
        <v>0.09</v>
      </c>
      <c r="AK16" s="122">
        <v>0.22</v>
      </c>
      <c r="AL16" s="123">
        <f t="shared" si="11"/>
        <v>72.87636777</v>
      </c>
      <c r="AM16" s="124" t="s">
        <v>10</v>
      </c>
      <c r="AN16" s="125">
        <f t="shared" si="12"/>
        <v>331.2562171</v>
      </c>
      <c r="AO16" s="126">
        <f t="shared" si="13"/>
        <v>0.22</v>
      </c>
      <c r="AP16" s="127"/>
      <c r="AQ16" s="128">
        <f t="shared" ref="AQ16:AR16" si="26">BC16/(1-AI16)</f>
        <v>318.0990771</v>
      </c>
      <c r="AR16" s="125">
        <f t="shared" si="26"/>
        <v>283.9339004</v>
      </c>
      <c r="AS16" s="126">
        <f t="shared" si="15"/>
        <v>0.1648351648</v>
      </c>
      <c r="AT16" s="126">
        <f t="shared" si="16"/>
        <v>0.1428571429</v>
      </c>
      <c r="AU16" s="129"/>
      <c r="AV16" s="39" t="s">
        <v>100</v>
      </c>
      <c r="AW16" s="130">
        <f t="shared" ref="AW16:AW17" si="28">8.06*2</f>
        <v>16.12</v>
      </c>
      <c r="AX16" s="130">
        <v>1548.42</v>
      </c>
      <c r="AY16" s="130"/>
      <c r="AZ16" s="130">
        <v>5.0</v>
      </c>
      <c r="BA16" s="130">
        <f t="shared" si="18"/>
        <v>1983.66</v>
      </c>
      <c r="BB16" s="130">
        <f t="shared" si="19"/>
        <v>1988.66</v>
      </c>
      <c r="BC16" s="131">
        <f t="shared" si="20"/>
        <v>289.4701601</v>
      </c>
      <c r="BD16" s="132">
        <f t="shared" si="21"/>
        <v>258.3798494</v>
      </c>
      <c r="BE16" s="133"/>
      <c r="BF16" s="134" t="s">
        <v>101</v>
      </c>
      <c r="BG16" s="49"/>
      <c r="BH16" s="116">
        <f t="shared" si="22"/>
        <v>1104.18739</v>
      </c>
      <c r="BI16" s="116">
        <f t="shared" si="23"/>
        <v>662.5124343</v>
      </c>
      <c r="BJ16" s="116">
        <f t="shared" si="24"/>
        <v>552.0936952</v>
      </c>
      <c r="BK16" s="116">
        <f t="shared" si="25"/>
        <v>441.6749562</v>
      </c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</row>
    <row r="17" ht="14.25" customHeight="1">
      <c r="A17" s="103" t="s">
        <v>84</v>
      </c>
      <c r="B17" s="103" t="s">
        <v>85</v>
      </c>
      <c r="C17" s="103" t="s">
        <v>85</v>
      </c>
      <c r="D17" s="103" t="s">
        <v>86</v>
      </c>
      <c r="E17" s="104" t="s">
        <v>87</v>
      </c>
      <c r="F17" s="105" t="s">
        <v>88</v>
      </c>
      <c r="G17" s="106" t="s">
        <v>107</v>
      </c>
      <c r="H17" s="106">
        <v>24.0</v>
      </c>
      <c r="I17" s="107" t="s">
        <v>112</v>
      </c>
      <c r="J17" s="108" t="s">
        <v>113</v>
      </c>
      <c r="K17" s="108" t="str">
        <f>_xlfn.XLOOKUP(J17,[1]Sheet1!$A:$A,[1]Sheet1!$B:$B,"")</f>
        <v>#ERROR!</v>
      </c>
      <c r="L17" s="105" t="s">
        <v>114</v>
      </c>
      <c r="M17" s="105" t="s">
        <v>115</v>
      </c>
      <c r="N17" s="106" t="s">
        <v>106</v>
      </c>
      <c r="O17" s="109" t="s">
        <v>95</v>
      </c>
      <c r="P17" s="110">
        <v>15.5</v>
      </c>
      <c r="Q17" s="103" t="s">
        <v>96</v>
      </c>
      <c r="R17" s="110" t="s">
        <v>97</v>
      </c>
      <c r="S17" s="110">
        <v>15.0</v>
      </c>
      <c r="T17" s="111" t="e">
        <v>#N/A</v>
      </c>
      <c r="U17" s="106" t="s">
        <v>98</v>
      </c>
      <c r="V17" s="112">
        <v>0.0</v>
      </c>
      <c r="W17" s="113">
        <v>45.0</v>
      </c>
      <c r="X17" s="113">
        <v>45.0</v>
      </c>
      <c r="Y17" s="113">
        <v>55.0</v>
      </c>
      <c r="Z17" s="113" t="s">
        <v>99</v>
      </c>
      <c r="AA17" s="114">
        <f t="shared" si="3"/>
        <v>393.8864629</v>
      </c>
      <c r="AB17" s="115" t="str">
        <f t="shared" si="4"/>
        <v>#REF!</v>
      </c>
      <c r="AC17" s="116">
        <f t="shared" si="5"/>
        <v>342.2746694</v>
      </c>
      <c r="AD17" s="117">
        <f t="shared" si="6"/>
        <v>360.2891257</v>
      </c>
      <c r="AE17" s="118" t="str">
        <f t="shared" si="7"/>
        <v>#REF!</v>
      </c>
      <c r="AF17" s="118" t="str">
        <f t="shared" si="8"/>
        <v>#REF!</v>
      </c>
      <c r="AG17" s="119" t="str">
        <f t="shared" si="9"/>
        <v>#REF!</v>
      </c>
      <c r="AH17" s="120" t="str">
        <f t="shared" si="10"/>
        <v>#REF!</v>
      </c>
      <c r="AI17" s="121">
        <v>0.09</v>
      </c>
      <c r="AJ17" s="121">
        <v>0.09</v>
      </c>
      <c r="AK17" s="122">
        <v>0.22</v>
      </c>
      <c r="AL17" s="123">
        <f t="shared" si="11"/>
        <v>75.30042727</v>
      </c>
      <c r="AM17" s="124" t="s">
        <v>10</v>
      </c>
      <c r="AN17" s="125">
        <f t="shared" si="12"/>
        <v>342.2746694</v>
      </c>
      <c r="AO17" s="126">
        <f t="shared" si="13"/>
        <v>0.22</v>
      </c>
      <c r="AP17" s="127"/>
      <c r="AQ17" s="128">
        <f t="shared" ref="AQ17:AR17" si="27">BC17/(1-AI17)</f>
        <v>328.9601228</v>
      </c>
      <c r="AR17" s="125">
        <f t="shared" si="27"/>
        <v>293.3782881</v>
      </c>
      <c r="AS17" s="126">
        <f t="shared" si="15"/>
        <v>0.1648351648</v>
      </c>
      <c r="AT17" s="126">
        <f t="shared" si="16"/>
        <v>0.1428571429</v>
      </c>
      <c r="AU17" s="129"/>
      <c r="AV17" s="39" t="s">
        <v>100</v>
      </c>
      <c r="AW17" s="130">
        <f t="shared" si="28"/>
        <v>16.12</v>
      </c>
      <c r="AX17" s="130">
        <v>1616.32</v>
      </c>
      <c r="AY17" s="130"/>
      <c r="AZ17" s="130">
        <v>5.0</v>
      </c>
      <c r="BA17" s="130">
        <f t="shared" si="18"/>
        <v>2051.56</v>
      </c>
      <c r="BB17" s="130">
        <f t="shared" si="19"/>
        <v>2056.56</v>
      </c>
      <c r="BC17" s="131">
        <f t="shared" si="20"/>
        <v>299.3537118</v>
      </c>
      <c r="BD17" s="132">
        <f t="shared" si="21"/>
        <v>266.9742421</v>
      </c>
      <c r="BE17" s="133"/>
      <c r="BF17" s="134" t="s">
        <v>101</v>
      </c>
      <c r="BG17" s="49"/>
      <c r="BH17" s="116">
        <f t="shared" si="22"/>
        <v>1140.915565</v>
      </c>
      <c r="BI17" s="116">
        <f t="shared" si="23"/>
        <v>684.5493388</v>
      </c>
      <c r="BJ17" s="116">
        <f t="shared" si="24"/>
        <v>570.4577823</v>
      </c>
      <c r="BK17" s="116">
        <f t="shared" si="25"/>
        <v>456.3662259</v>
      </c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</row>
    <row r="18" ht="14.25" customHeight="1">
      <c r="A18" s="103" t="s">
        <v>84</v>
      </c>
      <c r="B18" s="103" t="s">
        <v>85</v>
      </c>
      <c r="C18" s="103" t="s">
        <v>85</v>
      </c>
      <c r="D18" s="103" t="s">
        <v>86</v>
      </c>
      <c r="E18" s="104" t="s">
        <v>87</v>
      </c>
      <c r="F18" s="105" t="s">
        <v>88</v>
      </c>
      <c r="G18" s="106" t="s">
        <v>116</v>
      </c>
      <c r="H18" s="106">
        <v>24.0</v>
      </c>
      <c r="I18" s="107" t="s">
        <v>117</v>
      </c>
      <c r="J18" s="108" t="s">
        <v>118</v>
      </c>
      <c r="K18" s="108" t="str">
        <f>_xlfn.XLOOKUP(J18,[1]Sheet1!$A:$A,[1]Sheet1!$B:$B,"")</f>
        <v>#ERROR!</v>
      </c>
      <c r="L18" s="105" t="s">
        <v>119</v>
      </c>
      <c r="M18" s="105" t="s">
        <v>115</v>
      </c>
      <c r="N18" s="106" t="s">
        <v>106</v>
      </c>
      <c r="O18" s="109" t="s">
        <v>95</v>
      </c>
      <c r="P18" s="110">
        <v>15.5</v>
      </c>
      <c r="Q18" s="103" t="s">
        <v>96</v>
      </c>
      <c r="R18" s="110" t="s">
        <v>97</v>
      </c>
      <c r="S18" s="110">
        <v>15.5</v>
      </c>
      <c r="T18" s="111" t="e">
        <v>#N/A</v>
      </c>
      <c r="U18" s="106" t="s">
        <v>98</v>
      </c>
      <c r="V18" s="112">
        <v>0.0</v>
      </c>
      <c r="W18" s="113">
        <v>45.0</v>
      </c>
      <c r="X18" s="113">
        <v>45.0</v>
      </c>
      <c r="Y18" s="113">
        <v>55.0</v>
      </c>
      <c r="Z18" s="113" t="s">
        <v>99</v>
      </c>
      <c r="AA18" s="114">
        <f t="shared" si="3"/>
        <v>699.6734726</v>
      </c>
      <c r="AB18" s="115" t="str">
        <f t="shared" si="4"/>
        <v>#REF!</v>
      </c>
      <c r="AC18" s="116">
        <f t="shared" si="5"/>
        <v>600.889845</v>
      </c>
      <c r="AD18" s="117">
        <f t="shared" si="6"/>
        <v>632.5156264</v>
      </c>
      <c r="AE18" s="118" t="str">
        <f t="shared" si="7"/>
        <v>#REF!</v>
      </c>
      <c r="AF18" s="118" t="str">
        <f t="shared" si="8"/>
        <v>#REF!</v>
      </c>
      <c r="AG18" s="119" t="str">
        <f t="shared" si="9"/>
        <v>#REF!</v>
      </c>
      <c r="AH18" s="120" t="str">
        <f t="shared" si="10"/>
        <v>#REF!</v>
      </c>
      <c r="AI18" s="121">
        <v>0.09</v>
      </c>
      <c r="AJ18" s="121">
        <v>0.09</v>
      </c>
      <c r="AK18" s="122">
        <v>0.24</v>
      </c>
      <c r="AL18" s="123">
        <f t="shared" si="11"/>
        <v>144.2135628</v>
      </c>
      <c r="AM18" s="124" t="s">
        <v>10</v>
      </c>
      <c r="AN18" s="125">
        <f t="shared" si="12"/>
        <v>600.889845</v>
      </c>
      <c r="AO18" s="126">
        <f t="shared" si="13"/>
        <v>0.24</v>
      </c>
      <c r="AP18" s="127"/>
      <c r="AQ18" s="128">
        <f t="shared" ref="AQ18:AR18" si="29">BC18/(1-AI18)</f>
        <v>568.9652415</v>
      </c>
      <c r="AR18" s="125">
        <f t="shared" si="29"/>
        <v>501.8420684</v>
      </c>
      <c r="AS18" s="126">
        <f t="shared" si="15"/>
        <v>0.1868131868</v>
      </c>
      <c r="AT18" s="126">
        <f t="shared" si="16"/>
        <v>0.1648351648</v>
      </c>
      <c r="AU18" s="129"/>
      <c r="AV18" s="39" t="s">
        <v>100</v>
      </c>
      <c r="AW18" s="130">
        <f>13.69*2</f>
        <v>27.38</v>
      </c>
      <c r="AX18" s="130">
        <v>2812.74</v>
      </c>
      <c r="AY18" s="130"/>
      <c r="AZ18" s="130">
        <v>5.0</v>
      </c>
      <c r="BA18" s="130">
        <f t="shared" si="18"/>
        <v>3552</v>
      </c>
      <c r="BB18" s="130">
        <f t="shared" si="19"/>
        <v>3557</v>
      </c>
      <c r="BC18" s="131">
        <f t="shared" si="20"/>
        <v>517.7583697</v>
      </c>
      <c r="BD18" s="132">
        <f t="shared" si="21"/>
        <v>456.6762822</v>
      </c>
      <c r="BE18" s="133"/>
      <c r="BF18" s="134" t="s">
        <v>101</v>
      </c>
      <c r="BG18" s="49"/>
      <c r="BH18" s="116">
        <f t="shared" si="22"/>
        <v>2002.96615</v>
      </c>
      <c r="BI18" s="116">
        <f t="shared" si="23"/>
        <v>1201.77969</v>
      </c>
      <c r="BJ18" s="116">
        <f t="shared" si="24"/>
        <v>1001.483075</v>
      </c>
      <c r="BK18" s="116">
        <f t="shared" si="25"/>
        <v>801.18646</v>
      </c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</row>
    <row r="19" ht="14.25" customHeight="1">
      <c r="A19" s="103" t="s">
        <v>84</v>
      </c>
      <c r="B19" s="103" t="s">
        <v>85</v>
      </c>
      <c r="C19" s="103" t="s">
        <v>120</v>
      </c>
      <c r="D19" s="103" t="s">
        <v>86</v>
      </c>
      <c r="E19" s="104" t="s">
        <v>87</v>
      </c>
      <c r="F19" s="105" t="s">
        <v>121</v>
      </c>
      <c r="G19" s="106" t="s">
        <v>89</v>
      </c>
      <c r="H19" s="106">
        <v>24.0</v>
      </c>
      <c r="I19" s="107" t="s">
        <v>122</v>
      </c>
      <c r="J19" s="108" t="s">
        <v>123</v>
      </c>
      <c r="K19" s="108" t="str">
        <f>_xlfn.XLOOKUP(J19,[1]Sheet1!$A:$A,[1]Sheet1!$B:$B,"")</f>
        <v>#ERROR!</v>
      </c>
      <c r="L19" s="105" t="s">
        <v>124</v>
      </c>
      <c r="M19" s="105" t="s">
        <v>125</v>
      </c>
      <c r="N19" s="106" t="s">
        <v>94</v>
      </c>
      <c r="O19" s="109" t="s">
        <v>95</v>
      </c>
      <c r="P19" s="110">
        <v>15.12</v>
      </c>
      <c r="Q19" s="103" t="s">
        <v>96</v>
      </c>
      <c r="R19" s="110" t="s">
        <v>97</v>
      </c>
      <c r="S19" s="110">
        <v>12.0</v>
      </c>
      <c r="T19" s="111"/>
      <c r="U19" s="106" t="s">
        <v>98</v>
      </c>
      <c r="V19" s="112">
        <v>0.0</v>
      </c>
      <c r="W19" s="113">
        <v>45.0</v>
      </c>
      <c r="X19" s="113">
        <v>45.0</v>
      </c>
      <c r="Y19" s="113">
        <v>55.0</v>
      </c>
      <c r="Z19" s="113" t="s">
        <v>99</v>
      </c>
      <c r="AA19" s="114">
        <f t="shared" si="3"/>
        <v>333.3482626</v>
      </c>
      <c r="AB19" s="115" t="str">
        <f t="shared" si="4"/>
        <v>#REF!</v>
      </c>
      <c r="AC19" s="116">
        <f t="shared" si="5"/>
        <v>293.0380197</v>
      </c>
      <c r="AD19" s="117">
        <f t="shared" si="6"/>
        <v>308.4610734</v>
      </c>
      <c r="AE19" s="118" t="str">
        <f t="shared" si="7"/>
        <v>#REF!</v>
      </c>
      <c r="AF19" s="118" t="str">
        <f t="shared" si="8"/>
        <v>#REF!</v>
      </c>
      <c r="AG19" s="119" t="str">
        <f t="shared" si="9"/>
        <v>#REF!</v>
      </c>
      <c r="AH19" s="120" t="str">
        <f t="shared" si="10"/>
        <v>#REF!</v>
      </c>
      <c r="AI19" s="121">
        <v>0.09</v>
      </c>
      <c r="AJ19" s="121">
        <v>0.09</v>
      </c>
      <c r="AK19" s="122">
        <v>0.2</v>
      </c>
      <c r="AL19" s="123">
        <f t="shared" si="11"/>
        <v>58.60760395</v>
      </c>
      <c r="AM19" s="124" t="s">
        <v>10</v>
      </c>
      <c r="AN19" s="125">
        <f t="shared" si="12"/>
        <v>293.0380197</v>
      </c>
      <c r="AO19" s="126">
        <f t="shared" si="13"/>
        <v>0.2</v>
      </c>
      <c r="AP19" s="127"/>
      <c r="AQ19" s="128">
        <f t="shared" ref="AQ19:AR19" si="30">BC19/(1-AI19)</f>
        <v>285.7270822</v>
      </c>
      <c r="AR19" s="125">
        <f t="shared" si="30"/>
        <v>257.6158415</v>
      </c>
      <c r="AS19" s="126">
        <f t="shared" si="15"/>
        <v>0.1428571429</v>
      </c>
      <c r="AT19" s="126">
        <f t="shared" si="16"/>
        <v>0.1208791209</v>
      </c>
      <c r="AU19" s="129"/>
      <c r="AV19" s="39" t="s">
        <v>126</v>
      </c>
      <c r="AW19" s="130">
        <f t="shared" ref="AW19:AX19" si="31">ROUND(AW21*0.98,2)</f>
        <v>14.34</v>
      </c>
      <c r="AX19" s="130">
        <f t="shared" si="31"/>
        <v>1394.1</v>
      </c>
      <c r="AY19" s="130"/>
      <c r="AZ19" s="130">
        <v>5.0</v>
      </c>
      <c r="BA19" s="130">
        <f t="shared" si="18"/>
        <v>1781.28</v>
      </c>
      <c r="BB19" s="130">
        <f t="shared" si="19"/>
        <v>1786.28</v>
      </c>
      <c r="BC19" s="131">
        <f t="shared" si="20"/>
        <v>260.0116448</v>
      </c>
      <c r="BD19" s="132">
        <f t="shared" si="21"/>
        <v>234.4304158</v>
      </c>
      <c r="BE19" s="135" t="s">
        <v>127</v>
      </c>
      <c r="BF19" s="134" t="s">
        <v>101</v>
      </c>
      <c r="BG19" s="49"/>
      <c r="BH19" s="116">
        <f t="shared" si="22"/>
        <v>976.7933992</v>
      </c>
      <c r="BI19" s="116">
        <f t="shared" si="23"/>
        <v>586.0760395</v>
      </c>
      <c r="BJ19" s="116">
        <f t="shared" si="24"/>
        <v>488.3966996</v>
      </c>
      <c r="BK19" s="116">
        <f t="shared" si="25"/>
        <v>390.7173597</v>
      </c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</row>
    <row r="20" ht="14.25" customHeight="1">
      <c r="A20" s="103" t="s">
        <v>84</v>
      </c>
      <c r="B20" s="103" t="s">
        <v>85</v>
      </c>
      <c r="C20" s="103" t="s">
        <v>120</v>
      </c>
      <c r="D20" s="103" t="s">
        <v>86</v>
      </c>
      <c r="E20" s="104" t="s">
        <v>87</v>
      </c>
      <c r="F20" s="105" t="s">
        <v>121</v>
      </c>
      <c r="G20" s="106" t="s">
        <v>89</v>
      </c>
      <c r="H20" s="106">
        <v>24.0</v>
      </c>
      <c r="I20" s="107" t="s">
        <v>128</v>
      </c>
      <c r="J20" s="108" t="s">
        <v>129</v>
      </c>
      <c r="K20" s="108" t="str">
        <f>_xlfn.XLOOKUP(J20,[1]Sheet1!$A:$A,[1]Sheet1!$B:$B,"")</f>
        <v>#ERROR!</v>
      </c>
      <c r="L20" s="105" t="s">
        <v>130</v>
      </c>
      <c r="M20" s="105" t="s">
        <v>131</v>
      </c>
      <c r="N20" s="106" t="s">
        <v>94</v>
      </c>
      <c r="O20" s="109" t="s">
        <v>95</v>
      </c>
      <c r="P20" s="110">
        <v>15.12</v>
      </c>
      <c r="Q20" s="103" t="s">
        <v>132</v>
      </c>
      <c r="R20" s="110" t="s">
        <v>97</v>
      </c>
      <c r="S20" s="110">
        <v>9.15</v>
      </c>
      <c r="T20" s="111"/>
      <c r="U20" s="106" t="s">
        <v>98</v>
      </c>
      <c r="V20" s="112">
        <v>0.0</v>
      </c>
      <c r="W20" s="113">
        <v>45.0</v>
      </c>
      <c r="X20" s="113">
        <v>45.0</v>
      </c>
      <c r="Y20" s="113">
        <v>55.0</v>
      </c>
      <c r="Z20" s="113" t="s">
        <v>99</v>
      </c>
      <c r="AA20" s="114">
        <f t="shared" si="3"/>
        <v>336.7322634</v>
      </c>
      <c r="AB20" s="115" t="str">
        <f t="shared" si="4"/>
        <v>#REF!</v>
      </c>
      <c r="AC20" s="116">
        <f t="shared" si="5"/>
        <v>299.2318644</v>
      </c>
      <c r="AD20" s="117">
        <f t="shared" si="6"/>
        <v>314.9809099</v>
      </c>
      <c r="AE20" s="118" t="str">
        <f t="shared" si="7"/>
        <v>#REF!</v>
      </c>
      <c r="AF20" s="118" t="str">
        <f t="shared" si="8"/>
        <v>#REF!</v>
      </c>
      <c r="AG20" s="119" t="str">
        <f t="shared" si="9"/>
        <v>#REF!</v>
      </c>
      <c r="AH20" s="120" t="str">
        <f t="shared" si="10"/>
        <v>#REF!</v>
      </c>
      <c r="AI20" s="121">
        <v>0.09</v>
      </c>
      <c r="AJ20" s="121">
        <v>0.09</v>
      </c>
      <c r="AK20" s="122">
        <v>0.21</v>
      </c>
      <c r="AL20" s="123">
        <f t="shared" si="11"/>
        <v>62.83869152</v>
      </c>
      <c r="AM20" s="124" t="s">
        <v>10</v>
      </c>
      <c r="AN20" s="125">
        <f t="shared" si="12"/>
        <v>299.2318644</v>
      </c>
      <c r="AO20" s="126">
        <f t="shared" si="13"/>
        <v>0.21</v>
      </c>
      <c r="AP20" s="127"/>
      <c r="AQ20" s="128">
        <f t="shared" ref="AQ20:AR20" si="32">BC20/(1-AI20)</f>
        <v>284.9272998</v>
      </c>
      <c r="AR20" s="125">
        <f t="shared" si="32"/>
        <v>259.7727174</v>
      </c>
      <c r="AS20" s="126">
        <f t="shared" si="15"/>
        <v>0.1538461538</v>
      </c>
      <c r="AT20" s="126">
        <f t="shared" si="16"/>
        <v>0.1318681319</v>
      </c>
      <c r="AU20" s="129"/>
      <c r="AV20" s="39" t="s">
        <v>126</v>
      </c>
      <c r="AW20" s="130">
        <f t="shared" ref="AW20:AX20" si="33">ROUND(AW22*0.98,2)</f>
        <v>14.34</v>
      </c>
      <c r="AX20" s="130">
        <f t="shared" si="33"/>
        <v>1394.1</v>
      </c>
      <c r="AY20" s="130"/>
      <c r="AZ20" s="130">
        <v>0.0</v>
      </c>
      <c r="BA20" s="130">
        <f t="shared" si="18"/>
        <v>1781.28</v>
      </c>
      <c r="BB20" s="130">
        <f t="shared" si="19"/>
        <v>1781.28</v>
      </c>
      <c r="BC20" s="131">
        <f t="shared" si="20"/>
        <v>259.2838428</v>
      </c>
      <c r="BD20" s="132">
        <f t="shared" si="21"/>
        <v>236.3931729</v>
      </c>
      <c r="BE20" s="135" t="s">
        <v>127</v>
      </c>
      <c r="BF20" s="134" t="s">
        <v>101</v>
      </c>
      <c r="BG20" s="49"/>
      <c r="BH20" s="116">
        <f t="shared" si="22"/>
        <v>997.439548</v>
      </c>
      <c r="BI20" s="116">
        <f t="shared" si="23"/>
        <v>598.4637288</v>
      </c>
      <c r="BJ20" s="116">
        <f t="shared" si="24"/>
        <v>498.719774</v>
      </c>
      <c r="BK20" s="116">
        <f t="shared" si="25"/>
        <v>398.9758192</v>
      </c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</row>
    <row r="21" ht="14.25" customHeight="1">
      <c r="A21" s="103" t="s">
        <v>84</v>
      </c>
      <c r="B21" s="103" t="s">
        <v>85</v>
      </c>
      <c r="C21" s="103" t="s">
        <v>120</v>
      </c>
      <c r="D21" s="103" t="s">
        <v>86</v>
      </c>
      <c r="E21" s="104" t="s">
        <v>87</v>
      </c>
      <c r="F21" s="105" t="s">
        <v>121</v>
      </c>
      <c r="G21" s="106" t="s">
        <v>89</v>
      </c>
      <c r="H21" s="106">
        <v>24.0</v>
      </c>
      <c r="I21" s="107" t="s">
        <v>133</v>
      </c>
      <c r="J21" s="108" t="s">
        <v>134</v>
      </c>
      <c r="K21" s="108" t="str">
        <f>_xlfn.XLOOKUP(J21,[1]Sheet1!$A:$A,[1]Sheet1!$B:$B,"")</f>
        <v>#ERROR!</v>
      </c>
      <c r="L21" s="105" t="s">
        <v>135</v>
      </c>
      <c r="M21" s="105" t="s">
        <v>136</v>
      </c>
      <c r="N21" s="106" t="s">
        <v>106</v>
      </c>
      <c r="O21" s="109" t="s">
        <v>95</v>
      </c>
      <c r="P21" s="110">
        <v>15.12</v>
      </c>
      <c r="Q21" s="103" t="s">
        <v>96</v>
      </c>
      <c r="R21" s="110" t="s">
        <v>97</v>
      </c>
      <c r="S21" s="110">
        <v>12.0</v>
      </c>
      <c r="T21" s="111" t="s">
        <v>137</v>
      </c>
      <c r="U21" s="106" t="s">
        <v>98</v>
      </c>
      <c r="V21" s="112">
        <v>0.0</v>
      </c>
      <c r="W21" s="113">
        <v>45.0</v>
      </c>
      <c r="X21" s="113">
        <v>45.0</v>
      </c>
      <c r="Y21" s="113">
        <v>55.0</v>
      </c>
      <c r="Z21" s="113" t="s">
        <v>99</v>
      </c>
      <c r="AA21" s="114">
        <f t="shared" si="3"/>
        <v>344.5358135</v>
      </c>
      <c r="AB21" s="115" t="str">
        <f t="shared" si="4"/>
        <v>#REF!</v>
      </c>
      <c r="AC21" s="116">
        <f t="shared" si="5"/>
        <v>302.5601648</v>
      </c>
      <c r="AD21" s="117">
        <f t="shared" si="6"/>
        <v>318.484384</v>
      </c>
      <c r="AE21" s="118" t="str">
        <f t="shared" si="7"/>
        <v>#REF!</v>
      </c>
      <c r="AF21" s="118" t="str">
        <f t="shared" si="8"/>
        <v>#REF!</v>
      </c>
      <c r="AG21" s="119" t="str">
        <f t="shared" si="9"/>
        <v>#REF!</v>
      </c>
      <c r="AH21" s="120" t="str">
        <f t="shared" si="10"/>
        <v>#REF!</v>
      </c>
      <c r="AI21" s="121">
        <v>0.09</v>
      </c>
      <c r="AJ21" s="121">
        <v>0.09</v>
      </c>
      <c r="AK21" s="122">
        <v>0.21</v>
      </c>
      <c r="AL21" s="123">
        <f t="shared" si="11"/>
        <v>63.53763462</v>
      </c>
      <c r="AM21" s="124" t="s">
        <v>10</v>
      </c>
      <c r="AN21" s="125">
        <f t="shared" si="12"/>
        <v>302.5601648</v>
      </c>
      <c r="AO21" s="126">
        <f t="shared" si="13"/>
        <v>0.21</v>
      </c>
      <c r="AP21" s="127"/>
      <c r="AQ21" s="128">
        <f t="shared" ref="AQ21:AR21" si="34">BC21/(1-AI21)</f>
        <v>291.5303038</v>
      </c>
      <c r="AR21" s="125">
        <f t="shared" si="34"/>
        <v>262.6621211</v>
      </c>
      <c r="AS21" s="126">
        <f t="shared" si="15"/>
        <v>0.1538461538</v>
      </c>
      <c r="AT21" s="126">
        <f t="shared" si="16"/>
        <v>0.1318681319</v>
      </c>
      <c r="AU21" s="129"/>
      <c r="AV21" s="39" t="s">
        <v>126</v>
      </c>
      <c r="AW21" s="130">
        <v>14.63</v>
      </c>
      <c r="AX21" s="130">
        <v>1422.55</v>
      </c>
      <c r="AY21" s="130"/>
      <c r="AZ21" s="130">
        <v>5.0</v>
      </c>
      <c r="BA21" s="130">
        <f t="shared" si="18"/>
        <v>1817.56</v>
      </c>
      <c r="BB21" s="130">
        <f t="shared" si="19"/>
        <v>1822.56</v>
      </c>
      <c r="BC21" s="131">
        <f t="shared" si="20"/>
        <v>265.2925764</v>
      </c>
      <c r="BD21" s="132">
        <f t="shared" si="21"/>
        <v>239.0225302</v>
      </c>
      <c r="BE21" s="135" t="s">
        <v>127</v>
      </c>
      <c r="BF21" s="134" t="s">
        <v>101</v>
      </c>
      <c r="BG21" s="49"/>
      <c r="BH21" s="116">
        <f t="shared" si="22"/>
        <v>1008.533883</v>
      </c>
      <c r="BI21" s="116">
        <f t="shared" si="23"/>
        <v>605.1203297</v>
      </c>
      <c r="BJ21" s="116">
        <f t="shared" si="24"/>
        <v>504.2669414</v>
      </c>
      <c r="BK21" s="116">
        <f t="shared" si="25"/>
        <v>403.4135531</v>
      </c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</row>
    <row r="22" ht="14.25" customHeight="1">
      <c r="A22" s="103" t="s">
        <v>84</v>
      </c>
      <c r="B22" s="103" t="s">
        <v>85</v>
      </c>
      <c r="C22" s="103" t="s">
        <v>120</v>
      </c>
      <c r="D22" s="103" t="s">
        <v>86</v>
      </c>
      <c r="E22" s="104" t="s">
        <v>87</v>
      </c>
      <c r="F22" s="105" t="s">
        <v>121</v>
      </c>
      <c r="G22" s="106" t="s">
        <v>89</v>
      </c>
      <c r="H22" s="106">
        <v>24.0</v>
      </c>
      <c r="I22" s="107" t="s">
        <v>138</v>
      </c>
      <c r="J22" s="108" t="s">
        <v>139</v>
      </c>
      <c r="K22" s="108" t="str">
        <f>_xlfn.XLOOKUP(J22,[1]Sheet1!$A:$A,[1]Sheet1!$B:$B,"")</f>
        <v>#ERROR!</v>
      </c>
      <c r="L22" s="105" t="s">
        <v>140</v>
      </c>
      <c r="M22" s="105" t="s">
        <v>141</v>
      </c>
      <c r="N22" s="106" t="s">
        <v>106</v>
      </c>
      <c r="O22" s="109" t="s">
        <v>95</v>
      </c>
      <c r="P22" s="110">
        <v>15.12</v>
      </c>
      <c r="Q22" s="103" t="s">
        <v>132</v>
      </c>
      <c r="R22" s="110" t="s">
        <v>97</v>
      </c>
      <c r="S22" s="110">
        <v>9.15</v>
      </c>
      <c r="T22" s="111" t="s">
        <v>142</v>
      </c>
      <c r="U22" s="106" t="s">
        <v>98</v>
      </c>
      <c r="V22" s="112">
        <v>0.0</v>
      </c>
      <c r="W22" s="113">
        <v>45.0</v>
      </c>
      <c r="X22" s="113">
        <v>45.0</v>
      </c>
      <c r="Y22" s="113">
        <v>55.0</v>
      </c>
      <c r="Z22" s="113" t="s">
        <v>99</v>
      </c>
      <c r="AA22" s="114">
        <f t="shared" si="3"/>
        <v>348.1115452</v>
      </c>
      <c r="AB22" s="115" t="str">
        <f t="shared" si="4"/>
        <v>#REF!</v>
      </c>
      <c r="AC22" s="116">
        <f t="shared" si="5"/>
        <v>308.9554965</v>
      </c>
      <c r="AD22" s="117">
        <f t="shared" si="6"/>
        <v>325.2163121</v>
      </c>
      <c r="AE22" s="118" t="str">
        <f t="shared" si="7"/>
        <v>#REF!</v>
      </c>
      <c r="AF22" s="118" t="str">
        <f t="shared" si="8"/>
        <v>#REF!</v>
      </c>
      <c r="AG22" s="119" t="str">
        <f t="shared" si="9"/>
        <v>#REF!</v>
      </c>
      <c r="AH22" s="120" t="str">
        <f t="shared" si="10"/>
        <v>#REF!</v>
      </c>
      <c r="AI22" s="121">
        <v>0.09</v>
      </c>
      <c r="AJ22" s="121">
        <v>0.09</v>
      </c>
      <c r="AK22" s="122">
        <v>0.22</v>
      </c>
      <c r="AL22" s="123">
        <f t="shared" si="11"/>
        <v>67.97020924</v>
      </c>
      <c r="AM22" s="124" t="s">
        <v>10</v>
      </c>
      <c r="AN22" s="125">
        <f t="shared" si="12"/>
        <v>308.9554965</v>
      </c>
      <c r="AO22" s="126">
        <f t="shared" si="13"/>
        <v>0.22</v>
      </c>
      <c r="AP22" s="127"/>
      <c r="AQ22" s="128">
        <f t="shared" ref="AQ22:AR22" si="35">BC22/(1-AI22)</f>
        <v>290.7305213</v>
      </c>
      <c r="AR22" s="125">
        <f t="shared" si="35"/>
        <v>264.818997</v>
      </c>
      <c r="AS22" s="126">
        <f t="shared" si="15"/>
        <v>0.1648351648</v>
      </c>
      <c r="AT22" s="126">
        <f t="shared" si="16"/>
        <v>0.1428571429</v>
      </c>
      <c r="AU22" s="129">
        <v>222.87</v>
      </c>
      <c r="AV22" s="39" t="s">
        <v>126</v>
      </c>
      <c r="AW22" s="130">
        <v>14.63</v>
      </c>
      <c r="AX22" s="130">
        <v>1422.55</v>
      </c>
      <c r="AY22" s="130"/>
      <c r="AZ22" s="130">
        <v>0.0</v>
      </c>
      <c r="BA22" s="130">
        <f t="shared" si="18"/>
        <v>1817.56</v>
      </c>
      <c r="BB22" s="130">
        <f t="shared" si="19"/>
        <v>1817.56</v>
      </c>
      <c r="BC22" s="131">
        <f t="shared" si="20"/>
        <v>264.5647744</v>
      </c>
      <c r="BD22" s="132">
        <f t="shared" si="21"/>
        <v>240.9852873</v>
      </c>
      <c r="BE22" s="135" t="s">
        <v>127</v>
      </c>
      <c r="BF22" s="134" t="s">
        <v>101</v>
      </c>
      <c r="BG22" s="49"/>
      <c r="BH22" s="116">
        <f t="shared" si="22"/>
        <v>1029.851655</v>
      </c>
      <c r="BI22" s="116">
        <f t="shared" si="23"/>
        <v>617.9109931</v>
      </c>
      <c r="BJ22" s="116">
        <f t="shared" si="24"/>
        <v>514.9258276</v>
      </c>
      <c r="BK22" s="116">
        <f t="shared" si="25"/>
        <v>411.940662</v>
      </c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</row>
    <row r="23" ht="14.25" customHeight="1">
      <c r="A23" s="103" t="s">
        <v>84</v>
      </c>
      <c r="B23" s="103" t="s">
        <v>85</v>
      </c>
      <c r="C23" s="103" t="s">
        <v>120</v>
      </c>
      <c r="D23" s="103" t="s">
        <v>86</v>
      </c>
      <c r="E23" s="104" t="s">
        <v>87</v>
      </c>
      <c r="F23" s="105" t="s">
        <v>121</v>
      </c>
      <c r="G23" s="106" t="s">
        <v>89</v>
      </c>
      <c r="H23" s="106">
        <v>24.0</v>
      </c>
      <c r="I23" s="107" t="s">
        <v>143</v>
      </c>
      <c r="J23" s="108" t="s">
        <v>144</v>
      </c>
      <c r="K23" s="108" t="str">
        <f>_xlfn.XLOOKUP(J23,[1]Sheet1!$A:$A,[1]Sheet1!$B:$B,"")</f>
        <v>#ERROR!</v>
      </c>
      <c r="L23" s="105" t="s">
        <v>145</v>
      </c>
      <c r="M23" s="105" t="s">
        <v>146</v>
      </c>
      <c r="N23" s="106" t="s">
        <v>94</v>
      </c>
      <c r="O23" s="109" t="s">
        <v>147</v>
      </c>
      <c r="P23" s="110">
        <v>17.0</v>
      </c>
      <c r="Q23" s="103" t="s">
        <v>96</v>
      </c>
      <c r="R23" s="110" t="s">
        <v>97</v>
      </c>
      <c r="S23" s="110">
        <v>12.0</v>
      </c>
      <c r="T23" s="111"/>
      <c r="U23" s="106" t="s">
        <v>98</v>
      </c>
      <c r="V23" s="112">
        <v>0.0</v>
      </c>
      <c r="W23" s="113">
        <v>60.0</v>
      </c>
      <c r="X23" s="113">
        <v>14.0</v>
      </c>
      <c r="Y23" s="113">
        <v>14.0</v>
      </c>
      <c r="Z23" s="113" t="s">
        <v>148</v>
      </c>
      <c r="AA23" s="114">
        <f t="shared" ref="AA23:AA26" si="36">(BC23/(1-(AK23+2%)))*$F$6</f>
        <v>375.3058824</v>
      </c>
      <c r="AB23" s="115" t="str">
        <f t="shared" si="4"/>
        <v>#REF!</v>
      </c>
      <c r="AC23" s="116">
        <f t="shared" si="5"/>
        <v>325.0974513</v>
      </c>
      <c r="AD23" s="117">
        <f t="shared" si="6"/>
        <v>342.2078434</v>
      </c>
      <c r="AE23" s="118" t="str">
        <f t="shared" si="7"/>
        <v>#REF!</v>
      </c>
      <c r="AF23" s="118" t="str">
        <f t="shared" si="8"/>
        <v>#REF!</v>
      </c>
      <c r="AG23" s="119" t="str">
        <f t="shared" si="9"/>
        <v>#REF!</v>
      </c>
      <c r="AH23" s="120" t="str">
        <f t="shared" si="10"/>
        <v>#REF!</v>
      </c>
      <c r="AI23" s="121">
        <f t="shared" ref="AI23:AI26" si="37">AJ23</f>
        <v>0.07</v>
      </c>
      <c r="AJ23" s="121">
        <v>0.07</v>
      </c>
      <c r="AK23" s="122">
        <v>0.13</v>
      </c>
      <c r="AL23" s="123">
        <f t="shared" si="11"/>
        <v>42.26266867</v>
      </c>
      <c r="AM23" s="122" t="s">
        <v>10</v>
      </c>
      <c r="AN23" s="125">
        <f t="shared" si="12"/>
        <v>325.0974513</v>
      </c>
      <c r="AO23" s="112">
        <f t="shared" si="13"/>
        <v>0.13</v>
      </c>
      <c r="AP23" s="127"/>
      <c r="AQ23" s="128">
        <f t="shared" ref="AQ23:AQ26" si="38">BC23/(1-AI23)*$F$6</f>
        <v>343.0215054</v>
      </c>
      <c r="AR23" s="125">
        <f t="shared" ref="AR23:AR26" si="39">BD23/(1-AJ23)</f>
        <v>304.1234222</v>
      </c>
      <c r="AS23" s="126">
        <f t="shared" si="15"/>
        <v>0.08602150538</v>
      </c>
      <c r="AT23" s="126">
        <f t="shared" si="16"/>
        <v>0.06451612903</v>
      </c>
      <c r="AU23" s="129"/>
      <c r="AV23" s="39" t="s">
        <v>149</v>
      </c>
      <c r="AW23" s="130"/>
      <c r="AX23" s="130"/>
      <c r="AY23" s="136">
        <v>124.4</v>
      </c>
      <c r="AZ23" s="130"/>
      <c r="BA23" s="130"/>
      <c r="BB23" s="130"/>
      <c r="BC23" s="137">
        <f t="shared" ref="BC23:BC26" si="40">AY23+($F$4-1500)/1000*P23</f>
        <v>277.4</v>
      </c>
      <c r="BD23" s="132">
        <f t="shared" ref="BD23:BD26" si="41">(AY23+($F$4-1500)/1000*P23)+($F$10/40/S23/$F$6)</f>
        <v>282.8347826</v>
      </c>
      <c r="BE23" s="135"/>
      <c r="BF23" s="134"/>
      <c r="BG23" s="49"/>
      <c r="BH23" s="116">
        <f t="shared" si="22"/>
        <v>1083.658171</v>
      </c>
      <c r="BI23" s="116">
        <f t="shared" si="23"/>
        <v>650.1949025</v>
      </c>
      <c r="BJ23" s="116">
        <f t="shared" si="24"/>
        <v>541.8290855</v>
      </c>
      <c r="BK23" s="116">
        <f t="shared" si="25"/>
        <v>433.4632684</v>
      </c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</row>
    <row r="24" ht="14.25" customHeight="1">
      <c r="A24" s="103" t="s">
        <v>84</v>
      </c>
      <c r="B24" s="103" t="s">
        <v>85</v>
      </c>
      <c r="C24" s="103" t="s">
        <v>120</v>
      </c>
      <c r="D24" s="103" t="s">
        <v>86</v>
      </c>
      <c r="E24" s="104" t="s">
        <v>87</v>
      </c>
      <c r="F24" s="105" t="s">
        <v>121</v>
      </c>
      <c r="G24" s="106" t="s">
        <v>89</v>
      </c>
      <c r="H24" s="106">
        <v>23.0</v>
      </c>
      <c r="I24" s="107" t="s">
        <v>150</v>
      </c>
      <c r="J24" s="138" t="s">
        <v>151</v>
      </c>
      <c r="K24" s="108" t="str">
        <f>_xlfn.XLOOKUP(J24,[1]Sheet1!$A:$A,[1]Sheet1!$B:$B,"")</f>
        <v>#ERROR!</v>
      </c>
      <c r="L24" s="105" t="s">
        <v>152</v>
      </c>
      <c r="M24" s="105" t="s">
        <v>153</v>
      </c>
      <c r="N24" s="106" t="s">
        <v>106</v>
      </c>
      <c r="O24" s="109" t="s">
        <v>147</v>
      </c>
      <c r="P24" s="110">
        <v>17.0</v>
      </c>
      <c r="Q24" s="103" t="s">
        <v>96</v>
      </c>
      <c r="R24" s="110" t="s">
        <v>97</v>
      </c>
      <c r="S24" s="110">
        <v>9.0</v>
      </c>
      <c r="T24" s="111"/>
      <c r="U24" s="106" t="s">
        <v>98</v>
      </c>
      <c r="V24" s="112">
        <v>0.0</v>
      </c>
      <c r="W24" s="113">
        <v>60.0</v>
      </c>
      <c r="X24" s="113">
        <v>14.0</v>
      </c>
      <c r="Y24" s="113">
        <v>14.0</v>
      </c>
      <c r="Z24" s="113" t="s">
        <v>148</v>
      </c>
      <c r="AA24" s="114">
        <f t="shared" si="36"/>
        <v>378.8235294</v>
      </c>
      <c r="AB24" s="115" t="str">
        <f t="shared" si="4"/>
        <v>#REF!</v>
      </c>
      <c r="AC24" s="116">
        <f t="shared" si="5"/>
        <v>330.1682492</v>
      </c>
      <c r="AD24" s="117">
        <f t="shared" si="6"/>
        <v>347.5455255</v>
      </c>
      <c r="AE24" s="118" t="str">
        <f t="shared" si="7"/>
        <v>#REF!</v>
      </c>
      <c r="AF24" s="118" t="str">
        <f t="shared" si="8"/>
        <v>#REF!</v>
      </c>
      <c r="AG24" s="119" t="str">
        <f t="shared" si="9"/>
        <v>#REF!</v>
      </c>
      <c r="AH24" s="120" t="str">
        <f t="shared" si="10"/>
        <v>#REF!</v>
      </c>
      <c r="AI24" s="121">
        <f t="shared" si="37"/>
        <v>0.07</v>
      </c>
      <c r="AJ24" s="121">
        <v>0.07</v>
      </c>
      <c r="AK24" s="122">
        <v>0.13</v>
      </c>
      <c r="AL24" s="123">
        <f t="shared" si="11"/>
        <v>42.9218724</v>
      </c>
      <c r="AM24" s="122" t="s">
        <v>10</v>
      </c>
      <c r="AN24" s="125">
        <f t="shared" si="12"/>
        <v>330.1682492</v>
      </c>
      <c r="AO24" s="112">
        <f t="shared" si="13"/>
        <v>0.13</v>
      </c>
      <c r="AP24" s="127"/>
      <c r="AQ24" s="128">
        <f t="shared" si="38"/>
        <v>346.2365591</v>
      </c>
      <c r="AR24" s="125">
        <f t="shared" si="39"/>
        <v>308.8670718</v>
      </c>
      <c r="AS24" s="126">
        <f t="shared" si="15"/>
        <v>0.08602150538</v>
      </c>
      <c r="AT24" s="126">
        <f t="shared" si="16"/>
        <v>0.06451612903</v>
      </c>
      <c r="AU24" s="129"/>
      <c r="AV24" s="39" t="s">
        <v>149</v>
      </c>
      <c r="AW24" s="130"/>
      <c r="AX24" s="130"/>
      <c r="AY24" s="139">
        <v>127.0</v>
      </c>
      <c r="AZ24" s="130"/>
      <c r="BA24" s="130"/>
      <c r="BB24" s="130"/>
      <c r="BC24" s="137">
        <f t="shared" si="40"/>
        <v>280</v>
      </c>
      <c r="BD24" s="132">
        <f t="shared" si="41"/>
        <v>287.2463768</v>
      </c>
      <c r="BE24" s="135"/>
      <c r="BF24" s="134"/>
      <c r="BG24" s="49"/>
      <c r="BH24" s="116">
        <f t="shared" si="22"/>
        <v>1100.560831</v>
      </c>
      <c r="BI24" s="116">
        <f t="shared" si="23"/>
        <v>660.3364984</v>
      </c>
      <c r="BJ24" s="116">
        <f t="shared" si="24"/>
        <v>550.2804153</v>
      </c>
      <c r="BK24" s="116">
        <f t="shared" si="25"/>
        <v>440.2243323</v>
      </c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</row>
    <row r="25" ht="14.25" customHeight="1">
      <c r="A25" s="103" t="s">
        <v>84</v>
      </c>
      <c r="B25" s="103" t="s">
        <v>85</v>
      </c>
      <c r="C25" s="103" t="s">
        <v>120</v>
      </c>
      <c r="D25" s="103" t="s">
        <v>86</v>
      </c>
      <c r="E25" s="104" t="s">
        <v>87</v>
      </c>
      <c r="F25" s="105" t="s">
        <v>121</v>
      </c>
      <c r="G25" s="106" t="s">
        <v>89</v>
      </c>
      <c r="H25" s="106">
        <v>23.0</v>
      </c>
      <c r="I25" s="107" t="s">
        <v>154</v>
      </c>
      <c r="J25" s="138" t="s">
        <v>155</v>
      </c>
      <c r="K25" s="108" t="str">
        <f>_xlfn.XLOOKUP(J25,[1]Sheet1!$A:$A,[1]Sheet1!$B:$B,"")</f>
        <v>#ERROR!</v>
      </c>
      <c r="L25" s="105" t="s">
        <v>156</v>
      </c>
      <c r="M25" s="105" t="s">
        <v>157</v>
      </c>
      <c r="N25" s="106" t="s">
        <v>106</v>
      </c>
      <c r="O25" s="109" t="s">
        <v>147</v>
      </c>
      <c r="P25" s="110">
        <v>17.0</v>
      </c>
      <c r="Q25" s="103" t="s">
        <v>132</v>
      </c>
      <c r="R25" s="110" t="s">
        <v>97</v>
      </c>
      <c r="S25" s="110">
        <v>7.3</v>
      </c>
      <c r="T25" s="111"/>
      <c r="U25" s="106" t="s">
        <v>98</v>
      </c>
      <c r="V25" s="112">
        <v>0.0</v>
      </c>
      <c r="W25" s="113">
        <v>60.0</v>
      </c>
      <c r="X25" s="113">
        <v>14.0</v>
      </c>
      <c r="Y25" s="113">
        <v>14.0</v>
      </c>
      <c r="Z25" s="113" t="s">
        <v>148</v>
      </c>
      <c r="AA25" s="114">
        <f t="shared" si="36"/>
        <v>396.4117647</v>
      </c>
      <c r="AB25" s="115" t="str">
        <f t="shared" si="4"/>
        <v>#REF!</v>
      </c>
      <c r="AC25" s="116">
        <f t="shared" si="5"/>
        <v>347.0504474</v>
      </c>
      <c r="AD25" s="117">
        <f t="shared" si="6"/>
        <v>365.3162604</v>
      </c>
      <c r="AE25" s="118" t="str">
        <f t="shared" si="7"/>
        <v>#REF!</v>
      </c>
      <c r="AF25" s="118" t="str">
        <f t="shared" si="8"/>
        <v>#REF!</v>
      </c>
      <c r="AG25" s="119" t="str">
        <f t="shared" si="9"/>
        <v>#REF!</v>
      </c>
      <c r="AH25" s="120" t="str">
        <f t="shared" si="10"/>
        <v>#REF!</v>
      </c>
      <c r="AI25" s="121">
        <f t="shared" si="37"/>
        <v>0.07</v>
      </c>
      <c r="AJ25" s="121">
        <v>0.07</v>
      </c>
      <c r="AK25" s="122">
        <v>0.13</v>
      </c>
      <c r="AL25" s="123">
        <f t="shared" si="11"/>
        <v>45.11655816</v>
      </c>
      <c r="AM25" s="122" t="s">
        <v>10</v>
      </c>
      <c r="AN25" s="125">
        <f t="shared" si="12"/>
        <v>347.0504474</v>
      </c>
      <c r="AO25" s="112">
        <f t="shared" si="13"/>
        <v>0.13</v>
      </c>
      <c r="AP25" s="127"/>
      <c r="AQ25" s="128">
        <f t="shared" si="38"/>
        <v>362.311828</v>
      </c>
      <c r="AR25" s="125">
        <f t="shared" si="39"/>
        <v>324.6600959</v>
      </c>
      <c r="AS25" s="126">
        <f t="shared" si="15"/>
        <v>0.08602150538</v>
      </c>
      <c r="AT25" s="126">
        <f t="shared" si="16"/>
        <v>0.06451612903</v>
      </c>
      <c r="AU25" s="129">
        <v>245.35</v>
      </c>
      <c r="AV25" s="39" t="s">
        <v>149</v>
      </c>
      <c r="AW25" s="130"/>
      <c r="AX25" s="130"/>
      <c r="AY25" s="139">
        <v>140.0</v>
      </c>
      <c r="AZ25" s="130"/>
      <c r="BA25" s="130"/>
      <c r="BB25" s="130"/>
      <c r="BC25" s="137">
        <f t="shared" si="40"/>
        <v>293</v>
      </c>
      <c r="BD25" s="132">
        <f t="shared" si="41"/>
        <v>301.9338892</v>
      </c>
      <c r="BE25" s="135"/>
      <c r="BF25" s="134"/>
      <c r="BG25" s="49"/>
      <c r="BH25" s="116">
        <f t="shared" si="22"/>
        <v>1156.834825</v>
      </c>
      <c r="BI25" s="116">
        <f t="shared" si="23"/>
        <v>694.1008948</v>
      </c>
      <c r="BJ25" s="116">
        <f t="shared" si="24"/>
        <v>578.4174123</v>
      </c>
      <c r="BK25" s="116">
        <f t="shared" si="25"/>
        <v>462.7339298</v>
      </c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</row>
    <row r="26" ht="14.25" customHeight="1">
      <c r="A26" s="103" t="s">
        <v>84</v>
      </c>
      <c r="B26" s="103" t="s">
        <v>85</v>
      </c>
      <c r="C26" s="103" t="s">
        <v>120</v>
      </c>
      <c r="D26" s="103" t="s">
        <v>86</v>
      </c>
      <c r="E26" s="104" t="s">
        <v>87</v>
      </c>
      <c r="F26" s="105" t="s">
        <v>121</v>
      </c>
      <c r="G26" s="106" t="s">
        <v>89</v>
      </c>
      <c r="H26" s="106">
        <v>23.0</v>
      </c>
      <c r="I26" s="107" t="s">
        <v>158</v>
      </c>
      <c r="J26" s="138" t="s">
        <v>159</v>
      </c>
      <c r="K26" s="108" t="str">
        <f>_xlfn.XLOOKUP(J26,[1]Sheet1!$A:$A,[1]Sheet1!$B:$B,"")</f>
        <v>#ERROR!</v>
      </c>
      <c r="L26" s="105" t="s">
        <v>160</v>
      </c>
      <c r="M26" s="105" t="s">
        <v>161</v>
      </c>
      <c r="N26" s="106" t="s">
        <v>162</v>
      </c>
      <c r="O26" s="109" t="s">
        <v>147</v>
      </c>
      <c r="P26" s="110">
        <v>17.0</v>
      </c>
      <c r="Q26" s="103" t="s">
        <v>96</v>
      </c>
      <c r="R26" s="110" t="s">
        <v>97</v>
      </c>
      <c r="S26" s="110">
        <v>9.0</v>
      </c>
      <c r="T26" s="111"/>
      <c r="U26" s="106" t="s">
        <v>98</v>
      </c>
      <c r="V26" s="112">
        <v>0.0</v>
      </c>
      <c r="W26" s="113">
        <v>60.0</v>
      </c>
      <c r="X26" s="113">
        <v>14.0</v>
      </c>
      <c r="Y26" s="113">
        <v>14.0</v>
      </c>
      <c r="Z26" s="113" t="s">
        <v>148</v>
      </c>
      <c r="AA26" s="114">
        <f t="shared" si="36"/>
        <v>386.9411765</v>
      </c>
      <c r="AB26" s="115" t="str">
        <f t="shared" si="4"/>
        <v>#REF!</v>
      </c>
      <c r="AC26" s="116">
        <f t="shared" si="5"/>
        <v>337.0648009</v>
      </c>
      <c r="AD26" s="117">
        <f t="shared" si="6"/>
        <v>354.8050536</v>
      </c>
      <c r="AE26" s="118" t="str">
        <f t="shared" si="7"/>
        <v>#REF!</v>
      </c>
      <c r="AF26" s="118" t="str">
        <f t="shared" si="8"/>
        <v>#REF!</v>
      </c>
      <c r="AG26" s="119" t="str">
        <f t="shared" si="9"/>
        <v>#REF!</v>
      </c>
      <c r="AH26" s="120" t="str">
        <f t="shared" si="10"/>
        <v>#REF!</v>
      </c>
      <c r="AI26" s="121">
        <f t="shared" si="37"/>
        <v>0.07</v>
      </c>
      <c r="AJ26" s="121">
        <v>0.07</v>
      </c>
      <c r="AK26" s="122">
        <v>0.13</v>
      </c>
      <c r="AL26" s="123">
        <f t="shared" si="11"/>
        <v>43.81842412</v>
      </c>
      <c r="AM26" s="122" t="s">
        <v>10</v>
      </c>
      <c r="AN26" s="125">
        <f t="shared" si="12"/>
        <v>337.0648009</v>
      </c>
      <c r="AO26" s="112">
        <f t="shared" si="13"/>
        <v>0.13</v>
      </c>
      <c r="AP26" s="127"/>
      <c r="AQ26" s="128">
        <f t="shared" si="38"/>
        <v>353.655914</v>
      </c>
      <c r="AR26" s="125">
        <f t="shared" si="39"/>
        <v>315.3186847</v>
      </c>
      <c r="AS26" s="126">
        <f t="shared" si="15"/>
        <v>0.08602150538</v>
      </c>
      <c r="AT26" s="126">
        <f t="shared" si="16"/>
        <v>0.06451612903</v>
      </c>
      <c r="AU26" s="129"/>
      <c r="AV26" s="39" t="s">
        <v>149</v>
      </c>
      <c r="AW26" s="130"/>
      <c r="AX26" s="130"/>
      <c r="AY26" s="139">
        <v>133.0</v>
      </c>
      <c r="AZ26" s="130"/>
      <c r="BA26" s="130"/>
      <c r="BB26" s="130"/>
      <c r="BC26" s="137">
        <f t="shared" si="40"/>
        <v>286</v>
      </c>
      <c r="BD26" s="132">
        <f t="shared" si="41"/>
        <v>293.2463768</v>
      </c>
      <c r="BE26" s="135"/>
      <c r="BF26" s="134"/>
      <c r="BG26" s="49"/>
      <c r="BH26" s="118">
        <f t="shared" si="22"/>
        <v>1123.549336</v>
      </c>
      <c r="BI26" s="118">
        <f t="shared" si="23"/>
        <v>674.1296019</v>
      </c>
      <c r="BJ26" s="118">
        <f t="shared" si="24"/>
        <v>561.7746682</v>
      </c>
      <c r="BK26" s="118">
        <f t="shared" si="25"/>
        <v>449.4197346</v>
      </c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</row>
    <row r="27" ht="14.25" customHeight="1">
      <c r="A27" s="103" t="s">
        <v>84</v>
      </c>
      <c r="B27" s="103" t="s">
        <v>120</v>
      </c>
      <c r="C27" s="103" t="s">
        <v>120</v>
      </c>
      <c r="D27" s="103" t="s">
        <v>86</v>
      </c>
      <c r="E27" s="104" t="s">
        <v>87</v>
      </c>
      <c r="F27" s="105" t="s">
        <v>121</v>
      </c>
      <c r="G27" s="106" t="s">
        <v>107</v>
      </c>
      <c r="H27" s="106">
        <v>23.0</v>
      </c>
      <c r="I27" s="107" t="s">
        <v>163</v>
      </c>
      <c r="J27" s="108" t="s">
        <v>164</v>
      </c>
      <c r="K27" s="108" t="str">
        <f>_xlfn.XLOOKUP(J27,[1]Sheet1!$A:$A,[1]Sheet1!$B:$B,"")</f>
        <v>#ERROR!</v>
      </c>
      <c r="L27" s="105" t="s">
        <v>165</v>
      </c>
      <c r="M27" s="105" t="s">
        <v>166</v>
      </c>
      <c r="N27" s="106" t="s">
        <v>106</v>
      </c>
      <c r="O27" s="109" t="s">
        <v>95</v>
      </c>
      <c r="P27" s="110">
        <v>17.5</v>
      </c>
      <c r="Q27" s="103" t="s">
        <v>96</v>
      </c>
      <c r="R27" s="110" t="s">
        <v>97</v>
      </c>
      <c r="S27" s="110">
        <v>9.0</v>
      </c>
      <c r="T27" s="111" t="s">
        <v>167</v>
      </c>
      <c r="U27" s="106" t="s">
        <v>98</v>
      </c>
      <c r="V27" s="112">
        <v>0.0</v>
      </c>
      <c r="W27" s="113">
        <v>45.0</v>
      </c>
      <c r="X27" s="113">
        <v>45.0</v>
      </c>
      <c r="Y27" s="113">
        <v>55.0</v>
      </c>
      <c r="Z27" s="113" t="s">
        <v>99</v>
      </c>
      <c r="AA27" s="114">
        <f t="shared" ref="AA27:AA44" si="43">BC27/(1-(AK27+2%))</f>
        <v>448.9171726</v>
      </c>
      <c r="AB27" s="115" t="str">
        <f t="shared" si="4"/>
        <v>#REF!</v>
      </c>
      <c r="AC27" s="116">
        <f t="shared" si="5"/>
        <v>394.2959206</v>
      </c>
      <c r="AD27" s="117">
        <f t="shared" si="6"/>
        <v>415.0483375</v>
      </c>
      <c r="AE27" s="118" t="str">
        <f t="shared" si="7"/>
        <v>#REF!</v>
      </c>
      <c r="AF27" s="118" t="str">
        <f t="shared" si="8"/>
        <v>#REF!</v>
      </c>
      <c r="AG27" s="119" t="str">
        <f t="shared" si="9"/>
        <v>#REF!</v>
      </c>
      <c r="AH27" s="120" t="str">
        <f t="shared" si="10"/>
        <v>#REF!</v>
      </c>
      <c r="AI27" s="121">
        <v>0.09</v>
      </c>
      <c r="AJ27" s="121">
        <v>0.09</v>
      </c>
      <c r="AK27" s="122">
        <v>0.16</v>
      </c>
      <c r="AL27" s="123">
        <f t="shared" si="11"/>
        <v>63.08734729</v>
      </c>
      <c r="AM27" s="124" t="s">
        <v>10</v>
      </c>
      <c r="AN27" s="125">
        <f t="shared" si="12"/>
        <v>394.2959206</v>
      </c>
      <c r="AO27" s="126">
        <f t="shared" si="13"/>
        <v>0.16</v>
      </c>
      <c r="AP27" s="127"/>
      <c r="AQ27" s="128">
        <f t="shared" ref="AQ27:AR27" si="42">BC27/(1-AI27)</f>
        <v>404.5187709</v>
      </c>
      <c r="AR27" s="125">
        <f t="shared" si="42"/>
        <v>363.9654652</v>
      </c>
      <c r="AS27" s="126">
        <f t="shared" si="15"/>
        <v>0.0989010989</v>
      </c>
      <c r="AT27" s="126">
        <f t="shared" si="16"/>
        <v>0.07692307692</v>
      </c>
      <c r="AU27" s="129">
        <v>313.72</v>
      </c>
      <c r="AV27" s="39" t="s">
        <v>126</v>
      </c>
      <c r="AW27" s="130">
        <v>17.85</v>
      </c>
      <c r="AX27" s="130">
        <v>2041.98</v>
      </c>
      <c r="AY27" s="130"/>
      <c r="AZ27" s="130">
        <v>5.0</v>
      </c>
      <c r="BA27" s="130">
        <f t="shared" ref="BA27:BA44" si="45">($F$2-70000)/1000*AW27+AX27</f>
        <v>2523.93</v>
      </c>
      <c r="BB27" s="130">
        <f t="shared" ref="BB27:BB44" si="46">AZ27+BA27</f>
        <v>2528.93</v>
      </c>
      <c r="BC27" s="131">
        <f t="shared" ref="BC27:BC44" si="47">(AZ27+BA27)/$F$5</f>
        <v>368.1120815</v>
      </c>
      <c r="BD27" s="132">
        <f t="shared" ref="BD27:BD44" si="48">(BC27/$F$6)+(($F$9+$G$9)/40/S27)+BC27*V27</f>
        <v>331.2085733</v>
      </c>
      <c r="BE27" s="39"/>
      <c r="BF27" s="134" t="s">
        <v>101</v>
      </c>
      <c r="BG27" s="49"/>
      <c r="BH27" s="116">
        <f t="shared" si="22"/>
        <v>1314.319735</v>
      </c>
      <c r="BI27" s="116">
        <f t="shared" si="23"/>
        <v>788.5918412</v>
      </c>
      <c r="BJ27" s="116">
        <f t="shared" si="24"/>
        <v>657.1598677</v>
      </c>
      <c r="BK27" s="116">
        <f t="shared" si="25"/>
        <v>525.7278941</v>
      </c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</row>
    <row r="28" ht="14.25" customHeight="1">
      <c r="A28" s="103" t="s">
        <v>84</v>
      </c>
      <c r="B28" s="103" t="s">
        <v>120</v>
      </c>
      <c r="C28" s="103" t="s">
        <v>120</v>
      </c>
      <c r="D28" s="103" t="s">
        <v>86</v>
      </c>
      <c r="E28" s="104" t="s">
        <v>87</v>
      </c>
      <c r="F28" s="105" t="s">
        <v>121</v>
      </c>
      <c r="G28" s="106" t="s">
        <v>107</v>
      </c>
      <c r="H28" s="106">
        <v>23.0</v>
      </c>
      <c r="I28" s="107" t="s">
        <v>168</v>
      </c>
      <c r="J28" s="108" t="s">
        <v>169</v>
      </c>
      <c r="K28" s="108" t="str">
        <f>_xlfn.XLOOKUP(J28,[1]Sheet1!$A:$A,[1]Sheet1!$B:$B,"")</f>
        <v>#ERROR!</v>
      </c>
      <c r="L28" s="105" t="s">
        <v>170</v>
      </c>
      <c r="M28" s="105" t="s">
        <v>171</v>
      </c>
      <c r="N28" s="106" t="s">
        <v>106</v>
      </c>
      <c r="O28" s="109" t="s">
        <v>95</v>
      </c>
      <c r="P28" s="110">
        <v>35.0</v>
      </c>
      <c r="Q28" s="103" t="s">
        <v>96</v>
      </c>
      <c r="R28" s="110" t="s">
        <v>97</v>
      </c>
      <c r="S28" s="110">
        <v>4.0</v>
      </c>
      <c r="T28" s="111" t="s">
        <v>172</v>
      </c>
      <c r="U28" s="106" t="s">
        <v>98</v>
      </c>
      <c r="V28" s="112">
        <v>0.0</v>
      </c>
      <c r="W28" s="113">
        <v>45.0</v>
      </c>
      <c r="X28" s="113">
        <v>45.0</v>
      </c>
      <c r="Y28" s="113">
        <v>55.0</v>
      </c>
      <c r="Z28" s="113" t="s">
        <v>99</v>
      </c>
      <c r="AA28" s="114">
        <f t="shared" si="43"/>
        <v>923.7062082</v>
      </c>
      <c r="AB28" s="115" t="str">
        <f t="shared" si="4"/>
        <v>#REF!</v>
      </c>
      <c r="AC28" s="116">
        <f t="shared" si="5"/>
        <v>813.8099274</v>
      </c>
      <c r="AD28" s="117">
        <f t="shared" si="6"/>
        <v>856.6420289</v>
      </c>
      <c r="AE28" s="118" t="str">
        <f t="shared" si="7"/>
        <v>#REF!</v>
      </c>
      <c r="AF28" s="118" t="str">
        <f t="shared" si="8"/>
        <v>#REF!</v>
      </c>
      <c r="AG28" s="119" t="str">
        <f t="shared" si="9"/>
        <v>#REF!</v>
      </c>
      <c r="AH28" s="120" t="str">
        <f t="shared" si="10"/>
        <v>#REF!</v>
      </c>
      <c r="AI28" s="121">
        <v>0.09</v>
      </c>
      <c r="AJ28" s="121">
        <v>0.09</v>
      </c>
      <c r="AK28" s="122">
        <v>0.156</v>
      </c>
      <c r="AL28" s="123">
        <f t="shared" si="11"/>
        <v>126.9543487</v>
      </c>
      <c r="AM28" s="124" t="s">
        <v>10</v>
      </c>
      <c r="AN28" s="125">
        <f t="shared" si="12"/>
        <v>813.8099274</v>
      </c>
      <c r="AO28" s="126">
        <f t="shared" si="13"/>
        <v>0.156</v>
      </c>
      <c r="AP28" s="127"/>
      <c r="AQ28" s="128">
        <f t="shared" ref="AQ28:AR28" si="44">BC28/(1-AI28)</f>
        <v>836.4108962</v>
      </c>
      <c r="AR28" s="125">
        <f t="shared" si="44"/>
        <v>754.7863503</v>
      </c>
      <c r="AS28" s="126">
        <f t="shared" si="15"/>
        <v>0.09450549451</v>
      </c>
      <c r="AT28" s="126">
        <f t="shared" si="16"/>
        <v>0.07252747253</v>
      </c>
      <c r="AU28" s="129">
        <v>638.37</v>
      </c>
      <c r="AV28" s="39" t="s">
        <v>126</v>
      </c>
      <c r="AW28" s="130">
        <v>36.93</v>
      </c>
      <c r="AX28" s="140">
        <v>4226.88</v>
      </c>
      <c r="AY28" s="130"/>
      <c r="AZ28" s="130">
        <v>5.0</v>
      </c>
      <c r="BA28" s="130">
        <f t="shared" si="45"/>
        <v>5223.99</v>
      </c>
      <c r="BB28" s="130">
        <f t="shared" si="46"/>
        <v>5228.99</v>
      </c>
      <c r="BC28" s="131">
        <f t="shared" si="47"/>
        <v>761.1339156</v>
      </c>
      <c r="BD28" s="132">
        <f t="shared" si="48"/>
        <v>686.8555788</v>
      </c>
      <c r="BE28" s="39"/>
      <c r="BF28" s="134" t="s">
        <v>101</v>
      </c>
      <c r="BG28" s="49"/>
      <c r="BH28" s="116">
        <f t="shared" si="22"/>
        <v>2712.699758</v>
      </c>
      <c r="BI28" s="116">
        <f t="shared" si="23"/>
        <v>1627.619855</v>
      </c>
      <c r="BJ28" s="116">
        <f t="shared" si="24"/>
        <v>1356.349879</v>
      </c>
      <c r="BK28" s="116">
        <f t="shared" si="25"/>
        <v>1085.079903</v>
      </c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</row>
    <row r="29" ht="14.25" customHeight="1">
      <c r="A29" s="103" t="s">
        <v>84</v>
      </c>
      <c r="B29" s="103" t="s">
        <v>85</v>
      </c>
      <c r="C29" s="103" t="s">
        <v>120</v>
      </c>
      <c r="D29" s="103" t="s">
        <v>86</v>
      </c>
      <c r="E29" s="104" t="s">
        <v>87</v>
      </c>
      <c r="F29" s="105" t="s">
        <v>121</v>
      </c>
      <c r="G29" s="106" t="s">
        <v>107</v>
      </c>
      <c r="H29" s="106">
        <v>23.0</v>
      </c>
      <c r="I29" s="107" t="s">
        <v>173</v>
      </c>
      <c r="J29" s="108" t="s">
        <v>174</v>
      </c>
      <c r="K29" s="108" t="str">
        <f>_xlfn.XLOOKUP(J29,[1]Sheet1!$A:$A,[1]Sheet1!$B:$B,"")</f>
        <v>#ERROR!</v>
      </c>
      <c r="L29" s="105" t="s">
        <v>175</v>
      </c>
      <c r="M29" s="105" t="s">
        <v>176</v>
      </c>
      <c r="N29" s="106" t="s">
        <v>106</v>
      </c>
      <c r="O29" s="109" t="s">
        <v>95</v>
      </c>
      <c r="P29" s="110">
        <v>17.5</v>
      </c>
      <c r="Q29" s="103" t="s">
        <v>177</v>
      </c>
      <c r="R29" s="110" t="s">
        <v>97</v>
      </c>
      <c r="S29" s="110">
        <v>6.8625</v>
      </c>
      <c r="T29" s="111" t="s">
        <v>178</v>
      </c>
      <c r="U29" s="106" t="s">
        <v>98</v>
      </c>
      <c r="V29" s="112">
        <v>0.0</v>
      </c>
      <c r="W29" s="113">
        <v>45.0</v>
      </c>
      <c r="X29" s="113">
        <v>45.0</v>
      </c>
      <c r="Y29" s="113">
        <v>55.0</v>
      </c>
      <c r="Z29" s="113" t="s">
        <v>99</v>
      </c>
      <c r="AA29" s="114">
        <f t="shared" si="43"/>
        <v>457.1393661</v>
      </c>
      <c r="AB29" s="115" t="str">
        <f t="shared" si="4"/>
        <v>#REF!</v>
      </c>
      <c r="AC29" s="116">
        <f t="shared" si="5"/>
        <v>405.3767431</v>
      </c>
      <c r="AD29" s="117">
        <f t="shared" si="6"/>
        <v>426.7123611</v>
      </c>
      <c r="AE29" s="118" t="str">
        <f t="shared" si="7"/>
        <v>#REF!</v>
      </c>
      <c r="AF29" s="118" t="str">
        <f t="shared" si="8"/>
        <v>#REF!</v>
      </c>
      <c r="AG29" s="119" t="str">
        <f t="shared" si="9"/>
        <v>#REF!</v>
      </c>
      <c r="AH29" s="120" t="str">
        <f t="shared" si="10"/>
        <v>#REF!</v>
      </c>
      <c r="AI29" s="121">
        <v>0.09</v>
      </c>
      <c r="AJ29" s="121">
        <v>0.09</v>
      </c>
      <c r="AK29" s="122">
        <v>0.158</v>
      </c>
      <c r="AL29" s="123">
        <f t="shared" si="11"/>
        <v>64.0495254</v>
      </c>
      <c r="AM29" s="124" t="s">
        <v>10</v>
      </c>
      <c r="AN29" s="125">
        <f t="shared" si="12"/>
        <v>405.3767431</v>
      </c>
      <c r="AO29" s="126">
        <f t="shared" si="13"/>
        <v>0.158</v>
      </c>
      <c r="AP29" s="127"/>
      <c r="AQ29" s="128">
        <f t="shared" ref="AQ29:AR29" si="49">BC29/(1-AI29)</f>
        <v>412.9324824</v>
      </c>
      <c r="AR29" s="125">
        <f t="shared" si="49"/>
        <v>375.0848546</v>
      </c>
      <c r="AS29" s="126">
        <f t="shared" si="15"/>
        <v>0.0967032967</v>
      </c>
      <c r="AT29" s="126">
        <f t="shared" si="16"/>
        <v>0.07472527473</v>
      </c>
      <c r="AU29" s="129"/>
      <c r="AV29" s="39" t="s">
        <v>126</v>
      </c>
      <c r="AW29" s="130">
        <v>17.85</v>
      </c>
      <c r="AX29" s="140">
        <f>AX27+57.6</f>
        <v>2099.58</v>
      </c>
      <c r="AY29" s="130"/>
      <c r="AZ29" s="130">
        <v>0.0</v>
      </c>
      <c r="BA29" s="130">
        <f t="shared" si="45"/>
        <v>2581.53</v>
      </c>
      <c r="BB29" s="130">
        <f t="shared" si="46"/>
        <v>2581.53</v>
      </c>
      <c r="BC29" s="131">
        <f t="shared" si="47"/>
        <v>375.768559</v>
      </c>
      <c r="BD29" s="132">
        <f t="shared" si="48"/>
        <v>341.3272177</v>
      </c>
      <c r="BE29" s="39"/>
      <c r="BF29" s="134" t="s">
        <v>101</v>
      </c>
      <c r="BG29" s="49"/>
      <c r="BH29" s="116">
        <f t="shared" si="22"/>
        <v>1351.25581</v>
      </c>
      <c r="BI29" s="116">
        <f t="shared" si="23"/>
        <v>810.7534861</v>
      </c>
      <c r="BJ29" s="116">
        <f t="shared" si="24"/>
        <v>675.6279051</v>
      </c>
      <c r="BK29" s="116">
        <f t="shared" si="25"/>
        <v>540.5023241</v>
      </c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</row>
    <row r="30" ht="14.25" customHeight="1">
      <c r="A30" s="103" t="s">
        <v>179</v>
      </c>
      <c r="B30" s="103" t="s">
        <v>120</v>
      </c>
      <c r="C30" s="103" t="s">
        <v>85</v>
      </c>
      <c r="D30" s="103" t="s">
        <v>86</v>
      </c>
      <c r="E30" s="104" t="s">
        <v>87</v>
      </c>
      <c r="F30" s="105" t="s">
        <v>121</v>
      </c>
      <c r="G30" s="106" t="s">
        <v>107</v>
      </c>
      <c r="H30" s="106">
        <v>24.0</v>
      </c>
      <c r="I30" s="107" t="s">
        <v>180</v>
      </c>
      <c r="J30" s="108" t="s">
        <v>181</v>
      </c>
      <c r="K30" s="108" t="str">
        <f>_xlfn.XLOOKUP(J30,[1]Sheet1!$A:$A,[1]Sheet1!$B:$B,"")</f>
        <v>#ERROR!</v>
      </c>
      <c r="L30" s="105" t="s">
        <v>182</v>
      </c>
      <c r="M30" s="105" t="s">
        <v>183</v>
      </c>
      <c r="N30" s="106" t="s">
        <v>106</v>
      </c>
      <c r="O30" s="109" t="s">
        <v>95</v>
      </c>
      <c r="P30" s="110">
        <v>17.5</v>
      </c>
      <c r="Q30" s="103" t="s">
        <v>184</v>
      </c>
      <c r="R30" s="110" t="s">
        <v>97</v>
      </c>
      <c r="S30" s="110">
        <v>9.0</v>
      </c>
      <c r="T30" s="111"/>
      <c r="U30" s="106" t="s">
        <v>98</v>
      </c>
      <c r="V30" s="112">
        <v>0.0</v>
      </c>
      <c r="W30" s="113">
        <v>45.0</v>
      </c>
      <c r="X30" s="113">
        <v>45.0</v>
      </c>
      <c r="Y30" s="113">
        <v>55.0</v>
      </c>
      <c r="Z30" s="113" t="s">
        <v>99</v>
      </c>
      <c r="AA30" s="114">
        <f t="shared" si="43"/>
        <v>398.9504329</v>
      </c>
      <c r="AB30" s="115"/>
      <c r="AC30" s="116">
        <f t="shared" si="5"/>
        <v>352.2632182</v>
      </c>
      <c r="AD30" s="117">
        <f t="shared" si="6"/>
        <v>370.8033876</v>
      </c>
      <c r="AE30" s="118" t="str">
        <f>AE31</f>
        <v>#REF!</v>
      </c>
      <c r="AF30" s="118"/>
      <c r="AG30" s="119"/>
      <c r="AH30" s="120">
        <f t="shared" si="10"/>
        <v>0</v>
      </c>
      <c r="AI30" s="121">
        <v>0.09</v>
      </c>
      <c r="AJ30" s="121">
        <v>0.09</v>
      </c>
      <c r="AK30" s="122">
        <v>0.22</v>
      </c>
      <c r="AL30" s="123">
        <f t="shared" si="11"/>
        <v>77.49790801</v>
      </c>
      <c r="AM30" s="122" t="s">
        <v>10</v>
      </c>
      <c r="AN30" s="125">
        <f t="shared" si="12"/>
        <v>352.2632182</v>
      </c>
      <c r="AO30" s="141">
        <f t="shared" si="13"/>
        <v>0.22</v>
      </c>
      <c r="AP30" s="127"/>
      <c r="AQ30" s="142">
        <f t="shared" ref="AQ30:AR30" si="50">BC30/(1-AI30)</f>
        <v>333.1893725</v>
      </c>
      <c r="AR30" s="143">
        <f t="shared" si="50"/>
        <v>301.9399013</v>
      </c>
      <c r="AS30" s="144">
        <f t="shared" si="15"/>
        <v>0.1648351648</v>
      </c>
      <c r="AT30" s="144">
        <f t="shared" si="16"/>
        <v>0.1428571429</v>
      </c>
      <c r="AU30" s="129"/>
      <c r="AV30" s="39" t="s">
        <v>185</v>
      </c>
      <c r="AW30" s="130">
        <v>14.0</v>
      </c>
      <c r="AX30" s="130">
        <v>1700.0</v>
      </c>
      <c r="AY30" s="130"/>
      <c r="AZ30" s="130">
        <v>5.0</v>
      </c>
      <c r="BA30" s="130">
        <f t="shared" si="45"/>
        <v>2078</v>
      </c>
      <c r="BB30" s="130">
        <f t="shared" si="46"/>
        <v>2083</v>
      </c>
      <c r="BC30" s="131">
        <f t="shared" si="47"/>
        <v>303.202329</v>
      </c>
      <c r="BD30" s="132">
        <f t="shared" si="48"/>
        <v>274.7653102</v>
      </c>
      <c r="BE30" s="39"/>
      <c r="BF30" s="134" t="s">
        <v>101</v>
      </c>
      <c r="BG30" s="49"/>
      <c r="BH30" s="118">
        <f t="shared" si="22"/>
        <v>1174.210727</v>
      </c>
      <c r="BI30" s="118">
        <f t="shared" si="23"/>
        <v>704.5264364</v>
      </c>
      <c r="BJ30" s="118">
        <f t="shared" si="24"/>
        <v>587.1053637</v>
      </c>
      <c r="BK30" s="118">
        <f t="shared" si="25"/>
        <v>469.684291</v>
      </c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</row>
    <row r="31" ht="14.25" customHeight="1">
      <c r="A31" s="103" t="s">
        <v>179</v>
      </c>
      <c r="B31" s="103" t="s">
        <v>120</v>
      </c>
      <c r="C31" s="103" t="s">
        <v>85</v>
      </c>
      <c r="D31" s="103" t="s">
        <v>86</v>
      </c>
      <c r="E31" s="104" t="s">
        <v>87</v>
      </c>
      <c r="F31" s="105" t="s">
        <v>121</v>
      </c>
      <c r="G31" s="106" t="s">
        <v>107</v>
      </c>
      <c r="H31" s="106">
        <v>24.0</v>
      </c>
      <c r="I31" s="107" t="s">
        <v>186</v>
      </c>
      <c r="J31" s="108" t="s">
        <v>187</v>
      </c>
      <c r="K31" s="108" t="str">
        <f>_xlfn.XLOOKUP(J31,[1]Sheet1!$A:$A,[1]Sheet1!$B:$B,"")</f>
        <v>#ERROR!</v>
      </c>
      <c r="L31" s="105" t="s">
        <v>188</v>
      </c>
      <c r="M31" s="105" t="s">
        <v>189</v>
      </c>
      <c r="N31" s="106" t="s">
        <v>106</v>
      </c>
      <c r="O31" s="109" t="s">
        <v>95</v>
      </c>
      <c r="P31" s="110">
        <v>17.5</v>
      </c>
      <c r="Q31" s="103" t="s">
        <v>96</v>
      </c>
      <c r="R31" s="110" t="s">
        <v>97</v>
      </c>
      <c r="S31" s="110">
        <v>9.0</v>
      </c>
      <c r="T31" s="111"/>
      <c r="U31" s="106" t="s">
        <v>98</v>
      </c>
      <c r="V31" s="112">
        <v>0.0</v>
      </c>
      <c r="W31" s="113">
        <v>45.0</v>
      </c>
      <c r="X31" s="113">
        <v>45.0</v>
      </c>
      <c r="Y31" s="113">
        <v>55.0</v>
      </c>
      <c r="Z31" s="113" t="s">
        <v>99</v>
      </c>
      <c r="AA31" s="114">
        <f t="shared" si="43"/>
        <v>398.9504329</v>
      </c>
      <c r="AB31" s="115" t="str">
        <f t="shared" ref="AB31:AB34" si="52">VLOOKUP(J31,'[2]PO &amp; SC Sept 2025'!$I$14:$BK$660,55,FALSE)+(($F$3/1000)-1.5)*P31</f>
        <v>#REF!</v>
      </c>
      <c r="AC31" s="116">
        <f t="shared" si="5"/>
        <v>352.2632182</v>
      </c>
      <c r="AD31" s="117">
        <f t="shared" si="6"/>
        <v>370.8033876</v>
      </c>
      <c r="AE31" s="118" t="str">
        <f t="shared" ref="AE31:AE34" si="53">VLOOKUP(J31,'[2]PO &amp; SC Sept 2025'!$I$14:$BE$660,49,FALSE)+(P31*(($F$4/1000)-1.5))</f>
        <v>#REF!</v>
      </c>
      <c r="AF31" s="118" t="str">
        <f t="shared" ref="AF31:AF35" si="54">VLOOKUP(J31,'[2]PO &amp; SC Sept 2025'!$I$14:$AA$938,19,FALSE)</f>
        <v>#REF!</v>
      </c>
      <c r="AG31" s="119" t="str">
        <f t="shared" ref="AG31:AG35" si="55">VLOOKUP(J31,'[2]PO &amp; SC Sept 2025'!$I$14:$AD$938,22,FALSE)</f>
        <v>#REF!</v>
      </c>
      <c r="AH31" s="120" t="str">
        <f t="shared" si="10"/>
        <v>#REF!</v>
      </c>
      <c r="AI31" s="121">
        <v>0.09</v>
      </c>
      <c r="AJ31" s="121">
        <v>0.09</v>
      </c>
      <c r="AK31" s="122">
        <v>0.22</v>
      </c>
      <c r="AL31" s="123">
        <f t="shared" si="11"/>
        <v>77.49790801</v>
      </c>
      <c r="AM31" s="122" t="s">
        <v>10</v>
      </c>
      <c r="AN31" s="125">
        <f t="shared" si="12"/>
        <v>352.2632182</v>
      </c>
      <c r="AO31" s="141">
        <f t="shared" si="13"/>
        <v>0.22</v>
      </c>
      <c r="AP31" s="127"/>
      <c r="AQ31" s="142">
        <f t="shared" ref="AQ31:AR31" si="51">BC31/(1-AI31)</f>
        <v>333.1893725</v>
      </c>
      <c r="AR31" s="143">
        <f t="shared" si="51"/>
        <v>301.9399013</v>
      </c>
      <c r="AS31" s="144">
        <f t="shared" si="15"/>
        <v>0.1648351648</v>
      </c>
      <c r="AT31" s="144">
        <f t="shared" si="16"/>
        <v>0.1428571429</v>
      </c>
      <c r="AU31" s="129"/>
      <c r="AV31" s="39" t="s">
        <v>185</v>
      </c>
      <c r="AW31" s="130">
        <v>14.0</v>
      </c>
      <c r="AX31" s="130">
        <v>1700.0</v>
      </c>
      <c r="AY31" s="130"/>
      <c r="AZ31" s="130">
        <v>5.0</v>
      </c>
      <c r="BA31" s="130">
        <f t="shared" si="45"/>
        <v>2078</v>
      </c>
      <c r="BB31" s="130">
        <f t="shared" si="46"/>
        <v>2083</v>
      </c>
      <c r="BC31" s="131">
        <f t="shared" si="47"/>
        <v>303.202329</v>
      </c>
      <c r="BD31" s="132">
        <f t="shared" si="48"/>
        <v>274.7653102</v>
      </c>
      <c r="BE31" s="39"/>
      <c r="BF31" s="134" t="s">
        <v>101</v>
      </c>
      <c r="BG31" s="49"/>
      <c r="BH31" s="118">
        <f t="shared" si="22"/>
        <v>1174.210727</v>
      </c>
      <c r="BI31" s="118">
        <f t="shared" si="23"/>
        <v>704.5264364</v>
      </c>
      <c r="BJ31" s="118">
        <f t="shared" si="24"/>
        <v>587.1053637</v>
      </c>
      <c r="BK31" s="118">
        <f t="shared" si="25"/>
        <v>469.684291</v>
      </c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</row>
    <row r="32" ht="14.25" customHeight="1">
      <c r="A32" s="103" t="s">
        <v>179</v>
      </c>
      <c r="B32" s="103" t="s">
        <v>120</v>
      </c>
      <c r="C32" s="103" t="s">
        <v>85</v>
      </c>
      <c r="D32" s="103" t="s">
        <v>86</v>
      </c>
      <c r="E32" s="104" t="s">
        <v>87</v>
      </c>
      <c r="F32" s="105" t="s">
        <v>121</v>
      </c>
      <c r="G32" s="106" t="s">
        <v>107</v>
      </c>
      <c r="H32" s="106">
        <v>24.0</v>
      </c>
      <c r="I32" s="107" t="s">
        <v>190</v>
      </c>
      <c r="J32" s="108" t="s">
        <v>191</v>
      </c>
      <c r="K32" s="108" t="str">
        <f>_xlfn.XLOOKUP(J32,[1]Sheet1!$A:$A,[1]Sheet1!$B:$B,"")</f>
        <v>#ERROR!</v>
      </c>
      <c r="L32" s="105" t="s">
        <v>192</v>
      </c>
      <c r="M32" s="105" t="s">
        <v>193</v>
      </c>
      <c r="N32" s="106" t="s">
        <v>106</v>
      </c>
      <c r="O32" s="109" t="s">
        <v>95</v>
      </c>
      <c r="P32" s="110">
        <v>17.5</v>
      </c>
      <c r="Q32" s="103" t="s">
        <v>177</v>
      </c>
      <c r="R32" s="110" t="s">
        <v>97</v>
      </c>
      <c r="S32" s="110">
        <v>6.8625</v>
      </c>
      <c r="T32" s="111"/>
      <c r="U32" s="106" t="s">
        <v>98</v>
      </c>
      <c r="V32" s="112">
        <v>0.0</v>
      </c>
      <c r="W32" s="113">
        <v>45.0</v>
      </c>
      <c r="X32" s="113">
        <v>45.0</v>
      </c>
      <c r="Y32" s="113">
        <v>55.0</v>
      </c>
      <c r="Z32" s="113" t="s">
        <v>99</v>
      </c>
      <c r="AA32" s="114">
        <f t="shared" si="43"/>
        <v>403.0874624</v>
      </c>
      <c r="AB32" s="115" t="str">
        <f t="shared" si="52"/>
        <v>#REF!</v>
      </c>
      <c r="AC32" s="116">
        <f t="shared" si="5"/>
        <v>360.0464387</v>
      </c>
      <c r="AD32" s="117">
        <f t="shared" si="6"/>
        <v>378.9962513</v>
      </c>
      <c r="AE32" s="118" t="str">
        <f t="shared" si="53"/>
        <v>#REF!</v>
      </c>
      <c r="AF32" s="118" t="str">
        <f t="shared" si="54"/>
        <v>#REF!</v>
      </c>
      <c r="AG32" s="119" t="str">
        <f t="shared" si="55"/>
        <v>#REF!</v>
      </c>
      <c r="AH32" s="120" t="str">
        <f t="shared" si="10"/>
        <v>#REF!</v>
      </c>
      <c r="AI32" s="121">
        <v>0.09</v>
      </c>
      <c r="AJ32" s="121">
        <v>0.09</v>
      </c>
      <c r="AK32" s="122">
        <v>0.207</v>
      </c>
      <c r="AL32" s="123">
        <f t="shared" si="11"/>
        <v>74.52961281</v>
      </c>
      <c r="AM32" s="122" t="s">
        <v>10</v>
      </c>
      <c r="AN32" s="125">
        <f t="shared" si="12"/>
        <v>360.0464387</v>
      </c>
      <c r="AO32" s="145">
        <f t="shared" si="13"/>
        <v>0.207</v>
      </c>
      <c r="AP32" s="127"/>
      <c r="AQ32" s="146">
        <f t="shared" ref="AQ32:AR32" si="56">BC32/(1-AI32)</f>
        <v>342.4028664</v>
      </c>
      <c r="AR32" s="147">
        <f t="shared" si="56"/>
        <v>313.7547537</v>
      </c>
      <c r="AS32" s="148">
        <f t="shared" si="15"/>
        <v>0.1505494505</v>
      </c>
      <c r="AT32" s="148">
        <f t="shared" si="16"/>
        <v>0.1285714286</v>
      </c>
      <c r="AU32" s="129"/>
      <c r="AV32" s="39" t="s">
        <v>185</v>
      </c>
      <c r="AW32" s="130">
        <v>14.0</v>
      </c>
      <c r="AX32" s="130">
        <v>1757.6</v>
      </c>
      <c r="AY32" s="130"/>
      <c r="AZ32" s="130">
        <v>5.0</v>
      </c>
      <c r="BA32" s="130">
        <f t="shared" si="45"/>
        <v>2135.6</v>
      </c>
      <c r="BB32" s="130">
        <f t="shared" si="46"/>
        <v>2140.6</v>
      </c>
      <c r="BC32" s="131">
        <f t="shared" si="47"/>
        <v>311.5866084</v>
      </c>
      <c r="BD32" s="132">
        <f t="shared" si="48"/>
        <v>285.5168259</v>
      </c>
      <c r="BE32" s="39"/>
      <c r="BF32" s="134" t="s">
        <v>101</v>
      </c>
      <c r="BG32" s="49"/>
      <c r="BH32" s="118">
        <f t="shared" si="22"/>
        <v>1200.154796</v>
      </c>
      <c r="BI32" s="118">
        <f t="shared" si="23"/>
        <v>720.0928774</v>
      </c>
      <c r="BJ32" s="118">
        <f t="shared" si="24"/>
        <v>600.0773979</v>
      </c>
      <c r="BK32" s="118">
        <f t="shared" si="25"/>
        <v>480.0619183</v>
      </c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</row>
    <row r="33" ht="14.25" customHeight="1">
      <c r="A33" s="103" t="s">
        <v>84</v>
      </c>
      <c r="B33" s="103" t="s">
        <v>85</v>
      </c>
      <c r="C33" s="103" t="s">
        <v>120</v>
      </c>
      <c r="D33" s="103" t="s">
        <v>86</v>
      </c>
      <c r="E33" s="104" t="s">
        <v>87</v>
      </c>
      <c r="F33" s="105" t="s">
        <v>121</v>
      </c>
      <c r="G33" s="106" t="s">
        <v>89</v>
      </c>
      <c r="H33" s="106">
        <v>23.0</v>
      </c>
      <c r="I33" s="107" t="s">
        <v>194</v>
      </c>
      <c r="J33" s="108" t="s">
        <v>151</v>
      </c>
      <c r="K33" s="108" t="str">
        <f>_xlfn.XLOOKUP(J33,[1]Sheet1!$A:$A,[1]Sheet1!$B:$B,"")</f>
        <v>#ERROR!</v>
      </c>
      <c r="L33" s="105" t="s">
        <v>152</v>
      </c>
      <c r="M33" s="105" t="s">
        <v>153</v>
      </c>
      <c r="N33" s="106" t="s">
        <v>106</v>
      </c>
      <c r="O33" s="109" t="s">
        <v>95</v>
      </c>
      <c r="P33" s="110">
        <v>15.8</v>
      </c>
      <c r="Q33" s="103" t="s">
        <v>96</v>
      </c>
      <c r="R33" s="110" t="s">
        <v>97</v>
      </c>
      <c r="S33" s="110">
        <v>12.0</v>
      </c>
      <c r="T33" s="111" t="e">
        <v>#N/A</v>
      </c>
      <c r="U33" s="106" t="s">
        <v>98</v>
      </c>
      <c r="V33" s="112">
        <v>0.0</v>
      </c>
      <c r="W33" s="113">
        <v>45.0</v>
      </c>
      <c r="X33" s="113">
        <v>45.0</v>
      </c>
      <c r="Y33" s="113">
        <v>55.0</v>
      </c>
      <c r="Z33" s="113" t="s">
        <v>99</v>
      </c>
      <c r="AA33" s="114">
        <f t="shared" si="43"/>
        <v>357.297367</v>
      </c>
      <c r="AB33" s="115" t="str">
        <f t="shared" si="52"/>
        <v>#REF!</v>
      </c>
      <c r="AC33" s="116">
        <f t="shared" si="5"/>
        <v>313.3099874</v>
      </c>
      <c r="AD33" s="117">
        <f t="shared" si="6"/>
        <v>329.7999868</v>
      </c>
      <c r="AE33" s="118" t="str">
        <f t="shared" si="53"/>
        <v>#REF!</v>
      </c>
      <c r="AF33" s="118" t="str">
        <f t="shared" si="54"/>
        <v>#REF!</v>
      </c>
      <c r="AG33" s="119" t="str">
        <f t="shared" si="55"/>
        <v>#REF!</v>
      </c>
      <c r="AH33" s="120" t="str">
        <f t="shared" si="10"/>
        <v>#REF!</v>
      </c>
      <c r="AI33" s="121">
        <v>0.09</v>
      </c>
      <c r="AJ33" s="121">
        <v>0.09</v>
      </c>
      <c r="AK33" s="122">
        <v>0.19</v>
      </c>
      <c r="AL33" s="123">
        <f t="shared" si="11"/>
        <v>59.52889761</v>
      </c>
      <c r="AM33" s="124" t="s">
        <v>10</v>
      </c>
      <c r="AN33" s="125">
        <f t="shared" si="12"/>
        <v>313.3099874</v>
      </c>
      <c r="AO33" s="126">
        <f t="shared" si="13"/>
        <v>0.19</v>
      </c>
      <c r="AP33" s="127"/>
      <c r="AQ33" s="128">
        <f t="shared" ref="AQ33:AR33" si="57">BC33/(1-AI33)</f>
        <v>310.1812307</v>
      </c>
      <c r="AR33" s="125">
        <f t="shared" si="57"/>
        <v>278.8803185</v>
      </c>
      <c r="AS33" s="126">
        <f t="shared" si="15"/>
        <v>0.1318681319</v>
      </c>
      <c r="AT33" s="126">
        <f t="shared" si="16"/>
        <v>0.1098901099</v>
      </c>
      <c r="AU33" s="129"/>
      <c r="AV33" s="39" t="s">
        <v>126</v>
      </c>
      <c r="AW33" s="130">
        <v>15.24</v>
      </c>
      <c r="AX33" s="130">
        <v>1522.68</v>
      </c>
      <c r="AY33" s="130"/>
      <c r="AZ33" s="130">
        <v>5.0</v>
      </c>
      <c r="BA33" s="130">
        <f t="shared" si="45"/>
        <v>1934.16</v>
      </c>
      <c r="BB33" s="130">
        <f t="shared" si="46"/>
        <v>1939.16</v>
      </c>
      <c r="BC33" s="131">
        <f t="shared" si="47"/>
        <v>282.2649199</v>
      </c>
      <c r="BD33" s="132">
        <f t="shared" si="48"/>
        <v>253.7810898</v>
      </c>
      <c r="BE33" s="133"/>
      <c r="BF33" s="134" t="s">
        <v>101</v>
      </c>
      <c r="BG33" s="49"/>
      <c r="BH33" s="116">
        <f t="shared" si="22"/>
        <v>1044.366625</v>
      </c>
      <c r="BI33" s="116">
        <f t="shared" si="23"/>
        <v>626.6199748</v>
      </c>
      <c r="BJ33" s="116">
        <f t="shared" si="24"/>
        <v>522.1833124</v>
      </c>
      <c r="BK33" s="116">
        <f t="shared" si="25"/>
        <v>417.7466499</v>
      </c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</row>
    <row r="34" ht="14.25" customHeight="1">
      <c r="A34" s="103" t="s">
        <v>84</v>
      </c>
      <c r="B34" s="103" t="s">
        <v>85</v>
      </c>
      <c r="C34" s="103" t="s">
        <v>120</v>
      </c>
      <c r="D34" s="103" t="s">
        <v>86</v>
      </c>
      <c r="E34" s="104" t="s">
        <v>87</v>
      </c>
      <c r="F34" s="105" t="s">
        <v>121</v>
      </c>
      <c r="G34" s="106" t="s">
        <v>89</v>
      </c>
      <c r="H34" s="106">
        <v>23.0</v>
      </c>
      <c r="I34" s="107" t="s">
        <v>195</v>
      </c>
      <c r="J34" s="108" t="s">
        <v>155</v>
      </c>
      <c r="K34" s="108" t="str">
        <f>_xlfn.XLOOKUP(J34,[1]Sheet1!$A:$A,[1]Sheet1!$B:$B,"")</f>
        <v>#ERROR!</v>
      </c>
      <c r="L34" s="105" t="s">
        <v>156</v>
      </c>
      <c r="M34" s="105" t="s">
        <v>157</v>
      </c>
      <c r="N34" s="106" t="s">
        <v>106</v>
      </c>
      <c r="O34" s="109" t="s">
        <v>95</v>
      </c>
      <c r="P34" s="110">
        <v>15.8</v>
      </c>
      <c r="Q34" s="103" t="s">
        <v>132</v>
      </c>
      <c r="R34" s="110" t="s">
        <v>97</v>
      </c>
      <c r="S34" s="110">
        <v>6.1</v>
      </c>
      <c r="T34" s="111" t="e">
        <v>#N/A</v>
      </c>
      <c r="U34" s="106" t="s">
        <v>98</v>
      </c>
      <c r="V34" s="112">
        <v>0.0</v>
      </c>
      <c r="W34" s="113">
        <v>45.0</v>
      </c>
      <c r="X34" s="113">
        <v>45.0</v>
      </c>
      <c r="Y34" s="113">
        <v>55.0</v>
      </c>
      <c r="Z34" s="113" t="s">
        <v>99</v>
      </c>
      <c r="AA34" s="114">
        <f t="shared" si="43"/>
        <v>355.476159</v>
      </c>
      <c r="AB34" s="115" t="str">
        <f t="shared" si="52"/>
        <v>#REF!</v>
      </c>
      <c r="AC34" s="116">
        <f t="shared" si="5"/>
        <v>321.6851327</v>
      </c>
      <c r="AD34" s="117">
        <f t="shared" si="6"/>
        <v>338.6159292</v>
      </c>
      <c r="AE34" s="118" t="str">
        <f t="shared" si="53"/>
        <v>#REF!</v>
      </c>
      <c r="AF34" s="118" t="str">
        <f t="shared" si="54"/>
        <v>#REF!</v>
      </c>
      <c r="AG34" s="119" t="str">
        <f t="shared" si="55"/>
        <v>#REF!</v>
      </c>
      <c r="AH34" s="120" t="str">
        <f t="shared" si="10"/>
        <v>#REF!</v>
      </c>
      <c r="AI34" s="121">
        <v>0.09</v>
      </c>
      <c r="AJ34" s="121">
        <v>0.09</v>
      </c>
      <c r="AK34" s="122">
        <v>0.188</v>
      </c>
      <c r="AL34" s="123">
        <f t="shared" si="11"/>
        <v>60.47680495</v>
      </c>
      <c r="AM34" s="124" t="s">
        <v>10</v>
      </c>
      <c r="AN34" s="125">
        <f t="shared" si="12"/>
        <v>321.6851327</v>
      </c>
      <c r="AO34" s="126">
        <f t="shared" si="13"/>
        <v>0.188</v>
      </c>
      <c r="AP34" s="127"/>
      <c r="AQ34" s="128">
        <f t="shared" ref="AQ34:AR34" si="58">BC34/(1-AI34)</f>
        <v>309.3814482</v>
      </c>
      <c r="AR34" s="125">
        <f t="shared" si="58"/>
        <v>287.0421184</v>
      </c>
      <c r="AS34" s="126">
        <f t="shared" si="15"/>
        <v>0.1296703297</v>
      </c>
      <c r="AT34" s="126">
        <f t="shared" si="16"/>
        <v>0.1076923077</v>
      </c>
      <c r="AU34" s="129">
        <v>245.35</v>
      </c>
      <c r="AV34" s="39" t="s">
        <v>126</v>
      </c>
      <c r="AW34" s="130">
        <v>15.24</v>
      </c>
      <c r="AX34" s="130">
        <v>1522.68</v>
      </c>
      <c r="AY34" s="130"/>
      <c r="AZ34" s="130">
        <v>0.0</v>
      </c>
      <c r="BA34" s="130">
        <f t="shared" si="45"/>
        <v>1934.16</v>
      </c>
      <c r="BB34" s="130">
        <f t="shared" si="46"/>
        <v>1934.16</v>
      </c>
      <c r="BC34" s="131">
        <f t="shared" si="47"/>
        <v>281.5371179</v>
      </c>
      <c r="BD34" s="132">
        <f t="shared" si="48"/>
        <v>261.2083278</v>
      </c>
      <c r="BE34" s="133"/>
      <c r="BF34" s="134" t="s">
        <v>101</v>
      </c>
      <c r="BG34" s="49"/>
      <c r="BH34" s="116">
        <f t="shared" si="22"/>
        <v>1072.283776</v>
      </c>
      <c r="BI34" s="116">
        <f t="shared" si="23"/>
        <v>643.3702654</v>
      </c>
      <c r="BJ34" s="116">
        <f t="shared" si="24"/>
        <v>536.1418878</v>
      </c>
      <c r="BK34" s="116">
        <f t="shared" si="25"/>
        <v>428.9135103</v>
      </c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</row>
    <row r="35" ht="14.25" customHeight="1">
      <c r="A35" s="149" t="s">
        <v>84</v>
      </c>
      <c r="B35" s="149" t="s">
        <v>85</v>
      </c>
      <c r="C35" s="149" t="s">
        <v>120</v>
      </c>
      <c r="D35" s="149" t="s">
        <v>86</v>
      </c>
      <c r="E35" s="150" t="s">
        <v>87</v>
      </c>
      <c r="F35" s="151" t="s">
        <v>121</v>
      </c>
      <c r="G35" s="152" t="s">
        <v>89</v>
      </c>
      <c r="H35" s="152">
        <v>23.0</v>
      </c>
      <c r="I35" s="107" t="s">
        <v>196</v>
      </c>
      <c r="J35" s="153" t="s">
        <v>159</v>
      </c>
      <c r="K35" s="153" t="str">
        <f>_xlfn.XLOOKUP(J35,[1]Sheet1!$A:$A,[1]Sheet1!$B:$B,"")</f>
        <v>#ERROR!</v>
      </c>
      <c r="L35" s="151" t="s">
        <v>160</v>
      </c>
      <c r="M35" s="151" t="s">
        <v>161</v>
      </c>
      <c r="N35" s="152" t="s">
        <v>162</v>
      </c>
      <c r="O35" s="154" t="s">
        <v>95</v>
      </c>
      <c r="P35" s="155">
        <v>15.8</v>
      </c>
      <c r="Q35" s="149" t="s">
        <v>96</v>
      </c>
      <c r="R35" s="155" t="s">
        <v>97</v>
      </c>
      <c r="S35" s="155">
        <v>9.0</v>
      </c>
      <c r="T35" s="156"/>
      <c r="U35" s="152" t="s">
        <v>98</v>
      </c>
      <c r="V35" s="157">
        <v>0.0</v>
      </c>
      <c r="W35" s="158">
        <v>45.0</v>
      </c>
      <c r="X35" s="158">
        <v>45.0</v>
      </c>
      <c r="Y35" s="158">
        <v>55.0</v>
      </c>
      <c r="Z35" s="158" t="s">
        <v>99</v>
      </c>
      <c r="AA35" s="114">
        <f t="shared" si="43"/>
        <v>413.1349115</v>
      </c>
      <c r="AB35" s="115"/>
      <c r="AC35" s="159">
        <f t="shared" si="5"/>
        <v>364.2812826</v>
      </c>
      <c r="AD35" s="117">
        <f t="shared" si="6"/>
        <v>383.4539817</v>
      </c>
      <c r="AE35" s="118"/>
      <c r="AF35" s="118" t="str">
        <f t="shared" si="54"/>
        <v>#REF!</v>
      </c>
      <c r="AG35" s="119" t="str">
        <f t="shared" si="55"/>
        <v>#REF!</v>
      </c>
      <c r="AH35" s="120" t="str">
        <f t="shared" si="10"/>
        <v>#REF!</v>
      </c>
      <c r="AI35" s="157">
        <v>0.09</v>
      </c>
      <c r="AJ35" s="157">
        <v>0.09</v>
      </c>
      <c r="AK35" s="157">
        <v>0.22</v>
      </c>
      <c r="AL35" s="123">
        <f t="shared" si="11"/>
        <v>80.14188218</v>
      </c>
      <c r="AM35" s="160" t="s">
        <v>10</v>
      </c>
      <c r="AN35" s="161">
        <f t="shared" si="12"/>
        <v>364.2812826</v>
      </c>
      <c r="AO35" s="162">
        <f t="shared" si="13"/>
        <v>0.22</v>
      </c>
      <c r="AP35" s="127"/>
      <c r="AQ35" s="163">
        <f t="shared" ref="AQ35:AR35" si="59">BC35/(1-AI35)</f>
        <v>345.0357503</v>
      </c>
      <c r="AR35" s="161">
        <f t="shared" si="59"/>
        <v>312.2410994</v>
      </c>
      <c r="AS35" s="162">
        <f t="shared" si="15"/>
        <v>0.1648351648</v>
      </c>
      <c r="AT35" s="162">
        <f t="shared" si="16"/>
        <v>0.1428571429</v>
      </c>
      <c r="AU35" s="129"/>
      <c r="AV35" s="164" t="s">
        <v>126</v>
      </c>
      <c r="AW35" s="165">
        <v>15.8</v>
      </c>
      <c r="AX35" s="165">
        <v>1725.46</v>
      </c>
      <c r="AY35" s="165"/>
      <c r="AZ35" s="165">
        <v>5.0</v>
      </c>
      <c r="BA35" s="165">
        <f t="shared" si="45"/>
        <v>2152.06</v>
      </c>
      <c r="BB35" s="165">
        <f t="shared" si="46"/>
        <v>2157.06</v>
      </c>
      <c r="BC35" s="166">
        <f t="shared" si="47"/>
        <v>313.9825328</v>
      </c>
      <c r="BD35" s="167">
        <f t="shared" si="48"/>
        <v>284.1394005</v>
      </c>
      <c r="BE35" s="168"/>
      <c r="BF35" s="169" t="s">
        <v>101</v>
      </c>
      <c r="BG35" s="170"/>
      <c r="BH35" s="159">
        <f t="shared" si="22"/>
        <v>1214.270942</v>
      </c>
      <c r="BI35" s="159">
        <f t="shared" si="23"/>
        <v>728.5625653</v>
      </c>
      <c r="BJ35" s="159">
        <f t="shared" si="24"/>
        <v>607.1354711</v>
      </c>
      <c r="BK35" s="159">
        <f t="shared" si="25"/>
        <v>485.7083769</v>
      </c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</row>
    <row r="36" ht="14.25" customHeight="1">
      <c r="A36" s="149" t="s">
        <v>84</v>
      </c>
      <c r="B36" s="149" t="s">
        <v>85</v>
      </c>
      <c r="C36" s="149" t="s">
        <v>120</v>
      </c>
      <c r="D36" s="149" t="s">
        <v>86</v>
      </c>
      <c r="E36" s="150" t="s">
        <v>87</v>
      </c>
      <c r="F36" s="151" t="s">
        <v>121</v>
      </c>
      <c r="G36" s="152" t="s">
        <v>89</v>
      </c>
      <c r="H36" s="152">
        <v>23.0</v>
      </c>
      <c r="I36" s="107" t="s">
        <v>197</v>
      </c>
      <c r="J36" s="153" t="s">
        <v>198</v>
      </c>
      <c r="K36" s="153" t="str">
        <f>_xlfn.XLOOKUP(J36,[1]Sheet1!$A:$A,[1]Sheet1!$B:$B,"")</f>
        <v>#ERROR!</v>
      </c>
      <c r="L36" s="151" t="s">
        <v>199</v>
      </c>
      <c r="M36" s="151" t="s">
        <v>200</v>
      </c>
      <c r="N36" s="152" t="s">
        <v>201</v>
      </c>
      <c r="O36" s="154" t="s">
        <v>95</v>
      </c>
      <c r="P36" s="155">
        <v>15.8</v>
      </c>
      <c r="Q36" s="149" t="s">
        <v>96</v>
      </c>
      <c r="R36" s="155" t="s">
        <v>97</v>
      </c>
      <c r="S36" s="155">
        <v>9.0</v>
      </c>
      <c r="T36" s="156"/>
      <c r="U36" s="152" t="s">
        <v>98</v>
      </c>
      <c r="V36" s="157">
        <v>0.0</v>
      </c>
      <c r="W36" s="158">
        <v>45.0</v>
      </c>
      <c r="X36" s="158">
        <v>45.0</v>
      </c>
      <c r="Y36" s="158">
        <v>55.0</v>
      </c>
      <c r="Z36" s="158" t="s">
        <v>99</v>
      </c>
      <c r="AA36" s="114">
        <f t="shared" si="43"/>
        <v>434.5981353</v>
      </c>
      <c r="AB36" s="115"/>
      <c r="AC36" s="159">
        <f t="shared" si="5"/>
        <v>382.5862676</v>
      </c>
      <c r="AD36" s="117">
        <f t="shared" si="6"/>
        <v>402.7223869</v>
      </c>
      <c r="AE36" s="118"/>
      <c r="AF36" s="118"/>
      <c r="AG36" s="119"/>
      <c r="AH36" s="120"/>
      <c r="AI36" s="157">
        <v>0.09</v>
      </c>
      <c r="AJ36" s="157">
        <v>0.09</v>
      </c>
      <c r="AK36" s="157">
        <v>0.24</v>
      </c>
      <c r="AL36" s="123">
        <f t="shared" si="11"/>
        <v>91.82070422</v>
      </c>
      <c r="AM36" s="160" t="s">
        <v>10</v>
      </c>
      <c r="AN36" s="161">
        <f t="shared" si="12"/>
        <v>382.5862676</v>
      </c>
      <c r="AO36" s="162">
        <f t="shared" si="13"/>
        <v>0.24</v>
      </c>
      <c r="AP36" s="127"/>
      <c r="AQ36" s="163">
        <f t="shared" ref="AQ36:AR36" si="60">BC36/(1-AI36)</f>
        <v>353.4094726</v>
      </c>
      <c r="AR36" s="161">
        <f t="shared" si="60"/>
        <v>319.5225971</v>
      </c>
      <c r="AS36" s="162">
        <f t="shared" si="15"/>
        <v>0.1868131868</v>
      </c>
      <c r="AT36" s="162">
        <f t="shared" si="16"/>
        <v>0.1648351648</v>
      </c>
      <c r="AU36" s="129"/>
      <c r="AV36" s="164" t="s">
        <v>126</v>
      </c>
      <c r="AW36" s="165">
        <v>15.8</v>
      </c>
      <c r="AX36" s="165">
        <v>1777.81</v>
      </c>
      <c r="AY36" s="165"/>
      <c r="AZ36" s="165">
        <v>5.0</v>
      </c>
      <c r="BA36" s="165">
        <f t="shared" si="45"/>
        <v>2204.41</v>
      </c>
      <c r="BB36" s="165">
        <f t="shared" si="46"/>
        <v>2209.41</v>
      </c>
      <c r="BC36" s="166">
        <f t="shared" si="47"/>
        <v>321.6026201</v>
      </c>
      <c r="BD36" s="167">
        <f t="shared" si="48"/>
        <v>290.7655634</v>
      </c>
      <c r="BE36" s="168"/>
      <c r="BF36" s="169" t="s">
        <v>101</v>
      </c>
      <c r="BG36" s="170"/>
      <c r="BH36" s="159">
        <f t="shared" si="22"/>
        <v>1275.287559</v>
      </c>
      <c r="BI36" s="159">
        <f t="shared" si="23"/>
        <v>765.1725352</v>
      </c>
      <c r="BJ36" s="159">
        <f t="shared" si="24"/>
        <v>637.6437793</v>
      </c>
      <c r="BK36" s="159">
        <f t="shared" si="25"/>
        <v>510.1150234</v>
      </c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</row>
    <row r="37" ht="14.25" customHeight="1">
      <c r="A37" s="103" t="s">
        <v>84</v>
      </c>
      <c r="B37" s="103" t="s">
        <v>85</v>
      </c>
      <c r="C37" s="103" t="s">
        <v>120</v>
      </c>
      <c r="D37" s="103" t="s">
        <v>86</v>
      </c>
      <c r="E37" s="104" t="s">
        <v>87</v>
      </c>
      <c r="F37" s="105" t="s">
        <v>121</v>
      </c>
      <c r="G37" s="106" t="s">
        <v>89</v>
      </c>
      <c r="H37" s="106">
        <v>23.0</v>
      </c>
      <c r="I37" s="107" t="s">
        <v>202</v>
      </c>
      <c r="J37" s="108" t="s">
        <v>203</v>
      </c>
      <c r="K37" s="108" t="str">
        <f>_xlfn.XLOOKUP(J37,[1]Sheet1!$A:$A,[1]Sheet1!$B:$B,"")</f>
        <v>#ERROR!</v>
      </c>
      <c r="L37" s="105" t="s">
        <v>204</v>
      </c>
      <c r="M37" s="105" t="s">
        <v>205</v>
      </c>
      <c r="N37" s="106" t="s">
        <v>206</v>
      </c>
      <c r="O37" s="109" t="s">
        <v>95</v>
      </c>
      <c r="P37" s="110">
        <v>17.8</v>
      </c>
      <c r="Q37" s="103" t="s">
        <v>96</v>
      </c>
      <c r="R37" s="110" t="s">
        <v>97</v>
      </c>
      <c r="S37" s="110">
        <v>12.0</v>
      </c>
      <c r="T37" s="111" t="e">
        <v>#N/A</v>
      </c>
      <c r="U37" s="106" t="s">
        <v>98</v>
      </c>
      <c r="V37" s="112">
        <v>0.0</v>
      </c>
      <c r="W37" s="113">
        <v>45.0</v>
      </c>
      <c r="X37" s="113">
        <v>45.0</v>
      </c>
      <c r="Y37" s="113">
        <v>55.0</v>
      </c>
      <c r="Z37" s="113" t="s">
        <v>99</v>
      </c>
      <c r="AA37" s="114">
        <f t="shared" si="43"/>
        <v>431.6587893</v>
      </c>
      <c r="AB37" s="115" t="str">
        <f t="shared" ref="AB37:AB39" si="62">VLOOKUP(J37,'[2]PO &amp; SC Sept 2025'!$I$14:$BK$660,55,FALSE)+(($F$3/1000)-1.5)*P37</f>
        <v>#REF!</v>
      </c>
      <c r="AC37" s="116">
        <f t="shared" si="5"/>
        <v>376.5357889</v>
      </c>
      <c r="AD37" s="117">
        <f t="shared" si="6"/>
        <v>396.353462</v>
      </c>
      <c r="AE37" s="118" t="str">
        <f t="shared" ref="AE37:AE39" si="63">VLOOKUP(J37,'[2]PO &amp; SC Sept 2025'!$I$14:$BE$660,49,FALSE)+(P37*(($F$4/1000)-1.5))</f>
        <v>#REF!</v>
      </c>
      <c r="AF37" s="118" t="str">
        <f t="shared" ref="AF37:AF38" si="64">VLOOKUP(J37,'[2]PO &amp; SC Sept 2025'!$I$14:$AA$938,19,FALSE)</f>
        <v>#REF!</v>
      </c>
      <c r="AG37" s="119" t="str">
        <f t="shared" ref="AG37:AG38" si="65">VLOOKUP(J37,'[2]PO &amp; SC Sept 2025'!$I$14:$AD$938,22,FALSE)</f>
        <v>#REF!</v>
      </c>
      <c r="AH37" s="120" t="str">
        <f t="shared" ref="AH37:AH38" si="66">AG37*AF37</f>
        <v>#REF!</v>
      </c>
      <c r="AI37" s="121">
        <v>0.09</v>
      </c>
      <c r="AJ37" s="121">
        <v>0.09</v>
      </c>
      <c r="AK37" s="122">
        <v>0.3</v>
      </c>
      <c r="AL37" s="123">
        <f t="shared" si="11"/>
        <v>112.9607367</v>
      </c>
      <c r="AM37" s="124" t="s">
        <v>10</v>
      </c>
      <c r="AN37" s="125">
        <f t="shared" si="12"/>
        <v>376.5357889</v>
      </c>
      <c r="AO37" s="126">
        <f t="shared" si="13"/>
        <v>0.3</v>
      </c>
      <c r="AP37" s="127"/>
      <c r="AQ37" s="128">
        <f t="shared" ref="AQ37:AR37" si="61">BC37/(1-AI37)</f>
        <v>322.5582162</v>
      </c>
      <c r="AR37" s="139">
        <f t="shared" si="61"/>
        <v>289.6429145</v>
      </c>
      <c r="AS37" s="126">
        <f t="shared" si="15"/>
        <v>0.2527472527</v>
      </c>
      <c r="AT37" s="126">
        <f t="shared" si="16"/>
        <v>0.2307692308</v>
      </c>
      <c r="AU37" s="129"/>
      <c r="AV37" s="39" t="s">
        <v>126</v>
      </c>
      <c r="AW37" s="130">
        <f>ROUND(AW33*1.04,2)</f>
        <v>15.85</v>
      </c>
      <c r="AX37" s="130">
        <f>ROUND(AX33*1.04,20)</f>
        <v>1583.5872</v>
      </c>
      <c r="AY37" s="130"/>
      <c r="AZ37" s="130">
        <v>5.0</v>
      </c>
      <c r="BA37" s="130">
        <f t="shared" si="45"/>
        <v>2011.5372</v>
      </c>
      <c r="BB37" s="130">
        <f t="shared" si="46"/>
        <v>2016.5372</v>
      </c>
      <c r="BC37" s="131">
        <f t="shared" si="47"/>
        <v>293.5279767</v>
      </c>
      <c r="BD37" s="132">
        <f t="shared" si="48"/>
        <v>263.5750522</v>
      </c>
      <c r="BE37" s="133"/>
      <c r="BF37" s="134" t="s">
        <v>101</v>
      </c>
      <c r="BG37" s="49"/>
      <c r="BH37" s="116">
        <f t="shared" si="22"/>
        <v>1255.119296</v>
      </c>
      <c r="BI37" s="116">
        <f t="shared" si="23"/>
        <v>753.0715777</v>
      </c>
      <c r="BJ37" s="116">
        <f t="shared" si="24"/>
        <v>627.5596481</v>
      </c>
      <c r="BK37" s="116">
        <f t="shared" si="25"/>
        <v>502.0477185</v>
      </c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</row>
    <row r="38" ht="14.25" customHeight="1">
      <c r="A38" s="105" t="s">
        <v>84</v>
      </c>
      <c r="B38" s="103" t="s">
        <v>85</v>
      </c>
      <c r="C38" s="103" t="s">
        <v>120</v>
      </c>
      <c r="D38" s="105" t="s">
        <v>86</v>
      </c>
      <c r="E38" s="105" t="s">
        <v>87</v>
      </c>
      <c r="F38" s="105" t="s">
        <v>207</v>
      </c>
      <c r="G38" s="106" t="s">
        <v>89</v>
      </c>
      <c r="H38" s="106">
        <v>23.0</v>
      </c>
      <c r="I38" s="107" t="s">
        <v>208</v>
      </c>
      <c r="J38" s="108" t="s">
        <v>209</v>
      </c>
      <c r="K38" s="108" t="str">
        <f>_xlfn.XLOOKUP(J38,[1]Sheet1!$A:$A,[1]Sheet1!$B:$B,"")</f>
        <v>#ERROR!</v>
      </c>
      <c r="L38" s="105" t="s">
        <v>210</v>
      </c>
      <c r="M38" s="105" t="s">
        <v>211</v>
      </c>
      <c r="N38" s="106" t="s">
        <v>106</v>
      </c>
      <c r="O38" s="109" t="s">
        <v>95</v>
      </c>
      <c r="P38" s="171">
        <v>17.5</v>
      </c>
      <c r="Q38" s="103" t="s">
        <v>96</v>
      </c>
      <c r="R38" s="110" t="s">
        <v>97</v>
      </c>
      <c r="S38" s="172">
        <v>12.0</v>
      </c>
      <c r="T38" s="111" t="e">
        <v>#N/A</v>
      </c>
      <c r="U38" s="106" t="s">
        <v>98</v>
      </c>
      <c r="V38" s="112">
        <v>0.0</v>
      </c>
      <c r="W38" s="113">
        <v>45.0</v>
      </c>
      <c r="X38" s="113">
        <v>45.0</v>
      </c>
      <c r="Y38" s="113">
        <v>55.0</v>
      </c>
      <c r="Z38" s="113" t="s">
        <v>99</v>
      </c>
      <c r="AA38" s="114">
        <f t="shared" si="43"/>
        <v>415.4638586</v>
      </c>
      <c r="AB38" s="115" t="str">
        <f t="shared" si="62"/>
        <v>#REF!</v>
      </c>
      <c r="AC38" s="116">
        <f t="shared" si="5"/>
        <v>362.6406674</v>
      </c>
      <c r="AD38" s="117">
        <f t="shared" si="6"/>
        <v>381.7270183</v>
      </c>
      <c r="AE38" s="118" t="str">
        <f t="shared" si="63"/>
        <v>#REF!</v>
      </c>
      <c r="AF38" s="118" t="str">
        <f t="shared" si="64"/>
        <v>#REF!</v>
      </c>
      <c r="AG38" s="119" t="str">
        <f t="shared" si="65"/>
        <v>#REF!</v>
      </c>
      <c r="AH38" s="120" t="str">
        <f t="shared" si="66"/>
        <v>#REF!</v>
      </c>
      <c r="AI38" s="121">
        <v>0.09</v>
      </c>
      <c r="AJ38" s="121">
        <v>0.09</v>
      </c>
      <c r="AK38" s="122">
        <v>0.19</v>
      </c>
      <c r="AL38" s="123">
        <f t="shared" si="11"/>
        <v>68.9017268</v>
      </c>
      <c r="AM38" s="124" t="s">
        <v>10</v>
      </c>
      <c r="AN38" s="125">
        <f t="shared" si="12"/>
        <v>362.6406674</v>
      </c>
      <c r="AO38" s="126">
        <f t="shared" si="13"/>
        <v>0.19</v>
      </c>
      <c r="AP38" s="127"/>
      <c r="AQ38" s="128">
        <f t="shared" ref="AQ38:AR38" si="67">BC38/(1-AI38)</f>
        <v>360.6774157</v>
      </c>
      <c r="AR38" s="125">
        <f t="shared" si="67"/>
        <v>322.7900446</v>
      </c>
      <c r="AS38" s="126">
        <f t="shared" si="15"/>
        <v>0.1318681319</v>
      </c>
      <c r="AT38" s="126">
        <f t="shared" si="16"/>
        <v>0.1098901099</v>
      </c>
      <c r="AU38" s="129">
        <v>292.91</v>
      </c>
      <c r="AV38" s="39" t="s">
        <v>126</v>
      </c>
      <c r="AW38" s="130">
        <v>17.5</v>
      </c>
      <c r="AX38" s="130">
        <v>1777.3470000000002</v>
      </c>
      <c r="AY38" s="130"/>
      <c r="AZ38" s="130">
        <v>5.0</v>
      </c>
      <c r="BA38" s="130">
        <f t="shared" si="45"/>
        <v>2249.847</v>
      </c>
      <c r="BB38" s="130">
        <f t="shared" si="46"/>
        <v>2254.847</v>
      </c>
      <c r="BC38" s="131">
        <f t="shared" si="47"/>
        <v>328.2164483</v>
      </c>
      <c r="BD38" s="132">
        <f t="shared" si="48"/>
        <v>293.7389406</v>
      </c>
      <c r="BE38" s="173" t="s">
        <v>212</v>
      </c>
      <c r="BF38" s="134" t="s">
        <v>101</v>
      </c>
      <c r="BG38" s="49"/>
      <c r="BH38" s="116">
        <f t="shared" si="22"/>
        <v>1208.802225</v>
      </c>
      <c r="BI38" s="116">
        <f t="shared" si="23"/>
        <v>725.2813347</v>
      </c>
      <c r="BJ38" s="116">
        <f t="shared" si="24"/>
        <v>604.4011123</v>
      </c>
      <c r="BK38" s="116">
        <f t="shared" si="25"/>
        <v>483.5208898</v>
      </c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</row>
    <row r="39" ht="14.25" customHeight="1">
      <c r="A39" s="105" t="s">
        <v>84</v>
      </c>
      <c r="B39" s="103" t="s">
        <v>85</v>
      </c>
      <c r="C39" s="103" t="s">
        <v>120</v>
      </c>
      <c r="D39" s="105" t="s">
        <v>86</v>
      </c>
      <c r="E39" s="105" t="s">
        <v>87</v>
      </c>
      <c r="F39" s="105" t="s">
        <v>207</v>
      </c>
      <c r="G39" s="106" t="s">
        <v>89</v>
      </c>
      <c r="H39" s="106">
        <v>23.0</v>
      </c>
      <c r="I39" s="107" t="s">
        <v>213</v>
      </c>
      <c r="J39" s="108" t="s">
        <v>214</v>
      </c>
      <c r="K39" s="108" t="str">
        <f>_xlfn.XLOOKUP(J39,[1]Sheet1!$A:$A,[1]Sheet1!$B:$B,"")</f>
        <v>#ERROR!</v>
      </c>
      <c r="L39" s="105" t="s">
        <v>215</v>
      </c>
      <c r="M39" s="105" t="s">
        <v>216</v>
      </c>
      <c r="N39" s="106" t="s">
        <v>106</v>
      </c>
      <c r="O39" s="109" t="s">
        <v>95</v>
      </c>
      <c r="P39" s="171">
        <v>17.5</v>
      </c>
      <c r="Q39" s="103" t="s">
        <v>96</v>
      </c>
      <c r="R39" s="110" t="s">
        <v>97</v>
      </c>
      <c r="S39" s="172">
        <v>12.0</v>
      </c>
      <c r="T39" s="111" t="e">
        <v>#N/A</v>
      </c>
      <c r="U39" s="106" t="s">
        <v>98</v>
      </c>
      <c r="V39" s="112">
        <v>0.0</v>
      </c>
      <c r="W39" s="113">
        <v>45.0</v>
      </c>
      <c r="X39" s="113">
        <v>45.0</v>
      </c>
      <c r="Y39" s="113">
        <v>55.0</v>
      </c>
      <c r="Z39" s="113" t="s">
        <v>99</v>
      </c>
      <c r="AA39" s="114">
        <f t="shared" si="43"/>
        <v>415.4638586</v>
      </c>
      <c r="AB39" s="115" t="str">
        <f t="shared" si="62"/>
        <v>#REF!</v>
      </c>
      <c r="AC39" s="116">
        <f t="shared" si="5"/>
        <v>362.6406674</v>
      </c>
      <c r="AD39" s="117">
        <f t="shared" si="6"/>
        <v>381.7270183</v>
      </c>
      <c r="AE39" s="118" t="str">
        <f t="shared" si="63"/>
        <v>#REF!</v>
      </c>
      <c r="AF39" s="118"/>
      <c r="AG39" s="119"/>
      <c r="AH39" s="120"/>
      <c r="AI39" s="121">
        <v>0.09</v>
      </c>
      <c r="AJ39" s="121">
        <v>0.09</v>
      </c>
      <c r="AK39" s="122">
        <v>0.19</v>
      </c>
      <c r="AL39" s="123">
        <f t="shared" si="11"/>
        <v>68.9017268</v>
      </c>
      <c r="AM39" s="124" t="s">
        <v>10</v>
      </c>
      <c r="AN39" s="125">
        <f t="shared" si="12"/>
        <v>362.6406674</v>
      </c>
      <c r="AO39" s="126">
        <f t="shared" si="13"/>
        <v>0.19</v>
      </c>
      <c r="AP39" s="127"/>
      <c r="AQ39" s="128">
        <f t="shared" ref="AQ39:AR39" si="68">BC39/(1-AI39)</f>
        <v>360.6774157</v>
      </c>
      <c r="AR39" s="125">
        <f t="shared" si="68"/>
        <v>322.7900446</v>
      </c>
      <c r="AS39" s="126">
        <f t="shared" si="15"/>
        <v>0.1318681319</v>
      </c>
      <c r="AT39" s="126">
        <f t="shared" si="16"/>
        <v>0.1098901099</v>
      </c>
      <c r="AU39" s="129"/>
      <c r="AV39" s="39" t="s">
        <v>126</v>
      </c>
      <c r="AW39" s="130">
        <v>17.5</v>
      </c>
      <c r="AX39" s="130">
        <v>1777.3470000000002</v>
      </c>
      <c r="AY39" s="130"/>
      <c r="AZ39" s="130">
        <v>5.0</v>
      </c>
      <c r="BA39" s="130">
        <f t="shared" si="45"/>
        <v>2249.847</v>
      </c>
      <c r="BB39" s="130">
        <f t="shared" si="46"/>
        <v>2254.847</v>
      </c>
      <c r="BC39" s="131">
        <f t="shared" si="47"/>
        <v>328.2164483</v>
      </c>
      <c r="BD39" s="132">
        <f t="shared" si="48"/>
        <v>293.7389406</v>
      </c>
      <c r="BE39" s="173" t="s">
        <v>212</v>
      </c>
      <c r="BF39" s="134" t="s">
        <v>101</v>
      </c>
      <c r="BG39" s="49"/>
      <c r="BH39" s="116">
        <f t="shared" si="22"/>
        <v>1208.802225</v>
      </c>
      <c r="BI39" s="116">
        <f t="shared" si="23"/>
        <v>725.2813347</v>
      </c>
      <c r="BJ39" s="116">
        <f t="shared" si="24"/>
        <v>604.4011123</v>
      </c>
      <c r="BK39" s="116">
        <f t="shared" si="25"/>
        <v>483.5208898</v>
      </c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</row>
    <row r="40" ht="14.25" customHeight="1">
      <c r="A40" s="151" t="s">
        <v>84</v>
      </c>
      <c r="B40" s="149" t="s">
        <v>85</v>
      </c>
      <c r="C40" s="149" t="s">
        <v>120</v>
      </c>
      <c r="D40" s="151" t="s">
        <v>86</v>
      </c>
      <c r="E40" s="151" t="s">
        <v>87</v>
      </c>
      <c r="F40" s="151" t="s">
        <v>207</v>
      </c>
      <c r="G40" s="152" t="s">
        <v>89</v>
      </c>
      <c r="H40" s="152">
        <v>23.0</v>
      </c>
      <c r="I40" s="107" t="s">
        <v>217</v>
      </c>
      <c r="J40" s="153" t="s">
        <v>218</v>
      </c>
      <c r="K40" s="153" t="str">
        <f>_xlfn.XLOOKUP(J40,[1]Sheet1!$A:$A,[1]Sheet1!$B:$B,"")</f>
        <v>#ERROR!</v>
      </c>
      <c r="L40" s="151" t="s">
        <v>219</v>
      </c>
      <c r="M40" s="151" t="s">
        <v>220</v>
      </c>
      <c r="N40" s="152" t="s">
        <v>162</v>
      </c>
      <c r="O40" s="154" t="s">
        <v>95</v>
      </c>
      <c r="P40" s="174">
        <v>17.5</v>
      </c>
      <c r="Q40" s="149" t="s">
        <v>96</v>
      </c>
      <c r="R40" s="155" t="s">
        <v>97</v>
      </c>
      <c r="S40" s="175">
        <v>12.0</v>
      </c>
      <c r="T40" s="156" t="e">
        <v>#N/A</v>
      </c>
      <c r="U40" s="152" t="s">
        <v>98</v>
      </c>
      <c r="V40" s="157">
        <v>0.0</v>
      </c>
      <c r="W40" s="158">
        <v>45.0</v>
      </c>
      <c r="X40" s="158">
        <v>45.0</v>
      </c>
      <c r="Y40" s="158">
        <v>55.0</v>
      </c>
      <c r="Z40" s="158" t="s">
        <v>99</v>
      </c>
      <c r="AA40" s="114">
        <f t="shared" si="43"/>
        <v>446.6224387</v>
      </c>
      <c r="AB40" s="115"/>
      <c r="AC40" s="159">
        <f t="shared" si="5"/>
        <v>389.0748212</v>
      </c>
      <c r="AD40" s="117">
        <f t="shared" si="6"/>
        <v>409.5524434</v>
      </c>
      <c r="AE40" s="118"/>
      <c r="AF40" s="118"/>
      <c r="AG40" s="119"/>
      <c r="AH40" s="120"/>
      <c r="AI40" s="157">
        <v>0.09</v>
      </c>
      <c r="AJ40" s="157">
        <v>0.09</v>
      </c>
      <c r="AK40" s="157">
        <v>0.2</v>
      </c>
      <c r="AL40" s="123">
        <f t="shared" si="11"/>
        <v>77.81496424</v>
      </c>
      <c r="AM40" s="160" t="s">
        <v>10</v>
      </c>
      <c r="AN40" s="161">
        <f t="shared" si="12"/>
        <v>389.0748212</v>
      </c>
      <c r="AO40" s="162">
        <f t="shared" si="13"/>
        <v>0.2</v>
      </c>
      <c r="AP40" s="127"/>
      <c r="AQ40" s="163">
        <f t="shared" ref="AQ40:AR40" si="69">BC40/(1-AI40)</f>
        <v>382.8192332</v>
      </c>
      <c r="AR40" s="161">
        <f t="shared" si="69"/>
        <v>342.0437989</v>
      </c>
      <c r="AS40" s="162">
        <f t="shared" si="15"/>
        <v>0.1428571429</v>
      </c>
      <c r="AT40" s="162">
        <f t="shared" si="16"/>
        <v>0.1208791209</v>
      </c>
      <c r="AU40" s="129"/>
      <c r="AV40" s="164" t="s">
        <v>126</v>
      </c>
      <c r="AW40" s="165">
        <v>17.5</v>
      </c>
      <c r="AX40" s="165">
        <v>1915.7710000000002</v>
      </c>
      <c r="AY40" s="165"/>
      <c r="AZ40" s="165">
        <v>5.0</v>
      </c>
      <c r="BA40" s="165">
        <f t="shared" si="45"/>
        <v>2388.271</v>
      </c>
      <c r="BB40" s="165">
        <f t="shared" si="46"/>
        <v>2393.271</v>
      </c>
      <c r="BC40" s="166">
        <f t="shared" si="47"/>
        <v>348.3655022</v>
      </c>
      <c r="BD40" s="167">
        <f t="shared" si="48"/>
        <v>311.259857</v>
      </c>
      <c r="BE40" s="176" t="s">
        <v>212</v>
      </c>
      <c r="BF40" s="169" t="s">
        <v>101</v>
      </c>
      <c r="BG40" s="170"/>
      <c r="BH40" s="159">
        <f t="shared" si="22"/>
        <v>1296.916071</v>
      </c>
      <c r="BI40" s="159">
        <f t="shared" si="23"/>
        <v>778.1496424</v>
      </c>
      <c r="BJ40" s="159">
        <f t="shared" si="24"/>
        <v>648.4580354</v>
      </c>
      <c r="BK40" s="159">
        <f t="shared" si="25"/>
        <v>518.7664283</v>
      </c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</row>
    <row r="41" ht="14.25" customHeight="1">
      <c r="A41" s="151" t="s">
        <v>84</v>
      </c>
      <c r="B41" s="149" t="s">
        <v>85</v>
      </c>
      <c r="C41" s="149" t="s">
        <v>120</v>
      </c>
      <c r="D41" s="151" t="s">
        <v>86</v>
      </c>
      <c r="E41" s="151" t="s">
        <v>87</v>
      </c>
      <c r="F41" s="151" t="s">
        <v>207</v>
      </c>
      <c r="G41" s="152" t="s">
        <v>89</v>
      </c>
      <c r="H41" s="152">
        <v>23.0</v>
      </c>
      <c r="I41" s="107" t="s">
        <v>221</v>
      </c>
      <c r="J41" s="153" t="s">
        <v>222</v>
      </c>
      <c r="K41" s="153" t="str">
        <f>_xlfn.XLOOKUP(J41,[1]Sheet1!$A:$A,[1]Sheet1!$B:$B,"")</f>
        <v>#ERROR!</v>
      </c>
      <c r="L41" s="151" t="s">
        <v>223</v>
      </c>
      <c r="M41" s="151" t="s">
        <v>224</v>
      </c>
      <c r="N41" s="152" t="s">
        <v>201</v>
      </c>
      <c r="O41" s="154" t="s">
        <v>95</v>
      </c>
      <c r="P41" s="174">
        <v>17.5</v>
      </c>
      <c r="Q41" s="149" t="s">
        <v>96</v>
      </c>
      <c r="R41" s="155" t="s">
        <v>97</v>
      </c>
      <c r="S41" s="175">
        <v>12.0</v>
      </c>
      <c r="T41" s="156" t="e">
        <v>#N/A</v>
      </c>
      <c r="U41" s="152" t="s">
        <v>98</v>
      </c>
      <c r="V41" s="157">
        <v>0.0</v>
      </c>
      <c r="W41" s="158">
        <v>45.0</v>
      </c>
      <c r="X41" s="158">
        <v>45.0</v>
      </c>
      <c r="Y41" s="158">
        <v>55.0</v>
      </c>
      <c r="Z41" s="158" t="s">
        <v>99</v>
      </c>
      <c r="AA41" s="114">
        <f t="shared" si="43"/>
        <v>463.2866406</v>
      </c>
      <c r="AB41" s="115"/>
      <c r="AC41" s="159">
        <f t="shared" si="5"/>
        <v>403.2075361</v>
      </c>
      <c r="AD41" s="117">
        <f t="shared" si="6"/>
        <v>424.4289854</v>
      </c>
      <c r="AE41" s="118"/>
      <c r="AF41" s="118"/>
      <c r="AG41" s="119"/>
      <c r="AH41" s="120"/>
      <c r="AI41" s="157">
        <v>0.09</v>
      </c>
      <c r="AJ41" s="157">
        <v>0.09</v>
      </c>
      <c r="AK41" s="157">
        <v>0.21</v>
      </c>
      <c r="AL41" s="123">
        <f t="shared" si="11"/>
        <v>84.67358259</v>
      </c>
      <c r="AM41" s="160" t="s">
        <v>10</v>
      </c>
      <c r="AN41" s="161">
        <f t="shared" si="12"/>
        <v>403.2075361</v>
      </c>
      <c r="AO41" s="162">
        <f t="shared" si="13"/>
        <v>0.21</v>
      </c>
      <c r="AP41" s="127"/>
      <c r="AQ41" s="163">
        <f t="shared" ref="AQ41:AR41" si="70">BC41/(1-AI41)</f>
        <v>392.0117728</v>
      </c>
      <c r="AR41" s="161">
        <f t="shared" si="70"/>
        <v>350.0373116</v>
      </c>
      <c r="AS41" s="162">
        <f t="shared" si="15"/>
        <v>0.1538461538</v>
      </c>
      <c r="AT41" s="162">
        <f t="shared" si="16"/>
        <v>0.1318681319</v>
      </c>
      <c r="AU41" s="129"/>
      <c r="AV41" s="164" t="s">
        <v>126</v>
      </c>
      <c r="AW41" s="165">
        <v>17.5</v>
      </c>
      <c r="AX41" s="165">
        <v>1973.24</v>
      </c>
      <c r="AY41" s="165"/>
      <c r="AZ41" s="165">
        <v>5.0</v>
      </c>
      <c r="BA41" s="165">
        <f t="shared" si="45"/>
        <v>2445.74</v>
      </c>
      <c r="BB41" s="165">
        <f t="shared" si="46"/>
        <v>2450.74</v>
      </c>
      <c r="BC41" s="166">
        <f t="shared" si="47"/>
        <v>356.7307132</v>
      </c>
      <c r="BD41" s="167">
        <f t="shared" si="48"/>
        <v>318.5339535</v>
      </c>
      <c r="BE41" s="176" t="s">
        <v>212</v>
      </c>
      <c r="BF41" s="169" t="s">
        <v>101</v>
      </c>
      <c r="BG41" s="170"/>
      <c r="BH41" s="159">
        <f t="shared" si="22"/>
        <v>1344.02512</v>
      </c>
      <c r="BI41" s="159">
        <f t="shared" si="23"/>
        <v>806.4150723</v>
      </c>
      <c r="BJ41" s="159">
        <f t="shared" si="24"/>
        <v>672.0125602</v>
      </c>
      <c r="BK41" s="159">
        <f t="shared" si="25"/>
        <v>537.6100482</v>
      </c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</row>
    <row r="42" ht="14.25" customHeight="1">
      <c r="A42" s="105" t="s">
        <v>84</v>
      </c>
      <c r="B42" s="103" t="s">
        <v>85</v>
      </c>
      <c r="C42" s="103" t="s">
        <v>120</v>
      </c>
      <c r="D42" s="105" t="s">
        <v>86</v>
      </c>
      <c r="E42" s="105" t="s">
        <v>87</v>
      </c>
      <c r="F42" s="105" t="s">
        <v>207</v>
      </c>
      <c r="G42" s="106" t="s">
        <v>89</v>
      </c>
      <c r="H42" s="106">
        <v>23.0</v>
      </c>
      <c r="I42" s="107" t="s">
        <v>225</v>
      </c>
      <c r="J42" s="108" t="s">
        <v>226</v>
      </c>
      <c r="K42" s="108" t="str">
        <f>_xlfn.XLOOKUP(J42,[1]Sheet1!$A:$A,[1]Sheet1!$B:$B,"")</f>
        <v>#ERROR!</v>
      </c>
      <c r="L42" s="105" t="s">
        <v>227</v>
      </c>
      <c r="M42" s="105" t="s">
        <v>228</v>
      </c>
      <c r="N42" s="106" t="s">
        <v>106</v>
      </c>
      <c r="O42" s="109" t="s">
        <v>95</v>
      </c>
      <c r="P42" s="110">
        <v>16.4</v>
      </c>
      <c r="Q42" s="103" t="s">
        <v>96</v>
      </c>
      <c r="R42" s="110" t="s">
        <v>97</v>
      </c>
      <c r="S42" s="110">
        <v>9.0</v>
      </c>
      <c r="T42" s="111" t="e">
        <v>#N/A</v>
      </c>
      <c r="U42" s="106" t="s">
        <v>98</v>
      </c>
      <c r="V42" s="112">
        <v>0.0</v>
      </c>
      <c r="W42" s="113">
        <v>45.0</v>
      </c>
      <c r="X42" s="113">
        <v>45.0</v>
      </c>
      <c r="Y42" s="113">
        <v>55.0</v>
      </c>
      <c r="Z42" s="113" t="s">
        <v>99</v>
      </c>
      <c r="AA42" s="114">
        <f t="shared" si="43"/>
        <v>482.7641548</v>
      </c>
      <c r="AB42" s="115" t="str">
        <f t="shared" ref="AB42:AB43" si="72">VLOOKUP(J42,'[2]PO &amp; SC Sept 2025'!$I$14:$BK$660,55,FALSE)+(($F$3/1000)-1.5)*P42</f>
        <v>#REF!</v>
      </c>
      <c r="AC42" s="116">
        <f t="shared" si="5"/>
        <v>423.1889332</v>
      </c>
      <c r="AD42" s="117">
        <f t="shared" si="6"/>
        <v>445.4620349</v>
      </c>
      <c r="AE42" s="118" t="str">
        <f t="shared" ref="AE42:AE43" si="73">VLOOKUP(J42,'[2]PO &amp; SC Sept 2025'!$I$14:$BE$660,49,FALSE)+(P42*(($F$4/1000)-1.5))</f>
        <v>#REF!</v>
      </c>
      <c r="AF42" s="118" t="str">
        <f t="shared" ref="AF42:AF43" si="74">VLOOKUP(J42,'[2]PO &amp; SC Sept 2025'!$I$14:$AA$938,19,FALSE)</f>
        <v>#REF!</v>
      </c>
      <c r="AG42" s="119" t="str">
        <f t="shared" ref="AG42:AG43" si="75">VLOOKUP(J42,'[2]PO &amp; SC Sept 2025'!$I$14:$AD$938,22,FALSE)</f>
        <v>#REF!</v>
      </c>
      <c r="AH42" s="120" t="str">
        <f t="shared" ref="AH42:AH43" si="76">AG42*AF42</f>
        <v>#REF!</v>
      </c>
      <c r="AI42" s="121">
        <v>0.09</v>
      </c>
      <c r="AJ42" s="121">
        <v>0.09</v>
      </c>
      <c r="AK42" s="122">
        <v>0.2</v>
      </c>
      <c r="AL42" s="123">
        <f t="shared" si="11"/>
        <v>84.63778664</v>
      </c>
      <c r="AM42" s="124" t="s">
        <v>10</v>
      </c>
      <c r="AN42" s="125">
        <f t="shared" si="12"/>
        <v>423.1889332</v>
      </c>
      <c r="AO42" s="126">
        <f t="shared" si="13"/>
        <v>0.2</v>
      </c>
      <c r="AP42" s="127"/>
      <c r="AQ42" s="128">
        <f t="shared" ref="AQ42:AR42" si="71">BC42/(1-AI42)</f>
        <v>413.797847</v>
      </c>
      <c r="AR42" s="125">
        <f t="shared" si="71"/>
        <v>372.034227</v>
      </c>
      <c r="AS42" s="126">
        <f t="shared" si="15"/>
        <v>0.1428571429</v>
      </c>
      <c r="AT42" s="126">
        <f t="shared" si="16"/>
        <v>0.1208791209</v>
      </c>
      <c r="AU42" s="129"/>
      <c r="AV42" s="39" t="s">
        <v>126</v>
      </c>
      <c r="AW42" s="130">
        <v>16.4</v>
      </c>
      <c r="AX42" s="130">
        <v>2139.14</v>
      </c>
      <c r="AY42" s="130"/>
      <c r="AZ42" s="130">
        <v>5.0</v>
      </c>
      <c r="BA42" s="130">
        <f t="shared" si="45"/>
        <v>2581.94</v>
      </c>
      <c r="BB42" s="130">
        <f t="shared" si="46"/>
        <v>2586.94</v>
      </c>
      <c r="BC42" s="131">
        <f t="shared" si="47"/>
        <v>376.5560408</v>
      </c>
      <c r="BD42" s="132">
        <f t="shared" si="48"/>
        <v>338.5511466</v>
      </c>
      <c r="BE42" s="173" t="s">
        <v>229</v>
      </c>
      <c r="BF42" s="134" t="s">
        <v>101</v>
      </c>
      <c r="BG42" s="49"/>
      <c r="BH42" s="116">
        <f t="shared" si="22"/>
        <v>1410.629777</v>
      </c>
      <c r="BI42" s="116">
        <f t="shared" si="23"/>
        <v>846.3778664</v>
      </c>
      <c r="BJ42" s="116">
        <f t="shared" si="24"/>
        <v>705.3148886</v>
      </c>
      <c r="BK42" s="116">
        <f t="shared" si="25"/>
        <v>564.2519109</v>
      </c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</row>
    <row r="43" ht="14.25" customHeight="1">
      <c r="A43" s="151" t="s">
        <v>84</v>
      </c>
      <c r="B43" s="149" t="s">
        <v>85</v>
      </c>
      <c r="C43" s="149" t="s">
        <v>120</v>
      </c>
      <c r="D43" s="151" t="s">
        <v>86</v>
      </c>
      <c r="E43" s="151" t="s">
        <v>87</v>
      </c>
      <c r="F43" s="151" t="s">
        <v>207</v>
      </c>
      <c r="G43" s="152" t="s">
        <v>89</v>
      </c>
      <c r="H43" s="152">
        <v>23.0</v>
      </c>
      <c r="I43" s="107" t="s">
        <v>230</v>
      </c>
      <c r="J43" s="153" t="s">
        <v>231</v>
      </c>
      <c r="K43" s="153" t="str">
        <f>_xlfn.XLOOKUP(J43,[1]Sheet1!$A:$A,[1]Sheet1!$B:$B,"")</f>
        <v>#ERROR!</v>
      </c>
      <c r="L43" s="151" t="s">
        <v>232</v>
      </c>
      <c r="M43" s="151" t="s">
        <v>233</v>
      </c>
      <c r="N43" s="152" t="s">
        <v>162</v>
      </c>
      <c r="O43" s="154" t="s">
        <v>95</v>
      </c>
      <c r="P43" s="155">
        <v>16.4</v>
      </c>
      <c r="Q43" s="149" t="s">
        <v>96</v>
      </c>
      <c r="R43" s="155" t="s">
        <v>97</v>
      </c>
      <c r="S43" s="175">
        <v>12.0</v>
      </c>
      <c r="T43" s="156" t="e">
        <v>#N/A</v>
      </c>
      <c r="U43" s="152" t="s">
        <v>98</v>
      </c>
      <c r="V43" s="157">
        <v>0.0</v>
      </c>
      <c r="W43" s="158">
        <v>45.0</v>
      </c>
      <c r="X43" s="158">
        <v>45.0</v>
      </c>
      <c r="Y43" s="158">
        <v>55.0</v>
      </c>
      <c r="Z43" s="158" t="s">
        <v>99</v>
      </c>
      <c r="AA43" s="114">
        <f t="shared" si="43"/>
        <v>515.3235222</v>
      </c>
      <c r="AB43" s="115" t="str">
        <f t="shared" si="72"/>
        <v>#REF!</v>
      </c>
      <c r="AC43" s="159">
        <f t="shared" si="5"/>
        <v>447.3114424</v>
      </c>
      <c r="AD43" s="117">
        <f t="shared" si="6"/>
        <v>470.8541499</v>
      </c>
      <c r="AE43" s="118" t="str">
        <f t="shared" si="73"/>
        <v>#REF!</v>
      </c>
      <c r="AF43" s="118" t="str">
        <f t="shared" si="74"/>
        <v>#REF!</v>
      </c>
      <c r="AG43" s="119" t="str">
        <f t="shared" si="75"/>
        <v>#REF!</v>
      </c>
      <c r="AH43" s="120" t="str">
        <f t="shared" si="76"/>
        <v>#REF!</v>
      </c>
      <c r="AI43" s="157">
        <v>0.09</v>
      </c>
      <c r="AJ43" s="157">
        <v>0.09</v>
      </c>
      <c r="AK43" s="157">
        <v>0.21</v>
      </c>
      <c r="AL43" s="123">
        <f t="shared" si="11"/>
        <v>93.9354029</v>
      </c>
      <c r="AM43" s="160" t="s">
        <v>10</v>
      </c>
      <c r="AN43" s="161">
        <f t="shared" si="12"/>
        <v>447.3114424</v>
      </c>
      <c r="AO43" s="162">
        <f t="shared" si="13"/>
        <v>0.21</v>
      </c>
      <c r="AP43" s="127"/>
      <c r="AQ43" s="163">
        <f t="shared" ref="AQ43:AR43" si="77">BC43/(1-AI43)</f>
        <v>436.0429803</v>
      </c>
      <c r="AR43" s="161">
        <f t="shared" si="77"/>
        <v>388.3253181</v>
      </c>
      <c r="AS43" s="162">
        <f t="shared" si="15"/>
        <v>0.1538461538</v>
      </c>
      <c r="AT43" s="162">
        <f t="shared" si="16"/>
        <v>0.1318681319</v>
      </c>
      <c r="AU43" s="129"/>
      <c r="AV43" s="164" t="s">
        <v>126</v>
      </c>
      <c r="AW43" s="165">
        <v>16.4</v>
      </c>
      <c r="AX43" s="165">
        <f>AX44*0.97</f>
        <v>2278.2099</v>
      </c>
      <c r="AY43" s="165"/>
      <c r="AZ43" s="165">
        <v>5.0</v>
      </c>
      <c r="BA43" s="165">
        <f t="shared" si="45"/>
        <v>2721.0099</v>
      </c>
      <c r="BB43" s="165">
        <f t="shared" si="46"/>
        <v>2726.0099</v>
      </c>
      <c r="BC43" s="166">
        <f t="shared" si="47"/>
        <v>396.7991121</v>
      </c>
      <c r="BD43" s="167">
        <f t="shared" si="48"/>
        <v>353.3760395</v>
      </c>
      <c r="BE43" s="176" t="s">
        <v>229</v>
      </c>
      <c r="BF43" s="169" t="s">
        <v>101</v>
      </c>
      <c r="BG43" s="170"/>
      <c r="BH43" s="159">
        <f t="shared" si="22"/>
        <v>1491.038141</v>
      </c>
      <c r="BI43" s="159">
        <f t="shared" si="23"/>
        <v>894.6228848</v>
      </c>
      <c r="BJ43" s="159">
        <f t="shared" si="24"/>
        <v>745.5190707</v>
      </c>
      <c r="BK43" s="159">
        <f t="shared" si="25"/>
        <v>596.4152565</v>
      </c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</row>
    <row r="44" ht="14.25" customHeight="1">
      <c r="A44" s="151" t="s">
        <v>84</v>
      </c>
      <c r="B44" s="149" t="s">
        <v>85</v>
      </c>
      <c r="C44" s="149" t="s">
        <v>120</v>
      </c>
      <c r="D44" s="151" t="s">
        <v>86</v>
      </c>
      <c r="E44" s="151" t="s">
        <v>87</v>
      </c>
      <c r="F44" s="151" t="s">
        <v>207</v>
      </c>
      <c r="G44" s="152" t="s">
        <v>89</v>
      </c>
      <c r="H44" s="152">
        <v>23.0</v>
      </c>
      <c r="I44" s="107" t="s">
        <v>234</v>
      </c>
      <c r="J44" s="153" t="s">
        <v>235</v>
      </c>
      <c r="K44" s="153" t="str">
        <f>_xlfn.XLOOKUP(J44,[1]Sheet1!$A:$A,[1]Sheet1!$B:$B,"")</f>
        <v>#ERROR!</v>
      </c>
      <c r="L44" s="151" t="s">
        <v>236</v>
      </c>
      <c r="M44" s="151" t="s">
        <v>237</v>
      </c>
      <c r="N44" s="152" t="s">
        <v>201</v>
      </c>
      <c r="O44" s="154" t="s">
        <v>95</v>
      </c>
      <c r="P44" s="155">
        <v>16.4</v>
      </c>
      <c r="Q44" s="149" t="s">
        <v>96</v>
      </c>
      <c r="R44" s="155" t="s">
        <v>97</v>
      </c>
      <c r="S44" s="175">
        <v>12.0</v>
      </c>
      <c r="T44" s="156" t="e">
        <v>#N/A</v>
      </c>
      <c r="U44" s="152" t="s">
        <v>98</v>
      </c>
      <c r="V44" s="157">
        <v>0.0</v>
      </c>
      <c r="W44" s="158">
        <v>45.0</v>
      </c>
      <c r="X44" s="158">
        <v>45.0</v>
      </c>
      <c r="Y44" s="158">
        <v>55.0</v>
      </c>
      <c r="Z44" s="158" t="s">
        <v>99</v>
      </c>
      <c r="AA44" s="114">
        <f t="shared" si="43"/>
        <v>535.599096</v>
      </c>
      <c r="AB44" s="115"/>
      <c r="AC44" s="159">
        <f t="shared" si="5"/>
        <v>464.4800962</v>
      </c>
      <c r="AD44" s="117">
        <f t="shared" si="6"/>
        <v>488.926417</v>
      </c>
      <c r="AE44" s="118"/>
      <c r="AF44" s="118"/>
      <c r="AG44" s="119"/>
      <c r="AH44" s="120"/>
      <c r="AI44" s="157">
        <v>0.09</v>
      </c>
      <c r="AJ44" s="157">
        <v>0.09</v>
      </c>
      <c r="AK44" s="157">
        <v>0.22</v>
      </c>
      <c r="AL44" s="123">
        <f t="shared" si="11"/>
        <v>102.1856212</v>
      </c>
      <c r="AM44" s="160" t="s">
        <v>10</v>
      </c>
      <c r="AN44" s="161">
        <f t="shared" si="12"/>
        <v>464.4800962</v>
      </c>
      <c r="AO44" s="162">
        <f t="shared" si="13"/>
        <v>0.22</v>
      </c>
      <c r="AP44" s="127"/>
      <c r="AQ44" s="163">
        <f t="shared" ref="AQ44:AR44" si="78">BC44/(1-AI44)</f>
        <v>447.3135307</v>
      </c>
      <c r="AR44" s="161">
        <f t="shared" si="78"/>
        <v>398.1257967</v>
      </c>
      <c r="AS44" s="162">
        <f t="shared" si="15"/>
        <v>0.1648351648</v>
      </c>
      <c r="AT44" s="162">
        <f t="shared" si="16"/>
        <v>0.1428571429</v>
      </c>
      <c r="AU44" s="129"/>
      <c r="AV44" s="164" t="s">
        <v>126</v>
      </c>
      <c r="AW44" s="165">
        <v>16.4</v>
      </c>
      <c r="AX44" s="165">
        <v>2348.67</v>
      </c>
      <c r="AY44" s="165"/>
      <c r="AZ44" s="165">
        <v>5.0</v>
      </c>
      <c r="BA44" s="165">
        <f t="shared" si="45"/>
        <v>2791.47</v>
      </c>
      <c r="BB44" s="165">
        <f t="shared" si="46"/>
        <v>2796.47</v>
      </c>
      <c r="BC44" s="166">
        <f t="shared" si="47"/>
        <v>407.055313</v>
      </c>
      <c r="BD44" s="167">
        <f t="shared" si="48"/>
        <v>362.294475</v>
      </c>
      <c r="BE44" s="176" t="s">
        <v>229</v>
      </c>
      <c r="BF44" s="169" t="s">
        <v>101</v>
      </c>
      <c r="BG44" s="170"/>
      <c r="BH44" s="159">
        <f t="shared" si="22"/>
        <v>1548.266987</v>
      </c>
      <c r="BI44" s="159">
        <f t="shared" si="23"/>
        <v>928.9601924</v>
      </c>
      <c r="BJ44" s="159">
        <f t="shared" si="24"/>
        <v>774.1334937</v>
      </c>
      <c r="BK44" s="159">
        <f t="shared" si="25"/>
        <v>619.3067949</v>
      </c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</row>
    <row r="45" ht="14.25" customHeight="1">
      <c r="A45" s="105" t="s">
        <v>84</v>
      </c>
      <c r="B45" s="103" t="s">
        <v>85</v>
      </c>
      <c r="C45" s="103" t="s">
        <v>120</v>
      </c>
      <c r="D45" s="105" t="s">
        <v>86</v>
      </c>
      <c r="E45" s="105" t="s">
        <v>87</v>
      </c>
      <c r="F45" s="105" t="s">
        <v>207</v>
      </c>
      <c r="G45" s="106" t="s">
        <v>89</v>
      </c>
      <c r="H45" s="106">
        <v>23.0</v>
      </c>
      <c r="I45" s="107" t="s">
        <v>238</v>
      </c>
      <c r="J45" s="138" t="s">
        <v>226</v>
      </c>
      <c r="K45" s="108" t="str">
        <f>_xlfn.XLOOKUP(J45,[1]Sheet1!$A:$A,[1]Sheet1!$B:$B,"")</f>
        <v>#ERROR!</v>
      </c>
      <c r="L45" s="105" t="s">
        <v>227</v>
      </c>
      <c r="M45" s="105" t="s">
        <v>228</v>
      </c>
      <c r="N45" s="106" t="s">
        <v>106</v>
      </c>
      <c r="O45" s="109" t="s">
        <v>147</v>
      </c>
      <c r="P45" s="110">
        <v>19.0</v>
      </c>
      <c r="Q45" s="103" t="s">
        <v>96</v>
      </c>
      <c r="R45" s="110" t="s">
        <v>97</v>
      </c>
      <c r="S45" s="110">
        <v>12.0</v>
      </c>
      <c r="T45" s="111"/>
      <c r="U45" s="106" t="s">
        <v>98</v>
      </c>
      <c r="V45" s="112">
        <v>0.0</v>
      </c>
      <c r="W45" s="113">
        <v>60.0</v>
      </c>
      <c r="X45" s="113">
        <v>14.0</v>
      </c>
      <c r="Y45" s="113">
        <v>14.0</v>
      </c>
      <c r="Z45" s="113" t="s">
        <v>148</v>
      </c>
      <c r="AA45" s="114">
        <f t="shared" ref="AA45:AA48" si="79">(BC45/(1-(AK45+2%)))*$F$6</f>
        <v>509.5384615</v>
      </c>
      <c r="AB45" s="115" t="str">
        <f t="shared" ref="AB45:AB47" si="80">VLOOKUP(J45,'[2]PO &amp; SC Sept 2025'!$I$14:$BK$660,55,FALSE)+(($F$3/1000)-1.5)*P45</f>
        <v>#REF!</v>
      </c>
      <c r="AC45" s="116">
        <f t="shared" si="5"/>
        <v>438.7934783</v>
      </c>
      <c r="AD45" s="117">
        <f t="shared" si="6"/>
        <v>461.8878719</v>
      </c>
      <c r="AE45" s="118" t="str">
        <f t="shared" ref="AE45:AE47" si="81">VLOOKUP(J45,'[2]PO &amp; SC Sept 2025'!$I$14:$BE$660,49,FALSE)+(P45*(($F$4/1000)-1.5))</f>
        <v>#REF!</v>
      </c>
      <c r="AF45" s="118" t="str">
        <f t="shared" ref="AF45:AF47" si="82">VLOOKUP(J45,'[2]PO &amp; SC Sept 2025'!$I$14:$AA$938,19,FALSE)</f>
        <v>#REF!</v>
      </c>
      <c r="AG45" s="119" t="str">
        <f t="shared" ref="AG45:AG47" si="83">VLOOKUP(J45,'[2]PO &amp; SC Sept 2025'!$I$14:$AD$938,22,FALSE)</f>
        <v>#REF!</v>
      </c>
      <c r="AH45" s="120" t="str">
        <f t="shared" ref="AH45:AH47" si="84">AG45*AF45</f>
        <v>#REF!</v>
      </c>
      <c r="AI45" s="121">
        <f t="shared" ref="AI45:AI48" si="85">AJ45</f>
        <v>0.07</v>
      </c>
      <c r="AJ45" s="121">
        <v>0.07</v>
      </c>
      <c r="AK45" s="122">
        <v>0.2</v>
      </c>
      <c r="AL45" s="123">
        <f t="shared" si="11"/>
        <v>87.75869565</v>
      </c>
      <c r="AM45" s="122" t="s">
        <v>10</v>
      </c>
      <c r="AN45" s="125">
        <f t="shared" si="12"/>
        <v>438.7934783</v>
      </c>
      <c r="AO45" s="112">
        <f t="shared" si="13"/>
        <v>0.2</v>
      </c>
      <c r="AP45" s="127"/>
      <c r="AQ45" s="128">
        <f t="shared" ref="AQ45:AQ48" si="86">BC45/(1-AI45)*$F$6</f>
        <v>427.3548387</v>
      </c>
      <c r="AR45" s="125">
        <f t="shared" ref="AR45:AR48" si="87">BD45/(1-AJ45)</f>
        <v>377.4567555</v>
      </c>
      <c r="AS45" s="126">
        <f t="shared" si="15"/>
        <v>0.1612903226</v>
      </c>
      <c r="AT45" s="126">
        <f t="shared" si="16"/>
        <v>0.1397849462</v>
      </c>
      <c r="AU45" s="129"/>
      <c r="AV45" s="39" t="s">
        <v>149</v>
      </c>
      <c r="AW45" s="130"/>
      <c r="AX45" s="130"/>
      <c r="AY45" s="136">
        <v>174.6</v>
      </c>
      <c r="AZ45" s="130"/>
      <c r="BA45" s="130"/>
      <c r="BB45" s="130"/>
      <c r="BC45" s="137">
        <f t="shared" ref="BC45:BC48" si="88">AY45+($F$4-1500)/1000*P45</f>
        <v>345.6</v>
      </c>
      <c r="BD45" s="132">
        <f t="shared" ref="BD45:BD48" si="89">(AY45+($F$4-1500)/1000*P45)+($F$10/40/S45/$F$6)</f>
        <v>351.0347826</v>
      </c>
      <c r="BE45" s="173"/>
      <c r="BF45" s="134"/>
      <c r="BG45" s="49"/>
      <c r="BH45" s="116">
        <f t="shared" si="22"/>
        <v>1462.644928</v>
      </c>
      <c r="BI45" s="116">
        <f t="shared" si="23"/>
        <v>877.5869565</v>
      </c>
      <c r="BJ45" s="116">
        <f t="shared" si="24"/>
        <v>731.3224638</v>
      </c>
      <c r="BK45" s="116">
        <f t="shared" si="25"/>
        <v>585.057971</v>
      </c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</row>
    <row r="46" ht="14.25" customHeight="1">
      <c r="A46" s="105" t="s">
        <v>84</v>
      </c>
      <c r="B46" s="103" t="s">
        <v>85</v>
      </c>
      <c r="C46" s="103" t="s">
        <v>120</v>
      </c>
      <c r="D46" s="105" t="s">
        <v>86</v>
      </c>
      <c r="E46" s="105" t="s">
        <v>87</v>
      </c>
      <c r="F46" s="105" t="s">
        <v>207</v>
      </c>
      <c r="G46" s="106" t="s">
        <v>89</v>
      </c>
      <c r="H46" s="106">
        <v>23.0</v>
      </c>
      <c r="I46" s="107" t="s">
        <v>239</v>
      </c>
      <c r="J46" s="138" t="s">
        <v>231</v>
      </c>
      <c r="K46" s="108" t="str">
        <f>_xlfn.XLOOKUP(J46,[1]Sheet1!$A:$A,[1]Sheet1!$B:$B,"")</f>
        <v>#ERROR!</v>
      </c>
      <c r="L46" s="105" t="s">
        <v>240</v>
      </c>
      <c r="M46" s="105" t="s">
        <v>241</v>
      </c>
      <c r="N46" s="106" t="s">
        <v>162</v>
      </c>
      <c r="O46" s="109" t="s">
        <v>147</v>
      </c>
      <c r="P46" s="110">
        <v>19.0</v>
      </c>
      <c r="Q46" s="103" t="s">
        <v>96</v>
      </c>
      <c r="R46" s="110" t="s">
        <v>97</v>
      </c>
      <c r="S46" s="110">
        <v>12.0</v>
      </c>
      <c r="T46" s="111"/>
      <c r="U46" s="106" t="s">
        <v>98</v>
      </c>
      <c r="V46" s="112">
        <v>0.0</v>
      </c>
      <c r="W46" s="113">
        <v>60.0</v>
      </c>
      <c r="X46" s="113">
        <v>14.0</v>
      </c>
      <c r="Y46" s="113">
        <v>14.0</v>
      </c>
      <c r="Z46" s="113" t="s">
        <v>148</v>
      </c>
      <c r="AA46" s="114">
        <f t="shared" si="79"/>
        <v>522.3421053</v>
      </c>
      <c r="AB46" s="115" t="str">
        <f t="shared" si="80"/>
        <v>#REF!</v>
      </c>
      <c r="AC46" s="116">
        <f t="shared" si="5"/>
        <v>449.5317726</v>
      </c>
      <c r="AD46" s="117">
        <f t="shared" si="6"/>
        <v>473.1913396</v>
      </c>
      <c r="AE46" s="118" t="str">
        <f t="shared" si="81"/>
        <v>#REF!</v>
      </c>
      <c r="AF46" s="118" t="str">
        <f t="shared" si="82"/>
        <v>#REF!</v>
      </c>
      <c r="AG46" s="119" t="str">
        <f t="shared" si="83"/>
        <v>#REF!</v>
      </c>
      <c r="AH46" s="120" t="str">
        <f t="shared" si="84"/>
        <v>#REF!</v>
      </c>
      <c r="AI46" s="121">
        <f t="shared" si="85"/>
        <v>0.07</v>
      </c>
      <c r="AJ46" s="121">
        <v>0.07</v>
      </c>
      <c r="AK46" s="122">
        <v>0.22</v>
      </c>
      <c r="AL46" s="123">
        <f t="shared" si="11"/>
        <v>98.89698997</v>
      </c>
      <c r="AM46" s="122" t="s">
        <v>10</v>
      </c>
      <c r="AN46" s="125">
        <f t="shared" si="12"/>
        <v>449.5317726</v>
      </c>
      <c r="AO46" s="112">
        <f t="shared" si="13"/>
        <v>0.22</v>
      </c>
      <c r="AP46" s="127"/>
      <c r="AQ46" s="128">
        <f t="shared" si="86"/>
        <v>426.8602151</v>
      </c>
      <c r="AR46" s="125">
        <f t="shared" si="87"/>
        <v>377.026648</v>
      </c>
      <c r="AS46" s="126">
        <f t="shared" si="15"/>
        <v>0.1827956989</v>
      </c>
      <c r="AT46" s="126">
        <f t="shared" si="16"/>
        <v>0.1612903226</v>
      </c>
      <c r="AU46" s="129"/>
      <c r="AV46" s="39" t="s">
        <v>149</v>
      </c>
      <c r="AW46" s="130"/>
      <c r="AX46" s="130"/>
      <c r="AY46" s="136">
        <v>174.2</v>
      </c>
      <c r="AZ46" s="130"/>
      <c r="BA46" s="130"/>
      <c r="BB46" s="130"/>
      <c r="BC46" s="137">
        <f t="shared" si="88"/>
        <v>345.2</v>
      </c>
      <c r="BD46" s="132">
        <f t="shared" si="89"/>
        <v>350.6347826</v>
      </c>
      <c r="BE46" s="173"/>
      <c r="BF46" s="134"/>
      <c r="BG46" s="49"/>
      <c r="BH46" s="116">
        <f t="shared" si="22"/>
        <v>1498.439242</v>
      </c>
      <c r="BI46" s="116">
        <f t="shared" si="23"/>
        <v>899.0635452</v>
      </c>
      <c r="BJ46" s="116">
        <f t="shared" si="24"/>
        <v>749.219621</v>
      </c>
      <c r="BK46" s="116">
        <f t="shared" si="25"/>
        <v>599.3756968</v>
      </c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</row>
    <row r="47" ht="14.25" customHeight="1">
      <c r="A47" s="105" t="s">
        <v>84</v>
      </c>
      <c r="B47" s="103" t="s">
        <v>85</v>
      </c>
      <c r="C47" s="103" t="s">
        <v>120</v>
      </c>
      <c r="D47" s="105" t="s">
        <v>86</v>
      </c>
      <c r="E47" s="105" t="s">
        <v>87</v>
      </c>
      <c r="F47" s="105" t="s">
        <v>207</v>
      </c>
      <c r="G47" s="106" t="s">
        <v>89</v>
      </c>
      <c r="H47" s="106">
        <v>23.0</v>
      </c>
      <c r="I47" s="107" t="s">
        <v>242</v>
      </c>
      <c r="J47" s="138" t="s">
        <v>209</v>
      </c>
      <c r="K47" s="108" t="str">
        <f>_xlfn.XLOOKUP(J47,[1]Sheet1!$A:$A,[1]Sheet1!$B:$B,"")</f>
        <v>#ERROR!</v>
      </c>
      <c r="L47" s="105" t="s">
        <v>219</v>
      </c>
      <c r="M47" s="105" t="s">
        <v>220</v>
      </c>
      <c r="N47" s="106" t="s">
        <v>106</v>
      </c>
      <c r="O47" s="109" t="s">
        <v>147</v>
      </c>
      <c r="P47" s="110">
        <v>19.0</v>
      </c>
      <c r="Q47" s="103" t="s">
        <v>96</v>
      </c>
      <c r="R47" s="110" t="s">
        <v>97</v>
      </c>
      <c r="S47" s="110">
        <v>9.0</v>
      </c>
      <c r="T47" s="111"/>
      <c r="U47" s="106" t="s">
        <v>98</v>
      </c>
      <c r="V47" s="112">
        <v>0.0</v>
      </c>
      <c r="W47" s="113">
        <v>60.0</v>
      </c>
      <c r="X47" s="113">
        <v>14.0</v>
      </c>
      <c r="Y47" s="113">
        <v>14.0</v>
      </c>
      <c r="Z47" s="113" t="s">
        <v>148</v>
      </c>
      <c r="AA47" s="114">
        <f t="shared" si="79"/>
        <v>483.5542169</v>
      </c>
      <c r="AB47" s="115" t="str">
        <f t="shared" si="80"/>
        <v>#REF!</v>
      </c>
      <c r="AC47" s="116">
        <f t="shared" si="5"/>
        <v>419.1133845</v>
      </c>
      <c r="AD47" s="117">
        <f t="shared" si="6"/>
        <v>441.1719837</v>
      </c>
      <c r="AE47" s="118" t="str">
        <f t="shared" si="81"/>
        <v>#REF!</v>
      </c>
      <c r="AF47" s="118" t="str">
        <f t="shared" si="82"/>
        <v>#REF!</v>
      </c>
      <c r="AG47" s="119" t="str">
        <f t="shared" si="83"/>
        <v>#REF!</v>
      </c>
      <c r="AH47" s="120" t="str">
        <f t="shared" si="84"/>
        <v>#REF!</v>
      </c>
      <c r="AI47" s="121">
        <f t="shared" si="85"/>
        <v>0.07</v>
      </c>
      <c r="AJ47" s="121">
        <v>0.07</v>
      </c>
      <c r="AK47" s="122">
        <v>0.15</v>
      </c>
      <c r="AL47" s="123">
        <f t="shared" si="11"/>
        <v>62.86700767</v>
      </c>
      <c r="AM47" s="122" t="s">
        <v>10</v>
      </c>
      <c r="AN47" s="125">
        <f t="shared" si="12"/>
        <v>419.1133845</v>
      </c>
      <c r="AO47" s="112">
        <f t="shared" si="13"/>
        <v>0.15</v>
      </c>
      <c r="AP47" s="127"/>
      <c r="AQ47" s="128">
        <f t="shared" si="86"/>
        <v>431.5591398</v>
      </c>
      <c r="AR47" s="125">
        <f t="shared" si="87"/>
        <v>383.0606202</v>
      </c>
      <c r="AS47" s="126">
        <f t="shared" si="15"/>
        <v>0.1075268817</v>
      </c>
      <c r="AT47" s="126">
        <f t="shared" si="16"/>
        <v>0.08602150538</v>
      </c>
      <c r="AU47" s="129">
        <v>292.91</v>
      </c>
      <c r="AV47" s="39" t="s">
        <v>149</v>
      </c>
      <c r="AW47" s="130"/>
      <c r="AX47" s="130"/>
      <c r="AY47" s="139">
        <v>178.0</v>
      </c>
      <c r="AZ47" s="130"/>
      <c r="BA47" s="130"/>
      <c r="BB47" s="130"/>
      <c r="BC47" s="137">
        <f t="shared" si="88"/>
        <v>349</v>
      </c>
      <c r="BD47" s="132">
        <f t="shared" si="89"/>
        <v>356.2463768</v>
      </c>
      <c r="BE47" s="173"/>
      <c r="BF47" s="134"/>
      <c r="BG47" s="49"/>
      <c r="BH47" s="118">
        <f t="shared" si="22"/>
        <v>1397.044615</v>
      </c>
      <c r="BI47" s="118">
        <f t="shared" si="23"/>
        <v>838.226769</v>
      </c>
      <c r="BJ47" s="118">
        <f t="shared" si="24"/>
        <v>698.5223075</v>
      </c>
      <c r="BK47" s="118">
        <f t="shared" si="25"/>
        <v>558.817846</v>
      </c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</row>
    <row r="48" ht="14.25" customHeight="1">
      <c r="A48" s="105" t="s">
        <v>84</v>
      </c>
      <c r="B48" s="103" t="s">
        <v>85</v>
      </c>
      <c r="C48" s="103" t="s">
        <v>120</v>
      </c>
      <c r="D48" s="105" t="s">
        <v>86</v>
      </c>
      <c r="E48" s="105" t="s">
        <v>87</v>
      </c>
      <c r="F48" s="105" t="s">
        <v>207</v>
      </c>
      <c r="G48" s="106" t="s">
        <v>89</v>
      </c>
      <c r="H48" s="106">
        <v>23.0</v>
      </c>
      <c r="I48" s="107" t="s">
        <v>243</v>
      </c>
      <c r="J48" s="138" t="s">
        <v>244</v>
      </c>
      <c r="K48" s="108" t="str">
        <f>_xlfn.XLOOKUP(J48,[1]Sheet1!$A:$A,[1]Sheet1!$B:$B,"")</f>
        <v>#ERROR!</v>
      </c>
      <c r="L48" s="105" t="s">
        <v>219</v>
      </c>
      <c r="M48" s="105" t="s">
        <v>220</v>
      </c>
      <c r="N48" s="106" t="s">
        <v>106</v>
      </c>
      <c r="O48" s="109" t="s">
        <v>147</v>
      </c>
      <c r="P48" s="110">
        <v>19.0</v>
      </c>
      <c r="Q48" s="103" t="s">
        <v>245</v>
      </c>
      <c r="R48" s="110" t="s">
        <v>97</v>
      </c>
      <c r="S48" s="110">
        <v>6.1</v>
      </c>
      <c r="T48" s="111"/>
      <c r="U48" s="106" t="s">
        <v>98</v>
      </c>
      <c r="V48" s="112">
        <v>0.0</v>
      </c>
      <c r="W48" s="113">
        <v>60.0</v>
      </c>
      <c r="X48" s="113">
        <v>14.0</v>
      </c>
      <c r="Y48" s="113">
        <v>14.0</v>
      </c>
      <c r="Z48" s="113" t="s">
        <v>148</v>
      </c>
      <c r="AA48" s="114">
        <f t="shared" si="79"/>
        <v>489.0963855</v>
      </c>
      <c r="AB48" s="115"/>
      <c r="AC48" s="116">
        <f t="shared" si="5"/>
        <v>427.8722066</v>
      </c>
      <c r="AD48" s="117">
        <f t="shared" si="6"/>
        <v>450.3917964</v>
      </c>
      <c r="AE48" s="118"/>
      <c r="AF48" s="118"/>
      <c r="AG48" s="119"/>
      <c r="AH48" s="120"/>
      <c r="AI48" s="121">
        <f t="shared" si="85"/>
        <v>0.07</v>
      </c>
      <c r="AJ48" s="121">
        <v>0.07</v>
      </c>
      <c r="AK48" s="122">
        <v>0.15</v>
      </c>
      <c r="AL48" s="123">
        <f t="shared" si="11"/>
        <v>64.18083099</v>
      </c>
      <c r="AM48" s="122" t="s">
        <v>10</v>
      </c>
      <c r="AN48" s="125">
        <f t="shared" si="12"/>
        <v>427.8722066</v>
      </c>
      <c r="AO48" s="112">
        <f t="shared" si="13"/>
        <v>0.15</v>
      </c>
      <c r="AP48" s="127"/>
      <c r="AQ48" s="128">
        <f t="shared" si="86"/>
        <v>436.5053763</v>
      </c>
      <c r="AR48" s="125">
        <f t="shared" si="87"/>
        <v>391.0659953</v>
      </c>
      <c r="AS48" s="126">
        <f t="shared" si="15"/>
        <v>0.1075268817</v>
      </c>
      <c r="AT48" s="126">
        <f t="shared" si="16"/>
        <v>0.08602150538</v>
      </c>
      <c r="AU48" s="129"/>
      <c r="AV48" s="39" t="s">
        <v>149</v>
      </c>
      <c r="AW48" s="130"/>
      <c r="AX48" s="130"/>
      <c r="AY48" s="139">
        <v>182.0</v>
      </c>
      <c r="AZ48" s="130"/>
      <c r="BA48" s="130"/>
      <c r="BB48" s="130"/>
      <c r="BC48" s="137">
        <f t="shared" si="88"/>
        <v>353</v>
      </c>
      <c r="BD48" s="132">
        <f t="shared" si="89"/>
        <v>363.6913756</v>
      </c>
      <c r="BE48" s="173"/>
      <c r="BF48" s="134"/>
      <c r="BG48" s="49"/>
      <c r="BH48" s="118">
        <f t="shared" si="22"/>
        <v>1426.240689</v>
      </c>
      <c r="BI48" s="118">
        <f t="shared" si="23"/>
        <v>855.7444132</v>
      </c>
      <c r="BJ48" s="118">
        <f t="shared" si="24"/>
        <v>713.1203444</v>
      </c>
      <c r="BK48" s="118">
        <f t="shared" si="25"/>
        <v>570.4962755</v>
      </c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</row>
    <row r="49" ht="14.25" customHeight="1">
      <c r="A49" s="103" t="s">
        <v>84</v>
      </c>
      <c r="B49" s="103" t="s">
        <v>120</v>
      </c>
      <c r="C49" s="103" t="s">
        <v>120</v>
      </c>
      <c r="D49" s="103" t="s">
        <v>86</v>
      </c>
      <c r="E49" s="104" t="s">
        <v>87</v>
      </c>
      <c r="F49" s="105" t="s">
        <v>207</v>
      </c>
      <c r="G49" s="106" t="s">
        <v>246</v>
      </c>
      <c r="H49" s="106">
        <v>23.0</v>
      </c>
      <c r="I49" s="107" t="s">
        <v>247</v>
      </c>
      <c r="J49" s="108" t="s">
        <v>248</v>
      </c>
      <c r="K49" s="108" t="str">
        <f>_xlfn.XLOOKUP(J49,[1]Sheet1!$A:$A,[1]Sheet1!$B:$B,"")</f>
        <v>#ERROR!</v>
      </c>
      <c r="L49" s="105" t="s">
        <v>249</v>
      </c>
      <c r="M49" s="105" t="s">
        <v>250</v>
      </c>
      <c r="N49" s="106" t="s">
        <v>106</v>
      </c>
      <c r="O49" s="109" t="s">
        <v>95</v>
      </c>
      <c r="P49" s="110">
        <v>17.8</v>
      </c>
      <c r="Q49" s="103" t="s">
        <v>96</v>
      </c>
      <c r="R49" s="110" t="s">
        <v>97</v>
      </c>
      <c r="S49" s="110">
        <v>9.0</v>
      </c>
      <c r="T49" s="111" t="s">
        <v>251</v>
      </c>
      <c r="U49" s="106" t="s">
        <v>98</v>
      </c>
      <c r="V49" s="112">
        <v>0.0</v>
      </c>
      <c r="W49" s="113">
        <v>45.0</v>
      </c>
      <c r="X49" s="113">
        <v>45.0</v>
      </c>
      <c r="Y49" s="113">
        <v>55.0</v>
      </c>
      <c r="Z49" s="113" t="s">
        <v>99</v>
      </c>
      <c r="AA49" s="114">
        <f t="shared" ref="AA49:AA52" si="91">BC49/(1-(AK49+2%))</f>
        <v>452.2757127</v>
      </c>
      <c r="AB49" s="115" t="str">
        <f t="shared" ref="AB49:AB86" si="92">VLOOKUP(J49,'[2]PO &amp; SC Sept 2025'!$I$14:$BK$660,55,FALSE)+(($F$3/1000)-1.5)*P49</f>
        <v>#REF!</v>
      </c>
      <c r="AC49" s="116">
        <f t="shared" si="5"/>
        <v>397.1468553</v>
      </c>
      <c r="AD49" s="117">
        <f t="shared" si="6"/>
        <v>418.0493213</v>
      </c>
      <c r="AE49" s="118" t="str">
        <f t="shared" ref="AE49:AE86" si="93">VLOOKUP(J49,'[2]PO &amp; SC Sept 2025'!$I$14:$BE$660,49,FALSE)+(P49*(($F$4/1000)-1.5))</f>
        <v>#REF!</v>
      </c>
      <c r="AF49" s="118" t="str">
        <f t="shared" ref="AF49:AF1107" si="94">VLOOKUP(J49,'[2]PO &amp; SC Sept 2025'!$I$14:$AA$938,19,FALSE)</f>
        <v>#REF!</v>
      </c>
      <c r="AG49" s="119" t="str">
        <f t="shared" ref="AG49:AG1107" si="95">VLOOKUP(J49,'[2]PO &amp; SC Sept 2025'!$I$14:$AD$938,22,FALSE)</f>
        <v>#REF!</v>
      </c>
      <c r="AH49" s="120" t="str">
        <f t="shared" ref="AH49:AH1107" si="96">AG49*AF49</f>
        <v>#REF!</v>
      </c>
      <c r="AI49" s="121">
        <v>0.09</v>
      </c>
      <c r="AJ49" s="121">
        <v>0.09</v>
      </c>
      <c r="AK49" s="122">
        <v>0.16</v>
      </c>
      <c r="AL49" s="123">
        <f t="shared" si="11"/>
        <v>63.54349685</v>
      </c>
      <c r="AM49" s="124" t="s">
        <v>10</v>
      </c>
      <c r="AN49" s="125">
        <f t="shared" si="12"/>
        <v>397.1468553</v>
      </c>
      <c r="AO49" s="126">
        <f t="shared" si="13"/>
        <v>0.16</v>
      </c>
      <c r="AP49" s="127"/>
      <c r="AQ49" s="128">
        <f t="shared" ref="AQ49:AR49" si="90">BC49/(1-AI49)</f>
        <v>407.5451477</v>
      </c>
      <c r="AR49" s="125">
        <f t="shared" si="90"/>
        <v>366.5970972</v>
      </c>
      <c r="AS49" s="126">
        <f t="shared" si="15"/>
        <v>0.0989010989</v>
      </c>
      <c r="AT49" s="126">
        <f t="shared" si="16"/>
        <v>0.07692307692</v>
      </c>
      <c r="AU49" s="129"/>
      <c r="AV49" s="39" t="s">
        <v>126</v>
      </c>
      <c r="AW49" s="130">
        <v>16.64</v>
      </c>
      <c r="AX49" s="130">
        <v>2093.57</v>
      </c>
      <c r="AY49" s="130"/>
      <c r="AZ49" s="130">
        <v>5.0</v>
      </c>
      <c r="BA49" s="130">
        <f t="shared" ref="BA49:BA52" si="98">($F$2-70000)/1000*AW49+AX49</f>
        <v>2542.85</v>
      </c>
      <c r="BB49" s="130">
        <f t="shared" ref="BB49:BB52" si="99">AZ49+BA49</f>
        <v>2547.85</v>
      </c>
      <c r="BC49" s="131">
        <f t="shared" ref="BC49:BC52" si="100">(AZ49+BA49)/$F$5</f>
        <v>370.8660844</v>
      </c>
      <c r="BD49" s="132">
        <f t="shared" ref="BD49:BD52" si="101">(BC49/$F$6)+(($F$9+$G$9)/40/S49)+BC49*V49</f>
        <v>333.6033584</v>
      </c>
      <c r="BE49" s="173"/>
      <c r="BF49" s="134" t="s">
        <v>101</v>
      </c>
      <c r="BG49" s="49"/>
      <c r="BH49" s="116">
        <f t="shared" si="22"/>
        <v>1323.822851</v>
      </c>
      <c r="BI49" s="116">
        <f t="shared" si="23"/>
        <v>794.2937106</v>
      </c>
      <c r="BJ49" s="116">
        <f t="shared" si="24"/>
        <v>661.9114255</v>
      </c>
      <c r="BK49" s="116">
        <f t="shared" si="25"/>
        <v>529.5291404</v>
      </c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</row>
    <row r="50" ht="14.25" customHeight="1">
      <c r="A50" s="103" t="s">
        <v>84</v>
      </c>
      <c r="B50" s="103" t="s">
        <v>120</v>
      </c>
      <c r="C50" s="103" t="s">
        <v>120</v>
      </c>
      <c r="D50" s="103" t="s">
        <v>86</v>
      </c>
      <c r="E50" s="104" t="s">
        <v>87</v>
      </c>
      <c r="F50" s="105" t="s">
        <v>207</v>
      </c>
      <c r="G50" s="106" t="s">
        <v>246</v>
      </c>
      <c r="H50" s="106">
        <v>23.0</v>
      </c>
      <c r="I50" s="107" t="s">
        <v>252</v>
      </c>
      <c r="J50" s="108" t="s">
        <v>253</v>
      </c>
      <c r="K50" s="108" t="str">
        <f>_xlfn.XLOOKUP(J50,[1]Sheet1!$A:$A,[1]Sheet1!$B:$B,"")</f>
        <v>#ERROR!</v>
      </c>
      <c r="L50" s="105" t="s">
        <v>254</v>
      </c>
      <c r="M50" s="105" t="s">
        <v>255</v>
      </c>
      <c r="N50" s="106" t="s">
        <v>106</v>
      </c>
      <c r="O50" s="109" t="s">
        <v>95</v>
      </c>
      <c r="P50" s="110">
        <v>35.6</v>
      </c>
      <c r="Q50" s="103" t="s">
        <v>96</v>
      </c>
      <c r="R50" s="110" t="s">
        <v>97</v>
      </c>
      <c r="S50" s="110">
        <v>4.0</v>
      </c>
      <c r="T50" s="111" t="s">
        <v>256</v>
      </c>
      <c r="U50" s="106" t="s">
        <v>98</v>
      </c>
      <c r="V50" s="112">
        <v>0.0</v>
      </c>
      <c r="W50" s="113">
        <v>45.0</v>
      </c>
      <c r="X50" s="113">
        <v>45.0</v>
      </c>
      <c r="Y50" s="113">
        <v>55.0</v>
      </c>
      <c r="Z50" s="113" t="s">
        <v>99</v>
      </c>
      <c r="AA50" s="114">
        <f t="shared" si="91"/>
        <v>928.2846577</v>
      </c>
      <c r="AB50" s="115" t="str">
        <f t="shared" si="92"/>
        <v>#REF!</v>
      </c>
      <c r="AC50" s="116">
        <f t="shared" si="5"/>
        <v>817.6596806</v>
      </c>
      <c r="AD50" s="117">
        <f t="shared" si="6"/>
        <v>860.6944007</v>
      </c>
      <c r="AE50" s="118" t="str">
        <f t="shared" si="93"/>
        <v>#REF!</v>
      </c>
      <c r="AF50" s="118" t="str">
        <f t="shared" si="94"/>
        <v>#REF!</v>
      </c>
      <c r="AG50" s="119" t="str">
        <f t="shared" si="95"/>
        <v>#REF!</v>
      </c>
      <c r="AH50" s="120" t="str">
        <f t="shared" si="96"/>
        <v>#REF!</v>
      </c>
      <c r="AI50" s="121">
        <v>0.09</v>
      </c>
      <c r="AJ50" s="121">
        <v>0.09</v>
      </c>
      <c r="AK50" s="122">
        <v>0.153</v>
      </c>
      <c r="AL50" s="123">
        <f t="shared" si="11"/>
        <v>125.1019311</v>
      </c>
      <c r="AM50" s="124" t="s">
        <v>10</v>
      </c>
      <c r="AN50" s="125">
        <f t="shared" si="12"/>
        <v>817.6596806</v>
      </c>
      <c r="AO50" s="126">
        <f t="shared" si="13"/>
        <v>0.153</v>
      </c>
      <c r="AP50" s="127"/>
      <c r="AQ50" s="128">
        <f t="shared" ref="AQ50:AR50" si="97">BC50/(1-AI50)</f>
        <v>843.6169362</v>
      </c>
      <c r="AR50" s="125">
        <f t="shared" si="97"/>
        <v>761.052472</v>
      </c>
      <c r="AS50" s="126">
        <f t="shared" si="15"/>
        <v>0.09120879121</v>
      </c>
      <c r="AT50" s="126">
        <f t="shared" si="16"/>
        <v>0.06923076923</v>
      </c>
      <c r="AU50" s="129"/>
      <c r="AV50" s="39" t="s">
        <v>126</v>
      </c>
      <c r="AW50" s="130">
        <v>34.82</v>
      </c>
      <c r="AX50" s="130">
        <v>4328.9</v>
      </c>
      <c r="AY50" s="130"/>
      <c r="AZ50" s="130">
        <v>5.0</v>
      </c>
      <c r="BA50" s="130">
        <f t="shared" si="98"/>
        <v>5269.04</v>
      </c>
      <c r="BB50" s="130">
        <f t="shared" si="99"/>
        <v>5274.04</v>
      </c>
      <c r="BC50" s="131">
        <f t="shared" si="100"/>
        <v>767.6914119</v>
      </c>
      <c r="BD50" s="132">
        <f t="shared" si="101"/>
        <v>692.5577495</v>
      </c>
      <c r="BE50" s="133"/>
      <c r="BF50" s="134" t="s">
        <v>101</v>
      </c>
      <c r="BG50" s="49"/>
      <c r="BH50" s="116">
        <f t="shared" si="22"/>
        <v>2725.532269</v>
      </c>
      <c r="BI50" s="116">
        <f t="shared" si="23"/>
        <v>1635.319361</v>
      </c>
      <c r="BJ50" s="116">
        <f t="shared" si="24"/>
        <v>1362.766134</v>
      </c>
      <c r="BK50" s="116">
        <f t="shared" si="25"/>
        <v>1090.212908</v>
      </c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</row>
    <row r="51" ht="14.25" customHeight="1">
      <c r="A51" s="103" t="s">
        <v>84</v>
      </c>
      <c r="B51" s="103" t="s">
        <v>85</v>
      </c>
      <c r="C51" s="103" t="s">
        <v>85</v>
      </c>
      <c r="D51" s="103" t="s">
        <v>86</v>
      </c>
      <c r="E51" s="104" t="s">
        <v>87</v>
      </c>
      <c r="F51" s="105" t="s">
        <v>207</v>
      </c>
      <c r="G51" s="106" t="s">
        <v>246</v>
      </c>
      <c r="H51" s="106">
        <v>23.0</v>
      </c>
      <c r="I51" s="107" t="s">
        <v>257</v>
      </c>
      <c r="J51" s="108" t="s">
        <v>258</v>
      </c>
      <c r="K51" s="108" t="str">
        <f>_xlfn.XLOOKUP(J51,[1]Sheet1!$A:$A,[1]Sheet1!$B:$B,"")</f>
        <v>#ERROR!</v>
      </c>
      <c r="L51" s="105" t="s">
        <v>259</v>
      </c>
      <c r="M51" s="105" t="s">
        <v>260</v>
      </c>
      <c r="N51" s="106" t="s">
        <v>162</v>
      </c>
      <c r="O51" s="109" t="s">
        <v>95</v>
      </c>
      <c r="P51" s="110">
        <v>17.8</v>
      </c>
      <c r="Q51" s="103" t="s">
        <v>96</v>
      </c>
      <c r="R51" s="110" t="s">
        <v>97</v>
      </c>
      <c r="S51" s="110">
        <v>9.0</v>
      </c>
      <c r="T51" s="111" t="s">
        <v>261</v>
      </c>
      <c r="U51" s="106" t="s">
        <v>98</v>
      </c>
      <c r="V51" s="112">
        <v>0.0</v>
      </c>
      <c r="W51" s="113">
        <v>45.0</v>
      </c>
      <c r="X51" s="113">
        <v>45.0</v>
      </c>
      <c r="Y51" s="113">
        <v>55.0</v>
      </c>
      <c r="Z51" s="113" t="s">
        <v>99</v>
      </c>
      <c r="AA51" s="114">
        <f t="shared" si="91"/>
        <v>483.8980709</v>
      </c>
      <c r="AB51" s="115" t="str">
        <f t="shared" si="92"/>
        <v>#REF!</v>
      </c>
      <c r="AC51" s="116">
        <f t="shared" si="5"/>
        <v>424.1086997</v>
      </c>
      <c r="AD51" s="117">
        <f t="shared" si="6"/>
        <v>446.4302102</v>
      </c>
      <c r="AE51" s="118" t="str">
        <f t="shared" si="93"/>
        <v>#REF!</v>
      </c>
      <c r="AF51" s="118" t="str">
        <f t="shared" si="94"/>
        <v>#REF!</v>
      </c>
      <c r="AG51" s="119" t="str">
        <f t="shared" si="95"/>
        <v>#REF!</v>
      </c>
      <c r="AH51" s="120" t="str">
        <f t="shared" si="96"/>
        <v>#REF!</v>
      </c>
      <c r="AI51" s="121">
        <v>0.09</v>
      </c>
      <c r="AJ51" s="121">
        <v>0.09</v>
      </c>
      <c r="AK51" s="122">
        <v>0.19</v>
      </c>
      <c r="AL51" s="123">
        <f t="shared" si="11"/>
        <v>80.58065294</v>
      </c>
      <c r="AM51" s="124" t="s">
        <v>10</v>
      </c>
      <c r="AN51" s="125">
        <f t="shared" si="12"/>
        <v>424.1086997</v>
      </c>
      <c r="AO51" s="126">
        <f t="shared" si="13"/>
        <v>0.19</v>
      </c>
      <c r="AP51" s="127"/>
      <c r="AQ51" s="128">
        <f t="shared" ref="AQ51:AR51" si="102">BC51/(1-AI51)</f>
        <v>420.0873362</v>
      </c>
      <c r="AR51" s="125">
        <f t="shared" si="102"/>
        <v>377.5033481</v>
      </c>
      <c r="AS51" s="126">
        <f t="shared" si="15"/>
        <v>0.1318681319</v>
      </c>
      <c r="AT51" s="126">
        <f t="shared" si="16"/>
        <v>0.1098901099</v>
      </c>
      <c r="AU51" s="129"/>
      <c r="AV51" s="39" t="s">
        <v>126</v>
      </c>
      <c r="AW51" s="130">
        <v>17.15</v>
      </c>
      <c r="AX51" s="130">
        <v>2158.21</v>
      </c>
      <c r="AY51" s="130"/>
      <c r="AZ51" s="130">
        <v>5.0</v>
      </c>
      <c r="BA51" s="130">
        <f t="shared" si="98"/>
        <v>2621.26</v>
      </c>
      <c r="BB51" s="130">
        <f t="shared" si="99"/>
        <v>2626.26</v>
      </c>
      <c r="BC51" s="131">
        <f t="shared" si="100"/>
        <v>382.279476</v>
      </c>
      <c r="BD51" s="132">
        <f t="shared" si="101"/>
        <v>343.5280467</v>
      </c>
      <c r="BE51" s="133"/>
      <c r="BF51" s="134" t="s">
        <v>101</v>
      </c>
      <c r="BG51" s="49"/>
      <c r="BH51" s="116">
        <f t="shared" si="22"/>
        <v>1413.695666</v>
      </c>
      <c r="BI51" s="116">
        <f t="shared" si="23"/>
        <v>848.2173994</v>
      </c>
      <c r="BJ51" s="116">
        <f t="shared" si="24"/>
        <v>706.8478328</v>
      </c>
      <c r="BK51" s="116">
        <f t="shared" si="25"/>
        <v>565.4782663</v>
      </c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</row>
    <row r="52" ht="14.25" customHeight="1">
      <c r="A52" s="103" t="s">
        <v>84</v>
      </c>
      <c r="B52" s="103" t="s">
        <v>85</v>
      </c>
      <c r="C52" s="103" t="s">
        <v>85</v>
      </c>
      <c r="D52" s="103" t="s">
        <v>86</v>
      </c>
      <c r="E52" s="104" t="s">
        <v>87</v>
      </c>
      <c r="F52" s="105" t="s">
        <v>207</v>
      </c>
      <c r="G52" s="106" t="s">
        <v>246</v>
      </c>
      <c r="H52" s="106">
        <v>23.0</v>
      </c>
      <c r="I52" s="107" t="s">
        <v>262</v>
      </c>
      <c r="J52" s="108" t="s">
        <v>263</v>
      </c>
      <c r="K52" s="108" t="str">
        <f>_xlfn.XLOOKUP(J52,[1]Sheet1!$A:$A,[1]Sheet1!$B:$B,"")</f>
        <v>#ERROR!</v>
      </c>
      <c r="L52" s="105" t="s">
        <v>264</v>
      </c>
      <c r="M52" s="105" t="s">
        <v>265</v>
      </c>
      <c r="N52" s="106" t="s">
        <v>201</v>
      </c>
      <c r="O52" s="109" t="s">
        <v>95</v>
      </c>
      <c r="P52" s="110">
        <v>17.8</v>
      </c>
      <c r="Q52" s="103" t="s">
        <v>96</v>
      </c>
      <c r="R52" s="110" t="s">
        <v>97</v>
      </c>
      <c r="S52" s="110">
        <v>9.0</v>
      </c>
      <c r="T52" s="111" t="s">
        <v>266</v>
      </c>
      <c r="U52" s="106" t="s">
        <v>98</v>
      </c>
      <c r="V52" s="112">
        <v>0.0</v>
      </c>
      <c r="W52" s="113">
        <v>45.0</v>
      </c>
      <c r="X52" s="113">
        <v>45.0</v>
      </c>
      <c r="Y52" s="113">
        <v>55.0</v>
      </c>
      <c r="Z52" s="113" t="s">
        <v>99</v>
      </c>
      <c r="AA52" s="114">
        <f t="shared" si="91"/>
        <v>512.0096788</v>
      </c>
      <c r="AB52" s="115" t="str">
        <f t="shared" si="92"/>
        <v>#REF!</v>
      </c>
      <c r="AC52" s="116">
        <f t="shared" si="5"/>
        <v>448.0189658</v>
      </c>
      <c r="AD52" s="117">
        <f t="shared" si="6"/>
        <v>471.5989114</v>
      </c>
      <c r="AE52" s="118" t="str">
        <f t="shared" si="93"/>
        <v>#REF!</v>
      </c>
      <c r="AF52" s="118" t="str">
        <f t="shared" si="94"/>
        <v>#REF!</v>
      </c>
      <c r="AG52" s="119" t="str">
        <f t="shared" si="95"/>
        <v>#REF!</v>
      </c>
      <c r="AH52" s="120" t="str">
        <f t="shared" si="96"/>
        <v>#REF!</v>
      </c>
      <c r="AI52" s="121">
        <v>0.09</v>
      </c>
      <c r="AJ52" s="121">
        <v>0.09</v>
      </c>
      <c r="AK52" s="122">
        <v>0.21</v>
      </c>
      <c r="AL52" s="123">
        <f t="shared" si="11"/>
        <v>94.08398283</v>
      </c>
      <c r="AM52" s="124" t="s">
        <v>10</v>
      </c>
      <c r="AN52" s="125">
        <f t="shared" si="12"/>
        <v>448.0189658</v>
      </c>
      <c r="AO52" s="126">
        <f t="shared" si="13"/>
        <v>0.21</v>
      </c>
      <c r="AP52" s="127"/>
      <c r="AQ52" s="128">
        <f t="shared" ref="AQ52:AR52" si="103">BC52/(1-AI52)</f>
        <v>433.238959</v>
      </c>
      <c r="AR52" s="125">
        <f t="shared" si="103"/>
        <v>388.9395418</v>
      </c>
      <c r="AS52" s="126">
        <f t="shared" si="15"/>
        <v>0.1538461538</v>
      </c>
      <c r="AT52" s="126">
        <f t="shared" si="16"/>
        <v>0.1318681319</v>
      </c>
      <c r="AU52" s="129"/>
      <c r="AV52" s="39" t="s">
        <v>126</v>
      </c>
      <c r="AW52" s="130">
        <v>17.73</v>
      </c>
      <c r="AX52" s="130">
        <v>2224.77</v>
      </c>
      <c r="AY52" s="130"/>
      <c r="AZ52" s="130">
        <v>5.0</v>
      </c>
      <c r="BA52" s="130">
        <f t="shared" si="98"/>
        <v>2703.48</v>
      </c>
      <c r="BB52" s="130">
        <f t="shared" si="99"/>
        <v>2708.48</v>
      </c>
      <c r="BC52" s="131">
        <f t="shared" si="100"/>
        <v>394.2474527</v>
      </c>
      <c r="BD52" s="132">
        <f t="shared" si="101"/>
        <v>353.934983</v>
      </c>
      <c r="BE52" s="133"/>
      <c r="BF52" s="134" t="s">
        <v>101</v>
      </c>
      <c r="BG52" s="49"/>
      <c r="BH52" s="116">
        <f t="shared" si="22"/>
        <v>1493.396553</v>
      </c>
      <c r="BI52" s="116">
        <f t="shared" si="23"/>
        <v>896.0379317</v>
      </c>
      <c r="BJ52" s="116">
        <f t="shared" si="24"/>
        <v>746.6982764</v>
      </c>
      <c r="BK52" s="116">
        <f t="shared" si="25"/>
        <v>597.3586211</v>
      </c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</row>
    <row r="53" ht="14.25" customHeight="1">
      <c r="A53" s="103" t="s">
        <v>84</v>
      </c>
      <c r="B53" s="103" t="s">
        <v>85</v>
      </c>
      <c r="C53" s="103" t="s">
        <v>85</v>
      </c>
      <c r="D53" s="103" t="s">
        <v>86</v>
      </c>
      <c r="E53" s="104" t="s">
        <v>87</v>
      </c>
      <c r="F53" s="105" t="s">
        <v>207</v>
      </c>
      <c r="G53" s="106" t="s">
        <v>246</v>
      </c>
      <c r="H53" s="106">
        <v>23.0</v>
      </c>
      <c r="I53" s="107" t="s">
        <v>267</v>
      </c>
      <c r="J53" s="138" t="s">
        <v>248</v>
      </c>
      <c r="K53" s="108" t="str">
        <f>_xlfn.XLOOKUP(J53,[1]Sheet1!$A:$A,[1]Sheet1!$B:$B,"")</f>
        <v>#ERROR!</v>
      </c>
      <c r="L53" s="105" t="s">
        <v>249</v>
      </c>
      <c r="M53" s="105" t="s">
        <v>250</v>
      </c>
      <c r="N53" s="106" t="s">
        <v>106</v>
      </c>
      <c r="O53" s="109" t="s">
        <v>147</v>
      </c>
      <c r="P53" s="110">
        <v>19.0</v>
      </c>
      <c r="Q53" s="103" t="s">
        <v>96</v>
      </c>
      <c r="R53" s="110" t="s">
        <v>97</v>
      </c>
      <c r="S53" s="110">
        <v>9.0</v>
      </c>
      <c r="T53" s="111" t="s">
        <v>251</v>
      </c>
      <c r="U53" s="106" t="s">
        <v>98</v>
      </c>
      <c r="V53" s="112">
        <v>0.0</v>
      </c>
      <c r="W53" s="113">
        <v>60.0</v>
      </c>
      <c r="X53" s="113">
        <v>14.0</v>
      </c>
      <c r="Y53" s="113">
        <v>14.0</v>
      </c>
      <c r="Z53" s="113" t="s">
        <v>148</v>
      </c>
      <c r="AA53" s="114">
        <f t="shared" ref="AA53:AA54" si="104">(BC53/(1-(AK53+2%)))*$F$6</f>
        <v>492.2560976</v>
      </c>
      <c r="AB53" s="115" t="str">
        <f t="shared" si="92"/>
        <v>#REF!</v>
      </c>
      <c r="AC53" s="116">
        <f t="shared" si="5"/>
        <v>426.4837819</v>
      </c>
      <c r="AD53" s="117">
        <f t="shared" si="6"/>
        <v>448.9302968</v>
      </c>
      <c r="AE53" s="118" t="str">
        <f t="shared" si="93"/>
        <v>#REF!</v>
      </c>
      <c r="AF53" s="118" t="str">
        <f t="shared" si="94"/>
        <v>#REF!</v>
      </c>
      <c r="AG53" s="119" t="str">
        <f t="shared" si="95"/>
        <v>#REF!</v>
      </c>
      <c r="AH53" s="120" t="str">
        <f t="shared" si="96"/>
        <v>#REF!</v>
      </c>
      <c r="AI53" s="121">
        <f t="shared" ref="AI53:AI54" si="105">AJ53</f>
        <v>0.07</v>
      </c>
      <c r="AJ53" s="121">
        <v>0.07</v>
      </c>
      <c r="AK53" s="122">
        <v>0.16</v>
      </c>
      <c r="AL53" s="123">
        <f t="shared" si="11"/>
        <v>68.23740511</v>
      </c>
      <c r="AM53" s="122" t="s">
        <v>10</v>
      </c>
      <c r="AN53" s="125">
        <f t="shared" si="12"/>
        <v>426.4837819</v>
      </c>
      <c r="AO53" s="141">
        <f t="shared" si="13"/>
        <v>0.16</v>
      </c>
      <c r="AP53" s="127"/>
      <c r="AQ53" s="128">
        <f t="shared" ref="AQ53:AQ54" si="106">BC53/(1-AI53)*$F$6</f>
        <v>434.0322581</v>
      </c>
      <c r="AR53" s="125">
        <f t="shared" ref="AR53:AR54" si="107">BD53/(1-AJ53)</f>
        <v>385.2111579</v>
      </c>
      <c r="AS53" s="144">
        <f t="shared" si="15"/>
        <v>0.1182795699</v>
      </c>
      <c r="AT53" s="144">
        <f t="shared" si="16"/>
        <v>0.09677419355</v>
      </c>
      <c r="AU53" s="129"/>
      <c r="AV53" s="39" t="s">
        <v>149</v>
      </c>
      <c r="AW53" s="130"/>
      <c r="AX53" s="130"/>
      <c r="AY53" s="136">
        <v>180.0</v>
      </c>
      <c r="AZ53" s="130"/>
      <c r="BA53" s="130"/>
      <c r="BB53" s="130"/>
      <c r="BC53" s="137">
        <f t="shared" ref="BC53:BC54" si="108">AY53+($F$4-1500)/1000*P53</f>
        <v>351</v>
      </c>
      <c r="BD53" s="132">
        <f t="shared" ref="BD53:BD54" si="109">(AY53+($F$4-1500)/1000*P53)+($F$10/40/S53/$F$6)</f>
        <v>358.2463768</v>
      </c>
      <c r="BE53" s="39"/>
      <c r="BF53" s="134" t="s">
        <v>101</v>
      </c>
      <c r="BG53" s="49"/>
      <c r="BH53" s="116">
        <f t="shared" si="22"/>
        <v>1421.612606</v>
      </c>
      <c r="BI53" s="116">
        <f t="shared" si="23"/>
        <v>852.9675638</v>
      </c>
      <c r="BJ53" s="116">
        <f t="shared" si="24"/>
        <v>710.8063032</v>
      </c>
      <c r="BK53" s="116">
        <f t="shared" si="25"/>
        <v>568.6450426</v>
      </c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</row>
    <row r="54" ht="14.25" customHeight="1">
      <c r="A54" s="103" t="s">
        <v>84</v>
      </c>
      <c r="B54" s="103" t="s">
        <v>85</v>
      </c>
      <c r="C54" s="103" t="s">
        <v>85</v>
      </c>
      <c r="D54" s="103" t="s">
        <v>86</v>
      </c>
      <c r="E54" s="104" t="s">
        <v>87</v>
      </c>
      <c r="F54" s="105" t="s">
        <v>207</v>
      </c>
      <c r="G54" s="106" t="s">
        <v>246</v>
      </c>
      <c r="H54" s="106">
        <v>23.0</v>
      </c>
      <c r="I54" s="107" t="s">
        <v>268</v>
      </c>
      <c r="J54" s="138" t="s">
        <v>253</v>
      </c>
      <c r="K54" s="108" t="str">
        <f>_xlfn.XLOOKUP(J54,[1]Sheet1!$A:$A,[1]Sheet1!$B:$B,"")</f>
        <v>#ERROR!</v>
      </c>
      <c r="L54" s="105" t="s">
        <v>254</v>
      </c>
      <c r="M54" s="105" t="s">
        <v>255</v>
      </c>
      <c r="N54" s="106" t="s">
        <v>106</v>
      </c>
      <c r="O54" s="109" t="s">
        <v>147</v>
      </c>
      <c r="P54" s="110">
        <v>37.0</v>
      </c>
      <c r="Q54" s="103" t="s">
        <v>96</v>
      </c>
      <c r="R54" s="110" t="s">
        <v>97</v>
      </c>
      <c r="S54" s="110">
        <v>4.0</v>
      </c>
      <c r="T54" s="111" t="s">
        <v>256</v>
      </c>
      <c r="U54" s="106" t="s">
        <v>98</v>
      </c>
      <c r="V54" s="112">
        <v>0.0</v>
      </c>
      <c r="W54" s="113">
        <v>60.0</v>
      </c>
      <c r="X54" s="113">
        <v>14.0</v>
      </c>
      <c r="Y54" s="113">
        <v>14.0</v>
      </c>
      <c r="Z54" s="113" t="s">
        <v>148</v>
      </c>
      <c r="AA54" s="114">
        <f t="shared" si="104"/>
        <v>1021.757576</v>
      </c>
      <c r="AB54" s="115" t="str">
        <f t="shared" si="92"/>
        <v>#REF!</v>
      </c>
      <c r="AC54" s="116">
        <f t="shared" si="5"/>
        <v>886.7507075</v>
      </c>
      <c r="AD54" s="117">
        <f t="shared" si="6"/>
        <v>933.4217974</v>
      </c>
      <c r="AE54" s="118" t="str">
        <f t="shared" si="93"/>
        <v>#REF!</v>
      </c>
      <c r="AF54" s="118" t="str">
        <f t="shared" si="94"/>
        <v>#REF!</v>
      </c>
      <c r="AG54" s="119" t="str">
        <f t="shared" si="95"/>
        <v>#REF!</v>
      </c>
      <c r="AH54" s="120" t="str">
        <f t="shared" si="96"/>
        <v>#REF!</v>
      </c>
      <c r="AI54" s="121">
        <f t="shared" si="105"/>
        <v>0.07</v>
      </c>
      <c r="AJ54" s="121">
        <v>0.07</v>
      </c>
      <c r="AK54" s="122">
        <v>0.155</v>
      </c>
      <c r="AL54" s="123">
        <f t="shared" si="11"/>
        <v>137.4463597</v>
      </c>
      <c r="AM54" s="122" t="s">
        <v>10</v>
      </c>
      <c r="AN54" s="125">
        <f t="shared" si="12"/>
        <v>886.7507075</v>
      </c>
      <c r="AO54" s="112">
        <f t="shared" si="13"/>
        <v>0.155</v>
      </c>
      <c r="AP54" s="127"/>
      <c r="AQ54" s="128">
        <f t="shared" si="106"/>
        <v>906.3978495</v>
      </c>
      <c r="AR54" s="125">
        <f t="shared" si="107"/>
        <v>805.7035998</v>
      </c>
      <c r="AS54" s="126">
        <f t="shared" si="15"/>
        <v>0.1129032258</v>
      </c>
      <c r="AT54" s="126">
        <f t="shared" si="16"/>
        <v>0.09139784946</v>
      </c>
      <c r="AU54" s="129"/>
      <c r="AV54" s="39" t="s">
        <v>149</v>
      </c>
      <c r="AW54" s="130"/>
      <c r="AX54" s="130"/>
      <c r="AY54" s="136">
        <v>400.0</v>
      </c>
      <c r="AZ54" s="130"/>
      <c r="BA54" s="130"/>
      <c r="BB54" s="130"/>
      <c r="BC54" s="137">
        <f t="shared" si="108"/>
        <v>733</v>
      </c>
      <c r="BD54" s="132">
        <f t="shared" si="109"/>
        <v>749.3043478</v>
      </c>
      <c r="BE54" s="39"/>
      <c r="BF54" s="134" t="s">
        <v>101</v>
      </c>
      <c r="BG54" s="49"/>
      <c r="BH54" s="116">
        <f t="shared" si="22"/>
        <v>2955.835692</v>
      </c>
      <c r="BI54" s="116">
        <f t="shared" si="23"/>
        <v>1773.501415</v>
      </c>
      <c r="BJ54" s="116">
        <f t="shared" si="24"/>
        <v>1477.917846</v>
      </c>
      <c r="BK54" s="116">
        <f t="shared" si="25"/>
        <v>1182.334277</v>
      </c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</row>
    <row r="55" ht="14.25" customHeight="1">
      <c r="A55" s="103" t="s">
        <v>84</v>
      </c>
      <c r="B55" s="103" t="s">
        <v>85</v>
      </c>
      <c r="C55" s="103" t="s">
        <v>120</v>
      </c>
      <c r="D55" s="103" t="s">
        <v>86</v>
      </c>
      <c r="E55" s="104" t="s">
        <v>87</v>
      </c>
      <c r="F55" s="105" t="s">
        <v>207</v>
      </c>
      <c r="G55" s="106" t="s">
        <v>107</v>
      </c>
      <c r="H55" s="106">
        <v>23.0</v>
      </c>
      <c r="I55" s="107" t="s">
        <v>269</v>
      </c>
      <c r="J55" s="108" t="s">
        <v>270</v>
      </c>
      <c r="K55" s="108" t="str">
        <f>_xlfn.XLOOKUP(J55,[1]Sheet1!$A:$A,[1]Sheet1!$B:$B,"")</f>
        <v>#ERROR!</v>
      </c>
      <c r="L55" s="105" t="s">
        <v>271</v>
      </c>
      <c r="M55" s="105" t="s">
        <v>272</v>
      </c>
      <c r="N55" s="106" t="s">
        <v>106</v>
      </c>
      <c r="O55" s="109" t="s">
        <v>95</v>
      </c>
      <c r="P55" s="110">
        <v>17.5</v>
      </c>
      <c r="Q55" s="103" t="s">
        <v>96</v>
      </c>
      <c r="R55" s="110" t="s">
        <v>97</v>
      </c>
      <c r="S55" s="110">
        <v>9.0</v>
      </c>
      <c r="T55" s="111"/>
      <c r="U55" s="106" t="s">
        <v>98</v>
      </c>
      <c r="V55" s="112">
        <v>0.0</v>
      </c>
      <c r="W55" s="113">
        <v>45.0</v>
      </c>
      <c r="X55" s="113">
        <v>45.0</v>
      </c>
      <c r="Y55" s="113">
        <v>55.0</v>
      </c>
      <c r="Z55" s="113" t="s">
        <v>99</v>
      </c>
      <c r="AA55" s="114">
        <f t="shared" ref="AA55:AA61" si="111">BC55/(1-(AK55+2%))</f>
        <v>473.890148</v>
      </c>
      <c r="AB55" s="115" t="str">
        <f t="shared" si="92"/>
        <v>#REF!</v>
      </c>
      <c r="AC55" s="116">
        <f t="shared" si="5"/>
        <v>415.6210356</v>
      </c>
      <c r="AD55" s="117">
        <f t="shared" si="6"/>
        <v>437.4958269</v>
      </c>
      <c r="AE55" s="118" t="str">
        <f t="shared" si="93"/>
        <v>#REF!</v>
      </c>
      <c r="AF55" s="118" t="str">
        <f t="shared" si="94"/>
        <v>#REF!</v>
      </c>
      <c r="AG55" s="119" t="str">
        <f t="shared" si="95"/>
        <v>#REF!</v>
      </c>
      <c r="AH55" s="120" t="str">
        <f t="shared" si="96"/>
        <v>#REF!</v>
      </c>
      <c r="AI55" s="121">
        <v>0.09</v>
      </c>
      <c r="AJ55" s="121">
        <v>0.09</v>
      </c>
      <c r="AK55" s="122">
        <v>0.19</v>
      </c>
      <c r="AL55" s="123">
        <f t="shared" si="11"/>
        <v>78.96799676</v>
      </c>
      <c r="AM55" s="124" t="s">
        <v>10</v>
      </c>
      <c r="AN55" s="125">
        <f t="shared" si="12"/>
        <v>415.6210356</v>
      </c>
      <c r="AO55" s="126">
        <f t="shared" si="13"/>
        <v>0.19</v>
      </c>
      <c r="AP55" s="127"/>
      <c r="AQ55" s="128">
        <f t="shared" ref="AQ55:AR55" si="110">BC55/(1-AI55)</f>
        <v>411.3991394</v>
      </c>
      <c r="AR55" s="125">
        <f t="shared" si="110"/>
        <v>369.9483943</v>
      </c>
      <c r="AS55" s="126">
        <f t="shared" si="15"/>
        <v>0.1318681319</v>
      </c>
      <c r="AT55" s="126">
        <f t="shared" si="16"/>
        <v>0.1098901099</v>
      </c>
      <c r="AU55" s="129"/>
      <c r="AV55" s="39" t="s">
        <v>100</v>
      </c>
      <c r="AW55" s="130">
        <f>1.31*2*7.2</f>
        <v>18.864</v>
      </c>
      <c r="AX55" s="130">
        <f>285.78*7.2</f>
        <v>2057.616</v>
      </c>
      <c r="AY55" s="130"/>
      <c r="AZ55" s="130">
        <v>5.0</v>
      </c>
      <c r="BA55" s="130">
        <f t="shared" ref="BA55:BA61" si="113">($F$2-70000)/1000*AW55+AX55</f>
        <v>2566.944</v>
      </c>
      <c r="BB55" s="130">
        <f t="shared" ref="BB55:BB61" si="114">AZ55+BA55</f>
        <v>2571.944</v>
      </c>
      <c r="BC55" s="131">
        <f t="shared" ref="BC55:BC61" si="115">(AZ55+BA55)/$F$5</f>
        <v>374.3732169</v>
      </c>
      <c r="BD55" s="132">
        <f t="shared" ref="BD55:BD61" si="116">(BC55/$F$6)+(($F$9+$G$9)/40/S55)+BC55*V55</f>
        <v>336.6530388</v>
      </c>
      <c r="BE55" s="173"/>
      <c r="BF55" s="134" t="s">
        <v>101</v>
      </c>
      <c r="BG55" s="49"/>
      <c r="BH55" s="118">
        <f t="shared" si="22"/>
        <v>1385.403452</v>
      </c>
      <c r="BI55" s="118">
        <f t="shared" si="23"/>
        <v>831.2420712</v>
      </c>
      <c r="BJ55" s="118">
        <f t="shared" si="24"/>
        <v>692.701726</v>
      </c>
      <c r="BK55" s="118">
        <f t="shared" si="25"/>
        <v>554.1613808</v>
      </c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</row>
    <row r="56" ht="14.25" customHeight="1">
      <c r="A56" s="103" t="s">
        <v>84</v>
      </c>
      <c r="B56" s="103" t="s">
        <v>85</v>
      </c>
      <c r="C56" s="103" t="s">
        <v>120</v>
      </c>
      <c r="D56" s="103" t="s">
        <v>86</v>
      </c>
      <c r="E56" s="104" t="s">
        <v>87</v>
      </c>
      <c r="F56" s="105" t="s">
        <v>207</v>
      </c>
      <c r="G56" s="106" t="s">
        <v>107</v>
      </c>
      <c r="H56" s="106">
        <v>23.0</v>
      </c>
      <c r="I56" s="107" t="s">
        <v>273</v>
      </c>
      <c r="J56" s="108" t="s">
        <v>274</v>
      </c>
      <c r="K56" s="108" t="str">
        <f>_xlfn.XLOOKUP(J56,[1]Sheet1!$A:$A,[1]Sheet1!$B:$B,"")</f>
        <v>#ERROR!</v>
      </c>
      <c r="L56" s="105" t="s">
        <v>275</v>
      </c>
      <c r="M56" s="105" t="s">
        <v>276</v>
      </c>
      <c r="N56" s="106" t="s">
        <v>106</v>
      </c>
      <c r="O56" s="109" t="s">
        <v>95</v>
      </c>
      <c r="P56" s="110">
        <v>35.0</v>
      </c>
      <c r="Q56" s="103" t="s">
        <v>96</v>
      </c>
      <c r="R56" s="110" t="s">
        <v>97</v>
      </c>
      <c r="S56" s="110">
        <v>4.0</v>
      </c>
      <c r="T56" s="111"/>
      <c r="U56" s="106" t="s">
        <v>98</v>
      </c>
      <c r="V56" s="112">
        <v>0.0</v>
      </c>
      <c r="W56" s="113">
        <v>45.0</v>
      </c>
      <c r="X56" s="113">
        <v>45.0</v>
      </c>
      <c r="Y56" s="113">
        <v>55.0</v>
      </c>
      <c r="Z56" s="113" t="s">
        <v>99</v>
      </c>
      <c r="AA56" s="114">
        <f t="shared" si="111"/>
        <v>971.363901</v>
      </c>
      <c r="AB56" s="115" t="str">
        <f t="shared" si="92"/>
        <v>#REF!</v>
      </c>
      <c r="AC56" s="116">
        <f t="shared" si="5"/>
        <v>854.5504993</v>
      </c>
      <c r="AD56" s="117">
        <f t="shared" si="6"/>
        <v>899.5268413</v>
      </c>
      <c r="AE56" s="118" t="str">
        <f t="shared" si="93"/>
        <v>#REF!</v>
      </c>
      <c r="AF56" s="118" t="str">
        <f t="shared" si="94"/>
        <v>#REF!</v>
      </c>
      <c r="AG56" s="119" t="str">
        <f t="shared" si="95"/>
        <v>#REF!</v>
      </c>
      <c r="AH56" s="120" t="str">
        <f t="shared" si="96"/>
        <v>#REF!</v>
      </c>
      <c r="AI56" s="121">
        <v>0.09</v>
      </c>
      <c r="AJ56" s="121">
        <v>0.09</v>
      </c>
      <c r="AK56" s="122">
        <v>0.18</v>
      </c>
      <c r="AL56" s="123">
        <f t="shared" si="11"/>
        <v>153.8190899</v>
      </c>
      <c r="AM56" s="124" t="s">
        <v>10</v>
      </c>
      <c r="AN56" s="125">
        <f t="shared" si="12"/>
        <v>854.5504993</v>
      </c>
      <c r="AO56" s="126">
        <f t="shared" si="13"/>
        <v>0.18</v>
      </c>
      <c r="AP56" s="127"/>
      <c r="AQ56" s="128">
        <f t="shared" ref="AQ56:AR56" si="112">BC56/(1-AI56)</f>
        <v>853.9462866</v>
      </c>
      <c r="AR56" s="125">
        <f t="shared" si="112"/>
        <v>770.0345158</v>
      </c>
      <c r="AS56" s="126">
        <f t="shared" si="15"/>
        <v>0.1208791209</v>
      </c>
      <c r="AT56" s="126">
        <f t="shared" si="16"/>
        <v>0.0989010989</v>
      </c>
      <c r="AU56" s="129"/>
      <c r="AV56" s="39" t="s">
        <v>100</v>
      </c>
      <c r="AW56" s="130">
        <f>2.71*2*7.2</f>
        <v>39.024</v>
      </c>
      <c r="AX56" s="130">
        <f>594.44*7.2</f>
        <v>4279.968</v>
      </c>
      <c r="AY56" s="130"/>
      <c r="AZ56" s="130">
        <v>5.0</v>
      </c>
      <c r="BA56" s="130">
        <f t="shared" si="113"/>
        <v>5333.616</v>
      </c>
      <c r="BB56" s="130">
        <f t="shared" si="114"/>
        <v>5338.616</v>
      </c>
      <c r="BC56" s="131">
        <f t="shared" si="115"/>
        <v>777.0911208</v>
      </c>
      <c r="BD56" s="132">
        <f t="shared" si="116"/>
        <v>700.7314094</v>
      </c>
      <c r="BE56" s="39"/>
      <c r="BF56" s="134" t="s">
        <v>101</v>
      </c>
      <c r="BG56" s="49"/>
      <c r="BH56" s="118">
        <f t="shared" si="22"/>
        <v>2848.501664</v>
      </c>
      <c r="BI56" s="118">
        <f t="shared" si="23"/>
        <v>1709.100999</v>
      </c>
      <c r="BJ56" s="118">
        <f t="shared" si="24"/>
        <v>1424.250832</v>
      </c>
      <c r="BK56" s="118">
        <f t="shared" si="25"/>
        <v>1139.400666</v>
      </c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</row>
    <row r="57" ht="14.25" customHeight="1">
      <c r="A57" s="103" t="s">
        <v>84</v>
      </c>
      <c r="B57" s="103" t="s">
        <v>85</v>
      </c>
      <c r="C57" s="103" t="s">
        <v>120</v>
      </c>
      <c r="D57" s="103" t="s">
        <v>86</v>
      </c>
      <c r="E57" s="104" t="s">
        <v>87</v>
      </c>
      <c r="F57" s="105" t="s">
        <v>207</v>
      </c>
      <c r="G57" s="106" t="s">
        <v>107</v>
      </c>
      <c r="H57" s="106">
        <v>23.0</v>
      </c>
      <c r="I57" s="107" t="s">
        <v>277</v>
      </c>
      <c r="J57" s="108" t="s">
        <v>278</v>
      </c>
      <c r="K57" s="108" t="str">
        <f>_xlfn.XLOOKUP(J57,[1]Sheet1!$A:$A,[1]Sheet1!$B:$B,"")</f>
        <v>#ERROR!</v>
      </c>
      <c r="L57" s="105" t="s">
        <v>279</v>
      </c>
      <c r="M57" s="105" t="s">
        <v>280</v>
      </c>
      <c r="N57" s="106" t="s">
        <v>106</v>
      </c>
      <c r="O57" s="109" t="s">
        <v>95</v>
      </c>
      <c r="P57" s="110">
        <v>17.5</v>
      </c>
      <c r="Q57" s="103" t="s">
        <v>177</v>
      </c>
      <c r="R57" s="110" t="s">
        <v>97</v>
      </c>
      <c r="S57" s="110">
        <v>6.8625</v>
      </c>
      <c r="T57" s="111"/>
      <c r="U57" s="106" t="s">
        <v>98</v>
      </c>
      <c r="V57" s="112">
        <v>0.0</v>
      </c>
      <c r="W57" s="113">
        <v>45.0</v>
      </c>
      <c r="X57" s="113">
        <v>45.0</v>
      </c>
      <c r="Y57" s="113">
        <v>55.0</v>
      </c>
      <c r="Z57" s="113" t="s">
        <v>99</v>
      </c>
      <c r="AA57" s="114">
        <f t="shared" si="111"/>
        <v>490.7147389</v>
      </c>
      <c r="AB57" s="115" t="str">
        <f t="shared" si="92"/>
        <v>#REF!</v>
      </c>
      <c r="AC57" s="116">
        <f t="shared" si="5"/>
        <v>434.2556932</v>
      </c>
      <c r="AD57" s="117">
        <f t="shared" si="6"/>
        <v>457.111256</v>
      </c>
      <c r="AE57" s="118" t="str">
        <f t="shared" si="93"/>
        <v>#REF!</v>
      </c>
      <c r="AF57" s="118" t="str">
        <f t="shared" si="94"/>
        <v>#REF!</v>
      </c>
      <c r="AG57" s="119" t="str">
        <f t="shared" si="95"/>
        <v>#REF!</v>
      </c>
      <c r="AH57" s="120" t="str">
        <f t="shared" si="96"/>
        <v>#REF!</v>
      </c>
      <c r="AI57" s="121">
        <v>0.09</v>
      </c>
      <c r="AJ57" s="121">
        <v>0.09</v>
      </c>
      <c r="AK57" s="122">
        <v>0.19999999999999998</v>
      </c>
      <c r="AL57" s="123">
        <f t="shared" si="11"/>
        <v>86.85113863</v>
      </c>
      <c r="AM57" s="124" t="s">
        <v>10</v>
      </c>
      <c r="AN57" s="125">
        <f t="shared" si="12"/>
        <v>434.2556932</v>
      </c>
      <c r="AO57" s="126">
        <f t="shared" si="13"/>
        <v>0.2</v>
      </c>
      <c r="AP57" s="127"/>
      <c r="AQ57" s="128">
        <f t="shared" ref="AQ57:AR57" si="117">BC57/(1-AI57)</f>
        <v>420.6126334</v>
      </c>
      <c r="AR57" s="125">
        <f t="shared" si="117"/>
        <v>381.7632467</v>
      </c>
      <c r="AS57" s="126">
        <f t="shared" si="15"/>
        <v>0.1428571429</v>
      </c>
      <c r="AT57" s="126">
        <f t="shared" si="16"/>
        <v>0.1208791209</v>
      </c>
      <c r="AU57" s="129"/>
      <c r="AV57" s="39" t="s">
        <v>100</v>
      </c>
      <c r="AW57" s="130">
        <f>1.31*2*7.2</f>
        <v>18.864</v>
      </c>
      <c r="AX57" s="130">
        <f>AX55+57.6</f>
        <v>2115.216</v>
      </c>
      <c r="AY57" s="130"/>
      <c r="AZ57" s="130">
        <v>5.0</v>
      </c>
      <c r="BA57" s="130">
        <f t="shared" si="113"/>
        <v>2624.544</v>
      </c>
      <c r="BB57" s="130">
        <f t="shared" si="114"/>
        <v>2629.544</v>
      </c>
      <c r="BC57" s="131">
        <f t="shared" si="115"/>
        <v>382.7574964</v>
      </c>
      <c r="BD57" s="132">
        <f t="shared" si="116"/>
        <v>347.4045545</v>
      </c>
      <c r="BE57" s="39"/>
      <c r="BF57" s="134" t="s">
        <v>101</v>
      </c>
      <c r="BG57" s="49"/>
      <c r="BH57" s="118">
        <f t="shared" si="22"/>
        <v>1447.518977</v>
      </c>
      <c r="BI57" s="118">
        <f t="shared" si="23"/>
        <v>868.5113863</v>
      </c>
      <c r="BJ57" s="118">
        <f t="shared" si="24"/>
        <v>723.7594886</v>
      </c>
      <c r="BK57" s="118">
        <f t="shared" si="25"/>
        <v>579.0075909</v>
      </c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</row>
    <row r="58" ht="14.25" customHeight="1">
      <c r="A58" s="103" t="s">
        <v>84</v>
      </c>
      <c r="B58" s="103" t="s">
        <v>85</v>
      </c>
      <c r="C58" s="103" t="s">
        <v>120</v>
      </c>
      <c r="D58" s="103" t="s">
        <v>86</v>
      </c>
      <c r="E58" s="104" t="s">
        <v>87</v>
      </c>
      <c r="F58" s="105" t="s">
        <v>207</v>
      </c>
      <c r="G58" s="106" t="s">
        <v>107</v>
      </c>
      <c r="H58" s="106">
        <v>23.0</v>
      </c>
      <c r="I58" s="107" t="s">
        <v>281</v>
      </c>
      <c r="J58" s="108" t="s">
        <v>282</v>
      </c>
      <c r="K58" s="108" t="str">
        <f>_xlfn.XLOOKUP(J58,[1]Sheet1!$A:$A,[1]Sheet1!$B:$B,"")</f>
        <v>#ERROR!</v>
      </c>
      <c r="L58" s="105" t="s">
        <v>283</v>
      </c>
      <c r="M58" s="105" t="s">
        <v>284</v>
      </c>
      <c r="N58" s="106" t="s">
        <v>162</v>
      </c>
      <c r="O58" s="109" t="s">
        <v>95</v>
      </c>
      <c r="P58" s="110">
        <v>17.5</v>
      </c>
      <c r="Q58" s="103" t="s">
        <v>96</v>
      </c>
      <c r="R58" s="110" t="s">
        <v>97</v>
      </c>
      <c r="S58" s="110">
        <v>9.0</v>
      </c>
      <c r="T58" s="111"/>
      <c r="U58" s="106" t="s">
        <v>98</v>
      </c>
      <c r="V58" s="112">
        <v>0.0</v>
      </c>
      <c r="W58" s="113">
        <v>45.0</v>
      </c>
      <c r="X58" s="113">
        <v>45.0</v>
      </c>
      <c r="Y58" s="113">
        <v>55.0</v>
      </c>
      <c r="Z58" s="113" t="s">
        <v>99</v>
      </c>
      <c r="AA58" s="114">
        <f t="shared" si="111"/>
        <v>525.4825131</v>
      </c>
      <c r="AB58" s="115" t="str">
        <f t="shared" si="92"/>
        <v>#REF!</v>
      </c>
      <c r="AC58" s="116">
        <f t="shared" si="5"/>
        <v>459.5364273</v>
      </c>
      <c r="AD58" s="117">
        <f t="shared" si="6"/>
        <v>483.722555</v>
      </c>
      <c r="AE58" s="118" t="str">
        <f t="shared" si="93"/>
        <v>#REF!</v>
      </c>
      <c r="AF58" s="118" t="str">
        <f t="shared" si="94"/>
        <v>#REF!</v>
      </c>
      <c r="AG58" s="119" t="str">
        <f t="shared" si="95"/>
        <v>#REF!</v>
      </c>
      <c r="AH58" s="120" t="str">
        <f t="shared" si="96"/>
        <v>#REF!</v>
      </c>
      <c r="AI58" s="121">
        <v>0.09</v>
      </c>
      <c r="AJ58" s="121">
        <v>0.09</v>
      </c>
      <c r="AK58" s="122">
        <v>0.24</v>
      </c>
      <c r="AL58" s="123">
        <f t="shared" si="11"/>
        <v>110.2887426</v>
      </c>
      <c r="AM58" s="124" t="s">
        <v>10</v>
      </c>
      <c r="AN58" s="125">
        <f t="shared" si="12"/>
        <v>459.5364273</v>
      </c>
      <c r="AO58" s="126">
        <f t="shared" si="13"/>
        <v>0.24</v>
      </c>
      <c r="AP58" s="127"/>
      <c r="AQ58" s="128">
        <f t="shared" ref="AQ58:AR58" si="118">BC58/(1-AI58)</f>
        <v>427.3154502</v>
      </c>
      <c r="AR58" s="125">
        <f t="shared" si="118"/>
        <v>383.7886646</v>
      </c>
      <c r="AS58" s="126">
        <f t="shared" si="15"/>
        <v>0.1868131868</v>
      </c>
      <c r="AT58" s="126">
        <f t="shared" si="16"/>
        <v>0.1648351648</v>
      </c>
      <c r="AU58" s="129"/>
      <c r="AV58" s="39" t="s">
        <v>100</v>
      </c>
      <c r="AW58" s="130">
        <f>1.37*2*7.2</f>
        <v>19.728</v>
      </c>
      <c r="AX58" s="130">
        <f>296.36*7.2</f>
        <v>2133.792</v>
      </c>
      <c r="AY58" s="130"/>
      <c r="AZ58" s="130">
        <v>5.0</v>
      </c>
      <c r="BA58" s="130">
        <f t="shared" si="113"/>
        <v>2666.448</v>
      </c>
      <c r="BB58" s="130">
        <f t="shared" si="114"/>
        <v>2671.448</v>
      </c>
      <c r="BC58" s="131">
        <f t="shared" si="115"/>
        <v>388.8570597</v>
      </c>
      <c r="BD58" s="132">
        <f t="shared" si="116"/>
        <v>349.2476847</v>
      </c>
      <c r="BE58" s="173"/>
      <c r="BF58" s="134" t="s">
        <v>101</v>
      </c>
      <c r="BG58" s="49"/>
      <c r="BH58" s="118">
        <f t="shared" si="22"/>
        <v>1531.788091</v>
      </c>
      <c r="BI58" s="118">
        <f t="shared" si="23"/>
        <v>919.0728546</v>
      </c>
      <c r="BJ58" s="118">
        <f t="shared" si="24"/>
        <v>765.8940455</v>
      </c>
      <c r="BK58" s="118">
        <f t="shared" si="25"/>
        <v>612.7152364</v>
      </c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</row>
    <row r="59" ht="14.25" customHeight="1">
      <c r="A59" s="103" t="s">
        <v>84</v>
      </c>
      <c r="B59" s="103" t="s">
        <v>85</v>
      </c>
      <c r="C59" s="103" t="s">
        <v>120</v>
      </c>
      <c r="D59" s="103" t="s">
        <v>86</v>
      </c>
      <c r="E59" s="104" t="s">
        <v>87</v>
      </c>
      <c r="F59" s="105" t="s">
        <v>207</v>
      </c>
      <c r="G59" s="106" t="s">
        <v>107</v>
      </c>
      <c r="H59" s="106">
        <v>23.0</v>
      </c>
      <c r="I59" s="107" t="s">
        <v>285</v>
      </c>
      <c r="J59" s="108" t="s">
        <v>286</v>
      </c>
      <c r="K59" s="108" t="str">
        <f>_xlfn.XLOOKUP(J59,[1]Sheet1!$A:$A,[1]Sheet1!$B:$B,"")</f>
        <v>#ERROR!</v>
      </c>
      <c r="L59" s="105" t="s">
        <v>287</v>
      </c>
      <c r="M59" s="105" t="s">
        <v>288</v>
      </c>
      <c r="N59" s="106" t="s">
        <v>201</v>
      </c>
      <c r="O59" s="109" t="s">
        <v>95</v>
      </c>
      <c r="P59" s="110">
        <v>35.0</v>
      </c>
      <c r="Q59" s="103" t="s">
        <v>96</v>
      </c>
      <c r="R59" s="110" t="s">
        <v>97</v>
      </c>
      <c r="S59" s="110">
        <v>4.0</v>
      </c>
      <c r="T59" s="111"/>
      <c r="U59" s="106" t="s">
        <v>98</v>
      </c>
      <c r="V59" s="112">
        <v>0.0</v>
      </c>
      <c r="W59" s="113">
        <v>45.0</v>
      </c>
      <c r="X59" s="113">
        <v>45.0</v>
      </c>
      <c r="Y59" s="113">
        <v>55.0</v>
      </c>
      <c r="Z59" s="113" t="s">
        <v>99</v>
      </c>
      <c r="AA59" s="114">
        <f t="shared" si="111"/>
        <v>541.217483</v>
      </c>
      <c r="AB59" s="115" t="str">
        <f t="shared" si="92"/>
        <v>#REF!</v>
      </c>
      <c r="AC59" s="116">
        <f t="shared" si="5"/>
        <v>491.1337957</v>
      </c>
      <c r="AD59" s="117">
        <f t="shared" si="6"/>
        <v>516.9829428</v>
      </c>
      <c r="AE59" s="118" t="str">
        <f t="shared" si="93"/>
        <v>#REF!</v>
      </c>
      <c r="AF59" s="118" t="str">
        <f t="shared" si="94"/>
        <v>#REF!</v>
      </c>
      <c r="AG59" s="119" t="str">
        <f t="shared" si="95"/>
        <v>#REF!</v>
      </c>
      <c r="AH59" s="120" t="str">
        <f t="shared" si="96"/>
        <v>#REF!</v>
      </c>
      <c r="AI59" s="121">
        <v>0.09</v>
      </c>
      <c r="AJ59" s="121">
        <v>0.09</v>
      </c>
      <c r="AK59" s="122">
        <v>0.24</v>
      </c>
      <c r="AL59" s="123">
        <f t="shared" si="11"/>
        <v>117.872111</v>
      </c>
      <c r="AM59" s="124" t="s">
        <v>10</v>
      </c>
      <c r="AN59" s="125">
        <f t="shared" si="12"/>
        <v>491.1337957</v>
      </c>
      <c r="AO59" s="126">
        <f t="shared" si="13"/>
        <v>0.24</v>
      </c>
      <c r="AP59" s="127"/>
      <c r="AQ59" s="128">
        <f t="shared" ref="AQ59:AR59" si="119">BC59/(1-AI59)</f>
        <v>440.1109202</v>
      </c>
      <c r="AR59" s="125">
        <f t="shared" si="119"/>
        <v>410.1776755</v>
      </c>
      <c r="AS59" s="126">
        <f t="shared" si="15"/>
        <v>0.1868131868</v>
      </c>
      <c r="AT59" s="126">
        <f t="shared" si="16"/>
        <v>0.1648351648</v>
      </c>
      <c r="AU59" s="129"/>
      <c r="AV59" s="39" t="s">
        <v>100</v>
      </c>
      <c r="AW59" s="130">
        <f t="shared" ref="AW59:AX59" si="120">AW58*1.03</f>
        <v>20.31984</v>
      </c>
      <c r="AX59" s="130">
        <f t="shared" si="120"/>
        <v>2197.80576</v>
      </c>
      <c r="AY59" s="130"/>
      <c r="AZ59" s="130">
        <v>5.0</v>
      </c>
      <c r="BA59" s="130">
        <f t="shared" si="113"/>
        <v>2746.44144</v>
      </c>
      <c r="BB59" s="130">
        <f t="shared" si="114"/>
        <v>2751.44144</v>
      </c>
      <c r="BC59" s="131">
        <f t="shared" si="115"/>
        <v>400.5009374</v>
      </c>
      <c r="BD59" s="132">
        <f t="shared" si="116"/>
        <v>373.2616847</v>
      </c>
      <c r="BE59" s="173"/>
      <c r="BF59" s="134" t="s">
        <v>101</v>
      </c>
      <c r="BG59" s="49"/>
      <c r="BH59" s="118">
        <f t="shared" si="22"/>
        <v>1637.112652</v>
      </c>
      <c r="BI59" s="118">
        <f t="shared" si="23"/>
        <v>982.2675913</v>
      </c>
      <c r="BJ59" s="118">
        <f t="shared" si="24"/>
        <v>818.5563261</v>
      </c>
      <c r="BK59" s="118">
        <f t="shared" si="25"/>
        <v>654.8450609</v>
      </c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</row>
    <row r="60" ht="14.25" customHeight="1">
      <c r="A60" s="103" t="s">
        <v>84</v>
      </c>
      <c r="B60" s="103" t="s">
        <v>120</v>
      </c>
      <c r="C60" s="103" t="s">
        <v>120</v>
      </c>
      <c r="D60" s="103" t="s">
        <v>86</v>
      </c>
      <c r="E60" s="104" t="s">
        <v>87</v>
      </c>
      <c r="F60" s="105" t="s">
        <v>207</v>
      </c>
      <c r="G60" s="106" t="s">
        <v>107</v>
      </c>
      <c r="H60" s="106">
        <v>23.0</v>
      </c>
      <c r="I60" s="107" t="s">
        <v>289</v>
      </c>
      <c r="J60" s="108" t="s">
        <v>290</v>
      </c>
      <c r="K60" s="108" t="str">
        <f>_xlfn.XLOOKUP(J60,[1]Sheet1!$A:$A,[1]Sheet1!$B:$B,"")</f>
        <v>#ERROR!</v>
      </c>
      <c r="L60" s="105" t="s">
        <v>291</v>
      </c>
      <c r="M60" s="105" t="s">
        <v>292</v>
      </c>
      <c r="N60" s="106" t="s">
        <v>106</v>
      </c>
      <c r="O60" s="109" t="s">
        <v>95</v>
      </c>
      <c r="P60" s="110">
        <f t="shared" ref="P60:P61" si="122">17.8-1.2</f>
        <v>16.6</v>
      </c>
      <c r="Q60" s="103" t="s">
        <v>96</v>
      </c>
      <c r="R60" s="110" t="s">
        <v>97</v>
      </c>
      <c r="S60" s="110">
        <v>9.0</v>
      </c>
      <c r="T60" s="111"/>
      <c r="U60" s="106" t="s">
        <v>98</v>
      </c>
      <c r="V60" s="112">
        <v>0.0</v>
      </c>
      <c r="W60" s="113">
        <v>45.0</v>
      </c>
      <c r="X60" s="113">
        <v>45.0</v>
      </c>
      <c r="Y60" s="113">
        <v>55.0</v>
      </c>
      <c r="Z60" s="113" t="s">
        <v>99</v>
      </c>
      <c r="AA60" s="114">
        <f t="shared" si="111"/>
        <v>457.2274116</v>
      </c>
      <c r="AB60" s="115" t="str">
        <f t="shared" si="92"/>
        <v>#REF!</v>
      </c>
      <c r="AC60" s="116">
        <f t="shared" si="5"/>
        <v>401.6656085</v>
      </c>
      <c r="AD60" s="117">
        <f t="shared" si="6"/>
        <v>422.8059037</v>
      </c>
      <c r="AE60" s="118" t="str">
        <f t="shared" si="93"/>
        <v>#REF!</v>
      </c>
      <c r="AF60" s="118" t="str">
        <f t="shared" si="94"/>
        <v>#REF!</v>
      </c>
      <c r="AG60" s="119" t="str">
        <f t="shared" si="95"/>
        <v>#REF!</v>
      </c>
      <c r="AH60" s="120" t="str">
        <f t="shared" si="96"/>
        <v>#REF!</v>
      </c>
      <c r="AI60" s="121">
        <v>0.09</v>
      </c>
      <c r="AJ60" s="121">
        <v>0.09</v>
      </c>
      <c r="AK60" s="122">
        <v>0.225</v>
      </c>
      <c r="AL60" s="123">
        <f t="shared" si="11"/>
        <v>90.37476191</v>
      </c>
      <c r="AM60" s="124" t="s">
        <v>10</v>
      </c>
      <c r="AN60" s="125">
        <f t="shared" si="12"/>
        <v>401.6656085</v>
      </c>
      <c r="AO60" s="126">
        <v>0.17999999999999994</v>
      </c>
      <c r="AP60" s="127"/>
      <c r="AQ60" s="128">
        <f t="shared" ref="AQ60:AR60" si="121">BC60/(1-AI60)</f>
        <v>379.3480173</v>
      </c>
      <c r="AR60" s="125">
        <f t="shared" si="121"/>
        <v>342.0778534</v>
      </c>
      <c r="AS60" s="126">
        <f t="shared" si="15"/>
        <v>0.1703296703</v>
      </c>
      <c r="AT60" s="126">
        <f t="shared" si="16"/>
        <v>0.1483516484</v>
      </c>
      <c r="AU60" s="129">
        <v>290.64</v>
      </c>
      <c r="AV60" s="39" t="s">
        <v>126</v>
      </c>
      <c r="AW60" s="130">
        <v>17.31</v>
      </c>
      <c r="AX60" s="130">
        <v>1899.2</v>
      </c>
      <c r="AY60" s="130"/>
      <c r="AZ60" s="130">
        <v>5.0</v>
      </c>
      <c r="BA60" s="130">
        <f t="shared" si="113"/>
        <v>2366.57</v>
      </c>
      <c r="BB60" s="130">
        <f t="shared" si="114"/>
        <v>2371.57</v>
      </c>
      <c r="BC60" s="177">
        <f t="shared" si="115"/>
        <v>345.2066958</v>
      </c>
      <c r="BD60" s="139">
        <f t="shared" si="116"/>
        <v>311.2908466</v>
      </c>
      <c r="BE60" s="173"/>
      <c r="BF60" s="134" t="s">
        <v>101</v>
      </c>
      <c r="BG60" s="49"/>
      <c r="BH60" s="178">
        <f t="shared" si="22"/>
        <v>1338.885362</v>
      </c>
      <c r="BI60" s="178">
        <f t="shared" si="23"/>
        <v>803.331217</v>
      </c>
      <c r="BJ60" s="178">
        <f t="shared" si="24"/>
        <v>669.4426808</v>
      </c>
      <c r="BK60" s="178">
        <f t="shared" si="25"/>
        <v>535.5541446</v>
      </c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</row>
    <row r="61" ht="14.25" customHeight="1">
      <c r="A61" s="103" t="s">
        <v>84</v>
      </c>
      <c r="B61" s="103" t="s">
        <v>120</v>
      </c>
      <c r="C61" s="103" t="s">
        <v>85</v>
      </c>
      <c r="D61" s="103" t="s">
        <v>86</v>
      </c>
      <c r="E61" s="104" t="s">
        <v>87</v>
      </c>
      <c r="F61" s="105" t="s">
        <v>207</v>
      </c>
      <c r="G61" s="106" t="s">
        <v>107</v>
      </c>
      <c r="H61" s="106">
        <v>23.0</v>
      </c>
      <c r="I61" s="107" t="s">
        <v>293</v>
      </c>
      <c r="J61" s="108" t="s">
        <v>294</v>
      </c>
      <c r="K61" s="108" t="str">
        <f>_xlfn.XLOOKUP(J61,[1]Sheet1!$A:$A,[1]Sheet1!$B:$B,"")</f>
        <v>#ERROR!</v>
      </c>
      <c r="L61" s="105" t="s">
        <v>295</v>
      </c>
      <c r="M61" s="105" t="s">
        <v>296</v>
      </c>
      <c r="N61" s="106" t="s">
        <v>162</v>
      </c>
      <c r="O61" s="109" t="s">
        <v>95</v>
      </c>
      <c r="P61" s="110">
        <f t="shared" si="122"/>
        <v>16.6</v>
      </c>
      <c r="Q61" s="103" t="s">
        <v>96</v>
      </c>
      <c r="R61" s="110" t="s">
        <v>97</v>
      </c>
      <c r="S61" s="110">
        <v>9.0</v>
      </c>
      <c r="T61" s="111"/>
      <c r="U61" s="106" t="s">
        <v>98</v>
      </c>
      <c r="V61" s="112">
        <v>0.0</v>
      </c>
      <c r="W61" s="113">
        <v>45.0</v>
      </c>
      <c r="X61" s="113">
        <v>45.0</v>
      </c>
      <c r="Y61" s="113">
        <v>55.0</v>
      </c>
      <c r="Z61" s="113" t="s">
        <v>99</v>
      </c>
      <c r="AA61" s="114">
        <f t="shared" si="111"/>
        <v>479.0009959</v>
      </c>
      <c r="AB61" s="115" t="str">
        <f t="shared" si="92"/>
        <v>#REF!</v>
      </c>
      <c r="AC61" s="116">
        <f t="shared" si="5"/>
        <v>420.0875526</v>
      </c>
      <c r="AD61" s="117">
        <f t="shared" si="6"/>
        <v>442.1974238</v>
      </c>
      <c r="AE61" s="118" t="str">
        <f t="shared" si="93"/>
        <v>#REF!</v>
      </c>
      <c r="AF61" s="118" t="str">
        <f t="shared" si="94"/>
        <v>#REF!</v>
      </c>
      <c r="AG61" s="119" t="str">
        <f t="shared" si="95"/>
        <v>#REF!</v>
      </c>
      <c r="AH61" s="120" t="str">
        <f t="shared" si="96"/>
        <v>#REF!</v>
      </c>
      <c r="AI61" s="121">
        <v>0.09</v>
      </c>
      <c r="AJ61" s="121">
        <v>0.09</v>
      </c>
      <c r="AK61" s="122">
        <v>0.22</v>
      </c>
      <c r="AL61" s="123">
        <f t="shared" si="11"/>
        <v>92.41926157</v>
      </c>
      <c r="AM61" s="124" t="s">
        <v>10</v>
      </c>
      <c r="AN61" s="125">
        <f t="shared" si="12"/>
        <v>420.0875526</v>
      </c>
      <c r="AO61" s="126">
        <v>0.18</v>
      </c>
      <c r="AP61" s="127"/>
      <c r="AQ61" s="128">
        <f t="shared" ref="AQ61:AR61" si="123">BC61/(1-AI61)</f>
        <v>400.0447878</v>
      </c>
      <c r="AR61" s="125">
        <f t="shared" si="123"/>
        <v>360.0750451</v>
      </c>
      <c r="AS61" s="126">
        <v>0.13043478260869568</v>
      </c>
      <c r="AT61" s="126">
        <v>0.10869565217391286</v>
      </c>
      <c r="AU61" s="129"/>
      <c r="AV61" s="39" t="s">
        <v>126</v>
      </c>
      <c r="AW61" s="130">
        <v>17.31</v>
      </c>
      <c r="AX61" s="130">
        <v>2028.59</v>
      </c>
      <c r="AY61" s="130"/>
      <c r="AZ61" s="130">
        <v>5.0</v>
      </c>
      <c r="BA61" s="130">
        <f t="shared" si="113"/>
        <v>2495.96</v>
      </c>
      <c r="BB61" s="130">
        <f t="shared" si="114"/>
        <v>2500.96</v>
      </c>
      <c r="BC61" s="177">
        <f t="shared" si="115"/>
        <v>364.0407569</v>
      </c>
      <c r="BD61" s="139">
        <f t="shared" si="116"/>
        <v>327.668291</v>
      </c>
      <c r="BE61" s="173"/>
      <c r="BF61" s="134" t="s">
        <v>101</v>
      </c>
      <c r="BG61" s="49"/>
      <c r="BH61" s="178">
        <f t="shared" si="22"/>
        <v>1400.291842</v>
      </c>
      <c r="BI61" s="178">
        <f t="shared" si="23"/>
        <v>840.1751052</v>
      </c>
      <c r="BJ61" s="178">
        <f t="shared" si="24"/>
        <v>700.145921</v>
      </c>
      <c r="BK61" s="178">
        <f t="shared" si="25"/>
        <v>560.1167368</v>
      </c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</row>
    <row r="62" ht="14.25" customHeight="1">
      <c r="A62" s="103" t="s">
        <v>84</v>
      </c>
      <c r="B62" s="103" t="s">
        <v>85</v>
      </c>
      <c r="C62" s="103" t="s">
        <v>120</v>
      </c>
      <c r="D62" s="103" t="s">
        <v>86</v>
      </c>
      <c r="E62" s="104" t="s">
        <v>87</v>
      </c>
      <c r="F62" s="105" t="s">
        <v>207</v>
      </c>
      <c r="G62" s="106" t="s">
        <v>107</v>
      </c>
      <c r="H62" s="106">
        <v>23.0</v>
      </c>
      <c r="I62" s="107" t="s">
        <v>297</v>
      </c>
      <c r="J62" s="138" t="s">
        <v>270</v>
      </c>
      <c r="K62" s="108" t="str">
        <f>_xlfn.XLOOKUP(J62,[1]Sheet1!$A:$A,[1]Sheet1!$B:$B,"")</f>
        <v>#ERROR!</v>
      </c>
      <c r="L62" s="105" t="s">
        <v>271</v>
      </c>
      <c r="M62" s="105" t="s">
        <v>272</v>
      </c>
      <c r="N62" s="106" t="s">
        <v>106</v>
      </c>
      <c r="O62" s="109" t="s">
        <v>147</v>
      </c>
      <c r="P62" s="110">
        <v>19.0</v>
      </c>
      <c r="Q62" s="103" t="s">
        <v>96</v>
      </c>
      <c r="R62" s="110" t="s">
        <v>97</v>
      </c>
      <c r="S62" s="110">
        <v>9.0</v>
      </c>
      <c r="T62" s="111"/>
      <c r="U62" s="106" t="s">
        <v>98</v>
      </c>
      <c r="V62" s="112">
        <v>0.0</v>
      </c>
      <c r="W62" s="113">
        <v>60.0</v>
      </c>
      <c r="X62" s="113">
        <v>14.0</v>
      </c>
      <c r="Y62" s="113">
        <v>14.0</v>
      </c>
      <c r="Z62" s="113" t="s">
        <v>148</v>
      </c>
      <c r="AA62" s="114">
        <f t="shared" ref="AA62:AA63" si="124">(BC62/(1-(AK62+2%)))*$F$6</f>
        <v>520.304878</v>
      </c>
      <c r="AB62" s="115" t="str">
        <f t="shared" si="92"/>
        <v>#REF!</v>
      </c>
      <c r="AC62" s="116">
        <f t="shared" si="5"/>
        <v>450.2933057</v>
      </c>
      <c r="AD62" s="117">
        <f t="shared" si="6"/>
        <v>473.9929534</v>
      </c>
      <c r="AE62" s="118" t="str">
        <f t="shared" si="93"/>
        <v>#REF!</v>
      </c>
      <c r="AF62" s="118" t="str">
        <f t="shared" si="94"/>
        <v>#REF!</v>
      </c>
      <c r="AG62" s="119" t="str">
        <f t="shared" si="95"/>
        <v>#REF!</v>
      </c>
      <c r="AH62" s="120" t="str">
        <f t="shared" si="96"/>
        <v>#REF!</v>
      </c>
      <c r="AI62" s="121">
        <f t="shared" ref="AI62:AI63" si="125">AJ62</f>
        <v>0.07</v>
      </c>
      <c r="AJ62" s="121">
        <v>0.07</v>
      </c>
      <c r="AK62" s="122">
        <v>0.16</v>
      </c>
      <c r="AL62" s="123">
        <f t="shared" si="11"/>
        <v>72.04692892</v>
      </c>
      <c r="AM62" s="122" t="s">
        <v>10</v>
      </c>
      <c r="AN62" s="125">
        <f t="shared" si="12"/>
        <v>450.2933057</v>
      </c>
      <c r="AO62" s="141">
        <f t="shared" ref="AO62:AO104" si="126">1-(BD62/AN62)</f>
        <v>0.16</v>
      </c>
      <c r="AP62" s="127"/>
      <c r="AQ62" s="128">
        <f t="shared" ref="AQ62:AQ63" si="127">BC62/(1-AI62)*$F$6</f>
        <v>458.7634409</v>
      </c>
      <c r="AR62" s="125">
        <f t="shared" ref="AR62:AR63" si="128">BD62/(1-AJ62)</f>
        <v>406.7165342</v>
      </c>
      <c r="AS62" s="144">
        <f t="shared" ref="AS62:AS104" si="129">1-(AQ62/AA62)</f>
        <v>0.1182795699</v>
      </c>
      <c r="AT62" s="144">
        <f t="shared" ref="AT62:AT104" si="130">1-(AR62/AC62)</f>
        <v>0.09677419355</v>
      </c>
      <c r="AU62" s="129"/>
      <c r="AV62" s="39" t="s">
        <v>149</v>
      </c>
      <c r="AW62" s="130"/>
      <c r="AX62" s="130"/>
      <c r="AY62" s="139">
        <v>200.0</v>
      </c>
      <c r="AZ62" s="130"/>
      <c r="BA62" s="130"/>
      <c r="BB62" s="130"/>
      <c r="BC62" s="137">
        <f t="shared" ref="BC62:BC63" si="131">AY62+($F$4-1500)/1000*P62</f>
        <v>371</v>
      </c>
      <c r="BD62" s="132">
        <f t="shared" ref="BD62:BD63" si="132">(AY62+($F$4-1500)/1000*P62)+($F$10/40/S62/$F$6)</f>
        <v>378.2463768</v>
      </c>
      <c r="BE62" s="173"/>
      <c r="BF62" s="134"/>
      <c r="BG62" s="49"/>
      <c r="BH62" s="118">
        <f t="shared" si="22"/>
        <v>1500.977686</v>
      </c>
      <c r="BI62" s="118">
        <f t="shared" si="23"/>
        <v>900.5866115</v>
      </c>
      <c r="BJ62" s="118">
        <f t="shared" si="24"/>
        <v>750.4888429</v>
      </c>
      <c r="BK62" s="118">
        <f t="shared" si="25"/>
        <v>600.3910743</v>
      </c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</row>
    <row r="63" ht="14.25" customHeight="1">
      <c r="A63" s="103" t="s">
        <v>84</v>
      </c>
      <c r="B63" s="103" t="s">
        <v>85</v>
      </c>
      <c r="C63" s="103" t="s">
        <v>120</v>
      </c>
      <c r="D63" s="103" t="s">
        <v>86</v>
      </c>
      <c r="E63" s="104" t="s">
        <v>87</v>
      </c>
      <c r="F63" s="105" t="s">
        <v>207</v>
      </c>
      <c r="G63" s="106" t="s">
        <v>107</v>
      </c>
      <c r="H63" s="106">
        <v>23.0</v>
      </c>
      <c r="I63" s="107" t="s">
        <v>298</v>
      </c>
      <c r="J63" s="138" t="s">
        <v>282</v>
      </c>
      <c r="K63" s="108" t="str">
        <f>_xlfn.XLOOKUP(J63,[1]Sheet1!$A:$A,[1]Sheet1!$B:$B,"")</f>
        <v>#ERROR!</v>
      </c>
      <c r="L63" s="105" t="s">
        <v>283</v>
      </c>
      <c r="M63" s="105" t="s">
        <v>284</v>
      </c>
      <c r="N63" s="106" t="s">
        <v>162</v>
      </c>
      <c r="O63" s="109" t="s">
        <v>147</v>
      </c>
      <c r="P63" s="110">
        <v>19.0</v>
      </c>
      <c r="Q63" s="103" t="s">
        <v>96</v>
      </c>
      <c r="R63" s="110" t="s">
        <v>97</v>
      </c>
      <c r="S63" s="110">
        <v>9.0</v>
      </c>
      <c r="T63" s="111"/>
      <c r="U63" s="106" t="s">
        <v>98</v>
      </c>
      <c r="V63" s="112">
        <v>0.0</v>
      </c>
      <c r="W63" s="113">
        <v>60.0</v>
      </c>
      <c r="X63" s="113">
        <v>14.0</v>
      </c>
      <c r="Y63" s="113">
        <v>14.0</v>
      </c>
      <c r="Z63" s="113" t="s">
        <v>148</v>
      </c>
      <c r="AA63" s="114">
        <f t="shared" si="124"/>
        <v>845.25</v>
      </c>
      <c r="AB63" s="115" t="str">
        <f t="shared" si="92"/>
        <v>#REF!</v>
      </c>
      <c r="AC63" s="116">
        <f t="shared" si="5"/>
        <v>725.9102156</v>
      </c>
      <c r="AD63" s="117">
        <f t="shared" si="6"/>
        <v>764.1160164</v>
      </c>
      <c r="AE63" s="118" t="str">
        <f t="shared" si="93"/>
        <v>#REF!</v>
      </c>
      <c r="AF63" s="118" t="str">
        <f t="shared" si="94"/>
        <v>#REF!</v>
      </c>
      <c r="AG63" s="119" t="str">
        <f t="shared" si="95"/>
        <v>#REF!</v>
      </c>
      <c r="AH63" s="120" t="str">
        <f t="shared" si="96"/>
        <v>#REF!</v>
      </c>
      <c r="AI63" s="121">
        <f t="shared" si="125"/>
        <v>0.07</v>
      </c>
      <c r="AJ63" s="121">
        <v>0.07</v>
      </c>
      <c r="AK63" s="122">
        <v>0.18</v>
      </c>
      <c r="AL63" s="123">
        <f t="shared" si="11"/>
        <v>130.6638388</v>
      </c>
      <c r="AM63" s="122" t="s">
        <v>10</v>
      </c>
      <c r="AN63" s="125">
        <f t="shared" si="12"/>
        <v>725.9102156</v>
      </c>
      <c r="AO63" s="112">
        <f t="shared" si="126"/>
        <v>0.18</v>
      </c>
      <c r="AP63" s="127"/>
      <c r="AQ63" s="128">
        <f t="shared" si="127"/>
        <v>727.0967742</v>
      </c>
      <c r="AR63" s="125">
        <f t="shared" si="128"/>
        <v>640.0498675</v>
      </c>
      <c r="AS63" s="126">
        <f t="shared" si="129"/>
        <v>0.1397849462</v>
      </c>
      <c r="AT63" s="126">
        <f t="shared" si="130"/>
        <v>0.1182795699</v>
      </c>
      <c r="AU63" s="129"/>
      <c r="AV63" s="39" t="s">
        <v>149</v>
      </c>
      <c r="AW63" s="130"/>
      <c r="AX63" s="130"/>
      <c r="AY63" s="139">
        <v>417.0</v>
      </c>
      <c r="AZ63" s="130"/>
      <c r="BA63" s="130"/>
      <c r="BB63" s="130"/>
      <c r="BC63" s="137">
        <f t="shared" si="131"/>
        <v>588</v>
      </c>
      <c r="BD63" s="132">
        <f t="shared" si="132"/>
        <v>595.2463768</v>
      </c>
      <c r="BE63" s="173"/>
      <c r="BF63" s="134"/>
      <c r="BG63" s="49"/>
      <c r="BH63" s="118">
        <f t="shared" si="22"/>
        <v>2419.700719</v>
      </c>
      <c r="BI63" s="118">
        <f t="shared" si="23"/>
        <v>1451.820431</v>
      </c>
      <c r="BJ63" s="118">
        <f t="shared" si="24"/>
        <v>1209.850359</v>
      </c>
      <c r="BK63" s="118">
        <f t="shared" si="25"/>
        <v>967.8802875</v>
      </c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</row>
    <row r="64" ht="14.25" customHeight="1">
      <c r="A64" s="103" t="s">
        <v>84</v>
      </c>
      <c r="B64" s="103" t="s">
        <v>120</v>
      </c>
      <c r="C64" s="103" t="s">
        <v>120</v>
      </c>
      <c r="D64" s="103" t="s">
        <v>86</v>
      </c>
      <c r="E64" s="104" t="s">
        <v>87</v>
      </c>
      <c r="F64" s="105" t="s">
        <v>207</v>
      </c>
      <c r="G64" s="106" t="s">
        <v>299</v>
      </c>
      <c r="H64" s="106">
        <v>23.0</v>
      </c>
      <c r="I64" s="107" t="s">
        <v>300</v>
      </c>
      <c r="J64" s="108" t="s">
        <v>301</v>
      </c>
      <c r="K64" s="108" t="str">
        <f>_xlfn.XLOOKUP(J64,[1]Sheet1!$A:$A,[1]Sheet1!$B:$B,"")</f>
        <v>#ERROR!</v>
      </c>
      <c r="L64" s="105" t="s">
        <v>302</v>
      </c>
      <c r="M64" s="105" t="s">
        <v>303</v>
      </c>
      <c r="N64" s="106" t="s">
        <v>106</v>
      </c>
      <c r="O64" s="109" t="s">
        <v>95</v>
      </c>
      <c r="P64" s="110">
        <v>17.8</v>
      </c>
      <c r="Q64" s="103" t="s">
        <v>96</v>
      </c>
      <c r="R64" s="110" t="s">
        <v>97</v>
      </c>
      <c r="S64" s="110">
        <v>9.0</v>
      </c>
      <c r="T64" s="111" t="s">
        <v>304</v>
      </c>
      <c r="U64" s="106" t="s">
        <v>98</v>
      </c>
      <c r="V64" s="112">
        <v>0.0</v>
      </c>
      <c r="W64" s="113">
        <v>45.0</v>
      </c>
      <c r="X64" s="113">
        <v>45.0</v>
      </c>
      <c r="Y64" s="113">
        <v>55.0</v>
      </c>
      <c r="Z64" s="113" t="s">
        <v>99</v>
      </c>
      <c r="AA64" s="114">
        <f t="shared" ref="AA64:AA73" si="134">BC64/(1-(AK64+2%))</f>
        <v>456.8123169</v>
      </c>
      <c r="AB64" s="115" t="str">
        <f t="shared" si="92"/>
        <v>#REF!</v>
      </c>
      <c r="AC64" s="116">
        <f t="shared" si="5"/>
        <v>401.043221</v>
      </c>
      <c r="AD64" s="117">
        <f t="shared" si="6"/>
        <v>422.150759</v>
      </c>
      <c r="AE64" s="118" t="str">
        <f t="shared" si="93"/>
        <v>#REF!</v>
      </c>
      <c r="AF64" s="118" t="str">
        <f t="shared" si="94"/>
        <v>#REF!</v>
      </c>
      <c r="AG64" s="119" t="str">
        <f t="shared" si="95"/>
        <v>#REF!</v>
      </c>
      <c r="AH64" s="120" t="str">
        <f t="shared" si="96"/>
        <v>#REF!</v>
      </c>
      <c r="AI64" s="121">
        <v>0.09</v>
      </c>
      <c r="AJ64" s="121">
        <v>0.09</v>
      </c>
      <c r="AK64" s="122">
        <v>0.17</v>
      </c>
      <c r="AL64" s="123">
        <f t="shared" si="11"/>
        <v>68.17734758</v>
      </c>
      <c r="AM64" s="124" t="s">
        <v>10</v>
      </c>
      <c r="AN64" s="125">
        <f t="shared" si="12"/>
        <v>401.043221</v>
      </c>
      <c r="AO64" s="126">
        <f t="shared" si="126"/>
        <v>0.17</v>
      </c>
      <c r="AP64" s="127"/>
      <c r="AQ64" s="128">
        <f t="shared" ref="AQ64:AR64" si="133">BC64/(1-AI64)</f>
        <v>406.6131612</v>
      </c>
      <c r="AR64" s="125">
        <f t="shared" si="133"/>
        <v>365.7866741</v>
      </c>
      <c r="AS64" s="126">
        <f t="shared" si="129"/>
        <v>0.1098901099</v>
      </c>
      <c r="AT64" s="126">
        <f t="shared" si="130"/>
        <v>0.08791208791</v>
      </c>
      <c r="AU64" s="129">
        <v>314.9</v>
      </c>
      <c r="AV64" s="39" t="s">
        <v>126</v>
      </c>
      <c r="AW64" s="130">
        <f>17.21*0.99</f>
        <v>17.0379</v>
      </c>
      <c r="AX64" s="130">
        <f>2097.98*0.99</f>
        <v>2077.0002</v>
      </c>
      <c r="AY64" s="130"/>
      <c r="AZ64" s="130">
        <v>5.0</v>
      </c>
      <c r="BA64" s="130">
        <f t="shared" ref="BA64:BA73" si="136">($F$2-70000)/1000*AW64+AX64</f>
        <v>2537.0235</v>
      </c>
      <c r="BB64" s="130">
        <f t="shared" ref="BB64:BB73" si="137">AZ64+BA64</f>
        <v>2542.0235</v>
      </c>
      <c r="BC64" s="131">
        <f t="shared" ref="BC64:BC73" si="138">(AZ64+BA64)/$F$5</f>
        <v>370.0179767</v>
      </c>
      <c r="BD64" s="132">
        <f t="shared" ref="BD64:BD73" si="139">(BC64/$F$6)+(($F$9+$G$9)/40/S64)+BC64*V64</f>
        <v>332.8658735</v>
      </c>
      <c r="BE64" s="173"/>
      <c r="BF64" s="134" t="s">
        <v>101</v>
      </c>
      <c r="BG64" s="49"/>
      <c r="BH64" s="116">
        <f t="shared" si="22"/>
        <v>1336.810737</v>
      </c>
      <c r="BI64" s="116">
        <f t="shared" si="23"/>
        <v>802.0864421</v>
      </c>
      <c r="BJ64" s="116">
        <f t="shared" si="24"/>
        <v>668.4053684</v>
      </c>
      <c r="BK64" s="116">
        <f t="shared" si="25"/>
        <v>534.7242947</v>
      </c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</row>
    <row r="65" ht="14.25" customHeight="1">
      <c r="A65" s="103" t="s">
        <v>84</v>
      </c>
      <c r="B65" s="103" t="s">
        <v>120</v>
      </c>
      <c r="C65" s="103" t="s">
        <v>120</v>
      </c>
      <c r="D65" s="103" t="s">
        <v>86</v>
      </c>
      <c r="E65" s="104" t="s">
        <v>87</v>
      </c>
      <c r="F65" s="105" t="s">
        <v>207</v>
      </c>
      <c r="G65" s="106" t="s">
        <v>299</v>
      </c>
      <c r="H65" s="106">
        <v>23.0</v>
      </c>
      <c r="I65" s="107" t="s">
        <v>305</v>
      </c>
      <c r="J65" s="108" t="s">
        <v>306</v>
      </c>
      <c r="K65" s="108" t="str">
        <f>_xlfn.XLOOKUP(J65,[1]Sheet1!$A:$A,[1]Sheet1!$B:$B,"")</f>
        <v>#ERROR!</v>
      </c>
      <c r="L65" s="105" t="s">
        <v>307</v>
      </c>
      <c r="M65" s="105" t="s">
        <v>308</v>
      </c>
      <c r="N65" s="106" t="s">
        <v>106</v>
      </c>
      <c r="O65" s="109" t="s">
        <v>95</v>
      </c>
      <c r="P65" s="110">
        <v>35.6</v>
      </c>
      <c r="Q65" s="103" t="s">
        <v>96</v>
      </c>
      <c r="R65" s="110" t="s">
        <v>97</v>
      </c>
      <c r="S65" s="110">
        <v>4.0</v>
      </c>
      <c r="T65" s="111" t="s">
        <v>309</v>
      </c>
      <c r="U65" s="106" t="s">
        <v>98</v>
      </c>
      <c r="V65" s="112">
        <v>0.0</v>
      </c>
      <c r="W65" s="113">
        <v>45.0</v>
      </c>
      <c r="X65" s="113">
        <v>45.0</v>
      </c>
      <c r="Y65" s="113">
        <v>55.0</v>
      </c>
      <c r="Z65" s="113" t="s">
        <v>99</v>
      </c>
      <c r="AA65" s="114">
        <f t="shared" si="134"/>
        <v>956.5767831</v>
      </c>
      <c r="AB65" s="115" t="str">
        <f t="shared" si="92"/>
        <v>#REF!</v>
      </c>
      <c r="AC65" s="116">
        <f t="shared" si="5"/>
        <v>842.0057545</v>
      </c>
      <c r="AD65" s="117">
        <f t="shared" si="6"/>
        <v>886.3218468</v>
      </c>
      <c r="AE65" s="118" t="str">
        <f t="shared" si="93"/>
        <v>#REF!</v>
      </c>
      <c r="AF65" s="118" t="str">
        <f t="shared" si="94"/>
        <v>#REF!</v>
      </c>
      <c r="AG65" s="119" t="str">
        <f t="shared" si="95"/>
        <v>#REF!</v>
      </c>
      <c r="AH65" s="120" t="str">
        <f t="shared" si="96"/>
        <v>#REF!</v>
      </c>
      <c r="AI65" s="121">
        <v>0.09</v>
      </c>
      <c r="AJ65" s="121">
        <v>0.09</v>
      </c>
      <c r="AK65" s="122">
        <v>0.18</v>
      </c>
      <c r="AL65" s="123">
        <f t="shared" si="11"/>
        <v>151.5610358</v>
      </c>
      <c r="AM65" s="124" t="s">
        <v>10</v>
      </c>
      <c r="AN65" s="125">
        <f t="shared" si="12"/>
        <v>842.0057545</v>
      </c>
      <c r="AO65" s="126">
        <f t="shared" si="126"/>
        <v>0.18</v>
      </c>
      <c r="AP65" s="127"/>
      <c r="AQ65" s="128">
        <f t="shared" ref="AQ65:AR65" si="135">BC65/(1-AI65)</f>
        <v>840.9466225</v>
      </c>
      <c r="AR65" s="125">
        <f t="shared" si="135"/>
        <v>758.7304601</v>
      </c>
      <c r="AS65" s="126">
        <f t="shared" si="129"/>
        <v>0.1208791209</v>
      </c>
      <c r="AT65" s="126">
        <f t="shared" si="130"/>
        <v>0.0989010989</v>
      </c>
      <c r="AU65" s="129">
        <v>646.42</v>
      </c>
      <c r="AV65" s="39" t="s">
        <v>126</v>
      </c>
      <c r="AW65" s="130">
        <f>35.65*0.99</f>
        <v>35.2935</v>
      </c>
      <c r="AX65" s="130">
        <f>4342.85*0.99</f>
        <v>4299.4215</v>
      </c>
      <c r="AY65" s="130"/>
      <c r="AZ65" s="130">
        <v>5.0</v>
      </c>
      <c r="BA65" s="130">
        <f t="shared" si="136"/>
        <v>5252.346</v>
      </c>
      <c r="BB65" s="130">
        <f t="shared" si="137"/>
        <v>5257.346</v>
      </c>
      <c r="BC65" s="131">
        <f t="shared" si="138"/>
        <v>765.2614265</v>
      </c>
      <c r="BD65" s="132">
        <f t="shared" si="139"/>
        <v>690.4447187</v>
      </c>
      <c r="BE65" s="173"/>
      <c r="BF65" s="134" t="s">
        <v>101</v>
      </c>
      <c r="BG65" s="49"/>
      <c r="BH65" s="116">
        <f t="shared" si="22"/>
        <v>2806.685848</v>
      </c>
      <c r="BI65" s="116">
        <f t="shared" si="23"/>
        <v>1684.011509</v>
      </c>
      <c r="BJ65" s="116">
        <f t="shared" si="24"/>
        <v>1403.342924</v>
      </c>
      <c r="BK65" s="116">
        <f t="shared" si="25"/>
        <v>1122.674339</v>
      </c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</row>
    <row r="66" ht="14.25" customHeight="1">
      <c r="A66" s="103" t="s">
        <v>84</v>
      </c>
      <c r="B66" s="103" t="s">
        <v>120</v>
      </c>
      <c r="C66" s="103" t="s">
        <v>85</v>
      </c>
      <c r="D66" s="103" t="s">
        <v>86</v>
      </c>
      <c r="E66" s="104" t="s">
        <v>87</v>
      </c>
      <c r="F66" s="105" t="s">
        <v>207</v>
      </c>
      <c r="G66" s="106" t="s">
        <v>299</v>
      </c>
      <c r="H66" s="106">
        <v>23.0</v>
      </c>
      <c r="I66" s="107" t="s">
        <v>310</v>
      </c>
      <c r="J66" s="108" t="s">
        <v>311</v>
      </c>
      <c r="K66" s="108" t="str">
        <f>_xlfn.XLOOKUP(J66,[1]Sheet1!$A:$A,[1]Sheet1!$B:$B,"")</f>
        <v>#ERROR!</v>
      </c>
      <c r="L66" s="105" t="s">
        <v>312</v>
      </c>
      <c r="M66" s="105" t="s">
        <v>313</v>
      </c>
      <c r="N66" s="106" t="s">
        <v>106</v>
      </c>
      <c r="O66" s="109" t="s">
        <v>95</v>
      </c>
      <c r="P66" s="110">
        <v>17.8</v>
      </c>
      <c r="Q66" s="103" t="s">
        <v>96</v>
      </c>
      <c r="R66" s="110" t="s">
        <v>97</v>
      </c>
      <c r="S66" s="110">
        <v>9.0</v>
      </c>
      <c r="T66" s="111"/>
      <c r="U66" s="106" t="s">
        <v>98</v>
      </c>
      <c r="V66" s="112">
        <v>0.0</v>
      </c>
      <c r="W66" s="113">
        <v>45.0</v>
      </c>
      <c r="X66" s="113">
        <v>45.0</v>
      </c>
      <c r="Y66" s="113">
        <v>55.0</v>
      </c>
      <c r="Z66" s="113" t="s">
        <v>99</v>
      </c>
      <c r="AA66" s="114">
        <f t="shared" si="134"/>
        <v>456.8123169</v>
      </c>
      <c r="AB66" s="115" t="str">
        <f t="shared" si="92"/>
        <v>#REF!</v>
      </c>
      <c r="AC66" s="116">
        <f t="shared" si="5"/>
        <v>401.043221</v>
      </c>
      <c r="AD66" s="117">
        <f t="shared" si="6"/>
        <v>422.150759</v>
      </c>
      <c r="AE66" s="118" t="str">
        <f t="shared" si="93"/>
        <v>#REF!</v>
      </c>
      <c r="AF66" s="118" t="str">
        <f t="shared" si="94"/>
        <v>#REF!</v>
      </c>
      <c r="AG66" s="119" t="str">
        <f t="shared" si="95"/>
        <v>#REF!</v>
      </c>
      <c r="AH66" s="120" t="str">
        <f t="shared" si="96"/>
        <v>#REF!</v>
      </c>
      <c r="AI66" s="121">
        <v>0.09</v>
      </c>
      <c r="AJ66" s="121">
        <v>0.09</v>
      </c>
      <c r="AK66" s="122">
        <v>0.17</v>
      </c>
      <c r="AL66" s="123">
        <f t="shared" si="11"/>
        <v>68.17734758</v>
      </c>
      <c r="AM66" s="124" t="s">
        <v>10</v>
      </c>
      <c r="AN66" s="125">
        <f t="shared" si="12"/>
        <v>401.043221</v>
      </c>
      <c r="AO66" s="126">
        <f t="shared" si="126"/>
        <v>0.17</v>
      </c>
      <c r="AP66" s="127"/>
      <c r="AQ66" s="128">
        <f t="shared" ref="AQ66:AR66" si="140">BC66/(1-AI66)</f>
        <v>406.6131612</v>
      </c>
      <c r="AR66" s="125">
        <f t="shared" si="140"/>
        <v>365.7866741</v>
      </c>
      <c r="AS66" s="126">
        <f t="shared" si="129"/>
        <v>0.1098901099</v>
      </c>
      <c r="AT66" s="126">
        <f t="shared" si="130"/>
        <v>0.08791208791</v>
      </c>
      <c r="AU66" s="129">
        <v>343.16</v>
      </c>
      <c r="AV66" s="39" t="s">
        <v>126</v>
      </c>
      <c r="AW66" s="130">
        <f>17.21*0.99</f>
        <v>17.0379</v>
      </c>
      <c r="AX66" s="130">
        <f>2097.98*0.99</f>
        <v>2077.0002</v>
      </c>
      <c r="AY66" s="130"/>
      <c r="AZ66" s="130">
        <v>5.0</v>
      </c>
      <c r="BA66" s="130">
        <f t="shared" si="136"/>
        <v>2537.0235</v>
      </c>
      <c r="BB66" s="130">
        <f t="shared" si="137"/>
        <v>2542.0235</v>
      </c>
      <c r="BC66" s="131">
        <f t="shared" si="138"/>
        <v>370.0179767</v>
      </c>
      <c r="BD66" s="132">
        <f t="shared" si="139"/>
        <v>332.8658735</v>
      </c>
      <c r="BE66" s="173"/>
      <c r="BF66" s="134" t="s">
        <v>101</v>
      </c>
      <c r="BG66" s="49"/>
      <c r="BH66" s="118">
        <f t="shared" si="22"/>
        <v>1336.810737</v>
      </c>
      <c r="BI66" s="118">
        <f t="shared" si="23"/>
        <v>802.0864421</v>
      </c>
      <c r="BJ66" s="118">
        <f t="shared" si="24"/>
        <v>668.4053684</v>
      </c>
      <c r="BK66" s="118">
        <f t="shared" si="25"/>
        <v>534.7242947</v>
      </c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</row>
    <row r="67" ht="14.25" customHeight="1">
      <c r="A67" s="103" t="s">
        <v>84</v>
      </c>
      <c r="B67" s="103" t="s">
        <v>120</v>
      </c>
      <c r="C67" s="103" t="s">
        <v>85</v>
      </c>
      <c r="D67" s="103" t="s">
        <v>86</v>
      </c>
      <c r="E67" s="104" t="s">
        <v>87</v>
      </c>
      <c r="F67" s="105" t="s">
        <v>207</v>
      </c>
      <c r="G67" s="106" t="s">
        <v>299</v>
      </c>
      <c r="H67" s="106">
        <v>23.0</v>
      </c>
      <c r="I67" s="107" t="s">
        <v>314</v>
      </c>
      <c r="J67" s="108" t="s">
        <v>315</v>
      </c>
      <c r="K67" s="108" t="str">
        <f>_xlfn.XLOOKUP(J67,[1]Sheet1!$A:$A,[1]Sheet1!$B:$B,"")</f>
        <v>#ERROR!</v>
      </c>
      <c r="L67" s="105" t="s">
        <v>316</v>
      </c>
      <c r="M67" s="105" t="s">
        <v>317</v>
      </c>
      <c r="N67" s="106" t="s">
        <v>106</v>
      </c>
      <c r="O67" s="109" t="s">
        <v>95</v>
      </c>
      <c r="P67" s="110">
        <v>35.6</v>
      </c>
      <c r="Q67" s="103" t="s">
        <v>96</v>
      </c>
      <c r="R67" s="110" t="s">
        <v>97</v>
      </c>
      <c r="S67" s="110">
        <v>4.0</v>
      </c>
      <c r="T67" s="111"/>
      <c r="U67" s="106" t="s">
        <v>98</v>
      </c>
      <c r="V67" s="112">
        <v>0.0</v>
      </c>
      <c r="W67" s="113">
        <v>45.0</v>
      </c>
      <c r="X67" s="113">
        <v>45.0</v>
      </c>
      <c r="Y67" s="113">
        <v>55.0</v>
      </c>
      <c r="Z67" s="113" t="s">
        <v>99</v>
      </c>
      <c r="AA67" s="114">
        <f t="shared" si="134"/>
        <v>956.5767831</v>
      </c>
      <c r="AB67" s="115" t="str">
        <f t="shared" si="92"/>
        <v>#REF!</v>
      </c>
      <c r="AC67" s="116">
        <f t="shared" si="5"/>
        <v>842.0057545</v>
      </c>
      <c r="AD67" s="117">
        <f t="shared" si="6"/>
        <v>886.3218468</v>
      </c>
      <c r="AE67" s="118" t="str">
        <f t="shared" si="93"/>
        <v>#REF!</v>
      </c>
      <c r="AF67" s="118" t="str">
        <f t="shared" si="94"/>
        <v>#REF!</v>
      </c>
      <c r="AG67" s="119" t="str">
        <f t="shared" si="95"/>
        <v>#REF!</v>
      </c>
      <c r="AH67" s="120" t="str">
        <f t="shared" si="96"/>
        <v>#REF!</v>
      </c>
      <c r="AI67" s="121">
        <v>0.09</v>
      </c>
      <c r="AJ67" s="121">
        <v>0.09</v>
      </c>
      <c r="AK67" s="122">
        <v>0.18</v>
      </c>
      <c r="AL67" s="123">
        <f t="shared" si="11"/>
        <v>151.5610358</v>
      </c>
      <c r="AM67" s="124" t="s">
        <v>10</v>
      </c>
      <c r="AN67" s="125">
        <f t="shared" si="12"/>
        <v>842.0057545</v>
      </c>
      <c r="AO67" s="126">
        <f t="shared" si="126"/>
        <v>0.18</v>
      </c>
      <c r="AP67" s="127"/>
      <c r="AQ67" s="128">
        <f t="shared" ref="AQ67:AR67" si="141">BC67/(1-AI67)</f>
        <v>840.9466225</v>
      </c>
      <c r="AR67" s="125">
        <f t="shared" si="141"/>
        <v>758.7304601</v>
      </c>
      <c r="AS67" s="126">
        <f t="shared" si="129"/>
        <v>0.1208791209</v>
      </c>
      <c r="AT67" s="126">
        <f t="shared" si="130"/>
        <v>0.0989010989</v>
      </c>
      <c r="AU67" s="129">
        <v>660.09</v>
      </c>
      <c r="AV67" s="39" t="s">
        <v>126</v>
      </c>
      <c r="AW67" s="130">
        <f>35.65*0.99</f>
        <v>35.2935</v>
      </c>
      <c r="AX67" s="130">
        <f>4342.85*0.99</f>
        <v>4299.4215</v>
      </c>
      <c r="AY67" s="130"/>
      <c r="AZ67" s="130">
        <v>5.0</v>
      </c>
      <c r="BA67" s="130">
        <f t="shared" si="136"/>
        <v>5252.346</v>
      </c>
      <c r="BB67" s="130">
        <f t="shared" si="137"/>
        <v>5257.346</v>
      </c>
      <c r="BC67" s="131">
        <f t="shared" si="138"/>
        <v>765.2614265</v>
      </c>
      <c r="BD67" s="132">
        <f t="shared" si="139"/>
        <v>690.4447187</v>
      </c>
      <c r="BE67" s="173"/>
      <c r="BF67" s="134" t="s">
        <v>101</v>
      </c>
      <c r="BG67" s="49"/>
      <c r="BH67" s="118">
        <f t="shared" si="22"/>
        <v>2806.685848</v>
      </c>
      <c r="BI67" s="118">
        <f t="shared" si="23"/>
        <v>1684.011509</v>
      </c>
      <c r="BJ67" s="118">
        <f t="shared" si="24"/>
        <v>1403.342924</v>
      </c>
      <c r="BK67" s="118">
        <f t="shared" si="25"/>
        <v>1122.674339</v>
      </c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</row>
    <row r="68" ht="14.25" customHeight="1">
      <c r="A68" s="103" t="s">
        <v>84</v>
      </c>
      <c r="B68" s="103" t="s">
        <v>120</v>
      </c>
      <c r="C68" s="103" t="s">
        <v>120</v>
      </c>
      <c r="D68" s="103" t="s">
        <v>86</v>
      </c>
      <c r="E68" s="104" t="s">
        <v>87</v>
      </c>
      <c r="F68" s="105" t="s">
        <v>207</v>
      </c>
      <c r="G68" s="106" t="s">
        <v>299</v>
      </c>
      <c r="H68" s="106">
        <v>23.0</v>
      </c>
      <c r="I68" s="107" t="s">
        <v>318</v>
      </c>
      <c r="J68" s="108" t="s">
        <v>319</v>
      </c>
      <c r="K68" s="108" t="str">
        <f>_xlfn.XLOOKUP(J68,[1]Sheet1!$A:$A,[1]Sheet1!$B:$B,"")</f>
        <v>#ERROR!</v>
      </c>
      <c r="L68" s="105" t="s">
        <v>320</v>
      </c>
      <c r="M68" s="105" t="s">
        <v>321</v>
      </c>
      <c r="N68" s="106" t="s">
        <v>106</v>
      </c>
      <c r="O68" s="109" t="s">
        <v>95</v>
      </c>
      <c r="P68" s="110">
        <v>17.8</v>
      </c>
      <c r="Q68" s="103" t="s">
        <v>132</v>
      </c>
      <c r="R68" s="110" t="s">
        <v>97</v>
      </c>
      <c r="S68" s="110">
        <v>5.49</v>
      </c>
      <c r="T68" s="179" t="s">
        <v>322</v>
      </c>
      <c r="U68" s="106" t="s">
        <v>98</v>
      </c>
      <c r="V68" s="112">
        <v>0.0</v>
      </c>
      <c r="W68" s="113">
        <v>45.0</v>
      </c>
      <c r="X68" s="113">
        <v>45.0</v>
      </c>
      <c r="Y68" s="113">
        <v>55.0</v>
      </c>
      <c r="Z68" s="113" t="s">
        <v>99</v>
      </c>
      <c r="AA68" s="114">
        <f t="shared" si="134"/>
        <v>482.7907062</v>
      </c>
      <c r="AB68" s="115" t="str">
        <f t="shared" si="92"/>
        <v>#REF!</v>
      </c>
      <c r="AC68" s="116">
        <f t="shared" si="5"/>
        <v>431.9397044</v>
      </c>
      <c r="AD68" s="117">
        <f t="shared" si="6"/>
        <v>454.673373</v>
      </c>
      <c r="AE68" s="118" t="str">
        <f t="shared" si="93"/>
        <v>#REF!</v>
      </c>
      <c r="AF68" s="118" t="str">
        <f t="shared" si="94"/>
        <v>#REF!</v>
      </c>
      <c r="AG68" s="119" t="str">
        <f t="shared" si="95"/>
        <v>#REF!</v>
      </c>
      <c r="AH68" s="120" t="str">
        <f t="shared" si="96"/>
        <v>#REF!</v>
      </c>
      <c r="AI68" s="121">
        <v>0.09</v>
      </c>
      <c r="AJ68" s="121">
        <v>0.09</v>
      </c>
      <c r="AK68" s="122">
        <v>0.19</v>
      </c>
      <c r="AL68" s="123">
        <f t="shared" si="11"/>
        <v>82.06854383</v>
      </c>
      <c r="AM68" s="124" t="s">
        <v>10</v>
      </c>
      <c r="AN68" s="125">
        <f t="shared" si="12"/>
        <v>431.9397044</v>
      </c>
      <c r="AO68" s="126">
        <f t="shared" si="126"/>
        <v>0.19</v>
      </c>
      <c r="AP68" s="127"/>
      <c r="AQ68" s="128">
        <f t="shared" ref="AQ68:AR68" si="142">BC68/(1-AI68)</f>
        <v>419.1259977</v>
      </c>
      <c r="AR68" s="125">
        <f t="shared" si="142"/>
        <v>384.4738028</v>
      </c>
      <c r="AS68" s="126">
        <f t="shared" si="129"/>
        <v>0.1318681319</v>
      </c>
      <c r="AT68" s="126">
        <f t="shared" si="130"/>
        <v>0.1098901099</v>
      </c>
      <c r="AU68" s="129">
        <v>353.72</v>
      </c>
      <c r="AV68" s="39" t="s">
        <v>126</v>
      </c>
      <c r="AW68" s="130">
        <v>17.21</v>
      </c>
      <c r="AX68" s="130">
        <v>2155.58</v>
      </c>
      <c r="AY68" s="130"/>
      <c r="AZ68" s="130">
        <v>0.0</v>
      </c>
      <c r="BA68" s="130">
        <f t="shared" si="136"/>
        <v>2620.25</v>
      </c>
      <c r="BB68" s="130">
        <f t="shared" si="137"/>
        <v>2620.25</v>
      </c>
      <c r="BC68" s="131">
        <f t="shared" si="138"/>
        <v>381.4046579</v>
      </c>
      <c r="BD68" s="132">
        <f t="shared" si="139"/>
        <v>349.8711605</v>
      </c>
      <c r="BE68" s="173"/>
      <c r="BF68" s="134" t="s">
        <v>101</v>
      </c>
      <c r="BG68" s="49"/>
      <c r="BH68" s="118">
        <f t="shared" si="22"/>
        <v>1439.799015</v>
      </c>
      <c r="BI68" s="118">
        <f t="shared" si="23"/>
        <v>863.8794087</v>
      </c>
      <c r="BJ68" s="118">
        <f t="shared" si="24"/>
        <v>719.8995073</v>
      </c>
      <c r="BK68" s="118">
        <f t="shared" si="25"/>
        <v>575.9196058</v>
      </c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</row>
    <row r="69" ht="14.25" customHeight="1">
      <c r="A69" s="103" t="s">
        <v>84</v>
      </c>
      <c r="B69" s="103" t="s">
        <v>120</v>
      </c>
      <c r="C69" s="103" t="s">
        <v>120</v>
      </c>
      <c r="D69" s="103" t="s">
        <v>86</v>
      </c>
      <c r="E69" s="104" t="s">
        <v>87</v>
      </c>
      <c r="F69" s="105" t="s">
        <v>207</v>
      </c>
      <c r="G69" s="106" t="s">
        <v>299</v>
      </c>
      <c r="H69" s="106">
        <v>23.0</v>
      </c>
      <c r="I69" s="107" t="s">
        <v>323</v>
      </c>
      <c r="J69" s="108" t="s">
        <v>324</v>
      </c>
      <c r="K69" s="108" t="str">
        <f>_xlfn.XLOOKUP(J69,[1]Sheet1!$A:$A,[1]Sheet1!$B:$B,"")</f>
        <v>#ERROR!</v>
      </c>
      <c r="L69" s="105" t="s">
        <v>325</v>
      </c>
      <c r="M69" s="105" t="s">
        <v>326</v>
      </c>
      <c r="N69" s="106" t="s">
        <v>162</v>
      </c>
      <c r="O69" s="109" t="s">
        <v>95</v>
      </c>
      <c r="P69" s="110">
        <v>17.8</v>
      </c>
      <c r="Q69" s="103" t="s">
        <v>96</v>
      </c>
      <c r="R69" s="110" t="s">
        <v>97</v>
      </c>
      <c r="S69" s="110">
        <v>9.0</v>
      </c>
      <c r="T69" s="111" t="s">
        <v>327</v>
      </c>
      <c r="U69" s="106" t="s">
        <v>98</v>
      </c>
      <c r="V69" s="112">
        <v>0.0</v>
      </c>
      <c r="W69" s="113">
        <v>45.0</v>
      </c>
      <c r="X69" s="113">
        <v>45.0</v>
      </c>
      <c r="Y69" s="113">
        <v>55.0</v>
      </c>
      <c r="Z69" s="113" t="s">
        <v>99</v>
      </c>
      <c r="AA69" s="114">
        <f t="shared" si="134"/>
        <v>491.9481142</v>
      </c>
      <c r="AB69" s="115" t="str">
        <f t="shared" si="92"/>
        <v>#REF!</v>
      </c>
      <c r="AC69" s="116">
        <f t="shared" si="5"/>
        <v>430.9358969</v>
      </c>
      <c r="AD69" s="117">
        <f t="shared" si="6"/>
        <v>453.6167336</v>
      </c>
      <c r="AE69" s="118" t="str">
        <f t="shared" si="93"/>
        <v>#REF!</v>
      </c>
      <c r="AF69" s="118" t="str">
        <f t="shared" si="94"/>
        <v>#REF!</v>
      </c>
      <c r="AG69" s="119" t="str">
        <f t="shared" si="95"/>
        <v>#REF!</v>
      </c>
      <c r="AH69" s="120" t="str">
        <f t="shared" si="96"/>
        <v>#REF!</v>
      </c>
      <c r="AI69" s="121">
        <v>0.09</v>
      </c>
      <c r="AJ69" s="121">
        <v>0.09</v>
      </c>
      <c r="AK69" s="122">
        <v>0.19</v>
      </c>
      <c r="AL69" s="123">
        <f t="shared" si="11"/>
        <v>81.87782041</v>
      </c>
      <c r="AM69" s="124" t="s">
        <v>10</v>
      </c>
      <c r="AN69" s="125">
        <f t="shared" si="12"/>
        <v>430.9358969</v>
      </c>
      <c r="AO69" s="126">
        <f t="shared" si="126"/>
        <v>0.19</v>
      </c>
      <c r="AP69" s="127"/>
      <c r="AQ69" s="128">
        <f t="shared" ref="AQ69:AR69" si="143">BC69/(1-AI69)</f>
        <v>427.0758354</v>
      </c>
      <c r="AR69" s="125">
        <f t="shared" si="143"/>
        <v>383.5803038</v>
      </c>
      <c r="AS69" s="126">
        <f t="shared" si="129"/>
        <v>0.1318681319</v>
      </c>
      <c r="AT69" s="126">
        <f t="shared" si="130"/>
        <v>0.1098901099</v>
      </c>
      <c r="AU69" s="129">
        <v>349.34</v>
      </c>
      <c r="AV69" s="39" t="s">
        <v>126</v>
      </c>
      <c r="AW69" s="130">
        <v>17.09</v>
      </c>
      <c r="AX69" s="130">
        <v>2203.52</v>
      </c>
      <c r="AY69" s="130"/>
      <c r="AZ69" s="130">
        <v>5.0</v>
      </c>
      <c r="BA69" s="130">
        <f t="shared" si="136"/>
        <v>2664.95</v>
      </c>
      <c r="BB69" s="130">
        <f t="shared" si="137"/>
        <v>2669.95</v>
      </c>
      <c r="BC69" s="131">
        <f t="shared" si="138"/>
        <v>388.6390102</v>
      </c>
      <c r="BD69" s="132">
        <f t="shared" si="139"/>
        <v>349.0580765</v>
      </c>
      <c r="BE69" s="133"/>
      <c r="BF69" s="134" t="s">
        <v>101</v>
      </c>
      <c r="BG69" s="49"/>
      <c r="BH69" s="116">
        <f t="shared" si="22"/>
        <v>1436.45299</v>
      </c>
      <c r="BI69" s="116">
        <f t="shared" si="23"/>
        <v>861.8717938</v>
      </c>
      <c r="BJ69" s="116">
        <f t="shared" si="24"/>
        <v>718.2264948</v>
      </c>
      <c r="BK69" s="116">
        <f t="shared" si="25"/>
        <v>574.5811959</v>
      </c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</row>
    <row r="70" ht="14.25" customHeight="1">
      <c r="A70" s="103" t="s">
        <v>84</v>
      </c>
      <c r="B70" s="103" t="s">
        <v>120</v>
      </c>
      <c r="C70" s="103" t="s">
        <v>120</v>
      </c>
      <c r="D70" s="103" t="s">
        <v>86</v>
      </c>
      <c r="E70" s="104" t="s">
        <v>87</v>
      </c>
      <c r="F70" s="105" t="s">
        <v>207</v>
      </c>
      <c r="G70" s="106" t="s">
        <v>299</v>
      </c>
      <c r="H70" s="106">
        <v>23.0</v>
      </c>
      <c r="I70" s="107" t="s">
        <v>328</v>
      </c>
      <c r="J70" s="108" t="s">
        <v>329</v>
      </c>
      <c r="K70" s="108" t="str">
        <f>_xlfn.XLOOKUP(J70,[1]Sheet1!$A:$A,[1]Sheet1!$B:$B,"")</f>
        <v>#ERROR!</v>
      </c>
      <c r="L70" s="105" t="s">
        <v>330</v>
      </c>
      <c r="M70" s="105" t="s">
        <v>331</v>
      </c>
      <c r="N70" s="106" t="s">
        <v>162</v>
      </c>
      <c r="O70" s="109" t="s">
        <v>95</v>
      </c>
      <c r="P70" s="110">
        <v>35.6</v>
      </c>
      <c r="Q70" s="103" t="s">
        <v>96</v>
      </c>
      <c r="R70" s="110" t="s">
        <v>97</v>
      </c>
      <c r="S70" s="110">
        <v>9.0</v>
      </c>
      <c r="T70" s="111"/>
      <c r="U70" s="106" t="s">
        <v>98</v>
      </c>
      <c r="V70" s="112">
        <v>0.0</v>
      </c>
      <c r="W70" s="113">
        <v>45.0</v>
      </c>
      <c r="X70" s="113">
        <v>45.0</v>
      </c>
      <c r="Y70" s="113">
        <v>55.0</v>
      </c>
      <c r="Z70" s="113" t="s">
        <v>99</v>
      </c>
      <c r="AA70" s="114">
        <f t="shared" si="134"/>
        <v>1020.005459</v>
      </c>
      <c r="AB70" s="115" t="str">
        <f t="shared" si="92"/>
        <v>#REF!</v>
      </c>
      <c r="AC70" s="116">
        <f t="shared" si="5"/>
        <v>878.8782021</v>
      </c>
      <c r="AD70" s="117">
        <f t="shared" si="6"/>
        <v>925.1349496</v>
      </c>
      <c r="AE70" s="118" t="str">
        <f t="shared" si="93"/>
        <v>#REF!</v>
      </c>
      <c r="AF70" s="118" t="str">
        <f t="shared" si="94"/>
        <v>#REF!</v>
      </c>
      <c r="AG70" s="119" t="str">
        <f t="shared" si="95"/>
        <v>#REF!</v>
      </c>
      <c r="AH70" s="120" t="str">
        <f t="shared" si="96"/>
        <v>#REF!</v>
      </c>
      <c r="AI70" s="121">
        <v>0.09</v>
      </c>
      <c r="AJ70" s="121">
        <v>0.09</v>
      </c>
      <c r="AK70" s="122">
        <v>0.18</v>
      </c>
      <c r="AL70" s="123">
        <f t="shared" si="11"/>
        <v>158.1980764</v>
      </c>
      <c r="AM70" s="124" t="s">
        <v>10</v>
      </c>
      <c r="AN70" s="125">
        <f t="shared" si="12"/>
        <v>878.8782021</v>
      </c>
      <c r="AO70" s="126">
        <f t="shared" si="126"/>
        <v>0.18</v>
      </c>
      <c r="AP70" s="127"/>
      <c r="AQ70" s="128">
        <f t="shared" ref="AQ70:AR70" si="144">BC70/(1-AI70)</f>
        <v>896.7080954</v>
      </c>
      <c r="AR70" s="125">
        <f t="shared" si="144"/>
        <v>791.9561821</v>
      </c>
      <c r="AS70" s="126">
        <f t="shared" si="129"/>
        <v>0.1208791209</v>
      </c>
      <c r="AT70" s="126">
        <f t="shared" si="130"/>
        <v>0.0989010989</v>
      </c>
      <c r="AU70" s="129">
        <v>735.84</v>
      </c>
      <c r="AV70" s="39" t="s">
        <v>126</v>
      </c>
      <c r="AW70" s="130">
        <v>35.97</v>
      </c>
      <c r="AX70" s="130">
        <v>4629.76</v>
      </c>
      <c r="AY70" s="130"/>
      <c r="AZ70" s="130">
        <v>5.0</v>
      </c>
      <c r="BA70" s="130">
        <f t="shared" si="136"/>
        <v>5600.95</v>
      </c>
      <c r="BB70" s="130">
        <f t="shared" si="137"/>
        <v>5605.95</v>
      </c>
      <c r="BC70" s="131">
        <f t="shared" si="138"/>
        <v>816.0043668</v>
      </c>
      <c r="BD70" s="132">
        <f t="shared" si="139"/>
        <v>720.6801257</v>
      </c>
      <c r="BE70" s="133"/>
      <c r="BF70" s="134" t="s">
        <v>101</v>
      </c>
      <c r="BG70" s="49"/>
      <c r="BH70" s="118">
        <f t="shared" si="22"/>
        <v>2929.594007</v>
      </c>
      <c r="BI70" s="118">
        <f t="shared" si="23"/>
        <v>1757.756404</v>
      </c>
      <c r="BJ70" s="118">
        <f t="shared" si="24"/>
        <v>1464.797004</v>
      </c>
      <c r="BK70" s="118">
        <f t="shared" si="25"/>
        <v>1171.837603</v>
      </c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</row>
    <row r="71" ht="14.25" customHeight="1">
      <c r="A71" s="180" t="s">
        <v>84</v>
      </c>
      <c r="B71" s="180" t="s">
        <v>120</v>
      </c>
      <c r="C71" s="180" t="s">
        <v>120</v>
      </c>
      <c r="D71" s="180" t="s">
        <v>86</v>
      </c>
      <c r="E71" s="181" t="s">
        <v>87</v>
      </c>
      <c r="F71" s="182" t="s">
        <v>207</v>
      </c>
      <c r="G71" s="183" t="s">
        <v>299</v>
      </c>
      <c r="H71" s="183">
        <v>23.0</v>
      </c>
      <c r="I71" s="107" t="s">
        <v>332</v>
      </c>
      <c r="J71" s="184" t="s">
        <v>333</v>
      </c>
      <c r="K71" s="184" t="str">
        <f>_xlfn.XLOOKUP(J71,[1]Sheet1!$A:$A,[1]Sheet1!$B:$B,"")</f>
        <v>#ERROR!</v>
      </c>
      <c r="L71" s="182" t="s">
        <v>334</v>
      </c>
      <c r="M71" s="182" t="s">
        <v>335</v>
      </c>
      <c r="N71" s="183" t="s">
        <v>162</v>
      </c>
      <c r="O71" s="185" t="s">
        <v>95</v>
      </c>
      <c r="P71" s="186">
        <v>17.8</v>
      </c>
      <c r="Q71" s="180" t="s">
        <v>132</v>
      </c>
      <c r="R71" s="186" t="s">
        <v>97</v>
      </c>
      <c r="S71" s="186">
        <v>9.0</v>
      </c>
      <c r="T71" s="187"/>
      <c r="U71" s="183" t="s">
        <v>98</v>
      </c>
      <c r="V71" s="188">
        <v>0.0</v>
      </c>
      <c r="W71" s="189">
        <v>45.0</v>
      </c>
      <c r="X71" s="189">
        <v>45.0</v>
      </c>
      <c r="Y71" s="189">
        <v>55.0</v>
      </c>
      <c r="Z71" s="189" t="s">
        <v>99</v>
      </c>
      <c r="AA71" s="114">
        <f t="shared" si="134"/>
        <v>0.9576342603</v>
      </c>
      <c r="AB71" s="190" t="str">
        <f t="shared" si="92"/>
        <v>#REF!</v>
      </c>
      <c r="AC71" s="191">
        <f t="shared" si="5"/>
        <v>15.05638775</v>
      </c>
      <c r="AD71" s="117">
        <f t="shared" si="6"/>
        <v>15.84882922</v>
      </c>
      <c r="AE71" s="191" t="str">
        <f t="shared" si="93"/>
        <v>#REF!</v>
      </c>
      <c r="AF71" s="118" t="str">
        <f t="shared" si="94"/>
        <v>#REF!</v>
      </c>
      <c r="AG71" s="192" t="str">
        <f t="shared" si="95"/>
        <v>#REF!</v>
      </c>
      <c r="AH71" s="120" t="str">
        <f t="shared" si="96"/>
        <v>#REF!</v>
      </c>
      <c r="AI71" s="188">
        <v>0.09</v>
      </c>
      <c r="AJ71" s="188">
        <v>0.09</v>
      </c>
      <c r="AK71" s="188">
        <v>0.22</v>
      </c>
      <c r="AL71" s="123">
        <f t="shared" si="11"/>
        <v>3.312405306</v>
      </c>
      <c r="AM71" s="193" t="s">
        <v>10</v>
      </c>
      <c r="AN71" s="194">
        <f t="shared" si="12"/>
        <v>15.05638775</v>
      </c>
      <c r="AO71" s="195">
        <f t="shared" si="126"/>
        <v>0.22</v>
      </c>
      <c r="AP71" s="196"/>
      <c r="AQ71" s="197">
        <f t="shared" ref="AQ71:AR71" si="145">BC71/(1-AI71)</f>
        <v>0.7997824592</v>
      </c>
      <c r="AR71" s="194">
        <f t="shared" si="145"/>
        <v>12.90547522</v>
      </c>
      <c r="AS71" s="195">
        <f t="shared" si="129"/>
        <v>0.1648351648</v>
      </c>
      <c r="AT71" s="195">
        <f t="shared" si="130"/>
        <v>0.1428571429</v>
      </c>
      <c r="AU71" s="129"/>
      <c r="AV71" s="198" t="s">
        <v>126</v>
      </c>
      <c r="AW71" s="199"/>
      <c r="AX71" s="199"/>
      <c r="AY71" s="199"/>
      <c r="AZ71" s="199">
        <v>5.0</v>
      </c>
      <c r="BA71" s="199">
        <f t="shared" si="136"/>
        <v>0</v>
      </c>
      <c r="BB71" s="199">
        <f t="shared" si="137"/>
        <v>5</v>
      </c>
      <c r="BC71" s="200">
        <f t="shared" si="138"/>
        <v>0.7278020378</v>
      </c>
      <c r="BD71" s="201">
        <f t="shared" si="139"/>
        <v>11.74398245</v>
      </c>
      <c r="BE71" s="202"/>
      <c r="BF71" s="203" t="s">
        <v>101</v>
      </c>
      <c r="BG71" s="204"/>
      <c r="BH71" s="191">
        <f t="shared" si="22"/>
        <v>50.18795918</v>
      </c>
      <c r="BI71" s="191">
        <f t="shared" si="23"/>
        <v>30.11277551</v>
      </c>
      <c r="BJ71" s="191">
        <f t="shared" si="24"/>
        <v>25.09397959</v>
      </c>
      <c r="BK71" s="191">
        <f t="shared" si="25"/>
        <v>20.07518367</v>
      </c>
      <c r="BL71" s="204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</row>
    <row r="72" ht="14.25" customHeight="1">
      <c r="A72" s="103" t="s">
        <v>84</v>
      </c>
      <c r="B72" s="103" t="s">
        <v>85</v>
      </c>
      <c r="C72" s="103" t="s">
        <v>120</v>
      </c>
      <c r="D72" s="103" t="s">
        <v>86</v>
      </c>
      <c r="E72" s="104" t="s">
        <v>87</v>
      </c>
      <c r="F72" s="105" t="s">
        <v>207</v>
      </c>
      <c r="G72" s="106" t="s">
        <v>299</v>
      </c>
      <c r="H72" s="106">
        <v>23.0</v>
      </c>
      <c r="I72" s="107" t="s">
        <v>336</v>
      </c>
      <c r="J72" s="108" t="s">
        <v>337</v>
      </c>
      <c r="K72" s="108" t="str">
        <f>_xlfn.XLOOKUP(J72,[1]Sheet1!$A:$A,[1]Sheet1!$B:$B,"")</f>
        <v>#ERROR!</v>
      </c>
      <c r="L72" s="105" t="s">
        <v>338</v>
      </c>
      <c r="M72" s="105" t="s">
        <v>339</v>
      </c>
      <c r="N72" s="106" t="s">
        <v>201</v>
      </c>
      <c r="O72" s="109" t="s">
        <v>95</v>
      </c>
      <c r="P72" s="110">
        <v>17.8</v>
      </c>
      <c r="Q72" s="103" t="s">
        <v>96</v>
      </c>
      <c r="R72" s="110" t="s">
        <v>97</v>
      </c>
      <c r="S72" s="110">
        <v>9.0</v>
      </c>
      <c r="T72" s="111" t="s">
        <v>340</v>
      </c>
      <c r="U72" s="106" t="s">
        <v>98</v>
      </c>
      <c r="V72" s="112">
        <v>0.0</v>
      </c>
      <c r="W72" s="113">
        <v>45.0</v>
      </c>
      <c r="X72" s="113">
        <v>45.0</v>
      </c>
      <c r="Y72" s="113">
        <v>55.0</v>
      </c>
      <c r="Z72" s="113" t="s">
        <v>99</v>
      </c>
      <c r="AA72" s="114">
        <f t="shared" si="134"/>
        <v>534.3755459</v>
      </c>
      <c r="AB72" s="115" t="str">
        <f t="shared" si="92"/>
        <v>#REF!</v>
      </c>
      <c r="AC72" s="116">
        <f t="shared" si="5"/>
        <v>467.0349375</v>
      </c>
      <c r="AD72" s="117">
        <f t="shared" si="6"/>
        <v>491.6157237</v>
      </c>
      <c r="AE72" s="118" t="str">
        <f t="shared" si="93"/>
        <v>#REF!</v>
      </c>
      <c r="AF72" s="118" t="str">
        <f t="shared" si="94"/>
        <v>#REF!</v>
      </c>
      <c r="AG72" s="119" t="str">
        <f t="shared" si="95"/>
        <v>#REF!</v>
      </c>
      <c r="AH72" s="120" t="str">
        <f t="shared" si="96"/>
        <v>#REF!</v>
      </c>
      <c r="AI72" s="121">
        <v>0.09</v>
      </c>
      <c r="AJ72" s="121">
        <v>0.09</v>
      </c>
      <c r="AK72" s="122">
        <v>0.23</v>
      </c>
      <c r="AL72" s="123">
        <f t="shared" si="11"/>
        <v>107.4180356</v>
      </c>
      <c r="AM72" s="124" t="s">
        <v>10</v>
      </c>
      <c r="AN72" s="125">
        <f t="shared" si="12"/>
        <v>467.0349375</v>
      </c>
      <c r="AO72" s="126">
        <f t="shared" si="126"/>
        <v>0.23</v>
      </c>
      <c r="AP72" s="127"/>
      <c r="AQ72" s="128">
        <f t="shared" ref="AQ72:AR72" si="146">BC72/(1-AI72)</f>
        <v>440.4194059</v>
      </c>
      <c r="AR72" s="125">
        <f t="shared" si="146"/>
        <v>395.1834087</v>
      </c>
      <c r="AS72" s="126">
        <f t="shared" si="129"/>
        <v>0.1758241758</v>
      </c>
      <c r="AT72" s="126">
        <f t="shared" si="130"/>
        <v>0.1538461538</v>
      </c>
      <c r="AU72" s="129"/>
      <c r="AV72" s="39" t="s">
        <v>126</v>
      </c>
      <c r="AW72" s="130">
        <v>17.66</v>
      </c>
      <c r="AX72" s="130">
        <v>2271.55</v>
      </c>
      <c r="AY72" s="130"/>
      <c r="AZ72" s="130">
        <v>5.0</v>
      </c>
      <c r="BA72" s="130">
        <f t="shared" si="136"/>
        <v>2748.37</v>
      </c>
      <c r="BB72" s="130">
        <f t="shared" si="137"/>
        <v>2753.37</v>
      </c>
      <c r="BC72" s="131">
        <f t="shared" si="138"/>
        <v>400.7816594</v>
      </c>
      <c r="BD72" s="132">
        <f t="shared" si="139"/>
        <v>359.6169019</v>
      </c>
      <c r="BE72" s="133"/>
      <c r="BF72" s="134" t="s">
        <v>101</v>
      </c>
      <c r="BG72" s="49"/>
      <c r="BH72" s="116">
        <f t="shared" si="22"/>
        <v>1556.783125</v>
      </c>
      <c r="BI72" s="116">
        <f t="shared" si="23"/>
        <v>934.069875</v>
      </c>
      <c r="BJ72" s="116">
        <f t="shared" si="24"/>
        <v>778.3915625</v>
      </c>
      <c r="BK72" s="116">
        <f t="shared" si="25"/>
        <v>622.71325</v>
      </c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</row>
    <row r="73" ht="14.25" customHeight="1">
      <c r="A73" s="105" t="s">
        <v>84</v>
      </c>
      <c r="B73" s="103" t="s">
        <v>85</v>
      </c>
      <c r="C73" s="103" t="s">
        <v>120</v>
      </c>
      <c r="D73" s="105" t="s">
        <v>86</v>
      </c>
      <c r="E73" s="105" t="s">
        <v>87</v>
      </c>
      <c r="F73" s="105" t="s">
        <v>207</v>
      </c>
      <c r="G73" s="106" t="s">
        <v>299</v>
      </c>
      <c r="H73" s="106">
        <v>23.0</v>
      </c>
      <c r="I73" s="107" t="s">
        <v>341</v>
      </c>
      <c r="J73" s="108" t="s">
        <v>342</v>
      </c>
      <c r="K73" s="108" t="str">
        <f>_xlfn.XLOOKUP(J73,[1]Sheet1!$A:$A,[1]Sheet1!$B:$B,"")</f>
        <v>#ERROR!</v>
      </c>
      <c r="L73" s="105" t="s">
        <v>343</v>
      </c>
      <c r="M73" s="105" t="s">
        <v>344</v>
      </c>
      <c r="N73" s="106" t="s">
        <v>162</v>
      </c>
      <c r="O73" s="109" t="s">
        <v>95</v>
      </c>
      <c r="P73" s="110">
        <v>17.8</v>
      </c>
      <c r="Q73" s="103" t="s">
        <v>96</v>
      </c>
      <c r="R73" s="110" t="s">
        <v>97</v>
      </c>
      <c r="S73" s="110">
        <v>9.0</v>
      </c>
      <c r="T73" s="111" t="e">
        <v>#N/A</v>
      </c>
      <c r="U73" s="106" t="s">
        <v>98</v>
      </c>
      <c r="V73" s="112">
        <v>0.0</v>
      </c>
      <c r="W73" s="113">
        <v>45.0</v>
      </c>
      <c r="X73" s="113">
        <v>45.0</v>
      </c>
      <c r="Y73" s="113">
        <v>55.0</v>
      </c>
      <c r="Z73" s="113" t="s">
        <v>99</v>
      </c>
      <c r="AA73" s="114">
        <f t="shared" si="134"/>
        <v>550.5418082</v>
      </c>
      <c r="AB73" s="115" t="str">
        <f t="shared" si="92"/>
        <v>#REF!</v>
      </c>
      <c r="AC73" s="116">
        <f t="shared" si="5"/>
        <v>480.8083192</v>
      </c>
      <c r="AD73" s="117">
        <f t="shared" si="6"/>
        <v>506.1140202</v>
      </c>
      <c r="AE73" s="118" t="str">
        <f t="shared" si="93"/>
        <v>#REF!</v>
      </c>
      <c r="AF73" s="118" t="str">
        <f t="shared" si="94"/>
        <v>#REF!</v>
      </c>
      <c r="AG73" s="119" t="str">
        <f t="shared" si="95"/>
        <v>#REF!</v>
      </c>
      <c r="AH73" s="120" t="str">
        <f t="shared" si="96"/>
        <v>#REF!</v>
      </c>
      <c r="AI73" s="121">
        <v>0.09</v>
      </c>
      <c r="AJ73" s="121">
        <v>0.09</v>
      </c>
      <c r="AK73" s="122">
        <v>0.26</v>
      </c>
      <c r="AL73" s="123">
        <f t="shared" si="11"/>
        <v>125.010163</v>
      </c>
      <c r="AM73" s="124" t="s">
        <v>10</v>
      </c>
      <c r="AN73" s="125">
        <f t="shared" si="12"/>
        <v>480.8083192</v>
      </c>
      <c r="AO73" s="126">
        <f t="shared" si="126"/>
        <v>0.26</v>
      </c>
      <c r="AP73" s="127"/>
      <c r="AQ73" s="128">
        <f t="shared" ref="AQ73:AR73" si="147">BC73/(1-AI73)</f>
        <v>435.5935186</v>
      </c>
      <c r="AR73" s="125">
        <f t="shared" si="147"/>
        <v>390.9869849</v>
      </c>
      <c r="AS73" s="126">
        <f t="shared" si="129"/>
        <v>0.2087912088</v>
      </c>
      <c r="AT73" s="126">
        <f t="shared" si="130"/>
        <v>0.1868131868</v>
      </c>
      <c r="AU73" s="129"/>
      <c r="AV73" s="39" t="s">
        <v>126</v>
      </c>
      <c r="AW73" s="130">
        <f t="shared" ref="AW73:AX73" si="148">ROUND(AW69*1.02,2)</f>
        <v>17.43</v>
      </c>
      <c r="AX73" s="130">
        <f t="shared" si="148"/>
        <v>2247.59</v>
      </c>
      <c r="AY73" s="130"/>
      <c r="AZ73" s="130">
        <v>5.0</v>
      </c>
      <c r="BA73" s="130">
        <f t="shared" si="136"/>
        <v>2718.2</v>
      </c>
      <c r="BB73" s="130">
        <f t="shared" si="137"/>
        <v>2723.2</v>
      </c>
      <c r="BC73" s="131">
        <f t="shared" si="138"/>
        <v>396.3901019</v>
      </c>
      <c r="BD73" s="132">
        <f t="shared" si="139"/>
        <v>355.7981562</v>
      </c>
      <c r="BE73" s="133"/>
      <c r="BF73" s="134" t="s">
        <v>101</v>
      </c>
      <c r="BG73" s="49"/>
      <c r="BH73" s="116">
        <f t="shared" si="22"/>
        <v>1602.694397</v>
      </c>
      <c r="BI73" s="116">
        <f t="shared" si="23"/>
        <v>961.6166385</v>
      </c>
      <c r="BJ73" s="116">
        <f t="shared" si="24"/>
        <v>801.3471987</v>
      </c>
      <c r="BK73" s="116">
        <f t="shared" si="25"/>
        <v>641.077759</v>
      </c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</row>
    <row r="74" ht="14.25" customHeight="1">
      <c r="A74" s="103" t="s">
        <v>84</v>
      </c>
      <c r="B74" s="103" t="s">
        <v>120</v>
      </c>
      <c r="C74" s="103" t="s">
        <v>120</v>
      </c>
      <c r="D74" s="103" t="s">
        <v>86</v>
      </c>
      <c r="E74" s="104" t="s">
        <v>87</v>
      </c>
      <c r="F74" s="105" t="s">
        <v>207</v>
      </c>
      <c r="G74" s="106" t="s">
        <v>299</v>
      </c>
      <c r="H74" s="106">
        <v>23.0</v>
      </c>
      <c r="I74" s="107" t="s">
        <v>345</v>
      </c>
      <c r="J74" s="138" t="s">
        <v>301</v>
      </c>
      <c r="K74" s="108" t="str">
        <f>_xlfn.XLOOKUP(J74,[1]Sheet1!$A:$A,[1]Sheet1!$B:$B,"")</f>
        <v>#ERROR!</v>
      </c>
      <c r="L74" s="105" t="s">
        <v>302</v>
      </c>
      <c r="M74" s="105" t="s">
        <v>303</v>
      </c>
      <c r="N74" s="106" t="s">
        <v>106</v>
      </c>
      <c r="O74" s="109" t="s">
        <v>147</v>
      </c>
      <c r="P74" s="110">
        <v>19.0</v>
      </c>
      <c r="Q74" s="103" t="s">
        <v>96</v>
      </c>
      <c r="R74" s="110" t="s">
        <v>97</v>
      </c>
      <c r="S74" s="110">
        <v>9.0</v>
      </c>
      <c r="T74" s="111" t="s">
        <v>304</v>
      </c>
      <c r="U74" s="106" t="s">
        <v>98</v>
      </c>
      <c r="V74" s="112">
        <v>0.0</v>
      </c>
      <c r="W74" s="113">
        <v>60.0</v>
      </c>
      <c r="X74" s="113">
        <v>14.0</v>
      </c>
      <c r="Y74" s="113">
        <v>14.0</v>
      </c>
      <c r="Z74" s="113" t="s">
        <v>148</v>
      </c>
      <c r="AA74" s="114">
        <f t="shared" ref="AA74:AA78" si="149">(BC74/(1-(AK74+2%)))*$F$6</f>
        <v>490.4819277</v>
      </c>
      <c r="AB74" s="115" t="str">
        <f t="shared" si="92"/>
        <v>#REF!</v>
      </c>
      <c r="AC74" s="116">
        <f t="shared" si="5"/>
        <v>424.9957374</v>
      </c>
      <c r="AD74" s="117">
        <f t="shared" si="6"/>
        <v>447.3639341</v>
      </c>
      <c r="AE74" s="118" t="str">
        <f t="shared" si="93"/>
        <v>#REF!</v>
      </c>
      <c r="AF74" s="118" t="str">
        <f t="shared" si="94"/>
        <v>#REF!</v>
      </c>
      <c r="AG74" s="119" t="str">
        <f t="shared" si="95"/>
        <v>#REF!</v>
      </c>
      <c r="AH74" s="120" t="str">
        <f t="shared" si="96"/>
        <v>#REF!</v>
      </c>
      <c r="AI74" s="121">
        <f t="shared" ref="AI74:AI78" si="150">AJ74</f>
        <v>0.07</v>
      </c>
      <c r="AJ74" s="121">
        <v>0.07</v>
      </c>
      <c r="AK74" s="122">
        <v>0.15</v>
      </c>
      <c r="AL74" s="123">
        <f t="shared" si="11"/>
        <v>63.74936061</v>
      </c>
      <c r="AM74" s="122" t="s">
        <v>10</v>
      </c>
      <c r="AN74" s="125">
        <f t="shared" si="12"/>
        <v>424.9957374</v>
      </c>
      <c r="AO74" s="112">
        <f t="shared" si="126"/>
        <v>0.15</v>
      </c>
      <c r="AP74" s="127"/>
      <c r="AQ74" s="128">
        <f t="shared" ref="AQ74:AQ78" si="151">BC74/(1-AI74)*$F$6</f>
        <v>437.7419355</v>
      </c>
      <c r="AR74" s="125">
        <f t="shared" ref="AR74:AR78" si="152">BD74/(1-AJ74)</f>
        <v>388.4369643</v>
      </c>
      <c r="AS74" s="126">
        <f t="shared" si="129"/>
        <v>0.1075268817</v>
      </c>
      <c r="AT74" s="126">
        <f t="shared" si="130"/>
        <v>0.08602150538</v>
      </c>
      <c r="AU74" s="129">
        <v>314.9</v>
      </c>
      <c r="AV74" s="39" t="s">
        <v>149</v>
      </c>
      <c r="AW74" s="130"/>
      <c r="AX74" s="130"/>
      <c r="AY74" s="139">
        <v>183.0</v>
      </c>
      <c r="AZ74" s="130"/>
      <c r="BA74" s="130"/>
      <c r="BB74" s="130"/>
      <c r="BC74" s="137">
        <f t="shared" ref="BC74:BC78" si="153">AY74+($F$4-1500)/1000*P74</f>
        <v>354</v>
      </c>
      <c r="BD74" s="132">
        <f t="shared" ref="BD74:BD78" si="154">(AY74+($F$4-1500)/1000*P74)+($F$10/40/S74/$F$6)</f>
        <v>361.2463768</v>
      </c>
      <c r="BE74" s="39"/>
      <c r="BF74" s="134" t="s">
        <v>101</v>
      </c>
      <c r="BG74" s="49"/>
      <c r="BH74" s="116">
        <f t="shared" si="22"/>
        <v>1416.652458</v>
      </c>
      <c r="BI74" s="116">
        <f t="shared" si="23"/>
        <v>849.9914749</v>
      </c>
      <c r="BJ74" s="116">
        <f t="shared" si="24"/>
        <v>708.326229</v>
      </c>
      <c r="BK74" s="116">
        <f t="shared" si="25"/>
        <v>566.6609832</v>
      </c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</row>
    <row r="75" ht="14.25" customHeight="1">
      <c r="A75" s="103" t="s">
        <v>84</v>
      </c>
      <c r="B75" s="103" t="s">
        <v>120</v>
      </c>
      <c r="C75" s="103" t="s">
        <v>120</v>
      </c>
      <c r="D75" s="103" t="s">
        <v>86</v>
      </c>
      <c r="E75" s="104" t="s">
        <v>87</v>
      </c>
      <c r="F75" s="105" t="s">
        <v>207</v>
      </c>
      <c r="G75" s="106" t="s">
        <v>299</v>
      </c>
      <c r="H75" s="106">
        <v>23.0</v>
      </c>
      <c r="I75" s="107" t="s">
        <v>346</v>
      </c>
      <c r="J75" s="138" t="s">
        <v>306</v>
      </c>
      <c r="K75" s="108" t="str">
        <f>_xlfn.XLOOKUP(J75,[1]Sheet1!$A:$A,[1]Sheet1!$B:$B,"")</f>
        <v>#ERROR!</v>
      </c>
      <c r="L75" s="105" t="s">
        <v>307</v>
      </c>
      <c r="M75" s="105" t="s">
        <v>308</v>
      </c>
      <c r="N75" s="106" t="s">
        <v>106</v>
      </c>
      <c r="O75" s="109" t="s">
        <v>147</v>
      </c>
      <c r="P75" s="110">
        <v>37.0</v>
      </c>
      <c r="Q75" s="103" t="s">
        <v>96</v>
      </c>
      <c r="R75" s="110" t="s">
        <v>97</v>
      </c>
      <c r="S75" s="110">
        <v>4.0</v>
      </c>
      <c r="T75" s="111" t="s">
        <v>309</v>
      </c>
      <c r="U75" s="106" t="s">
        <v>98</v>
      </c>
      <c r="V75" s="112">
        <v>0.0</v>
      </c>
      <c r="W75" s="113">
        <v>60.0</v>
      </c>
      <c r="X75" s="113">
        <v>14.0</v>
      </c>
      <c r="Y75" s="113">
        <v>14.0</v>
      </c>
      <c r="Z75" s="113" t="s">
        <v>148</v>
      </c>
      <c r="AA75" s="114">
        <f t="shared" si="149"/>
        <v>981.9760479</v>
      </c>
      <c r="AB75" s="115" t="str">
        <f t="shared" si="92"/>
        <v>#REF!</v>
      </c>
      <c r="AC75" s="116">
        <f t="shared" si="5"/>
        <v>852.9875413</v>
      </c>
      <c r="AD75" s="117">
        <f t="shared" si="6"/>
        <v>897.8816224</v>
      </c>
      <c r="AE75" s="118" t="str">
        <f t="shared" si="93"/>
        <v>#REF!</v>
      </c>
      <c r="AF75" s="118" t="str">
        <f t="shared" si="94"/>
        <v>#REF!</v>
      </c>
      <c r="AG75" s="119" t="str">
        <f t="shared" si="95"/>
        <v>#REF!</v>
      </c>
      <c r="AH75" s="120" t="str">
        <f t="shared" si="96"/>
        <v>#REF!</v>
      </c>
      <c r="AI75" s="121">
        <f t="shared" si="150"/>
        <v>0.07</v>
      </c>
      <c r="AJ75" s="121">
        <v>0.07</v>
      </c>
      <c r="AK75" s="122">
        <v>0.145</v>
      </c>
      <c r="AL75" s="123">
        <f t="shared" si="11"/>
        <v>123.6831935</v>
      </c>
      <c r="AM75" s="122" t="s">
        <v>10</v>
      </c>
      <c r="AN75" s="125">
        <f t="shared" si="12"/>
        <v>852.9875413</v>
      </c>
      <c r="AO75" s="112">
        <f t="shared" si="126"/>
        <v>0.145</v>
      </c>
      <c r="AP75" s="127"/>
      <c r="AQ75" s="128">
        <f t="shared" si="151"/>
        <v>881.6666667</v>
      </c>
      <c r="AR75" s="125">
        <f t="shared" si="152"/>
        <v>784.1982235</v>
      </c>
      <c r="AS75" s="126">
        <f t="shared" si="129"/>
        <v>0.1021505376</v>
      </c>
      <c r="AT75" s="126">
        <f t="shared" si="130"/>
        <v>0.08064516129</v>
      </c>
      <c r="AU75" s="129">
        <v>646.42</v>
      </c>
      <c r="AV75" s="39" t="s">
        <v>149</v>
      </c>
      <c r="AW75" s="130"/>
      <c r="AX75" s="130"/>
      <c r="AY75" s="139">
        <v>380.0</v>
      </c>
      <c r="AZ75" s="130"/>
      <c r="BA75" s="130"/>
      <c r="BB75" s="130"/>
      <c r="BC75" s="137">
        <f t="shared" si="153"/>
        <v>713</v>
      </c>
      <c r="BD75" s="132">
        <f t="shared" si="154"/>
        <v>729.3043478</v>
      </c>
      <c r="BE75" s="39"/>
      <c r="BF75" s="134" t="s">
        <v>101</v>
      </c>
      <c r="BG75" s="49"/>
      <c r="BH75" s="116">
        <f t="shared" si="22"/>
        <v>2843.291804</v>
      </c>
      <c r="BI75" s="116">
        <f t="shared" si="23"/>
        <v>1705.975083</v>
      </c>
      <c r="BJ75" s="116">
        <f t="shared" si="24"/>
        <v>1421.645902</v>
      </c>
      <c r="BK75" s="116">
        <f t="shared" si="25"/>
        <v>1137.316722</v>
      </c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</row>
    <row r="76" ht="14.25" customHeight="1">
      <c r="A76" s="103" t="s">
        <v>84</v>
      </c>
      <c r="B76" s="103" t="s">
        <v>120</v>
      </c>
      <c r="C76" s="103" t="s">
        <v>85</v>
      </c>
      <c r="D76" s="103" t="s">
        <v>86</v>
      </c>
      <c r="E76" s="104" t="s">
        <v>87</v>
      </c>
      <c r="F76" s="105" t="s">
        <v>207</v>
      </c>
      <c r="G76" s="106" t="s">
        <v>299</v>
      </c>
      <c r="H76" s="106">
        <v>23.0</v>
      </c>
      <c r="I76" s="107" t="s">
        <v>347</v>
      </c>
      <c r="J76" s="138" t="s">
        <v>311</v>
      </c>
      <c r="K76" s="108" t="str">
        <f>_xlfn.XLOOKUP(J76,[1]Sheet1!$A:$A,[1]Sheet1!$B:$B,"")</f>
        <v>#ERROR!</v>
      </c>
      <c r="L76" s="105" t="s">
        <v>312</v>
      </c>
      <c r="M76" s="105" t="s">
        <v>313</v>
      </c>
      <c r="N76" s="106" t="s">
        <v>106</v>
      </c>
      <c r="O76" s="109" t="s">
        <v>147</v>
      </c>
      <c r="P76" s="110">
        <v>19.0</v>
      </c>
      <c r="Q76" s="103" t="s">
        <v>96</v>
      </c>
      <c r="R76" s="110" t="s">
        <v>97</v>
      </c>
      <c r="S76" s="110">
        <v>9.0</v>
      </c>
      <c r="T76" s="111"/>
      <c r="U76" s="106" t="s">
        <v>98</v>
      </c>
      <c r="V76" s="112">
        <v>0.0</v>
      </c>
      <c r="W76" s="113">
        <v>60.0</v>
      </c>
      <c r="X76" s="113">
        <v>14.0</v>
      </c>
      <c r="Y76" s="113">
        <v>14.0</v>
      </c>
      <c r="Z76" s="113" t="s">
        <v>148</v>
      </c>
      <c r="AA76" s="114">
        <f t="shared" si="149"/>
        <v>491.8674699</v>
      </c>
      <c r="AB76" s="115" t="str">
        <f t="shared" si="92"/>
        <v>#REF!</v>
      </c>
      <c r="AC76" s="116">
        <f t="shared" si="5"/>
        <v>426.172208</v>
      </c>
      <c r="AD76" s="117">
        <f t="shared" si="6"/>
        <v>448.6023242</v>
      </c>
      <c r="AE76" s="118" t="str">
        <f t="shared" si="93"/>
        <v>#REF!</v>
      </c>
      <c r="AF76" s="118" t="str">
        <f t="shared" si="94"/>
        <v>#REF!</v>
      </c>
      <c r="AG76" s="119" t="str">
        <f t="shared" si="95"/>
        <v>#REF!</v>
      </c>
      <c r="AH76" s="120" t="str">
        <f t="shared" si="96"/>
        <v>#REF!</v>
      </c>
      <c r="AI76" s="121">
        <f t="shared" si="150"/>
        <v>0.07</v>
      </c>
      <c r="AJ76" s="121">
        <v>0.07</v>
      </c>
      <c r="AK76" s="122">
        <v>0.15</v>
      </c>
      <c r="AL76" s="123">
        <f t="shared" si="11"/>
        <v>63.9258312</v>
      </c>
      <c r="AM76" s="122" t="s">
        <v>10</v>
      </c>
      <c r="AN76" s="125">
        <f t="shared" si="12"/>
        <v>426.172208</v>
      </c>
      <c r="AO76" s="112">
        <f t="shared" si="126"/>
        <v>0.15</v>
      </c>
      <c r="AP76" s="127"/>
      <c r="AQ76" s="128">
        <f t="shared" si="151"/>
        <v>438.9784946</v>
      </c>
      <c r="AR76" s="125">
        <f t="shared" si="152"/>
        <v>389.5122331</v>
      </c>
      <c r="AS76" s="126">
        <f t="shared" si="129"/>
        <v>0.1075268817</v>
      </c>
      <c r="AT76" s="126">
        <f t="shared" si="130"/>
        <v>0.08602150538</v>
      </c>
      <c r="AU76" s="129">
        <v>343.16</v>
      </c>
      <c r="AV76" s="39" t="s">
        <v>149</v>
      </c>
      <c r="AW76" s="130"/>
      <c r="AX76" s="130"/>
      <c r="AY76" s="139">
        <v>184.0</v>
      </c>
      <c r="AZ76" s="130"/>
      <c r="BA76" s="130"/>
      <c r="BB76" s="130"/>
      <c r="BC76" s="137">
        <f t="shared" si="153"/>
        <v>355</v>
      </c>
      <c r="BD76" s="132">
        <f t="shared" si="154"/>
        <v>362.2463768</v>
      </c>
      <c r="BE76" s="39"/>
      <c r="BF76" s="134" t="s">
        <v>101</v>
      </c>
      <c r="BG76" s="49"/>
      <c r="BH76" s="116">
        <f t="shared" si="22"/>
        <v>1420.574027</v>
      </c>
      <c r="BI76" s="116">
        <f t="shared" si="23"/>
        <v>852.344416</v>
      </c>
      <c r="BJ76" s="116">
        <f t="shared" si="24"/>
        <v>710.2870134</v>
      </c>
      <c r="BK76" s="116">
        <f t="shared" si="25"/>
        <v>568.2296107</v>
      </c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</row>
    <row r="77" ht="14.25" customHeight="1">
      <c r="A77" s="103" t="s">
        <v>84</v>
      </c>
      <c r="B77" s="103" t="s">
        <v>120</v>
      </c>
      <c r="C77" s="103" t="s">
        <v>85</v>
      </c>
      <c r="D77" s="103" t="s">
        <v>86</v>
      </c>
      <c r="E77" s="104" t="s">
        <v>87</v>
      </c>
      <c r="F77" s="105" t="s">
        <v>207</v>
      </c>
      <c r="G77" s="106" t="s">
        <v>299</v>
      </c>
      <c r="H77" s="106">
        <v>23.0</v>
      </c>
      <c r="I77" s="107" t="s">
        <v>348</v>
      </c>
      <c r="J77" s="138" t="s">
        <v>315</v>
      </c>
      <c r="K77" s="108" t="str">
        <f>_xlfn.XLOOKUP(J77,[1]Sheet1!$A:$A,[1]Sheet1!$B:$B,"")</f>
        <v>#ERROR!</v>
      </c>
      <c r="L77" s="105" t="s">
        <v>316</v>
      </c>
      <c r="M77" s="105" t="s">
        <v>317</v>
      </c>
      <c r="N77" s="106" t="s">
        <v>106</v>
      </c>
      <c r="O77" s="109" t="s">
        <v>147</v>
      </c>
      <c r="P77" s="110">
        <v>37.0</v>
      </c>
      <c r="Q77" s="103" t="s">
        <v>96</v>
      </c>
      <c r="R77" s="110" t="s">
        <v>97</v>
      </c>
      <c r="S77" s="110">
        <v>4.0</v>
      </c>
      <c r="T77" s="111"/>
      <c r="U77" s="106" t="s">
        <v>98</v>
      </c>
      <c r="V77" s="112">
        <v>0.0</v>
      </c>
      <c r="W77" s="113">
        <v>60.0</v>
      </c>
      <c r="X77" s="113">
        <v>14.0</v>
      </c>
      <c r="Y77" s="113">
        <v>14.0</v>
      </c>
      <c r="Z77" s="113" t="s">
        <v>148</v>
      </c>
      <c r="AA77" s="114">
        <f t="shared" si="149"/>
        <v>1015.02994</v>
      </c>
      <c r="AB77" s="115" t="str">
        <f t="shared" si="92"/>
        <v>#REF!</v>
      </c>
      <c r="AC77" s="116">
        <f t="shared" si="5"/>
        <v>881.0577168</v>
      </c>
      <c r="AD77" s="117">
        <f t="shared" si="6"/>
        <v>927.4291755</v>
      </c>
      <c r="AE77" s="118" t="str">
        <f t="shared" si="93"/>
        <v>#REF!</v>
      </c>
      <c r="AF77" s="118" t="str">
        <f t="shared" si="94"/>
        <v>#REF!</v>
      </c>
      <c r="AG77" s="119" t="str">
        <f t="shared" si="95"/>
        <v>#REF!</v>
      </c>
      <c r="AH77" s="120" t="str">
        <f t="shared" si="96"/>
        <v>#REF!</v>
      </c>
      <c r="AI77" s="121">
        <f t="shared" si="150"/>
        <v>0.07</v>
      </c>
      <c r="AJ77" s="121">
        <v>0.07</v>
      </c>
      <c r="AK77" s="122">
        <v>0.145</v>
      </c>
      <c r="AL77" s="123">
        <f t="shared" si="11"/>
        <v>127.7533689</v>
      </c>
      <c r="AM77" s="122" t="s">
        <v>10</v>
      </c>
      <c r="AN77" s="125">
        <f t="shared" si="12"/>
        <v>881.0577168</v>
      </c>
      <c r="AO77" s="145">
        <f t="shared" si="126"/>
        <v>0.145</v>
      </c>
      <c r="AP77" s="127"/>
      <c r="AQ77" s="128">
        <f t="shared" si="151"/>
        <v>911.344086</v>
      </c>
      <c r="AR77" s="125">
        <f t="shared" si="152"/>
        <v>810.0046751</v>
      </c>
      <c r="AS77" s="148">
        <f t="shared" si="129"/>
        <v>0.1021505376</v>
      </c>
      <c r="AT77" s="148">
        <f t="shared" si="130"/>
        <v>0.08064516129</v>
      </c>
      <c r="AU77" s="129">
        <v>660.09</v>
      </c>
      <c r="AV77" s="39" t="s">
        <v>149</v>
      </c>
      <c r="AW77" s="130"/>
      <c r="AX77" s="130"/>
      <c r="AY77" s="139">
        <v>404.0</v>
      </c>
      <c r="AZ77" s="130"/>
      <c r="BA77" s="130"/>
      <c r="BB77" s="130"/>
      <c r="BC77" s="137">
        <f t="shared" si="153"/>
        <v>737</v>
      </c>
      <c r="BD77" s="132">
        <f t="shared" si="154"/>
        <v>753.3043478</v>
      </c>
      <c r="BE77" s="39"/>
      <c r="BF77" s="134" t="s">
        <v>101</v>
      </c>
      <c r="BG77" s="49"/>
      <c r="BH77" s="116">
        <f t="shared" si="22"/>
        <v>2936.859056</v>
      </c>
      <c r="BI77" s="116">
        <f t="shared" si="23"/>
        <v>1762.115434</v>
      </c>
      <c r="BJ77" s="116">
        <f t="shared" si="24"/>
        <v>1468.429528</v>
      </c>
      <c r="BK77" s="116">
        <f t="shared" si="25"/>
        <v>1174.743622</v>
      </c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</row>
    <row r="78" ht="14.25" customHeight="1">
      <c r="A78" s="103" t="s">
        <v>84</v>
      </c>
      <c r="B78" s="103" t="s">
        <v>85</v>
      </c>
      <c r="C78" s="103" t="s">
        <v>120</v>
      </c>
      <c r="D78" s="103" t="s">
        <v>86</v>
      </c>
      <c r="E78" s="104" t="s">
        <v>87</v>
      </c>
      <c r="F78" s="105" t="s">
        <v>207</v>
      </c>
      <c r="G78" s="106" t="s">
        <v>299</v>
      </c>
      <c r="H78" s="106">
        <v>23.0</v>
      </c>
      <c r="I78" s="107" t="s">
        <v>349</v>
      </c>
      <c r="J78" s="138" t="s">
        <v>350</v>
      </c>
      <c r="K78" s="108" t="str">
        <f>_xlfn.XLOOKUP(J78,[1]Sheet1!$A:$A,[1]Sheet1!$B:$B,"")</f>
        <v>#ERROR!</v>
      </c>
      <c r="L78" s="105" t="s">
        <v>330</v>
      </c>
      <c r="M78" s="105" t="s">
        <v>331</v>
      </c>
      <c r="N78" s="106" t="s">
        <v>162</v>
      </c>
      <c r="O78" s="109" t="s">
        <v>147</v>
      </c>
      <c r="P78" s="110">
        <v>38.0</v>
      </c>
      <c r="Q78" s="103" t="s">
        <v>96</v>
      </c>
      <c r="R78" s="110" t="s">
        <v>97</v>
      </c>
      <c r="S78" s="110">
        <v>4.0</v>
      </c>
      <c r="T78" s="111"/>
      <c r="U78" s="106" t="s">
        <v>98</v>
      </c>
      <c r="V78" s="112">
        <v>0.0</v>
      </c>
      <c r="W78" s="113">
        <v>60.0</v>
      </c>
      <c r="X78" s="113">
        <v>14.0</v>
      </c>
      <c r="Y78" s="113">
        <v>14.0</v>
      </c>
      <c r="Z78" s="113" t="s">
        <v>148</v>
      </c>
      <c r="AA78" s="114">
        <f t="shared" si="149"/>
        <v>1056.606061</v>
      </c>
      <c r="AB78" s="115" t="str">
        <f t="shared" si="92"/>
        <v>#REF!</v>
      </c>
      <c r="AC78" s="116">
        <f t="shared" si="5"/>
        <v>916.3365063</v>
      </c>
      <c r="AD78" s="117">
        <f t="shared" si="6"/>
        <v>964.5647435</v>
      </c>
      <c r="AE78" s="118" t="str">
        <f t="shared" si="93"/>
        <v>#REF!</v>
      </c>
      <c r="AF78" s="118" t="str">
        <f t="shared" si="94"/>
        <v>#REF!</v>
      </c>
      <c r="AG78" s="119" t="str">
        <f t="shared" si="95"/>
        <v>#REF!</v>
      </c>
      <c r="AH78" s="120" t="str">
        <f t="shared" si="96"/>
        <v>#REF!</v>
      </c>
      <c r="AI78" s="121">
        <f t="shared" si="150"/>
        <v>0.07</v>
      </c>
      <c r="AJ78" s="121">
        <v>0.07</v>
      </c>
      <c r="AK78" s="122">
        <v>0.155</v>
      </c>
      <c r="AL78" s="123">
        <f t="shared" si="11"/>
        <v>142.0321585</v>
      </c>
      <c r="AM78" s="122" t="s">
        <v>10</v>
      </c>
      <c r="AN78" s="125">
        <f t="shared" si="12"/>
        <v>916.3365063</v>
      </c>
      <c r="AO78" s="145">
        <f t="shared" si="126"/>
        <v>0.155</v>
      </c>
      <c r="AP78" s="127"/>
      <c r="AQ78" s="128">
        <f t="shared" si="151"/>
        <v>937.311828</v>
      </c>
      <c r="AR78" s="125">
        <f t="shared" si="152"/>
        <v>832.5853202</v>
      </c>
      <c r="AS78" s="148">
        <f t="shared" si="129"/>
        <v>0.1129032258</v>
      </c>
      <c r="AT78" s="148">
        <f t="shared" si="130"/>
        <v>0.09139784946</v>
      </c>
      <c r="AU78" s="129"/>
      <c r="AV78" s="39" t="s">
        <v>149</v>
      </c>
      <c r="AW78" s="130"/>
      <c r="AX78" s="130"/>
      <c r="AY78" s="139">
        <v>416.0</v>
      </c>
      <c r="AZ78" s="130"/>
      <c r="BA78" s="130"/>
      <c r="BB78" s="130"/>
      <c r="BC78" s="137">
        <f t="shared" si="153"/>
        <v>758</v>
      </c>
      <c r="BD78" s="132">
        <f t="shared" si="154"/>
        <v>774.3043478</v>
      </c>
      <c r="BE78" s="39"/>
      <c r="BF78" s="134" t="s">
        <v>101</v>
      </c>
      <c r="BG78" s="49"/>
      <c r="BH78" s="118">
        <f t="shared" si="22"/>
        <v>3054.455021</v>
      </c>
      <c r="BI78" s="118">
        <f t="shared" si="23"/>
        <v>1832.673013</v>
      </c>
      <c r="BJ78" s="118">
        <f t="shared" si="24"/>
        <v>1527.227511</v>
      </c>
      <c r="BK78" s="118">
        <f t="shared" si="25"/>
        <v>1221.782008</v>
      </c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</row>
    <row r="79" ht="14.25" customHeight="1">
      <c r="A79" s="105" t="s">
        <v>84</v>
      </c>
      <c r="B79" s="103" t="s">
        <v>85</v>
      </c>
      <c r="C79" s="103" t="s">
        <v>120</v>
      </c>
      <c r="D79" s="105" t="s">
        <v>86</v>
      </c>
      <c r="E79" s="105" t="s">
        <v>87</v>
      </c>
      <c r="F79" s="105" t="s">
        <v>207</v>
      </c>
      <c r="G79" s="106" t="s">
        <v>351</v>
      </c>
      <c r="H79" s="106">
        <v>23.0</v>
      </c>
      <c r="I79" s="107" t="s">
        <v>352</v>
      </c>
      <c r="J79" s="108" t="s">
        <v>353</v>
      </c>
      <c r="K79" s="108" t="str">
        <f>_xlfn.XLOOKUP(J79,[1]Sheet1!$A:$A,[1]Sheet1!$B:$B,"")</f>
        <v>#ERROR!</v>
      </c>
      <c r="L79" s="105" t="s">
        <v>354</v>
      </c>
      <c r="M79" s="105" t="s">
        <v>355</v>
      </c>
      <c r="N79" s="106" t="s">
        <v>106</v>
      </c>
      <c r="O79" s="109" t="s">
        <v>95</v>
      </c>
      <c r="P79" s="110">
        <v>21.0</v>
      </c>
      <c r="Q79" s="103" t="s">
        <v>96</v>
      </c>
      <c r="R79" s="110" t="s">
        <v>97</v>
      </c>
      <c r="S79" s="110">
        <v>9.0</v>
      </c>
      <c r="T79" s="111" t="s">
        <v>356</v>
      </c>
      <c r="U79" s="106" t="s">
        <v>98</v>
      </c>
      <c r="V79" s="112">
        <v>0.0</v>
      </c>
      <c r="W79" s="113">
        <v>45.0</v>
      </c>
      <c r="X79" s="113">
        <v>45.0</v>
      </c>
      <c r="Y79" s="113">
        <v>55.0</v>
      </c>
      <c r="Z79" s="113" t="s">
        <v>99</v>
      </c>
      <c r="AA79" s="114">
        <f t="shared" ref="AA79:AA82" si="156">BC79/(1-(AK79+2%))</f>
        <v>551.5414474</v>
      </c>
      <c r="AB79" s="115" t="str">
        <f t="shared" si="92"/>
        <v>#REF!</v>
      </c>
      <c r="AC79" s="116">
        <f t="shared" si="5"/>
        <v>481.500116</v>
      </c>
      <c r="AD79" s="117">
        <f t="shared" si="6"/>
        <v>506.8422274</v>
      </c>
      <c r="AE79" s="118" t="str">
        <f t="shared" si="93"/>
        <v>#REF!</v>
      </c>
      <c r="AF79" s="118" t="str">
        <f t="shared" si="94"/>
        <v>#REF!</v>
      </c>
      <c r="AG79" s="119" t="str">
        <f t="shared" si="95"/>
        <v>#REF!</v>
      </c>
      <c r="AH79" s="120" t="str">
        <f t="shared" si="96"/>
        <v>#REF!</v>
      </c>
      <c r="AI79" s="121">
        <v>0.09</v>
      </c>
      <c r="AJ79" s="121">
        <v>0.09</v>
      </c>
      <c r="AK79" s="122">
        <v>0.2</v>
      </c>
      <c r="AL79" s="123">
        <f t="shared" si="11"/>
        <v>96.30002321</v>
      </c>
      <c r="AM79" s="124" t="s">
        <v>10</v>
      </c>
      <c r="AN79" s="125">
        <f t="shared" si="12"/>
        <v>481.500116</v>
      </c>
      <c r="AO79" s="126">
        <f t="shared" si="126"/>
        <v>0.2</v>
      </c>
      <c r="AP79" s="127"/>
      <c r="AQ79" s="128">
        <f t="shared" ref="AQ79:AR79" si="155">BC79/(1-AI79)</f>
        <v>472.7498121</v>
      </c>
      <c r="AR79" s="125">
        <f t="shared" si="155"/>
        <v>423.2968053</v>
      </c>
      <c r="AS79" s="126">
        <f t="shared" si="129"/>
        <v>0.1428571429</v>
      </c>
      <c r="AT79" s="126">
        <f t="shared" si="130"/>
        <v>0.1208791209</v>
      </c>
      <c r="AU79" s="129">
        <v>390.71</v>
      </c>
      <c r="AV79" s="39" t="s">
        <v>126</v>
      </c>
      <c r="AW79" s="130">
        <v>20.41</v>
      </c>
      <c r="AX79" s="130">
        <v>2399.42</v>
      </c>
      <c r="AY79" s="130"/>
      <c r="AZ79" s="130">
        <v>5.0</v>
      </c>
      <c r="BA79" s="130">
        <f t="shared" ref="BA79:BA82" si="158">($F$2-70000)/1000*AW79+AX79</f>
        <v>2950.49</v>
      </c>
      <c r="BB79" s="130">
        <f t="shared" ref="BB79:BB82" si="159">AZ79+BA79</f>
        <v>2955.49</v>
      </c>
      <c r="BC79" s="131">
        <f t="shared" ref="BC79:BC82" si="160">(AZ79+BA79)/$F$5</f>
        <v>430.202329</v>
      </c>
      <c r="BD79" s="132">
        <f t="shared" ref="BD79:BD82" si="161">(BC79/$F$6)+(($F$9+$G$9)/40/S79)+BC79*V79</f>
        <v>385.2000928</v>
      </c>
      <c r="BE79" s="133"/>
      <c r="BF79" s="134" t="s">
        <v>101</v>
      </c>
      <c r="BG79" s="49"/>
      <c r="BH79" s="116">
        <f t="shared" si="22"/>
        <v>1605.000387</v>
      </c>
      <c r="BI79" s="116">
        <f t="shared" si="23"/>
        <v>963.0002321</v>
      </c>
      <c r="BJ79" s="116">
        <f t="shared" si="24"/>
        <v>802.5001934</v>
      </c>
      <c r="BK79" s="116">
        <f t="shared" si="25"/>
        <v>642.0001547</v>
      </c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</row>
    <row r="80" ht="14.25" customHeight="1">
      <c r="A80" s="105" t="s">
        <v>84</v>
      </c>
      <c r="B80" s="103" t="s">
        <v>85</v>
      </c>
      <c r="C80" s="103" t="s">
        <v>120</v>
      </c>
      <c r="D80" s="105" t="s">
        <v>86</v>
      </c>
      <c r="E80" s="105" t="s">
        <v>87</v>
      </c>
      <c r="F80" s="105" t="s">
        <v>207</v>
      </c>
      <c r="G80" s="106" t="s">
        <v>351</v>
      </c>
      <c r="H80" s="106">
        <v>23.0</v>
      </c>
      <c r="I80" s="107" t="s">
        <v>357</v>
      </c>
      <c r="J80" s="108" t="s">
        <v>358</v>
      </c>
      <c r="K80" s="108" t="str">
        <f>_xlfn.XLOOKUP(J80,[1]Sheet1!$A:$A,[1]Sheet1!$B:$B,"")</f>
        <v>#ERROR!</v>
      </c>
      <c r="L80" s="105" t="s">
        <v>359</v>
      </c>
      <c r="M80" s="105" t="s">
        <v>360</v>
      </c>
      <c r="N80" s="106" t="s">
        <v>106</v>
      </c>
      <c r="O80" s="109" t="s">
        <v>95</v>
      </c>
      <c r="P80" s="110">
        <v>21.0</v>
      </c>
      <c r="Q80" s="103" t="s">
        <v>96</v>
      </c>
      <c r="R80" s="110" t="s">
        <v>97</v>
      </c>
      <c r="S80" s="110">
        <v>4.0</v>
      </c>
      <c r="T80" s="111"/>
      <c r="U80" s="106" t="s">
        <v>98</v>
      </c>
      <c r="V80" s="112">
        <v>0.0</v>
      </c>
      <c r="W80" s="113">
        <v>45.0</v>
      </c>
      <c r="X80" s="113">
        <v>45.0</v>
      </c>
      <c r="Y80" s="113">
        <v>55.0</v>
      </c>
      <c r="Z80" s="113" t="s">
        <v>99</v>
      </c>
      <c r="AA80" s="114">
        <f t="shared" si="156"/>
        <v>1129.016012</v>
      </c>
      <c r="AB80" s="115" t="str">
        <f t="shared" si="92"/>
        <v>#REF!</v>
      </c>
      <c r="AC80" s="116">
        <f t="shared" si="5"/>
        <v>988.4592273</v>
      </c>
      <c r="AD80" s="117">
        <f t="shared" si="6"/>
        <v>1040.483397</v>
      </c>
      <c r="AE80" s="118" t="str">
        <f t="shared" si="93"/>
        <v>#REF!</v>
      </c>
      <c r="AF80" s="118" t="str">
        <f t="shared" si="94"/>
        <v>#REF!</v>
      </c>
      <c r="AG80" s="119" t="str">
        <f t="shared" si="95"/>
        <v>#REF!</v>
      </c>
      <c r="AH80" s="120" t="str">
        <f t="shared" si="96"/>
        <v>#REF!</v>
      </c>
      <c r="AI80" s="121">
        <v>0.09</v>
      </c>
      <c r="AJ80" s="121">
        <v>0.09</v>
      </c>
      <c r="AK80" s="122">
        <v>0.2</v>
      </c>
      <c r="AL80" s="123">
        <f t="shared" si="11"/>
        <v>197.6918455</v>
      </c>
      <c r="AM80" s="124" t="s">
        <v>10</v>
      </c>
      <c r="AN80" s="125">
        <f t="shared" si="12"/>
        <v>988.4592273</v>
      </c>
      <c r="AO80" s="126">
        <f t="shared" si="126"/>
        <v>0.2</v>
      </c>
      <c r="AP80" s="127"/>
      <c r="AQ80" s="128">
        <f t="shared" ref="AQ80:AR80" si="157">BC80/(1-AI80)</f>
        <v>967.72801</v>
      </c>
      <c r="AR80" s="125">
        <f t="shared" si="157"/>
        <v>868.9751448</v>
      </c>
      <c r="AS80" s="126">
        <f t="shared" si="129"/>
        <v>0.1428571429</v>
      </c>
      <c r="AT80" s="126">
        <f t="shared" si="130"/>
        <v>0.1208791209</v>
      </c>
      <c r="AU80" s="129"/>
      <c r="AV80" s="39" t="s">
        <v>126</v>
      </c>
      <c r="AW80" s="130">
        <v>40.82</v>
      </c>
      <c r="AX80" s="130">
        <f>2399.42*2*1.03</f>
        <v>4942.8052</v>
      </c>
      <c r="AY80" s="130"/>
      <c r="AZ80" s="130">
        <v>5.0</v>
      </c>
      <c r="BA80" s="130">
        <f t="shared" si="158"/>
        <v>6044.9452</v>
      </c>
      <c r="BB80" s="130">
        <f t="shared" si="159"/>
        <v>6049.9452</v>
      </c>
      <c r="BC80" s="131">
        <f t="shared" si="160"/>
        <v>880.6324891</v>
      </c>
      <c r="BD80" s="132">
        <f t="shared" si="161"/>
        <v>790.7673818</v>
      </c>
      <c r="BE80" s="133"/>
      <c r="BF80" s="134" t="s">
        <v>101</v>
      </c>
      <c r="BG80" s="49"/>
      <c r="BH80" s="116">
        <f t="shared" si="22"/>
        <v>3294.864091</v>
      </c>
      <c r="BI80" s="116">
        <f t="shared" si="23"/>
        <v>1976.918455</v>
      </c>
      <c r="BJ80" s="116">
        <f t="shared" si="24"/>
        <v>1647.432045</v>
      </c>
      <c r="BK80" s="116">
        <f t="shared" si="25"/>
        <v>1317.945636</v>
      </c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</row>
    <row r="81" ht="14.25" customHeight="1">
      <c r="A81" s="105" t="s">
        <v>84</v>
      </c>
      <c r="B81" s="103" t="s">
        <v>120</v>
      </c>
      <c r="C81" s="103" t="s">
        <v>120</v>
      </c>
      <c r="D81" s="105" t="s">
        <v>86</v>
      </c>
      <c r="E81" s="105" t="s">
        <v>87</v>
      </c>
      <c r="F81" s="105" t="s">
        <v>207</v>
      </c>
      <c r="G81" s="106" t="s">
        <v>351</v>
      </c>
      <c r="H81" s="106">
        <v>23.0</v>
      </c>
      <c r="I81" s="107" t="s">
        <v>361</v>
      </c>
      <c r="J81" s="205" t="s">
        <v>362</v>
      </c>
      <c r="K81" s="108" t="str">
        <f>_xlfn.XLOOKUP(J81,[1]Sheet1!$A:$A,[1]Sheet1!$B:$B,"")</f>
        <v>#ERROR!</v>
      </c>
      <c r="L81" s="105" t="s">
        <v>363</v>
      </c>
      <c r="M81" s="105" t="s">
        <v>364</v>
      </c>
      <c r="N81" s="106" t="s">
        <v>162</v>
      </c>
      <c r="O81" s="109" t="s">
        <v>95</v>
      </c>
      <c r="P81" s="110">
        <v>21.0</v>
      </c>
      <c r="Q81" s="103" t="s">
        <v>96</v>
      </c>
      <c r="R81" s="110" t="s">
        <v>97</v>
      </c>
      <c r="S81" s="110">
        <v>9.0</v>
      </c>
      <c r="T81" s="111"/>
      <c r="U81" s="106" t="s">
        <v>98</v>
      </c>
      <c r="V81" s="112">
        <v>0.0</v>
      </c>
      <c r="W81" s="113">
        <v>45.0</v>
      </c>
      <c r="X81" s="113">
        <v>45.0</v>
      </c>
      <c r="Y81" s="113">
        <v>55.0</v>
      </c>
      <c r="Z81" s="113" t="s">
        <v>99</v>
      </c>
      <c r="AA81" s="114">
        <f t="shared" si="156"/>
        <v>577.3568498</v>
      </c>
      <c r="AB81" s="115" t="str">
        <f t="shared" si="92"/>
        <v>#REF!</v>
      </c>
      <c r="AC81" s="116">
        <f t="shared" si="5"/>
        <v>503.40402</v>
      </c>
      <c r="AD81" s="117">
        <f t="shared" si="6"/>
        <v>529.8989684</v>
      </c>
      <c r="AE81" s="118" t="str">
        <f t="shared" si="93"/>
        <v>#REF!</v>
      </c>
      <c r="AF81" s="118" t="str">
        <f t="shared" si="94"/>
        <v>#REF!</v>
      </c>
      <c r="AG81" s="119" t="str">
        <f t="shared" si="95"/>
        <v>#REF!</v>
      </c>
      <c r="AH81" s="120" t="str">
        <f t="shared" si="96"/>
        <v>#REF!</v>
      </c>
      <c r="AI81" s="121">
        <v>0.09</v>
      </c>
      <c r="AJ81" s="121">
        <v>0.09</v>
      </c>
      <c r="AK81" s="122">
        <v>0.21</v>
      </c>
      <c r="AL81" s="123">
        <f t="shared" si="11"/>
        <v>105.7148442</v>
      </c>
      <c r="AM81" s="124" t="s">
        <v>10</v>
      </c>
      <c r="AN81" s="125">
        <f t="shared" si="12"/>
        <v>503.40402</v>
      </c>
      <c r="AO81" s="126">
        <f t="shared" si="126"/>
        <v>0.21</v>
      </c>
      <c r="AP81" s="127"/>
      <c r="AQ81" s="128">
        <f t="shared" ref="AQ81:AR81" si="162">BC81/(1-AI81)</f>
        <v>488.5327191</v>
      </c>
      <c r="AR81" s="125">
        <f t="shared" si="162"/>
        <v>437.0210723</v>
      </c>
      <c r="AS81" s="126">
        <f t="shared" si="129"/>
        <v>0.1538461538</v>
      </c>
      <c r="AT81" s="126">
        <f t="shared" si="130"/>
        <v>0.1318681319</v>
      </c>
      <c r="AU81" s="129">
        <v>458.66</v>
      </c>
      <c r="AV81" s="39" t="s">
        <v>126</v>
      </c>
      <c r="AW81" s="130">
        <v>20.35</v>
      </c>
      <c r="AX81" s="130">
        <v>2499.71</v>
      </c>
      <c r="AY81" s="130"/>
      <c r="AZ81" s="130">
        <v>5.0</v>
      </c>
      <c r="BA81" s="130">
        <f t="shared" si="158"/>
        <v>3049.16</v>
      </c>
      <c r="BB81" s="130">
        <f t="shared" si="159"/>
        <v>3054.16</v>
      </c>
      <c r="BC81" s="131">
        <f t="shared" si="160"/>
        <v>444.5647744</v>
      </c>
      <c r="BD81" s="132">
        <f t="shared" si="161"/>
        <v>397.6891758</v>
      </c>
      <c r="BE81" s="133"/>
      <c r="BF81" s="134" t="s">
        <v>101</v>
      </c>
      <c r="BG81" s="49"/>
      <c r="BH81" s="118">
        <f t="shared" si="22"/>
        <v>1678.0134</v>
      </c>
      <c r="BI81" s="118">
        <f t="shared" si="23"/>
        <v>1006.80804</v>
      </c>
      <c r="BJ81" s="118">
        <f t="shared" si="24"/>
        <v>839.0067</v>
      </c>
      <c r="BK81" s="118">
        <f t="shared" si="25"/>
        <v>671.20536</v>
      </c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</row>
    <row r="82" ht="14.25" customHeight="1">
      <c r="A82" s="105" t="s">
        <v>84</v>
      </c>
      <c r="B82" s="103" t="s">
        <v>120</v>
      </c>
      <c r="C82" s="103" t="s">
        <v>120</v>
      </c>
      <c r="D82" s="105" t="s">
        <v>86</v>
      </c>
      <c r="E82" s="105" t="s">
        <v>87</v>
      </c>
      <c r="F82" s="105" t="s">
        <v>207</v>
      </c>
      <c r="G82" s="106" t="s">
        <v>351</v>
      </c>
      <c r="H82" s="106">
        <v>23.0</v>
      </c>
      <c r="I82" s="107" t="s">
        <v>365</v>
      </c>
      <c r="J82" s="108" t="s">
        <v>366</v>
      </c>
      <c r="K82" s="108" t="str">
        <f>_xlfn.XLOOKUP(J82,[1]Sheet1!$A:$A,[1]Sheet1!$B:$B,"")</f>
        <v>#ERROR!</v>
      </c>
      <c r="L82" s="105" t="s">
        <v>367</v>
      </c>
      <c r="M82" s="105" t="s">
        <v>368</v>
      </c>
      <c r="N82" s="106" t="s">
        <v>162</v>
      </c>
      <c r="O82" s="109" t="s">
        <v>95</v>
      </c>
      <c r="P82" s="110">
        <v>42.0</v>
      </c>
      <c r="Q82" s="103" t="s">
        <v>96</v>
      </c>
      <c r="R82" s="110" t="s">
        <v>97</v>
      </c>
      <c r="S82" s="110">
        <v>9.0</v>
      </c>
      <c r="T82" s="111"/>
      <c r="U82" s="106" t="s">
        <v>98</v>
      </c>
      <c r="V82" s="112">
        <v>0.0</v>
      </c>
      <c r="W82" s="113">
        <v>45.0</v>
      </c>
      <c r="X82" s="113">
        <v>45.0</v>
      </c>
      <c r="Y82" s="113">
        <v>55.0</v>
      </c>
      <c r="Z82" s="113" t="s">
        <v>99</v>
      </c>
      <c r="AA82" s="114">
        <f t="shared" si="156"/>
        <v>1208.54159</v>
      </c>
      <c r="AB82" s="115" t="str">
        <f t="shared" si="92"/>
        <v>#REF!</v>
      </c>
      <c r="AC82" s="116">
        <f t="shared" si="5"/>
        <v>1036.952205</v>
      </c>
      <c r="AD82" s="117">
        <f t="shared" si="6"/>
        <v>1091.528636</v>
      </c>
      <c r="AE82" s="118" t="str">
        <f t="shared" si="93"/>
        <v>#REF!</v>
      </c>
      <c r="AF82" s="118" t="str">
        <f t="shared" si="94"/>
        <v>#REF!</v>
      </c>
      <c r="AG82" s="119" t="str">
        <f t="shared" si="95"/>
        <v>#REF!</v>
      </c>
      <c r="AH82" s="120" t="str">
        <f t="shared" si="96"/>
        <v>#REF!</v>
      </c>
      <c r="AI82" s="121">
        <v>0.09</v>
      </c>
      <c r="AJ82" s="121">
        <v>0.09</v>
      </c>
      <c r="AK82" s="122">
        <v>0.29</v>
      </c>
      <c r="AL82" s="123">
        <f t="shared" si="11"/>
        <v>300.7161393</v>
      </c>
      <c r="AM82" s="124" t="s">
        <v>10</v>
      </c>
      <c r="AN82" s="125">
        <f t="shared" si="12"/>
        <v>1036.952205</v>
      </c>
      <c r="AO82" s="126">
        <f t="shared" si="126"/>
        <v>0.29</v>
      </c>
      <c r="AP82" s="127"/>
      <c r="AQ82" s="128">
        <f t="shared" ref="AQ82:AR82" si="163">BC82/(1-AI82)</f>
        <v>916.3667003</v>
      </c>
      <c r="AR82" s="125">
        <f t="shared" si="163"/>
        <v>809.0506211</v>
      </c>
      <c r="AS82" s="126">
        <f t="shared" si="129"/>
        <v>0.2417582418</v>
      </c>
      <c r="AT82" s="126">
        <f t="shared" si="130"/>
        <v>0.2197802198</v>
      </c>
      <c r="AU82" s="129"/>
      <c r="AV82" s="39" t="s">
        <v>126</v>
      </c>
      <c r="AW82" s="130">
        <v>20.35</v>
      </c>
      <c r="AX82" s="130">
        <f>2499.71*2*1.035</f>
        <v>5174.3997</v>
      </c>
      <c r="AY82" s="130"/>
      <c r="AZ82" s="130">
        <v>5.0</v>
      </c>
      <c r="BA82" s="130">
        <f t="shared" si="158"/>
        <v>5723.8497</v>
      </c>
      <c r="BB82" s="130">
        <f t="shared" si="159"/>
        <v>5728.8497</v>
      </c>
      <c r="BC82" s="131">
        <f t="shared" si="160"/>
        <v>833.8936972</v>
      </c>
      <c r="BD82" s="132">
        <f t="shared" si="161"/>
        <v>736.2360652</v>
      </c>
      <c r="BE82" s="133"/>
      <c r="BF82" s="134" t="s">
        <v>101</v>
      </c>
      <c r="BG82" s="49"/>
      <c r="BH82" s="118">
        <f t="shared" si="22"/>
        <v>3456.507348</v>
      </c>
      <c r="BI82" s="118">
        <f t="shared" si="23"/>
        <v>2073.904409</v>
      </c>
      <c r="BJ82" s="118">
        <f t="shared" si="24"/>
        <v>1728.253674</v>
      </c>
      <c r="BK82" s="118">
        <f t="shared" si="25"/>
        <v>1382.602939</v>
      </c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</row>
    <row r="83" ht="14.25" customHeight="1">
      <c r="A83" s="105" t="s">
        <v>84</v>
      </c>
      <c r="B83" s="103" t="s">
        <v>120</v>
      </c>
      <c r="C83" s="103" t="s">
        <v>120</v>
      </c>
      <c r="D83" s="105" t="s">
        <v>86</v>
      </c>
      <c r="E83" s="105" t="s">
        <v>87</v>
      </c>
      <c r="F83" s="105" t="s">
        <v>207</v>
      </c>
      <c r="G83" s="106" t="s">
        <v>351</v>
      </c>
      <c r="H83" s="106">
        <v>23.0</v>
      </c>
      <c r="I83" s="107" t="s">
        <v>369</v>
      </c>
      <c r="J83" s="138" t="s">
        <v>362</v>
      </c>
      <c r="K83" s="108" t="str">
        <f>_xlfn.XLOOKUP(J83,[1]Sheet1!$A:$A,[1]Sheet1!$B:$B,"")</f>
        <v>#ERROR!</v>
      </c>
      <c r="L83" s="105" t="s">
        <v>363</v>
      </c>
      <c r="M83" s="105" t="s">
        <v>364</v>
      </c>
      <c r="N83" s="106" t="s">
        <v>162</v>
      </c>
      <c r="O83" s="109" t="s">
        <v>147</v>
      </c>
      <c r="P83" s="110">
        <v>23.0</v>
      </c>
      <c r="Q83" s="103" t="s">
        <v>96</v>
      </c>
      <c r="R83" s="110" t="s">
        <v>97</v>
      </c>
      <c r="S83" s="110">
        <v>9.0</v>
      </c>
      <c r="T83" s="111"/>
      <c r="U83" s="106" t="s">
        <v>98</v>
      </c>
      <c r="V83" s="112">
        <v>0.0</v>
      </c>
      <c r="W83" s="113">
        <v>60.0</v>
      </c>
      <c r="X83" s="113">
        <v>14.0</v>
      </c>
      <c r="Y83" s="113">
        <v>14.0</v>
      </c>
      <c r="Z83" s="113" t="s">
        <v>148</v>
      </c>
      <c r="AA83" s="114">
        <f t="shared" ref="AA83:AA84" si="164">(BC83/(1-(AK83+2%)))*$F$6</f>
        <v>623.0379747</v>
      </c>
      <c r="AB83" s="115" t="str">
        <f t="shared" si="92"/>
        <v>#REF!</v>
      </c>
      <c r="AC83" s="116">
        <f t="shared" si="5"/>
        <v>537.3412059</v>
      </c>
      <c r="AD83" s="117">
        <f t="shared" si="6"/>
        <v>565.622322</v>
      </c>
      <c r="AE83" s="118" t="str">
        <f t="shared" si="93"/>
        <v>#REF!</v>
      </c>
      <c r="AF83" s="118" t="str">
        <f t="shared" si="94"/>
        <v>#REF!</v>
      </c>
      <c r="AG83" s="119" t="str">
        <f t="shared" si="95"/>
        <v>#REF!</v>
      </c>
      <c r="AH83" s="120" t="str">
        <f t="shared" si="96"/>
        <v>#REF!</v>
      </c>
      <c r="AI83" s="121">
        <f t="shared" ref="AI83:AI84" si="165">AJ83</f>
        <v>0.07</v>
      </c>
      <c r="AJ83" s="121">
        <v>0.07</v>
      </c>
      <c r="AK83" s="122">
        <v>0.19</v>
      </c>
      <c r="AL83" s="123">
        <f t="shared" si="11"/>
        <v>102.0948291</v>
      </c>
      <c r="AM83" s="122" t="s">
        <v>10</v>
      </c>
      <c r="AN83" s="125">
        <f t="shared" si="12"/>
        <v>537.3412059</v>
      </c>
      <c r="AO83" s="206">
        <f t="shared" si="126"/>
        <v>0.19</v>
      </c>
      <c r="AP83" s="127"/>
      <c r="AQ83" s="128">
        <f t="shared" ref="AQ83:AQ84" si="166">BC83/(1-AI83)*$F$6</f>
        <v>529.2473118</v>
      </c>
      <c r="AR83" s="125">
        <f t="shared" ref="AR83:AR84" si="167">BD83/(1-AJ83)</f>
        <v>468.0068568</v>
      </c>
      <c r="AS83" s="207">
        <f t="shared" si="129"/>
        <v>0.1505376344</v>
      </c>
      <c r="AT83" s="207">
        <f t="shared" si="130"/>
        <v>0.1290322581</v>
      </c>
      <c r="AU83" s="129">
        <v>458.66</v>
      </c>
      <c r="AV83" s="39" t="s">
        <v>149</v>
      </c>
      <c r="AW83" s="130"/>
      <c r="AX83" s="130"/>
      <c r="AY83" s="139">
        <v>221.0</v>
      </c>
      <c r="AZ83" s="130"/>
      <c r="BA83" s="130"/>
      <c r="BB83" s="130"/>
      <c r="BC83" s="137">
        <f t="shared" ref="BC83:BC84" si="168">AY83+($F$4-1500)/1000*P83</f>
        <v>428</v>
      </c>
      <c r="BD83" s="132">
        <f t="shared" ref="BD83:BD84" si="169">(AY83+($F$4-1500)/1000*P83)+($F$10/40/S83/$F$6)</f>
        <v>435.2463768</v>
      </c>
      <c r="BE83" s="39"/>
      <c r="BF83" s="134" t="s">
        <v>101</v>
      </c>
      <c r="BG83" s="49"/>
      <c r="BH83" s="118">
        <f t="shared" si="22"/>
        <v>1791.137353</v>
      </c>
      <c r="BI83" s="118">
        <f t="shared" si="23"/>
        <v>1074.682412</v>
      </c>
      <c r="BJ83" s="118">
        <f t="shared" si="24"/>
        <v>895.5686766</v>
      </c>
      <c r="BK83" s="118">
        <f t="shared" si="25"/>
        <v>716.4549413</v>
      </c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</row>
    <row r="84" ht="14.25" customHeight="1">
      <c r="A84" s="105" t="s">
        <v>84</v>
      </c>
      <c r="B84" s="103" t="s">
        <v>120</v>
      </c>
      <c r="C84" s="103" t="s">
        <v>120</v>
      </c>
      <c r="D84" s="105" t="s">
        <v>86</v>
      </c>
      <c r="E84" s="105" t="s">
        <v>87</v>
      </c>
      <c r="F84" s="105" t="s">
        <v>207</v>
      </c>
      <c r="G84" s="106" t="s">
        <v>351</v>
      </c>
      <c r="H84" s="106">
        <v>23.0</v>
      </c>
      <c r="I84" s="107" t="s">
        <v>370</v>
      </c>
      <c r="J84" s="138" t="s">
        <v>366</v>
      </c>
      <c r="K84" s="108" t="str">
        <f>_xlfn.XLOOKUP(J84,[1]Sheet1!$A:$A,[1]Sheet1!$B:$B,"")</f>
        <v>#ERROR!</v>
      </c>
      <c r="L84" s="105" t="s">
        <v>367</v>
      </c>
      <c r="M84" s="105" t="s">
        <v>368</v>
      </c>
      <c r="N84" s="106" t="s">
        <v>162</v>
      </c>
      <c r="O84" s="109" t="s">
        <v>147</v>
      </c>
      <c r="P84" s="110">
        <v>46.0</v>
      </c>
      <c r="Q84" s="103" t="s">
        <v>96</v>
      </c>
      <c r="R84" s="110" t="s">
        <v>97</v>
      </c>
      <c r="S84" s="110">
        <v>4.0</v>
      </c>
      <c r="T84" s="111"/>
      <c r="U84" s="106" t="s">
        <v>98</v>
      </c>
      <c r="V84" s="112">
        <v>0.0</v>
      </c>
      <c r="W84" s="113">
        <v>60.0</v>
      </c>
      <c r="X84" s="113">
        <v>14.0</v>
      </c>
      <c r="Y84" s="113">
        <v>14.0</v>
      </c>
      <c r="Z84" s="113" t="s">
        <v>148</v>
      </c>
      <c r="AA84" s="114">
        <f t="shared" si="164"/>
        <v>1284.77707</v>
      </c>
      <c r="AB84" s="115" t="str">
        <f t="shared" si="92"/>
        <v>#REF!</v>
      </c>
      <c r="AC84" s="116">
        <f t="shared" si="5"/>
        <v>1109.694842</v>
      </c>
      <c r="AD84" s="117">
        <f t="shared" si="6"/>
        <v>1168.099834</v>
      </c>
      <c r="AE84" s="118" t="str">
        <f t="shared" si="93"/>
        <v>#REF!</v>
      </c>
      <c r="AF84" s="118" t="str">
        <f t="shared" si="94"/>
        <v>#REF!</v>
      </c>
      <c r="AG84" s="119" t="str">
        <f t="shared" si="95"/>
        <v>#REF!</v>
      </c>
      <c r="AH84" s="120" t="str">
        <f t="shared" si="96"/>
        <v>#REF!</v>
      </c>
      <c r="AI84" s="121">
        <f t="shared" si="165"/>
        <v>0.07</v>
      </c>
      <c r="AJ84" s="121">
        <v>0.07</v>
      </c>
      <c r="AK84" s="122">
        <v>0.19499999999999998</v>
      </c>
      <c r="AL84" s="123">
        <f t="shared" si="11"/>
        <v>216.3904942</v>
      </c>
      <c r="AM84" s="122" t="s">
        <v>10</v>
      </c>
      <c r="AN84" s="125">
        <f t="shared" si="12"/>
        <v>1109.694842</v>
      </c>
      <c r="AO84" s="206">
        <f t="shared" si="126"/>
        <v>0.195</v>
      </c>
      <c r="AP84" s="127"/>
      <c r="AQ84" s="128">
        <f t="shared" si="166"/>
        <v>1084.462366</v>
      </c>
      <c r="AR84" s="125">
        <f t="shared" si="167"/>
        <v>960.5423095</v>
      </c>
      <c r="AS84" s="207">
        <f t="shared" si="129"/>
        <v>0.1559139785</v>
      </c>
      <c r="AT84" s="207">
        <f t="shared" si="130"/>
        <v>0.1344086022</v>
      </c>
      <c r="AU84" s="129"/>
      <c r="AV84" s="39" t="s">
        <v>149</v>
      </c>
      <c r="AW84" s="130"/>
      <c r="AX84" s="130"/>
      <c r="AY84" s="139">
        <v>463.0</v>
      </c>
      <c r="AZ84" s="130"/>
      <c r="BA84" s="130"/>
      <c r="BB84" s="130"/>
      <c r="BC84" s="137">
        <f t="shared" si="168"/>
        <v>877</v>
      </c>
      <c r="BD84" s="132">
        <f t="shared" si="169"/>
        <v>893.3043478</v>
      </c>
      <c r="BE84" s="39"/>
      <c r="BF84" s="134" t="s">
        <v>101</v>
      </c>
      <c r="BG84" s="49"/>
      <c r="BH84" s="118">
        <f t="shared" si="22"/>
        <v>3698.982807</v>
      </c>
      <c r="BI84" s="118">
        <f t="shared" si="23"/>
        <v>2219.389684</v>
      </c>
      <c r="BJ84" s="118">
        <f t="shared" si="24"/>
        <v>1849.491403</v>
      </c>
      <c r="BK84" s="118">
        <f t="shared" si="25"/>
        <v>1479.593123</v>
      </c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</row>
    <row r="85" ht="14.25" customHeight="1">
      <c r="A85" s="105" t="s">
        <v>84</v>
      </c>
      <c r="B85" s="103" t="s">
        <v>120</v>
      </c>
      <c r="C85" s="103" t="s">
        <v>120</v>
      </c>
      <c r="D85" s="105" t="s">
        <v>86</v>
      </c>
      <c r="E85" s="105" t="s">
        <v>87</v>
      </c>
      <c r="F85" s="105" t="s">
        <v>207</v>
      </c>
      <c r="G85" s="106" t="s">
        <v>351</v>
      </c>
      <c r="H85" s="106">
        <v>23.0</v>
      </c>
      <c r="I85" s="107" t="s">
        <v>371</v>
      </c>
      <c r="J85" s="108" t="s">
        <v>372</v>
      </c>
      <c r="K85" s="108" t="str">
        <f>_xlfn.XLOOKUP(J85,[1]Sheet1!$A:$A,[1]Sheet1!$B:$B,"")</f>
        <v>#ERROR!</v>
      </c>
      <c r="L85" s="105" t="s">
        <v>373</v>
      </c>
      <c r="M85" s="105" t="s">
        <v>374</v>
      </c>
      <c r="N85" s="106" t="s">
        <v>162</v>
      </c>
      <c r="O85" s="109" t="s">
        <v>95</v>
      </c>
      <c r="P85" s="110">
        <v>21.0</v>
      </c>
      <c r="Q85" s="103" t="s">
        <v>96</v>
      </c>
      <c r="R85" s="110" t="s">
        <v>97</v>
      </c>
      <c r="S85" s="110">
        <v>9.0</v>
      </c>
      <c r="T85" s="111"/>
      <c r="U85" s="106" t="s">
        <v>98</v>
      </c>
      <c r="V85" s="112">
        <v>0.0</v>
      </c>
      <c r="W85" s="113">
        <v>45.0</v>
      </c>
      <c r="X85" s="113">
        <v>45.0</v>
      </c>
      <c r="Y85" s="113">
        <v>55.0</v>
      </c>
      <c r="Z85" s="113" t="s">
        <v>99</v>
      </c>
      <c r="AA85" s="114">
        <f t="shared" ref="AA85:AA92" si="172">BC85/(1-(AK85+2%))</f>
        <v>647.7735912</v>
      </c>
      <c r="AB85" s="115" t="str">
        <f t="shared" si="92"/>
        <v>#REF!</v>
      </c>
      <c r="AC85" s="116">
        <f t="shared" si="5"/>
        <v>563.0667773</v>
      </c>
      <c r="AD85" s="117">
        <f t="shared" si="6"/>
        <v>592.7018708</v>
      </c>
      <c r="AE85" s="118" t="str">
        <f t="shared" si="93"/>
        <v>#REF!</v>
      </c>
      <c r="AF85" s="118" t="str">
        <f t="shared" si="94"/>
        <v>#REF!</v>
      </c>
      <c r="AG85" s="119" t="str">
        <f t="shared" si="95"/>
        <v>#REF!</v>
      </c>
      <c r="AH85" s="120" t="str">
        <f t="shared" si="96"/>
        <v>#REF!</v>
      </c>
      <c r="AI85" s="121">
        <v>0.09</v>
      </c>
      <c r="AJ85" s="121">
        <v>0.09</v>
      </c>
      <c r="AK85" s="122">
        <v>0.28</v>
      </c>
      <c r="AL85" s="123">
        <f t="shared" si="11"/>
        <v>157.6586976</v>
      </c>
      <c r="AM85" s="124" t="s">
        <v>10</v>
      </c>
      <c r="AN85" s="125">
        <f t="shared" si="12"/>
        <v>563.0667773</v>
      </c>
      <c r="AO85" s="126">
        <f t="shared" si="126"/>
        <v>0.28</v>
      </c>
      <c r="AP85" s="127"/>
      <c r="AQ85" s="128">
        <f t="shared" ref="AQ85:AR85" si="170">BC85/(1-AI85)</f>
        <v>498.2873778</v>
      </c>
      <c r="AR85" s="125">
        <f t="shared" si="170"/>
        <v>445.5033842</v>
      </c>
      <c r="AS85" s="126">
        <f t="shared" si="129"/>
        <v>0.2307692308</v>
      </c>
      <c r="AT85" s="126">
        <f t="shared" si="130"/>
        <v>0.2087912088</v>
      </c>
      <c r="AU85" s="129"/>
      <c r="AV85" s="39" t="s">
        <v>126</v>
      </c>
      <c r="AW85" s="130">
        <f t="shared" ref="AW85:AX85" si="171">AW81*1.02</f>
        <v>20.757</v>
      </c>
      <c r="AX85" s="130">
        <f t="shared" si="171"/>
        <v>2549.7042</v>
      </c>
      <c r="AY85" s="130"/>
      <c r="AZ85" s="130">
        <v>5.0</v>
      </c>
      <c r="BA85" s="130">
        <f t="shared" ref="BA85:BA92" si="174">($F$2-70000)/1000*AW85+AX85</f>
        <v>3110.1432</v>
      </c>
      <c r="BB85" s="130">
        <f t="shared" ref="BB85:BB92" si="175">AZ85+BA85</f>
        <v>3115.1432</v>
      </c>
      <c r="BC85" s="131">
        <f t="shared" ref="BC85:BC92" si="176">(AZ85+BA85)/$F$5</f>
        <v>453.4415138</v>
      </c>
      <c r="BD85" s="132">
        <f t="shared" ref="BD85:BD92" si="177">(BC85/$F$6)+(($F$9+$G$9)/40/S85)+BC85*V85</f>
        <v>405.4080797</v>
      </c>
      <c r="BE85" s="133"/>
      <c r="BF85" s="134" t="s">
        <v>101</v>
      </c>
      <c r="BG85" s="49"/>
      <c r="BH85" s="118">
        <f t="shared" si="22"/>
        <v>1876.889258</v>
      </c>
      <c r="BI85" s="118">
        <f t="shared" si="23"/>
        <v>1126.133555</v>
      </c>
      <c r="BJ85" s="118">
        <f t="shared" si="24"/>
        <v>938.4446288</v>
      </c>
      <c r="BK85" s="118">
        <f t="shared" si="25"/>
        <v>750.7557031</v>
      </c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</row>
    <row r="86" ht="14.25" customHeight="1">
      <c r="A86" s="105" t="s">
        <v>84</v>
      </c>
      <c r="B86" s="103" t="s">
        <v>120</v>
      </c>
      <c r="C86" s="103" t="s">
        <v>120</v>
      </c>
      <c r="D86" s="105" t="s">
        <v>86</v>
      </c>
      <c r="E86" s="105" t="s">
        <v>87</v>
      </c>
      <c r="F86" s="105" t="s">
        <v>207</v>
      </c>
      <c r="G86" s="106" t="s">
        <v>351</v>
      </c>
      <c r="H86" s="106">
        <v>23.0</v>
      </c>
      <c r="I86" s="107" t="s">
        <v>375</v>
      </c>
      <c r="J86" s="108" t="s">
        <v>376</v>
      </c>
      <c r="K86" s="108" t="str">
        <f>_xlfn.XLOOKUP(J86,[1]Sheet1!$A:$A,[1]Sheet1!$B:$B,"")</f>
        <v>#ERROR!</v>
      </c>
      <c r="L86" s="105" t="s">
        <v>377</v>
      </c>
      <c r="M86" s="105" t="s">
        <v>378</v>
      </c>
      <c r="N86" s="106" t="s">
        <v>201</v>
      </c>
      <c r="O86" s="109" t="s">
        <v>95</v>
      </c>
      <c r="P86" s="110">
        <v>35.12</v>
      </c>
      <c r="Q86" s="103" t="s">
        <v>96</v>
      </c>
      <c r="R86" s="110" t="s">
        <v>379</v>
      </c>
      <c r="S86" s="110">
        <v>6.0</v>
      </c>
      <c r="T86" s="111"/>
      <c r="U86" s="106" t="s">
        <v>98</v>
      </c>
      <c r="V86" s="112">
        <v>0.0</v>
      </c>
      <c r="W86" s="113">
        <v>45.0</v>
      </c>
      <c r="X86" s="113">
        <v>45.0</v>
      </c>
      <c r="Y86" s="113">
        <v>55.0</v>
      </c>
      <c r="Z86" s="113" t="s">
        <v>99</v>
      </c>
      <c r="AA86" s="114">
        <f t="shared" si="172"/>
        <v>2266.76648</v>
      </c>
      <c r="AB86" s="115" t="str">
        <f t="shared" si="92"/>
        <v>#REF!</v>
      </c>
      <c r="AC86" s="116">
        <f t="shared" si="5"/>
        <v>1939.496621</v>
      </c>
      <c r="AD86" s="117">
        <f t="shared" si="6"/>
        <v>2041.575391</v>
      </c>
      <c r="AE86" s="118" t="str">
        <f t="shared" si="93"/>
        <v>#REF!</v>
      </c>
      <c r="AF86" s="118" t="str">
        <f t="shared" si="94"/>
        <v>#REF!</v>
      </c>
      <c r="AG86" s="119" t="str">
        <f t="shared" si="95"/>
        <v>#REF!</v>
      </c>
      <c r="AH86" s="120" t="str">
        <f t="shared" si="96"/>
        <v>#REF!</v>
      </c>
      <c r="AI86" s="121">
        <v>0.09</v>
      </c>
      <c r="AJ86" s="121">
        <v>0.09</v>
      </c>
      <c r="AK86" s="122">
        <v>0.28</v>
      </c>
      <c r="AL86" s="123">
        <f t="shared" si="11"/>
        <v>543.0590539</v>
      </c>
      <c r="AM86" s="124" t="s">
        <v>10</v>
      </c>
      <c r="AN86" s="125">
        <f t="shared" si="12"/>
        <v>1939.496621</v>
      </c>
      <c r="AO86" s="126">
        <f t="shared" si="126"/>
        <v>0.28</v>
      </c>
      <c r="AP86" s="127"/>
      <c r="AQ86" s="128">
        <f t="shared" ref="AQ86:AR86" si="173">BC86/(1-AI86)</f>
        <v>1743.666523</v>
      </c>
      <c r="AR86" s="125">
        <f t="shared" si="173"/>
        <v>1534.546777</v>
      </c>
      <c r="AS86" s="126">
        <f t="shared" si="129"/>
        <v>0.2307692308</v>
      </c>
      <c r="AT86" s="126">
        <f t="shared" si="130"/>
        <v>0.2087912088</v>
      </c>
      <c r="AU86" s="129"/>
      <c r="AV86" s="39" t="s">
        <v>100</v>
      </c>
      <c r="AW86" s="130">
        <v>37.41</v>
      </c>
      <c r="AX86" s="130">
        <v>9885.81</v>
      </c>
      <c r="AY86" s="130"/>
      <c r="AZ86" s="130">
        <v>5.0</v>
      </c>
      <c r="BA86" s="130">
        <f t="shared" si="174"/>
        <v>10895.88</v>
      </c>
      <c r="BB86" s="130">
        <f t="shared" si="175"/>
        <v>10900.88</v>
      </c>
      <c r="BC86" s="131">
        <f t="shared" si="176"/>
        <v>1586.736536</v>
      </c>
      <c r="BD86" s="132">
        <f t="shared" si="177"/>
        <v>1396.437567</v>
      </c>
      <c r="BE86" s="135" t="s">
        <v>380</v>
      </c>
      <c r="BF86" s="134" t="s">
        <v>101</v>
      </c>
      <c r="BG86" s="49"/>
      <c r="BH86" s="118">
        <f t="shared" si="22"/>
        <v>6464.988737</v>
      </c>
      <c r="BI86" s="118">
        <f t="shared" si="23"/>
        <v>3878.993242</v>
      </c>
      <c r="BJ86" s="118">
        <f t="shared" si="24"/>
        <v>3232.494369</v>
      </c>
      <c r="BK86" s="118">
        <f t="shared" si="25"/>
        <v>2585.995495</v>
      </c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</row>
    <row r="87" ht="14.25" customHeight="1">
      <c r="A87" s="105" t="s">
        <v>84</v>
      </c>
      <c r="B87" s="103" t="s">
        <v>120</v>
      </c>
      <c r="C87" s="103" t="s">
        <v>120</v>
      </c>
      <c r="D87" s="105" t="s">
        <v>86</v>
      </c>
      <c r="E87" s="105" t="s">
        <v>87</v>
      </c>
      <c r="F87" s="105" t="s">
        <v>207</v>
      </c>
      <c r="G87" s="106" t="s">
        <v>351</v>
      </c>
      <c r="H87" s="106">
        <v>23.0</v>
      </c>
      <c r="I87" s="107" t="s">
        <v>381</v>
      </c>
      <c r="J87" s="108" t="s">
        <v>382</v>
      </c>
      <c r="K87" s="108" t="str">
        <f>_xlfn.XLOOKUP(J87,[1]Sheet1!$A:$A,[1]Sheet1!$B:$B,"")</f>
        <v>#ERROR!</v>
      </c>
      <c r="L87" s="105" t="s">
        <v>383</v>
      </c>
      <c r="M87" s="105" t="s">
        <v>384</v>
      </c>
      <c r="N87" s="106" t="s">
        <v>201</v>
      </c>
      <c r="O87" s="109" t="s">
        <v>95</v>
      </c>
      <c r="P87" s="110">
        <v>23.77</v>
      </c>
      <c r="Q87" s="103" t="s">
        <v>96</v>
      </c>
      <c r="R87" s="110" t="s">
        <v>379</v>
      </c>
      <c r="S87" s="110">
        <v>9.0</v>
      </c>
      <c r="T87" s="111"/>
      <c r="U87" s="106" t="s">
        <v>98</v>
      </c>
      <c r="V87" s="112">
        <v>0.0</v>
      </c>
      <c r="W87" s="113">
        <v>45.0</v>
      </c>
      <c r="X87" s="113">
        <v>45.0</v>
      </c>
      <c r="Y87" s="113">
        <v>55.0</v>
      </c>
      <c r="Z87" s="113" t="s">
        <v>99</v>
      </c>
      <c r="AA87" s="114">
        <f t="shared" si="172"/>
        <v>1961.871491</v>
      </c>
      <c r="AB87" s="115"/>
      <c r="AC87" s="116">
        <f t="shared" si="5"/>
        <v>1674.019108</v>
      </c>
      <c r="AD87" s="117">
        <f t="shared" si="6"/>
        <v>1762.125377</v>
      </c>
      <c r="AE87" s="118"/>
      <c r="AF87" s="118" t="str">
        <f t="shared" si="94"/>
        <v>#REF!</v>
      </c>
      <c r="AG87" s="119" t="str">
        <f t="shared" si="95"/>
        <v>#REF!</v>
      </c>
      <c r="AH87" s="120" t="str">
        <f t="shared" si="96"/>
        <v>#REF!</v>
      </c>
      <c r="AI87" s="121">
        <v>0.09</v>
      </c>
      <c r="AJ87" s="121">
        <v>0.09</v>
      </c>
      <c r="AK87" s="122">
        <v>0.28</v>
      </c>
      <c r="AL87" s="123">
        <f t="shared" si="11"/>
        <v>468.7253502</v>
      </c>
      <c r="AM87" s="124" t="s">
        <v>10</v>
      </c>
      <c r="AN87" s="125">
        <f t="shared" si="12"/>
        <v>1674.019108</v>
      </c>
      <c r="AO87" s="126">
        <f t="shared" si="126"/>
        <v>0.28</v>
      </c>
      <c r="AP87" s="127"/>
      <c r="AQ87" s="128">
        <f t="shared" ref="AQ87:AR87" si="178">BC87/(1-AI87)</f>
        <v>1509.131916</v>
      </c>
      <c r="AR87" s="125">
        <f t="shared" si="178"/>
        <v>1324.498635</v>
      </c>
      <c r="AS87" s="126">
        <f t="shared" si="129"/>
        <v>0.2307692308</v>
      </c>
      <c r="AT87" s="126">
        <f t="shared" si="130"/>
        <v>0.2087912088</v>
      </c>
      <c r="AU87" s="129"/>
      <c r="AV87" s="39" t="s">
        <v>100</v>
      </c>
      <c r="AW87" s="130">
        <v>8.44</v>
      </c>
      <c r="AX87" s="130">
        <v>9201.76</v>
      </c>
      <c r="AY87" s="130"/>
      <c r="AZ87" s="130">
        <v>5.0</v>
      </c>
      <c r="BA87" s="130">
        <f t="shared" si="174"/>
        <v>9429.64</v>
      </c>
      <c r="BB87" s="130">
        <f t="shared" si="175"/>
        <v>9434.64</v>
      </c>
      <c r="BC87" s="131">
        <f t="shared" si="176"/>
        <v>1373.310044</v>
      </c>
      <c r="BD87" s="132">
        <f t="shared" si="177"/>
        <v>1205.293758</v>
      </c>
      <c r="BE87" s="135" t="s">
        <v>385</v>
      </c>
      <c r="BF87" s="134" t="s">
        <v>101</v>
      </c>
      <c r="BG87" s="49"/>
      <c r="BH87" s="118">
        <f t="shared" si="22"/>
        <v>5580.063693</v>
      </c>
      <c r="BI87" s="118">
        <f t="shared" si="23"/>
        <v>3348.038216</v>
      </c>
      <c r="BJ87" s="118">
        <f t="shared" si="24"/>
        <v>2790.031847</v>
      </c>
      <c r="BK87" s="118">
        <f t="shared" si="25"/>
        <v>2232.025477</v>
      </c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</row>
    <row r="88" ht="14.25" customHeight="1">
      <c r="A88" s="103" t="s">
        <v>84</v>
      </c>
      <c r="B88" s="103" t="s">
        <v>85</v>
      </c>
      <c r="C88" s="103" t="s">
        <v>120</v>
      </c>
      <c r="D88" s="103" t="s">
        <v>86</v>
      </c>
      <c r="E88" s="104" t="s">
        <v>87</v>
      </c>
      <c r="F88" s="105" t="s">
        <v>386</v>
      </c>
      <c r="G88" s="106" t="s">
        <v>351</v>
      </c>
      <c r="H88" s="106">
        <v>23.0</v>
      </c>
      <c r="I88" s="107" t="s">
        <v>387</v>
      </c>
      <c r="J88" s="108" t="s">
        <v>388</v>
      </c>
      <c r="K88" s="108" t="str">
        <f>_xlfn.XLOOKUP(J88,[1]Sheet1!$A:$A,[1]Sheet1!$B:$B,"")</f>
        <v>#ERROR!</v>
      </c>
      <c r="L88" s="105" t="s">
        <v>389</v>
      </c>
      <c r="M88" s="105" t="s">
        <v>390</v>
      </c>
      <c r="N88" s="106" t="s">
        <v>106</v>
      </c>
      <c r="O88" s="109" t="s">
        <v>95</v>
      </c>
      <c r="P88" s="110">
        <v>21.0</v>
      </c>
      <c r="Q88" s="103" t="s">
        <v>96</v>
      </c>
      <c r="R88" s="110" t="s">
        <v>97</v>
      </c>
      <c r="S88" s="110">
        <v>8.0</v>
      </c>
      <c r="T88" s="111" t="s">
        <v>391</v>
      </c>
      <c r="U88" s="106" t="s">
        <v>98</v>
      </c>
      <c r="V88" s="112">
        <v>0.0</v>
      </c>
      <c r="W88" s="113">
        <v>45.0</v>
      </c>
      <c r="X88" s="113">
        <v>45.0</v>
      </c>
      <c r="Y88" s="113">
        <v>55.0</v>
      </c>
      <c r="Z88" s="113" t="s">
        <v>99</v>
      </c>
      <c r="AA88" s="114">
        <f t="shared" si="172"/>
        <v>554.7583513</v>
      </c>
      <c r="AB88" s="115" t="str">
        <f t="shared" ref="AB88:AB104" si="180">VLOOKUP(J88,'[2]PO &amp; SC Sept 2025'!$I$14:$BK$660,55,FALSE)+(($F$3/1000)-1.5)*P88</f>
        <v>#REF!</v>
      </c>
      <c r="AC88" s="116">
        <f t="shared" si="5"/>
        <v>485.9195894</v>
      </c>
      <c r="AD88" s="117">
        <f t="shared" si="6"/>
        <v>511.4943046</v>
      </c>
      <c r="AE88" s="118" t="str">
        <f t="shared" ref="AE88:AE104" si="181">VLOOKUP(J88,'[2]PO &amp; SC Sept 2025'!$I$14:$BE$660,49,FALSE)+(P88*(($F$4/1000)-1.5))</f>
        <v>#REF!</v>
      </c>
      <c r="AF88" s="118" t="str">
        <f t="shared" si="94"/>
        <v>#REF!</v>
      </c>
      <c r="AG88" s="119" t="str">
        <f t="shared" si="95"/>
        <v>#REF!</v>
      </c>
      <c r="AH88" s="120" t="str">
        <f t="shared" si="96"/>
        <v>#REF!</v>
      </c>
      <c r="AI88" s="121">
        <v>0.09</v>
      </c>
      <c r="AJ88" s="121">
        <v>0.09</v>
      </c>
      <c r="AK88" s="122">
        <v>0.19</v>
      </c>
      <c r="AL88" s="123">
        <f t="shared" si="11"/>
        <v>92.32472199</v>
      </c>
      <c r="AM88" s="124" t="s">
        <v>10</v>
      </c>
      <c r="AN88" s="125">
        <f t="shared" si="12"/>
        <v>485.9195894</v>
      </c>
      <c r="AO88" s="126">
        <f t="shared" si="126"/>
        <v>0.19</v>
      </c>
      <c r="AP88" s="127"/>
      <c r="AQ88" s="128">
        <f t="shared" ref="AQ88:AR88" si="179">BC88/(1-AI88)</f>
        <v>481.6034039</v>
      </c>
      <c r="AR88" s="125">
        <f t="shared" si="179"/>
        <v>432.5218323</v>
      </c>
      <c r="AS88" s="126">
        <f t="shared" si="129"/>
        <v>0.1318681319</v>
      </c>
      <c r="AT88" s="126">
        <f t="shared" si="130"/>
        <v>0.1098901099</v>
      </c>
      <c r="AU88" s="129"/>
      <c r="AV88" s="39" t="s">
        <v>126</v>
      </c>
      <c r="AW88" s="130">
        <v>20.54</v>
      </c>
      <c r="AX88" s="130">
        <v>2451.26</v>
      </c>
      <c r="AY88" s="130"/>
      <c r="AZ88" s="130">
        <v>5.0</v>
      </c>
      <c r="BA88" s="130">
        <f t="shared" si="174"/>
        <v>3005.84</v>
      </c>
      <c r="BB88" s="130">
        <f t="shared" si="175"/>
        <v>3010.84</v>
      </c>
      <c r="BC88" s="131">
        <f t="shared" si="176"/>
        <v>438.2590975</v>
      </c>
      <c r="BD88" s="132">
        <f t="shared" si="177"/>
        <v>393.5948674</v>
      </c>
      <c r="BE88" s="133"/>
      <c r="BF88" s="134" t="s">
        <v>101</v>
      </c>
      <c r="BG88" s="49"/>
      <c r="BH88" s="116">
        <f t="shared" si="22"/>
        <v>1619.731965</v>
      </c>
      <c r="BI88" s="116">
        <f t="shared" si="23"/>
        <v>971.8391788</v>
      </c>
      <c r="BJ88" s="116">
        <f t="shared" si="24"/>
        <v>809.8659823</v>
      </c>
      <c r="BK88" s="116">
        <f t="shared" si="25"/>
        <v>647.8927859</v>
      </c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</row>
    <row r="89" ht="14.25" customHeight="1">
      <c r="A89" s="103" t="s">
        <v>84</v>
      </c>
      <c r="B89" s="103" t="s">
        <v>85</v>
      </c>
      <c r="C89" s="103" t="s">
        <v>120</v>
      </c>
      <c r="D89" s="103" t="s">
        <v>86</v>
      </c>
      <c r="E89" s="104" t="s">
        <v>87</v>
      </c>
      <c r="F89" s="105" t="s">
        <v>386</v>
      </c>
      <c r="G89" s="106" t="s">
        <v>351</v>
      </c>
      <c r="H89" s="106">
        <v>23.0</v>
      </c>
      <c r="I89" s="107" t="s">
        <v>392</v>
      </c>
      <c r="J89" s="108" t="s">
        <v>393</v>
      </c>
      <c r="K89" s="108" t="str">
        <f>_xlfn.XLOOKUP(J89,[1]Sheet1!$A:$A,[1]Sheet1!$B:$B,"")</f>
        <v>#ERROR!</v>
      </c>
      <c r="L89" s="105" t="s">
        <v>394</v>
      </c>
      <c r="M89" s="105" t="s">
        <v>395</v>
      </c>
      <c r="N89" s="106" t="s">
        <v>106</v>
      </c>
      <c r="O89" s="109" t="s">
        <v>95</v>
      </c>
      <c r="P89" s="110">
        <v>42.0</v>
      </c>
      <c r="Q89" s="103" t="s">
        <v>96</v>
      </c>
      <c r="R89" s="110" t="s">
        <v>97</v>
      </c>
      <c r="S89" s="110">
        <v>4.0</v>
      </c>
      <c r="T89" s="111" t="s">
        <v>396</v>
      </c>
      <c r="U89" s="106" t="s">
        <v>98</v>
      </c>
      <c r="V89" s="112">
        <v>0.0</v>
      </c>
      <c r="W89" s="113">
        <v>45.0</v>
      </c>
      <c r="X89" s="113">
        <v>45.0</v>
      </c>
      <c r="Y89" s="113">
        <v>55.0</v>
      </c>
      <c r="Z89" s="113" t="s">
        <v>99</v>
      </c>
      <c r="AA89" s="114">
        <f t="shared" si="172"/>
        <v>1132.885735</v>
      </c>
      <c r="AB89" s="115" t="str">
        <f t="shared" si="180"/>
        <v>#REF!</v>
      </c>
      <c r="AC89" s="116">
        <f t="shared" si="5"/>
        <v>991.5785663</v>
      </c>
      <c r="AD89" s="117">
        <f t="shared" si="6"/>
        <v>1043.766912</v>
      </c>
      <c r="AE89" s="118" t="str">
        <f t="shared" si="181"/>
        <v>#REF!</v>
      </c>
      <c r="AF89" s="118" t="str">
        <f t="shared" si="94"/>
        <v>#REF!</v>
      </c>
      <c r="AG89" s="119" t="str">
        <f t="shared" si="95"/>
        <v>#REF!</v>
      </c>
      <c r="AH89" s="120" t="str">
        <f t="shared" si="96"/>
        <v>#REF!</v>
      </c>
      <c r="AI89" s="121">
        <v>0.09</v>
      </c>
      <c r="AJ89" s="121">
        <v>0.09</v>
      </c>
      <c r="AK89" s="122">
        <v>0.18</v>
      </c>
      <c r="AL89" s="123">
        <f t="shared" si="11"/>
        <v>178.4841419</v>
      </c>
      <c r="AM89" s="124" t="s">
        <v>10</v>
      </c>
      <c r="AN89" s="125">
        <f t="shared" si="12"/>
        <v>991.5785663</v>
      </c>
      <c r="AO89" s="126">
        <f t="shared" si="126"/>
        <v>0.18</v>
      </c>
      <c r="AP89" s="127"/>
      <c r="AQ89" s="128">
        <f t="shared" ref="AQ89:AR89" si="182">BC89/(1-AI89)</f>
        <v>995.9435034</v>
      </c>
      <c r="AR89" s="125">
        <f t="shared" si="182"/>
        <v>893.5103565</v>
      </c>
      <c r="AS89" s="126">
        <f t="shared" si="129"/>
        <v>0.1208791209</v>
      </c>
      <c r="AT89" s="126">
        <f t="shared" si="130"/>
        <v>0.0989010989</v>
      </c>
      <c r="AU89" s="129"/>
      <c r="AV89" s="39" t="s">
        <v>126</v>
      </c>
      <c r="AW89" s="130">
        <v>42.49</v>
      </c>
      <c r="AX89" s="130">
        <v>5074.11</v>
      </c>
      <c r="AY89" s="130"/>
      <c r="AZ89" s="130">
        <v>5.0</v>
      </c>
      <c r="BA89" s="130">
        <f t="shared" si="174"/>
        <v>6221.34</v>
      </c>
      <c r="BB89" s="130">
        <f t="shared" si="175"/>
        <v>6226.34</v>
      </c>
      <c r="BC89" s="131">
        <f t="shared" si="176"/>
        <v>906.3085881</v>
      </c>
      <c r="BD89" s="132">
        <f t="shared" si="177"/>
        <v>813.0944244</v>
      </c>
      <c r="BE89" s="39"/>
      <c r="BF89" s="134" t="s">
        <v>101</v>
      </c>
      <c r="BG89" s="49"/>
      <c r="BH89" s="116">
        <f t="shared" si="22"/>
        <v>3305.261888</v>
      </c>
      <c r="BI89" s="116">
        <f t="shared" si="23"/>
        <v>1983.157133</v>
      </c>
      <c r="BJ89" s="116">
        <f t="shared" si="24"/>
        <v>1652.630944</v>
      </c>
      <c r="BK89" s="116">
        <f t="shared" si="25"/>
        <v>1322.104755</v>
      </c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</row>
    <row r="90" ht="14.25" customHeight="1">
      <c r="A90" s="103" t="s">
        <v>84</v>
      </c>
      <c r="B90" s="103" t="s">
        <v>120</v>
      </c>
      <c r="C90" s="103" t="s">
        <v>120</v>
      </c>
      <c r="D90" s="103" t="s">
        <v>86</v>
      </c>
      <c r="E90" s="104" t="s">
        <v>87</v>
      </c>
      <c r="F90" s="105" t="s">
        <v>386</v>
      </c>
      <c r="G90" s="106" t="s">
        <v>351</v>
      </c>
      <c r="H90" s="106">
        <v>23.0</v>
      </c>
      <c r="I90" s="107" t="s">
        <v>397</v>
      </c>
      <c r="J90" s="108" t="s">
        <v>398</v>
      </c>
      <c r="K90" s="108" t="str">
        <f>_xlfn.XLOOKUP(J90,[1]Sheet1!$A:$A,[1]Sheet1!$B:$B,"")</f>
        <v>#ERROR!</v>
      </c>
      <c r="L90" s="105" t="s">
        <v>399</v>
      </c>
      <c r="M90" s="105" t="s">
        <v>400</v>
      </c>
      <c r="N90" s="106" t="s">
        <v>162</v>
      </c>
      <c r="O90" s="109" t="s">
        <v>95</v>
      </c>
      <c r="P90" s="110">
        <v>21.0</v>
      </c>
      <c r="Q90" s="103" t="s">
        <v>96</v>
      </c>
      <c r="R90" s="110" t="s">
        <v>97</v>
      </c>
      <c r="S90" s="110">
        <v>6.0</v>
      </c>
      <c r="T90" s="111" t="s">
        <v>401</v>
      </c>
      <c r="U90" s="106" t="s">
        <v>98</v>
      </c>
      <c r="V90" s="112">
        <v>0.0</v>
      </c>
      <c r="W90" s="113">
        <v>45.0</v>
      </c>
      <c r="X90" s="113">
        <v>45.0</v>
      </c>
      <c r="Y90" s="113">
        <v>55.0</v>
      </c>
      <c r="Z90" s="113" t="s">
        <v>99</v>
      </c>
      <c r="AA90" s="114">
        <f t="shared" si="172"/>
        <v>577.7401747</v>
      </c>
      <c r="AB90" s="115" t="str">
        <f t="shared" si="180"/>
        <v>#REF!</v>
      </c>
      <c r="AC90" s="116">
        <f t="shared" si="5"/>
        <v>510.4547258</v>
      </c>
      <c r="AD90" s="117">
        <f t="shared" si="6"/>
        <v>537.320764</v>
      </c>
      <c r="AE90" s="118" t="str">
        <f t="shared" si="181"/>
        <v>#REF!</v>
      </c>
      <c r="AF90" s="118" t="str">
        <f t="shared" si="94"/>
        <v>#REF!</v>
      </c>
      <c r="AG90" s="119" t="str">
        <f t="shared" si="95"/>
        <v>#REF!</v>
      </c>
      <c r="AH90" s="120" t="str">
        <f t="shared" si="96"/>
        <v>#REF!</v>
      </c>
      <c r="AI90" s="121">
        <v>0.09</v>
      </c>
      <c r="AJ90" s="121">
        <v>0.09</v>
      </c>
      <c r="AK90" s="122">
        <v>0.18</v>
      </c>
      <c r="AL90" s="123">
        <f t="shared" si="11"/>
        <v>91.88185064</v>
      </c>
      <c r="AM90" s="124" t="s">
        <v>10</v>
      </c>
      <c r="AN90" s="125">
        <f t="shared" si="12"/>
        <v>510.4547258</v>
      </c>
      <c r="AO90" s="126">
        <f t="shared" si="126"/>
        <v>0.18</v>
      </c>
      <c r="AP90" s="127"/>
      <c r="AQ90" s="128">
        <f t="shared" ref="AQ90:AR90" si="183">BC90/(1-AI90)</f>
        <v>507.9034503</v>
      </c>
      <c r="AR90" s="125">
        <f t="shared" si="183"/>
        <v>459.9701925</v>
      </c>
      <c r="AS90" s="126">
        <f t="shared" si="129"/>
        <v>0.1208791209</v>
      </c>
      <c r="AT90" s="126">
        <f t="shared" si="130"/>
        <v>0.0989010989</v>
      </c>
      <c r="AU90" s="129">
        <v>407.7</v>
      </c>
      <c r="AV90" s="39" t="s">
        <v>126</v>
      </c>
      <c r="AW90" s="130">
        <v>21.18</v>
      </c>
      <c r="AX90" s="130">
        <v>2598.4</v>
      </c>
      <c r="AY90" s="130"/>
      <c r="AZ90" s="130">
        <v>5.0</v>
      </c>
      <c r="BA90" s="130">
        <f t="shared" si="174"/>
        <v>3170.26</v>
      </c>
      <c r="BB90" s="130">
        <f t="shared" si="175"/>
        <v>3175.26</v>
      </c>
      <c r="BC90" s="131">
        <f t="shared" si="176"/>
        <v>462.1921397</v>
      </c>
      <c r="BD90" s="132">
        <f t="shared" si="177"/>
        <v>418.5728751</v>
      </c>
      <c r="BE90" s="39"/>
      <c r="BF90" s="134" t="s">
        <v>101</v>
      </c>
      <c r="BG90" s="49"/>
      <c r="BH90" s="116">
        <f t="shared" si="22"/>
        <v>1701.515753</v>
      </c>
      <c r="BI90" s="116">
        <f t="shared" si="23"/>
        <v>1020.909452</v>
      </c>
      <c r="BJ90" s="116">
        <f t="shared" si="24"/>
        <v>850.7578763</v>
      </c>
      <c r="BK90" s="116">
        <f t="shared" si="25"/>
        <v>680.606301</v>
      </c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</row>
    <row r="91" ht="14.25" customHeight="1">
      <c r="A91" s="103" t="s">
        <v>84</v>
      </c>
      <c r="B91" s="103" t="s">
        <v>120</v>
      </c>
      <c r="C91" s="103" t="s">
        <v>120</v>
      </c>
      <c r="D91" s="103" t="s">
        <v>86</v>
      </c>
      <c r="E91" s="104" t="s">
        <v>87</v>
      </c>
      <c r="F91" s="105" t="s">
        <v>386</v>
      </c>
      <c r="G91" s="106" t="s">
        <v>351</v>
      </c>
      <c r="H91" s="106">
        <v>23.0</v>
      </c>
      <c r="I91" s="107" t="s">
        <v>402</v>
      </c>
      <c r="J91" s="108" t="s">
        <v>403</v>
      </c>
      <c r="K91" s="108" t="str">
        <f>_xlfn.XLOOKUP(J91,[1]Sheet1!$A:$A,[1]Sheet1!$B:$B,"")</f>
        <v>#ERROR!</v>
      </c>
      <c r="L91" s="105" t="s">
        <v>404</v>
      </c>
      <c r="M91" s="105" t="s">
        <v>405</v>
      </c>
      <c r="N91" s="106" t="s">
        <v>162</v>
      </c>
      <c r="O91" s="109" t="s">
        <v>95</v>
      </c>
      <c r="P91" s="110">
        <v>42.0</v>
      </c>
      <c r="Q91" s="103" t="s">
        <v>96</v>
      </c>
      <c r="R91" s="110" t="s">
        <v>97</v>
      </c>
      <c r="S91" s="110">
        <v>4.0</v>
      </c>
      <c r="T91" s="111"/>
      <c r="U91" s="106" t="s">
        <v>98</v>
      </c>
      <c r="V91" s="112">
        <v>0.0</v>
      </c>
      <c r="W91" s="113">
        <v>45.0</v>
      </c>
      <c r="X91" s="113">
        <v>45.0</v>
      </c>
      <c r="Y91" s="113">
        <v>55.0</v>
      </c>
      <c r="Z91" s="113" t="s">
        <v>99</v>
      </c>
      <c r="AA91" s="114">
        <f t="shared" si="172"/>
        <v>1207.514329</v>
      </c>
      <c r="AB91" s="115" t="str">
        <f t="shared" si="180"/>
        <v>#REF!</v>
      </c>
      <c r="AC91" s="116">
        <f t="shared" si="5"/>
        <v>1054.878337</v>
      </c>
      <c r="AD91" s="117">
        <f t="shared" si="6"/>
        <v>1110.39825</v>
      </c>
      <c r="AE91" s="118" t="str">
        <f t="shared" si="181"/>
        <v>#REF!</v>
      </c>
      <c r="AF91" s="118" t="str">
        <f t="shared" si="94"/>
        <v>#REF!</v>
      </c>
      <c r="AG91" s="119" t="str">
        <f t="shared" si="95"/>
        <v>#REF!</v>
      </c>
      <c r="AH91" s="120" t="str">
        <f t="shared" si="96"/>
        <v>#REF!</v>
      </c>
      <c r="AI91" s="121">
        <v>0.09</v>
      </c>
      <c r="AJ91" s="121">
        <v>0.09</v>
      </c>
      <c r="AK91" s="122">
        <v>0.178</v>
      </c>
      <c r="AL91" s="123">
        <f t="shared" si="11"/>
        <v>187.768344</v>
      </c>
      <c r="AM91" s="124" t="s">
        <v>10</v>
      </c>
      <c r="AN91" s="125">
        <f t="shared" si="12"/>
        <v>1054.878337</v>
      </c>
      <c r="AO91" s="126">
        <f t="shared" si="126"/>
        <v>0.178</v>
      </c>
      <c r="AP91" s="127"/>
      <c r="AQ91" s="128">
        <f t="shared" ref="AQ91:AR91" si="184">BC91/(1-AI91)</f>
        <v>1064.204936</v>
      </c>
      <c r="AR91" s="125">
        <f t="shared" si="184"/>
        <v>952.8681242</v>
      </c>
      <c r="AS91" s="126">
        <f t="shared" si="129"/>
        <v>0.1186813187</v>
      </c>
      <c r="AT91" s="126">
        <f t="shared" si="130"/>
        <v>0.0967032967</v>
      </c>
      <c r="AU91" s="129">
        <v>855.82</v>
      </c>
      <c r="AV91" s="39" t="s">
        <v>126</v>
      </c>
      <c r="AW91" s="130">
        <v>42.49</v>
      </c>
      <c r="AX91" s="130">
        <v>5500.86</v>
      </c>
      <c r="AY91" s="130"/>
      <c r="AZ91" s="130">
        <v>5.0</v>
      </c>
      <c r="BA91" s="130">
        <f t="shared" si="174"/>
        <v>6648.09</v>
      </c>
      <c r="BB91" s="130">
        <f t="shared" si="175"/>
        <v>6653.09</v>
      </c>
      <c r="BC91" s="131">
        <f t="shared" si="176"/>
        <v>968.426492</v>
      </c>
      <c r="BD91" s="132">
        <f t="shared" si="177"/>
        <v>867.109993</v>
      </c>
      <c r="BE91" s="39"/>
      <c r="BF91" s="134" t="s">
        <v>101</v>
      </c>
      <c r="BG91" s="49"/>
      <c r="BH91" s="118">
        <f t="shared" si="22"/>
        <v>3516.261123</v>
      </c>
      <c r="BI91" s="118">
        <f t="shared" si="23"/>
        <v>2109.756674</v>
      </c>
      <c r="BJ91" s="118">
        <f t="shared" si="24"/>
        <v>1758.130562</v>
      </c>
      <c r="BK91" s="118">
        <f t="shared" si="25"/>
        <v>1406.504449</v>
      </c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</row>
    <row r="92" ht="14.25" customHeight="1">
      <c r="A92" s="103" t="s">
        <v>84</v>
      </c>
      <c r="B92" s="103" t="s">
        <v>85</v>
      </c>
      <c r="C92" s="103" t="s">
        <v>120</v>
      </c>
      <c r="D92" s="103" t="s">
        <v>86</v>
      </c>
      <c r="E92" s="104" t="s">
        <v>87</v>
      </c>
      <c r="F92" s="105" t="s">
        <v>386</v>
      </c>
      <c r="G92" s="106" t="s">
        <v>351</v>
      </c>
      <c r="H92" s="106">
        <v>23.0</v>
      </c>
      <c r="I92" s="107" t="s">
        <v>406</v>
      </c>
      <c r="J92" s="108" t="s">
        <v>407</v>
      </c>
      <c r="K92" s="108" t="str">
        <f>_xlfn.XLOOKUP(J92,[1]Sheet1!$A:$A,[1]Sheet1!$B:$B,"")</f>
        <v>#ERROR!</v>
      </c>
      <c r="L92" s="105" t="s">
        <v>408</v>
      </c>
      <c r="M92" s="105" t="s">
        <v>409</v>
      </c>
      <c r="N92" s="106" t="s">
        <v>201</v>
      </c>
      <c r="O92" s="109" t="s">
        <v>95</v>
      </c>
      <c r="P92" s="110">
        <v>21.0</v>
      </c>
      <c r="Q92" s="103" t="s">
        <v>96</v>
      </c>
      <c r="R92" s="110" t="s">
        <v>97</v>
      </c>
      <c r="S92" s="110">
        <v>6.0</v>
      </c>
      <c r="T92" s="111" t="s">
        <v>410</v>
      </c>
      <c r="U92" s="106" t="s">
        <v>98</v>
      </c>
      <c r="V92" s="112">
        <v>0.0</v>
      </c>
      <c r="W92" s="113">
        <v>45.0</v>
      </c>
      <c r="X92" s="113">
        <v>45.0</v>
      </c>
      <c r="Y92" s="113">
        <v>55.0</v>
      </c>
      <c r="Z92" s="113" t="s">
        <v>99</v>
      </c>
      <c r="AA92" s="114">
        <f t="shared" si="172"/>
        <v>600.3077036</v>
      </c>
      <c r="AB92" s="115" t="str">
        <f t="shared" si="180"/>
        <v>#REF!</v>
      </c>
      <c r="AC92" s="116">
        <f t="shared" si="5"/>
        <v>529.6937762</v>
      </c>
      <c r="AD92" s="117">
        <f t="shared" si="6"/>
        <v>557.572396</v>
      </c>
      <c r="AE92" s="118" t="str">
        <f t="shared" si="181"/>
        <v>#REF!</v>
      </c>
      <c r="AF92" s="118" t="str">
        <f t="shared" si="94"/>
        <v>#REF!</v>
      </c>
      <c r="AG92" s="119" t="str">
        <f t="shared" si="95"/>
        <v>#REF!</v>
      </c>
      <c r="AH92" s="120" t="str">
        <f t="shared" si="96"/>
        <v>#REF!</v>
      </c>
      <c r="AI92" s="121">
        <v>0.09</v>
      </c>
      <c r="AJ92" s="121">
        <v>0.09</v>
      </c>
      <c r="AK92" s="122">
        <v>0.19</v>
      </c>
      <c r="AL92" s="123">
        <f t="shared" si="11"/>
        <v>100.6418175</v>
      </c>
      <c r="AM92" s="124" t="s">
        <v>10</v>
      </c>
      <c r="AN92" s="125">
        <f t="shared" si="12"/>
        <v>529.6937762</v>
      </c>
      <c r="AO92" s="126">
        <f t="shared" si="126"/>
        <v>0.19</v>
      </c>
      <c r="AP92" s="127"/>
      <c r="AQ92" s="128">
        <f t="shared" ref="AQ92:AR92" si="185">BC92/(1-AI92)</f>
        <v>521.1462482</v>
      </c>
      <c r="AR92" s="125">
        <f t="shared" si="185"/>
        <v>471.4856689</v>
      </c>
      <c r="AS92" s="126">
        <f t="shared" si="129"/>
        <v>0.1318681319</v>
      </c>
      <c r="AT92" s="126">
        <f t="shared" si="130"/>
        <v>0.1098901099</v>
      </c>
      <c r="AU92" s="129"/>
      <c r="AV92" s="39" t="s">
        <v>126</v>
      </c>
      <c r="AW92" s="130">
        <v>21.57</v>
      </c>
      <c r="AX92" s="130">
        <v>2670.66</v>
      </c>
      <c r="AY92" s="130"/>
      <c r="AZ92" s="130">
        <v>5.0</v>
      </c>
      <c r="BA92" s="130">
        <f t="shared" si="174"/>
        <v>3253.05</v>
      </c>
      <c r="BB92" s="130">
        <f t="shared" si="175"/>
        <v>3258.05</v>
      </c>
      <c r="BC92" s="131">
        <f t="shared" si="176"/>
        <v>474.2430859</v>
      </c>
      <c r="BD92" s="132">
        <f t="shared" si="177"/>
        <v>429.0519587</v>
      </c>
      <c r="BE92" s="133"/>
      <c r="BF92" s="134" t="s">
        <v>101</v>
      </c>
      <c r="BG92" s="49"/>
      <c r="BH92" s="116">
        <f t="shared" si="22"/>
        <v>1765.645921</v>
      </c>
      <c r="BI92" s="116">
        <f t="shared" si="23"/>
        <v>1059.387552</v>
      </c>
      <c r="BJ92" s="116">
        <f t="shared" si="24"/>
        <v>882.8229604</v>
      </c>
      <c r="BK92" s="116">
        <f t="shared" si="25"/>
        <v>706.2583683</v>
      </c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</row>
    <row r="93" ht="14.25" customHeight="1">
      <c r="A93" s="103" t="s">
        <v>84</v>
      </c>
      <c r="B93" s="103" t="s">
        <v>120</v>
      </c>
      <c r="C93" s="103" t="s">
        <v>120</v>
      </c>
      <c r="D93" s="103" t="s">
        <v>86</v>
      </c>
      <c r="E93" s="104" t="s">
        <v>87</v>
      </c>
      <c r="F93" s="105" t="s">
        <v>386</v>
      </c>
      <c r="G93" s="106" t="s">
        <v>351</v>
      </c>
      <c r="H93" s="106">
        <v>23.0</v>
      </c>
      <c r="I93" s="107" t="s">
        <v>411</v>
      </c>
      <c r="J93" s="138" t="s">
        <v>398</v>
      </c>
      <c r="K93" s="108" t="str">
        <f>_xlfn.XLOOKUP(J93,[1]Sheet1!$A:$A,[1]Sheet1!$B:$B,"")</f>
        <v>#ERROR!</v>
      </c>
      <c r="L93" s="105" t="s">
        <v>399</v>
      </c>
      <c r="M93" s="105" t="s">
        <v>400</v>
      </c>
      <c r="N93" s="106" t="s">
        <v>162</v>
      </c>
      <c r="O93" s="109" t="s">
        <v>147</v>
      </c>
      <c r="P93" s="110">
        <v>23.0</v>
      </c>
      <c r="Q93" s="103" t="s">
        <v>96</v>
      </c>
      <c r="R93" s="110" t="s">
        <v>97</v>
      </c>
      <c r="S93" s="110">
        <v>9.0</v>
      </c>
      <c r="T93" s="111" t="s">
        <v>391</v>
      </c>
      <c r="U93" s="106" t="s">
        <v>98</v>
      </c>
      <c r="V93" s="112">
        <v>0.0</v>
      </c>
      <c r="W93" s="113">
        <v>60.0</v>
      </c>
      <c r="X93" s="113">
        <v>14.0</v>
      </c>
      <c r="Y93" s="113">
        <v>14.0</v>
      </c>
      <c r="Z93" s="113" t="s">
        <v>148</v>
      </c>
      <c r="AA93" s="114">
        <f t="shared" ref="AA93:AA94" si="186">(BC93/(1-(AK93+2%)))*$F$6</f>
        <v>610.8441558</v>
      </c>
      <c r="AB93" s="115" t="str">
        <f t="shared" si="180"/>
        <v>#REF!</v>
      </c>
      <c r="AC93" s="116">
        <f t="shared" si="5"/>
        <v>526.8941479</v>
      </c>
      <c r="AD93" s="117">
        <f t="shared" si="6"/>
        <v>554.6254188</v>
      </c>
      <c r="AE93" s="118" t="str">
        <f t="shared" si="181"/>
        <v>#REF!</v>
      </c>
      <c r="AF93" s="118" t="str">
        <f t="shared" si="94"/>
        <v>#REF!</v>
      </c>
      <c r="AG93" s="119" t="str">
        <f t="shared" si="95"/>
        <v>#REF!</v>
      </c>
      <c r="AH93" s="120" t="str">
        <f t="shared" si="96"/>
        <v>#REF!</v>
      </c>
      <c r="AI93" s="121">
        <f t="shared" ref="AI93:AI94" si="187">AJ93</f>
        <v>0.07</v>
      </c>
      <c r="AJ93" s="121">
        <v>0.07</v>
      </c>
      <c r="AK93" s="122">
        <v>0.21</v>
      </c>
      <c r="AL93" s="123">
        <f t="shared" si="11"/>
        <v>110.6477711</v>
      </c>
      <c r="AM93" s="122" t="s">
        <v>10</v>
      </c>
      <c r="AN93" s="125">
        <f t="shared" si="12"/>
        <v>526.8941479</v>
      </c>
      <c r="AO93" s="141">
        <f t="shared" si="126"/>
        <v>0.21</v>
      </c>
      <c r="AP93" s="127"/>
      <c r="AQ93" s="128">
        <f t="shared" ref="AQ93:AQ94" si="188">BC93/(1-AI93)*$F$6</f>
        <v>505.7526882</v>
      </c>
      <c r="AR93" s="125">
        <f t="shared" ref="AR93:AR94" si="189">BD93/(1-AJ93)</f>
        <v>447.5767493</v>
      </c>
      <c r="AS93" s="144">
        <f t="shared" si="129"/>
        <v>0.1720430108</v>
      </c>
      <c r="AT93" s="144">
        <f t="shared" si="130"/>
        <v>0.1505376344</v>
      </c>
      <c r="AU93" s="129">
        <v>407.7</v>
      </c>
      <c r="AV93" s="39" t="s">
        <v>149</v>
      </c>
      <c r="AW93" s="130"/>
      <c r="AX93" s="130"/>
      <c r="AY93" s="139">
        <v>202.0</v>
      </c>
      <c r="AZ93" s="130"/>
      <c r="BA93" s="130"/>
      <c r="BB93" s="130"/>
      <c r="BC93" s="137">
        <f t="shared" ref="BC93:BC94" si="190">AY93+($F$4-1500)/1000*P93</f>
        <v>409</v>
      </c>
      <c r="BD93" s="132">
        <f t="shared" ref="BD93:BD94" si="191">(AY93+($F$4-1500)/1000*P93)+($F$10/40/S93/$F$6)</f>
        <v>416.2463768</v>
      </c>
      <c r="BE93" s="39"/>
      <c r="BF93" s="134" t="s">
        <v>101</v>
      </c>
      <c r="BG93" s="49"/>
      <c r="BH93" s="116">
        <f t="shared" si="22"/>
        <v>1756.313826</v>
      </c>
      <c r="BI93" s="116">
        <f t="shared" si="23"/>
        <v>1053.788296</v>
      </c>
      <c r="BJ93" s="116">
        <f t="shared" si="24"/>
        <v>878.1569131</v>
      </c>
      <c r="BK93" s="116">
        <f t="shared" si="25"/>
        <v>702.5255305</v>
      </c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</row>
    <row r="94" ht="14.25" customHeight="1">
      <c r="A94" s="103" t="s">
        <v>84</v>
      </c>
      <c r="B94" s="103" t="s">
        <v>120</v>
      </c>
      <c r="C94" s="103" t="s">
        <v>120</v>
      </c>
      <c r="D94" s="103" t="s">
        <v>86</v>
      </c>
      <c r="E94" s="104" t="s">
        <v>87</v>
      </c>
      <c r="F94" s="105" t="s">
        <v>386</v>
      </c>
      <c r="G94" s="106" t="s">
        <v>351</v>
      </c>
      <c r="H94" s="106">
        <v>23.0</v>
      </c>
      <c r="I94" s="107" t="s">
        <v>412</v>
      </c>
      <c r="J94" s="138" t="s">
        <v>403</v>
      </c>
      <c r="K94" s="108" t="str">
        <f>_xlfn.XLOOKUP(J94,[1]Sheet1!$A:$A,[1]Sheet1!$B:$B,"")</f>
        <v>#ERROR!</v>
      </c>
      <c r="L94" s="105" t="s">
        <v>404</v>
      </c>
      <c r="M94" s="105" t="s">
        <v>405</v>
      </c>
      <c r="N94" s="106" t="s">
        <v>162</v>
      </c>
      <c r="O94" s="109" t="s">
        <v>147</v>
      </c>
      <c r="P94" s="110">
        <v>46.0</v>
      </c>
      <c r="Q94" s="103" t="s">
        <v>96</v>
      </c>
      <c r="R94" s="110" t="s">
        <v>97</v>
      </c>
      <c r="S94" s="110">
        <v>4.0</v>
      </c>
      <c r="T94" s="111" t="s">
        <v>396</v>
      </c>
      <c r="U94" s="106" t="s">
        <v>98</v>
      </c>
      <c r="V94" s="112">
        <v>0.0</v>
      </c>
      <c r="W94" s="113">
        <v>60.0</v>
      </c>
      <c r="X94" s="113">
        <v>14.0</v>
      </c>
      <c r="Y94" s="113">
        <v>14.0</v>
      </c>
      <c r="Z94" s="113" t="s">
        <v>148</v>
      </c>
      <c r="AA94" s="114">
        <f t="shared" si="186"/>
        <v>1250.064935</v>
      </c>
      <c r="AB94" s="115" t="str">
        <f t="shared" si="180"/>
        <v>#REF!</v>
      </c>
      <c r="AC94" s="116">
        <f t="shared" si="5"/>
        <v>1080.132086</v>
      </c>
      <c r="AD94" s="117">
        <f t="shared" si="6"/>
        <v>1136.981143</v>
      </c>
      <c r="AE94" s="118" t="str">
        <f t="shared" si="181"/>
        <v>#REF!</v>
      </c>
      <c r="AF94" s="118" t="str">
        <f t="shared" si="94"/>
        <v>#REF!</v>
      </c>
      <c r="AG94" s="119" t="str">
        <f t="shared" si="95"/>
        <v>#REF!</v>
      </c>
      <c r="AH94" s="120" t="str">
        <f t="shared" si="96"/>
        <v>#REF!</v>
      </c>
      <c r="AI94" s="121">
        <f t="shared" si="187"/>
        <v>0.07</v>
      </c>
      <c r="AJ94" s="121">
        <v>0.07</v>
      </c>
      <c r="AK94" s="122">
        <v>0.21</v>
      </c>
      <c r="AL94" s="123">
        <f t="shared" si="11"/>
        <v>226.827738</v>
      </c>
      <c r="AM94" s="122" t="s">
        <v>10</v>
      </c>
      <c r="AN94" s="125">
        <f t="shared" si="12"/>
        <v>1080.132086</v>
      </c>
      <c r="AO94" s="145">
        <f t="shared" si="126"/>
        <v>0.21</v>
      </c>
      <c r="AP94" s="127"/>
      <c r="AQ94" s="128">
        <f t="shared" si="188"/>
        <v>1035</v>
      </c>
      <c r="AR94" s="125">
        <f t="shared" si="189"/>
        <v>917.5315568</v>
      </c>
      <c r="AS94" s="148">
        <f t="shared" si="129"/>
        <v>0.1720430108</v>
      </c>
      <c r="AT94" s="148">
        <f t="shared" si="130"/>
        <v>0.1505376344</v>
      </c>
      <c r="AU94" s="129">
        <v>855.82</v>
      </c>
      <c r="AV94" s="39" t="s">
        <v>149</v>
      </c>
      <c r="AW94" s="130"/>
      <c r="AX94" s="130"/>
      <c r="AY94" s="139">
        <v>423.0</v>
      </c>
      <c r="AZ94" s="130"/>
      <c r="BA94" s="130"/>
      <c r="BB94" s="130"/>
      <c r="BC94" s="137">
        <f t="shared" si="190"/>
        <v>837</v>
      </c>
      <c r="BD94" s="132">
        <f t="shared" si="191"/>
        <v>853.3043478</v>
      </c>
      <c r="BE94" s="39"/>
      <c r="BF94" s="134" t="s">
        <v>101</v>
      </c>
      <c r="BG94" s="49"/>
      <c r="BH94" s="116">
        <f t="shared" si="22"/>
        <v>3600.440286</v>
      </c>
      <c r="BI94" s="116">
        <f t="shared" si="23"/>
        <v>2160.264172</v>
      </c>
      <c r="BJ94" s="116">
        <f t="shared" si="24"/>
        <v>1800.220143</v>
      </c>
      <c r="BK94" s="116">
        <f t="shared" si="25"/>
        <v>1440.176114</v>
      </c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</row>
    <row r="95" ht="14.25" customHeight="1">
      <c r="A95" s="103" t="s">
        <v>84</v>
      </c>
      <c r="B95" s="103" t="s">
        <v>85</v>
      </c>
      <c r="C95" s="103" t="s">
        <v>120</v>
      </c>
      <c r="D95" s="103" t="s">
        <v>86</v>
      </c>
      <c r="E95" s="104" t="s">
        <v>87</v>
      </c>
      <c r="F95" s="105" t="s">
        <v>386</v>
      </c>
      <c r="G95" s="106" t="s">
        <v>351</v>
      </c>
      <c r="H95" s="106">
        <v>23.0</v>
      </c>
      <c r="I95" s="107" t="s">
        <v>413</v>
      </c>
      <c r="J95" s="108" t="s">
        <v>414</v>
      </c>
      <c r="K95" s="108" t="str">
        <f>_xlfn.XLOOKUP(J95,[1]Sheet1!$A:$A,[1]Sheet1!$B:$B,"")</f>
        <v>#ERROR!</v>
      </c>
      <c r="L95" s="105" t="s">
        <v>415</v>
      </c>
      <c r="M95" s="105" t="s">
        <v>416</v>
      </c>
      <c r="N95" s="106" t="s">
        <v>206</v>
      </c>
      <c r="O95" s="109" t="s">
        <v>95</v>
      </c>
      <c r="P95" s="110">
        <v>21.0</v>
      </c>
      <c r="Q95" s="103" t="s">
        <v>96</v>
      </c>
      <c r="R95" s="110" t="s">
        <v>97</v>
      </c>
      <c r="S95" s="110">
        <v>4.0</v>
      </c>
      <c r="T95" s="111"/>
      <c r="U95" s="106" t="s">
        <v>98</v>
      </c>
      <c r="V95" s="112">
        <v>0.0</v>
      </c>
      <c r="W95" s="113">
        <v>45.0</v>
      </c>
      <c r="X95" s="113">
        <v>45.0</v>
      </c>
      <c r="Y95" s="113">
        <v>55.0</v>
      </c>
      <c r="Z95" s="113" t="s">
        <v>99</v>
      </c>
      <c r="AA95" s="114">
        <f t="shared" ref="AA95:AA98" si="193">BC95/(1-(AK95+2%))</f>
        <v>646.5342272</v>
      </c>
      <c r="AB95" s="115" t="str">
        <f t="shared" si="180"/>
        <v>#REF!</v>
      </c>
      <c r="AC95" s="116">
        <f t="shared" si="5"/>
        <v>581.0474107</v>
      </c>
      <c r="AD95" s="117">
        <f t="shared" si="6"/>
        <v>611.6288534</v>
      </c>
      <c r="AE95" s="118" t="str">
        <f t="shared" si="181"/>
        <v>#REF!</v>
      </c>
      <c r="AF95" s="118" t="str">
        <f t="shared" si="94"/>
        <v>#REF!</v>
      </c>
      <c r="AG95" s="119" t="str">
        <f t="shared" si="95"/>
        <v>#REF!</v>
      </c>
      <c r="AH95" s="120" t="str">
        <f t="shared" si="96"/>
        <v>#REF!</v>
      </c>
      <c r="AI95" s="121">
        <v>0.09</v>
      </c>
      <c r="AJ95" s="121">
        <v>0.09</v>
      </c>
      <c r="AK95" s="122">
        <v>0.27</v>
      </c>
      <c r="AL95" s="123">
        <f t="shared" si="11"/>
        <v>156.8828009</v>
      </c>
      <c r="AM95" s="124" t="s">
        <v>10</v>
      </c>
      <c r="AN95" s="125">
        <f t="shared" si="12"/>
        <v>581.0474107</v>
      </c>
      <c r="AO95" s="126">
        <f t="shared" si="126"/>
        <v>0.27</v>
      </c>
      <c r="AP95" s="127"/>
      <c r="AQ95" s="128">
        <f t="shared" ref="AQ95:AR95" si="192">BC95/(1-AI95)</f>
        <v>504.4387926</v>
      </c>
      <c r="AR95" s="125">
        <f t="shared" si="192"/>
        <v>466.1149559</v>
      </c>
      <c r="AS95" s="126">
        <f t="shared" si="129"/>
        <v>0.2197802198</v>
      </c>
      <c r="AT95" s="126">
        <f t="shared" si="130"/>
        <v>0.1978021978</v>
      </c>
      <c r="AU95" s="129"/>
      <c r="AV95" s="39" t="s">
        <v>126</v>
      </c>
      <c r="AW95" s="130">
        <v>19.97</v>
      </c>
      <c r="AX95" s="130">
        <v>2609.41</v>
      </c>
      <c r="AY95" s="130"/>
      <c r="AZ95" s="130">
        <v>5.0</v>
      </c>
      <c r="BA95" s="130">
        <f t="shared" ref="BA95:BA98" si="195">($F$2-70000)/1000*AW95+AX95</f>
        <v>3148.6</v>
      </c>
      <c r="BB95" s="130">
        <f t="shared" ref="BB95:BB98" si="196">AZ95+BA95</f>
        <v>3153.6</v>
      </c>
      <c r="BC95" s="131">
        <f t="shared" ref="BC95:BC98" si="197">(AZ95+BA95)/$F$5</f>
        <v>459.0393013</v>
      </c>
      <c r="BD95" s="132">
        <f t="shared" ref="BD95:BD98" si="198">(BC95/$F$6)+(($F$9+$G$9)/40/S95)+BC95*V95</f>
        <v>424.1646098</v>
      </c>
      <c r="BE95" s="133"/>
      <c r="BF95" s="134" t="s">
        <v>101</v>
      </c>
      <c r="BG95" s="49"/>
      <c r="BH95" s="116">
        <f t="shared" si="22"/>
        <v>1936.824702</v>
      </c>
      <c r="BI95" s="116">
        <f t="shared" si="23"/>
        <v>1162.094821</v>
      </c>
      <c r="BJ95" s="116">
        <f t="shared" si="24"/>
        <v>968.4123512</v>
      </c>
      <c r="BK95" s="116">
        <f t="shared" si="25"/>
        <v>774.729881</v>
      </c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</row>
    <row r="96" ht="14.25" customHeight="1">
      <c r="A96" s="103" t="s">
        <v>84</v>
      </c>
      <c r="B96" s="103" t="s">
        <v>85</v>
      </c>
      <c r="C96" s="103" t="s">
        <v>120</v>
      </c>
      <c r="D96" s="103" t="s">
        <v>86</v>
      </c>
      <c r="E96" s="104" t="s">
        <v>87</v>
      </c>
      <c r="F96" s="105" t="s">
        <v>386</v>
      </c>
      <c r="G96" s="106" t="s">
        <v>351</v>
      </c>
      <c r="H96" s="106">
        <v>23.0</v>
      </c>
      <c r="I96" s="107" t="s">
        <v>417</v>
      </c>
      <c r="J96" s="108" t="s">
        <v>418</v>
      </c>
      <c r="K96" s="108" t="str">
        <f>_xlfn.XLOOKUP(J96,[1]Sheet1!$A:$A,[1]Sheet1!$B:$B,"")</f>
        <v>#ERROR!</v>
      </c>
      <c r="L96" s="105" t="s">
        <v>419</v>
      </c>
      <c r="M96" s="105" t="s">
        <v>420</v>
      </c>
      <c r="N96" s="106" t="s">
        <v>206</v>
      </c>
      <c r="O96" s="109" t="s">
        <v>95</v>
      </c>
      <c r="P96" s="110">
        <v>18.5</v>
      </c>
      <c r="Q96" s="103" t="s">
        <v>96</v>
      </c>
      <c r="R96" s="110" t="s">
        <v>97</v>
      </c>
      <c r="S96" s="110">
        <v>4.0</v>
      </c>
      <c r="T96" s="111"/>
      <c r="U96" s="106" t="s">
        <v>98</v>
      </c>
      <c r="V96" s="112">
        <v>0.0</v>
      </c>
      <c r="W96" s="113">
        <v>45.0</v>
      </c>
      <c r="X96" s="113">
        <v>45.0</v>
      </c>
      <c r="Y96" s="113">
        <v>55.0</v>
      </c>
      <c r="Z96" s="113" t="s">
        <v>99</v>
      </c>
      <c r="AA96" s="114">
        <f t="shared" si="193"/>
        <v>1466.096726</v>
      </c>
      <c r="AB96" s="115" t="str">
        <f t="shared" si="180"/>
        <v>#REF!</v>
      </c>
      <c r="AC96" s="116">
        <f t="shared" si="5"/>
        <v>1274.185438</v>
      </c>
      <c r="AD96" s="117">
        <f t="shared" si="6"/>
        <v>1341.24783</v>
      </c>
      <c r="AE96" s="118" t="str">
        <f t="shared" si="181"/>
        <v>#REF!</v>
      </c>
      <c r="AF96" s="118" t="str">
        <f t="shared" si="94"/>
        <v>#REF!</v>
      </c>
      <c r="AG96" s="119" t="str">
        <f t="shared" si="95"/>
        <v>#REF!</v>
      </c>
      <c r="AH96" s="120" t="str">
        <f t="shared" si="96"/>
        <v>#REF!</v>
      </c>
      <c r="AI96" s="121">
        <v>0.09</v>
      </c>
      <c r="AJ96" s="121">
        <v>0.09</v>
      </c>
      <c r="AK96" s="122">
        <v>0.27</v>
      </c>
      <c r="AL96" s="123">
        <f t="shared" si="11"/>
        <v>344.0300683</v>
      </c>
      <c r="AM96" s="124" t="s">
        <v>10</v>
      </c>
      <c r="AN96" s="125">
        <f t="shared" si="12"/>
        <v>1274.185438</v>
      </c>
      <c r="AO96" s="126">
        <f t="shared" si="126"/>
        <v>0.27</v>
      </c>
      <c r="AP96" s="127"/>
      <c r="AQ96" s="128">
        <f t="shared" ref="AQ96:AR96" si="194">BC96/(1-AI96)</f>
        <v>1143.877665</v>
      </c>
      <c r="AR96" s="125">
        <f t="shared" si="194"/>
        <v>1022.148758</v>
      </c>
      <c r="AS96" s="126">
        <f t="shared" si="129"/>
        <v>0.2197802198</v>
      </c>
      <c r="AT96" s="126">
        <f t="shared" si="130"/>
        <v>0.1978021978</v>
      </c>
      <c r="AU96" s="129"/>
      <c r="AV96" s="39" t="s">
        <v>100</v>
      </c>
      <c r="AW96" s="130">
        <f>13.92*2</f>
        <v>27.84</v>
      </c>
      <c r="AX96" s="130">
        <v>6394.5</v>
      </c>
      <c r="AY96" s="130"/>
      <c r="AZ96" s="130">
        <v>5.0</v>
      </c>
      <c r="BA96" s="130">
        <f t="shared" si="195"/>
        <v>7146.18</v>
      </c>
      <c r="BB96" s="130">
        <f t="shared" si="196"/>
        <v>7151.18</v>
      </c>
      <c r="BC96" s="131">
        <f t="shared" si="197"/>
        <v>1040.928675</v>
      </c>
      <c r="BD96" s="132">
        <f t="shared" si="198"/>
        <v>930.1553699</v>
      </c>
      <c r="BE96" s="133"/>
      <c r="BF96" s="134" t="s">
        <v>101</v>
      </c>
      <c r="BG96" s="49"/>
      <c r="BH96" s="116">
        <f t="shared" si="22"/>
        <v>4247.284794</v>
      </c>
      <c r="BI96" s="116">
        <f t="shared" si="23"/>
        <v>2548.370876</v>
      </c>
      <c r="BJ96" s="116">
        <f t="shared" si="24"/>
        <v>2123.642397</v>
      </c>
      <c r="BK96" s="116">
        <f t="shared" si="25"/>
        <v>1698.913918</v>
      </c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</row>
    <row r="97" ht="14.25" customHeight="1">
      <c r="A97" s="103" t="s">
        <v>84</v>
      </c>
      <c r="B97" s="103" t="s">
        <v>120</v>
      </c>
      <c r="C97" s="103" t="s">
        <v>120</v>
      </c>
      <c r="D97" s="103" t="s">
        <v>86</v>
      </c>
      <c r="E97" s="104" t="s">
        <v>87</v>
      </c>
      <c r="F97" s="105" t="s">
        <v>386</v>
      </c>
      <c r="G97" s="106" t="s">
        <v>351</v>
      </c>
      <c r="H97" s="106">
        <v>26.0</v>
      </c>
      <c r="I97" s="107" t="s">
        <v>421</v>
      </c>
      <c r="J97" s="108" t="s">
        <v>422</v>
      </c>
      <c r="K97" s="108" t="str">
        <f>_xlfn.XLOOKUP(J97,[1]Sheet1!$A:$A,[1]Sheet1!$B:$B,"")</f>
        <v>#ERROR!</v>
      </c>
      <c r="L97" s="105" t="s">
        <v>423</v>
      </c>
      <c r="M97" s="105" t="s">
        <v>424</v>
      </c>
      <c r="N97" s="106" t="s">
        <v>106</v>
      </c>
      <c r="O97" s="109" t="s">
        <v>95</v>
      </c>
      <c r="P97" s="110">
        <v>9.9</v>
      </c>
      <c r="Q97" s="103" t="s">
        <v>96</v>
      </c>
      <c r="R97" s="110" t="s">
        <v>97</v>
      </c>
      <c r="S97" s="110">
        <v>4.0</v>
      </c>
      <c r="T97" s="111"/>
      <c r="U97" s="106" t="s">
        <v>98</v>
      </c>
      <c r="V97" s="112">
        <v>0.0</v>
      </c>
      <c r="W97" s="113">
        <v>45.0</v>
      </c>
      <c r="X97" s="113">
        <v>45.0</v>
      </c>
      <c r="Y97" s="113">
        <v>55.0</v>
      </c>
      <c r="Z97" s="113" t="s">
        <v>99</v>
      </c>
      <c r="AA97" s="114">
        <f t="shared" si="193"/>
        <v>471.8604308</v>
      </c>
      <c r="AB97" s="115" t="str">
        <f t="shared" si="180"/>
        <v>#REF!</v>
      </c>
      <c r="AC97" s="116">
        <f t="shared" si="5"/>
        <v>433.9665612</v>
      </c>
      <c r="AD97" s="117">
        <f t="shared" si="6"/>
        <v>456.8069065</v>
      </c>
      <c r="AE97" s="118" t="str">
        <f t="shared" si="181"/>
        <v>#REF!</v>
      </c>
      <c r="AF97" s="118" t="str">
        <f t="shared" si="94"/>
        <v>#REF!</v>
      </c>
      <c r="AG97" s="119" t="str">
        <f t="shared" si="95"/>
        <v>#REF!</v>
      </c>
      <c r="AH97" s="120" t="str">
        <f t="shared" si="96"/>
        <v>#REF!</v>
      </c>
      <c r="AI97" s="121">
        <v>0.09</v>
      </c>
      <c r="AJ97" s="121">
        <v>0.09</v>
      </c>
      <c r="AK97" s="122">
        <v>0.29</v>
      </c>
      <c r="AL97" s="123">
        <f t="shared" si="11"/>
        <v>125.8503028</v>
      </c>
      <c r="AM97" s="122" t="s">
        <v>10</v>
      </c>
      <c r="AN97" s="125">
        <f t="shared" si="12"/>
        <v>433.9665612</v>
      </c>
      <c r="AO97" s="206">
        <f t="shared" si="126"/>
        <v>0.29</v>
      </c>
      <c r="AP97" s="127"/>
      <c r="AQ97" s="208">
        <f t="shared" ref="AQ97:AR97" si="199">BC97/(1-AI97)</f>
        <v>357.7842827</v>
      </c>
      <c r="AR97" s="209">
        <f t="shared" si="199"/>
        <v>338.589295</v>
      </c>
      <c r="AS97" s="207">
        <f t="shared" si="129"/>
        <v>0.2417582418</v>
      </c>
      <c r="AT97" s="207">
        <f t="shared" si="130"/>
        <v>0.2197802198</v>
      </c>
      <c r="AU97" s="129"/>
      <c r="AV97" s="39" t="s">
        <v>185</v>
      </c>
      <c r="AW97" s="130">
        <f>14*1.02</f>
        <v>14.28</v>
      </c>
      <c r="AX97" s="130">
        <f>1810*1.02</f>
        <v>1846.2</v>
      </c>
      <c r="AY97" s="130"/>
      <c r="AZ97" s="130">
        <v>5.0</v>
      </c>
      <c r="BA97" s="130">
        <f t="shared" si="195"/>
        <v>2231.76</v>
      </c>
      <c r="BB97" s="130">
        <f t="shared" si="196"/>
        <v>2236.76</v>
      </c>
      <c r="BC97" s="131">
        <f t="shared" si="197"/>
        <v>325.5836972</v>
      </c>
      <c r="BD97" s="132">
        <f t="shared" si="198"/>
        <v>308.1162585</v>
      </c>
      <c r="BE97" s="135" t="s">
        <v>425</v>
      </c>
      <c r="BF97" s="134" t="s">
        <v>101</v>
      </c>
      <c r="BG97" s="49"/>
      <c r="BH97" s="118">
        <f t="shared" si="22"/>
        <v>1446.555204</v>
      </c>
      <c r="BI97" s="118">
        <f t="shared" si="23"/>
        <v>867.9331224</v>
      </c>
      <c r="BJ97" s="118">
        <f t="shared" si="24"/>
        <v>723.277602</v>
      </c>
      <c r="BK97" s="118">
        <f t="shared" si="25"/>
        <v>578.6220816</v>
      </c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</row>
    <row r="98" ht="14.25" customHeight="1">
      <c r="A98" s="103" t="s">
        <v>84</v>
      </c>
      <c r="B98" s="103" t="s">
        <v>120</v>
      </c>
      <c r="C98" s="103" t="s">
        <v>85</v>
      </c>
      <c r="D98" s="103" t="s">
        <v>86</v>
      </c>
      <c r="E98" s="104" t="s">
        <v>87</v>
      </c>
      <c r="F98" s="105" t="s">
        <v>426</v>
      </c>
      <c r="G98" s="106" t="s">
        <v>351</v>
      </c>
      <c r="H98" s="106">
        <v>23.0</v>
      </c>
      <c r="I98" s="107" t="s">
        <v>427</v>
      </c>
      <c r="J98" s="205" t="s">
        <v>428</v>
      </c>
      <c r="K98" s="108" t="s">
        <v>429</v>
      </c>
      <c r="L98" s="105" t="s">
        <v>430</v>
      </c>
      <c r="M98" s="105" t="s">
        <v>431</v>
      </c>
      <c r="N98" s="106" t="s">
        <v>201</v>
      </c>
      <c r="O98" s="109" t="s">
        <v>95</v>
      </c>
      <c r="P98" s="110">
        <v>26.0</v>
      </c>
      <c r="Q98" s="103" t="s">
        <v>96</v>
      </c>
      <c r="R98" s="110" t="s">
        <v>97</v>
      </c>
      <c r="S98" s="110">
        <v>9.0</v>
      </c>
      <c r="T98" s="111"/>
      <c r="U98" s="106" t="s">
        <v>98</v>
      </c>
      <c r="V98" s="112">
        <v>0.0</v>
      </c>
      <c r="W98" s="113">
        <v>45.0</v>
      </c>
      <c r="X98" s="113">
        <v>45.0</v>
      </c>
      <c r="Y98" s="113">
        <v>55.0</v>
      </c>
      <c r="Z98" s="113" t="s">
        <v>148</v>
      </c>
      <c r="AA98" s="114">
        <f t="shared" si="193"/>
        <v>781.413992</v>
      </c>
      <c r="AB98" s="115" t="str">
        <f t="shared" si="180"/>
        <v>#REF!</v>
      </c>
      <c r="AC98" s="116">
        <f t="shared" si="5"/>
        <v>676.4676261</v>
      </c>
      <c r="AD98" s="117">
        <f t="shared" si="6"/>
        <v>712.0711853</v>
      </c>
      <c r="AE98" s="118" t="str">
        <f t="shared" si="181"/>
        <v>#REF!</v>
      </c>
      <c r="AF98" s="118" t="str">
        <f t="shared" si="94"/>
        <v>#REF!</v>
      </c>
      <c r="AG98" s="119" t="str">
        <f t="shared" si="95"/>
        <v>#REF!</v>
      </c>
      <c r="AH98" s="120" t="str">
        <f t="shared" si="96"/>
        <v>#REF!</v>
      </c>
      <c r="AI98" s="121">
        <v>0.09</v>
      </c>
      <c r="AJ98" s="121">
        <v>0.09</v>
      </c>
      <c r="AK98" s="122">
        <v>0.18</v>
      </c>
      <c r="AL98" s="123">
        <f t="shared" si="11"/>
        <v>121.7641727</v>
      </c>
      <c r="AM98" s="124" t="s">
        <v>10</v>
      </c>
      <c r="AN98" s="125">
        <f t="shared" si="12"/>
        <v>676.4676261</v>
      </c>
      <c r="AO98" s="126">
        <f t="shared" si="126"/>
        <v>0.18</v>
      </c>
      <c r="AP98" s="127"/>
      <c r="AQ98" s="128">
        <f t="shared" ref="AQ98:AR98" si="200">BC98/(1-AI98)</f>
        <v>686.9573556</v>
      </c>
      <c r="AR98" s="125">
        <f t="shared" si="200"/>
        <v>609.5642345</v>
      </c>
      <c r="AS98" s="126">
        <f t="shared" si="129"/>
        <v>0.1208791209</v>
      </c>
      <c r="AT98" s="126">
        <f t="shared" si="130"/>
        <v>0.0989010989</v>
      </c>
      <c r="AU98" s="129">
        <v>509.27</v>
      </c>
      <c r="AV98" s="39" t="s">
        <v>126</v>
      </c>
      <c r="AW98" s="130">
        <f>29.25*1.03</f>
        <v>30.1275</v>
      </c>
      <c r="AX98" s="130">
        <f>3374.96*1.03</f>
        <v>3476.2088</v>
      </c>
      <c r="AY98" s="130"/>
      <c r="AZ98" s="130">
        <v>5.0</v>
      </c>
      <c r="BA98" s="130">
        <f t="shared" si="195"/>
        <v>4289.6513</v>
      </c>
      <c r="BB98" s="130">
        <f t="shared" si="196"/>
        <v>4294.6513</v>
      </c>
      <c r="BC98" s="131">
        <f t="shared" si="197"/>
        <v>625.1311936</v>
      </c>
      <c r="BD98" s="132">
        <f t="shared" si="198"/>
        <v>554.7034534</v>
      </c>
      <c r="BE98" s="135" t="s">
        <v>432</v>
      </c>
      <c r="BF98" s="134"/>
      <c r="BG98" s="49"/>
      <c r="BH98" s="118">
        <f t="shared" si="22"/>
        <v>2254.892087</v>
      </c>
      <c r="BI98" s="118">
        <f t="shared" si="23"/>
        <v>1352.935252</v>
      </c>
      <c r="BJ98" s="118">
        <f t="shared" si="24"/>
        <v>1127.446043</v>
      </c>
      <c r="BK98" s="118">
        <f t="shared" si="25"/>
        <v>901.9568347</v>
      </c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</row>
    <row r="99" ht="14.25" customHeight="1">
      <c r="A99" s="103" t="s">
        <v>84</v>
      </c>
      <c r="B99" s="103" t="s">
        <v>120</v>
      </c>
      <c r="C99" s="103" t="s">
        <v>85</v>
      </c>
      <c r="D99" s="103" t="s">
        <v>86</v>
      </c>
      <c r="E99" s="104" t="s">
        <v>87</v>
      </c>
      <c r="F99" s="105" t="s">
        <v>426</v>
      </c>
      <c r="G99" s="106" t="s">
        <v>351</v>
      </c>
      <c r="H99" s="106">
        <v>23.0</v>
      </c>
      <c r="I99" s="107" t="s">
        <v>433</v>
      </c>
      <c r="J99" s="138" t="s">
        <v>428</v>
      </c>
      <c r="K99" s="108" t="s">
        <v>429</v>
      </c>
      <c r="L99" s="105" t="s">
        <v>430</v>
      </c>
      <c r="M99" s="105" t="s">
        <v>431</v>
      </c>
      <c r="N99" s="106" t="s">
        <v>201</v>
      </c>
      <c r="O99" s="109" t="s">
        <v>147</v>
      </c>
      <c r="P99" s="110">
        <v>25.0</v>
      </c>
      <c r="Q99" s="103" t="s">
        <v>96</v>
      </c>
      <c r="R99" s="110" t="s">
        <v>97</v>
      </c>
      <c r="S99" s="110">
        <v>9.0</v>
      </c>
      <c r="T99" s="111"/>
      <c r="U99" s="106" t="s">
        <v>98</v>
      </c>
      <c r="V99" s="112">
        <v>0.0</v>
      </c>
      <c r="W99" s="113">
        <v>60.0</v>
      </c>
      <c r="X99" s="113">
        <v>14.0</v>
      </c>
      <c r="Y99" s="113">
        <v>14.0</v>
      </c>
      <c r="Z99" s="113" t="s">
        <v>148</v>
      </c>
      <c r="AA99" s="114">
        <f>(BC99/(1-(AK99+2%)))*$F$6</f>
        <v>700.3205128</v>
      </c>
      <c r="AB99" s="115" t="str">
        <f t="shared" si="180"/>
        <v>#REF!</v>
      </c>
      <c r="AC99" s="116">
        <f t="shared" si="5"/>
        <v>602.807971</v>
      </c>
      <c r="AD99" s="117">
        <f t="shared" si="6"/>
        <v>634.5347063</v>
      </c>
      <c r="AE99" s="118" t="str">
        <f t="shared" si="181"/>
        <v>#REF!</v>
      </c>
      <c r="AF99" s="118" t="str">
        <f t="shared" si="94"/>
        <v>#REF!</v>
      </c>
      <c r="AG99" s="119" t="str">
        <f t="shared" si="95"/>
        <v>#REF!</v>
      </c>
      <c r="AH99" s="120" t="str">
        <f t="shared" si="96"/>
        <v>#REF!</v>
      </c>
      <c r="AI99" s="121">
        <v>0.07</v>
      </c>
      <c r="AJ99" s="121">
        <v>0.07</v>
      </c>
      <c r="AK99" s="122">
        <v>0.2</v>
      </c>
      <c r="AL99" s="123">
        <f t="shared" si="11"/>
        <v>120.5615942</v>
      </c>
      <c r="AM99" s="122" t="s">
        <v>10</v>
      </c>
      <c r="AN99" s="125">
        <f t="shared" si="12"/>
        <v>602.807971</v>
      </c>
      <c r="AO99" s="206">
        <f t="shared" si="126"/>
        <v>0.2</v>
      </c>
      <c r="AP99" s="127"/>
      <c r="AQ99" s="128">
        <f>BC99/(1-AI99)*$F$6</f>
        <v>587.3655914</v>
      </c>
      <c r="AR99" s="125">
        <f>BD99/(1-AJ99)</f>
        <v>518.5444912</v>
      </c>
      <c r="AS99" s="207">
        <f t="shared" si="129"/>
        <v>0.1612903226</v>
      </c>
      <c r="AT99" s="207">
        <f t="shared" si="130"/>
        <v>0.1397849462</v>
      </c>
      <c r="AU99" s="129">
        <v>509.27</v>
      </c>
      <c r="AV99" s="39" t="s">
        <v>149</v>
      </c>
      <c r="AW99" s="130"/>
      <c r="AX99" s="130"/>
      <c r="AY99" s="139">
        <v>250.0</v>
      </c>
      <c r="AZ99" s="130"/>
      <c r="BA99" s="130"/>
      <c r="BB99" s="130"/>
      <c r="BC99" s="137">
        <f>AY99+($F$4-1500)/1000*P99</f>
        <v>475</v>
      </c>
      <c r="BD99" s="132">
        <f>(AY99+($F$4-1500)/1000*P99)+($F$10/40/S99/$F$6)</f>
        <v>482.2463768</v>
      </c>
      <c r="BE99" s="133"/>
      <c r="BF99" s="134"/>
      <c r="BG99" s="49"/>
      <c r="BH99" s="118">
        <f t="shared" si="22"/>
        <v>2009.359903</v>
      </c>
      <c r="BI99" s="118">
        <f t="shared" si="23"/>
        <v>1205.615942</v>
      </c>
      <c r="BJ99" s="118">
        <f t="shared" si="24"/>
        <v>1004.679952</v>
      </c>
      <c r="BK99" s="118">
        <f t="shared" si="25"/>
        <v>803.7439614</v>
      </c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</row>
    <row r="100" ht="14.25" customHeight="1">
      <c r="A100" s="103" t="s">
        <v>84</v>
      </c>
      <c r="B100" s="103" t="s">
        <v>120</v>
      </c>
      <c r="C100" s="103" t="s">
        <v>85</v>
      </c>
      <c r="D100" s="103" t="s">
        <v>86</v>
      </c>
      <c r="E100" s="104" t="s">
        <v>87</v>
      </c>
      <c r="F100" s="105" t="s">
        <v>426</v>
      </c>
      <c r="G100" s="106" t="s">
        <v>351</v>
      </c>
      <c r="H100" s="106">
        <v>22.0</v>
      </c>
      <c r="I100" s="107" t="s">
        <v>434</v>
      </c>
      <c r="J100" s="205" t="s">
        <v>435</v>
      </c>
      <c r="K100" s="108" t="str">
        <f>_xlfn.XLOOKUP(J100,[1]Sheet1!$A:$A,[1]Sheet1!$B:$B,"")</f>
        <v>#ERROR!</v>
      </c>
      <c r="L100" s="105" t="s">
        <v>436</v>
      </c>
      <c r="M100" s="105" t="s">
        <v>437</v>
      </c>
      <c r="N100" s="106" t="s">
        <v>201</v>
      </c>
      <c r="O100" s="109" t="s">
        <v>95</v>
      </c>
      <c r="P100" s="110">
        <v>27.6</v>
      </c>
      <c r="Q100" s="103" t="s">
        <v>96</v>
      </c>
      <c r="R100" s="110" t="s">
        <v>97</v>
      </c>
      <c r="S100" s="110">
        <v>9.0</v>
      </c>
      <c r="T100" s="111"/>
      <c r="U100" s="106" t="s">
        <v>98</v>
      </c>
      <c r="V100" s="112">
        <v>0.0</v>
      </c>
      <c r="W100" s="113">
        <v>60.0</v>
      </c>
      <c r="X100" s="113">
        <v>14.0</v>
      </c>
      <c r="Y100" s="113">
        <v>14.0</v>
      </c>
      <c r="Z100" s="113" t="s">
        <v>148</v>
      </c>
      <c r="AA100" s="114">
        <f t="shared" ref="AA100:AA104" si="202">BC100/(1-(AK100+2%))</f>
        <v>852.0872056</v>
      </c>
      <c r="AB100" s="115" t="str">
        <f t="shared" si="180"/>
        <v>#REF!</v>
      </c>
      <c r="AC100" s="116">
        <f t="shared" si="5"/>
        <v>736.3106502</v>
      </c>
      <c r="AD100" s="117">
        <f t="shared" si="6"/>
        <v>775.0638423</v>
      </c>
      <c r="AE100" s="118" t="str">
        <f t="shared" si="181"/>
        <v>#REF!</v>
      </c>
      <c r="AF100" s="118" t="str">
        <f t="shared" si="94"/>
        <v>#REF!</v>
      </c>
      <c r="AG100" s="119" t="str">
        <f t="shared" si="95"/>
        <v>#REF!</v>
      </c>
      <c r="AH100" s="120" t="str">
        <f t="shared" si="96"/>
        <v>#REF!</v>
      </c>
      <c r="AI100" s="121">
        <v>0.09</v>
      </c>
      <c r="AJ100" s="121">
        <v>0.09</v>
      </c>
      <c r="AK100" s="122">
        <v>0.2</v>
      </c>
      <c r="AL100" s="123">
        <f t="shared" si="11"/>
        <v>147.26213</v>
      </c>
      <c r="AM100" s="124" t="s">
        <v>10</v>
      </c>
      <c r="AN100" s="125">
        <f t="shared" si="12"/>
        <v>736.3106502</v>
      </c>
      <c r="AO100" s="126">
        <f t="shared" si="126"/>
        <v>0.2</v>
      </c>
      <c r="AP100" s="127"/>
      <c r="AQ100" s="128">
        <f t="shared" ref="AQ100:AR100" si="201">BC100/(1-AI100)</f>
        <v>730.360462</v>
      </c>
      <c r="AR100" s="125">
        <f t="shared" si="201"/>
        <v>647.3060661</v>
      </c>
      <c r="AS100" s="126">
        <f t="shared" si="129"/>
        <v>0.1428571429</v>
      </c>
      <c r="AT100" s="126">
        <f t="shared" si="130"/>
        <v>0.1208791209</v>
      </c>
      <c r="AU100" s="129"/>
      <c r="AV100" s="39" t="s">
        <v>126</v>
      </c>
      <c r="AW100" s="130">
        <f>30.95*1.03</f>
        <v>31.8785</v>
      </c>
      <c r="AX100" s="130">
        <f>3592.5*1.03</f>
        <v>3700.275</v>
      </c>
      <c r="AY100" s="139"/>
      <c r="AZ100" s="130">
        <v>5.0</v>
      </c>
      <c r="BA100" s="130">
        <f t="shared" ref="BA100:BA108" si="204">($F$2-70000)/1000*AW100+AX100</f>
        <v>4560.9945</v>
      </c>
      <c r="BB100" s="130">
        <f t="shared" ref="BB100:BB108" si="205">AZ100+BA100</f>
        <v>4565.9945</v>
      </c>
      <c r="BC100" s="131">
        <f t="shared" ref="BC100:BC108" si="206">(AZ100+BA100)/$F$5</f>
        <v>664.6280204</v>
      </c>
      <c r="BD100" s="132">
        <f t="shared" ref="BD100:BD108" si="207">(BC100/$F$6)+(($F$9+$G$9)/40/S100)+BC100*V100</f>
        <v>589.0485201</v>
      </c>
      <c r="BE100" s="135" t="s">
        <v>438</v>
      </c>
      <c r="BF100" s="134"/>
      <c r="BG100" s="49"/>
      <c r="BH100" s="118">
        <f t="shared" si="22"/>
        <v>2454.368834</v>
      </c>
      <c r="BI100" s="118">
        <f t="shared" si="23"/>
        <v>1472.6213</v>
      </c>
      <c r="BJ100" s="118">
        <f t="shared" si="24"/>
        <v>1227.184417</v>
      </c>
      <c r="BK100" s="118">
        <f t="shared" si="25"/>
        <v>981.7475336</v>
      </c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</row>
    <row r="101" ht="14.25" customHeight="1">
      <c r="A101" s="103" t="s">
        <v>84</v>
      </c>
      <c r="B101" s="103" t="s">
        <v>120</v>
      </c>
      <c r="C101" s="103" t="s">
        <v>120</v>
      </c>
      <c r="D101" s="103" t="s">
        <v>86</v>
      </c>
      <c r="E101" s="104" t="s">
        <v>87</v>
      </c>
      <c r="F101" s="105" t="s">
        <v>426</v>
      </c>
      <c r="G101" s="106" t="s">
        <v>351</v>
      </c>
      <c r="H101" s="106">
        <v>23.0</v>
      </c>
      <c r="I101" s="107" t="s">
        <v>439</v>
      </c>
      <c r="J101" s="108" t="s">
        <v>440</v>
      </c>
      <c r="K101" s="108" t="str">
        <f>_xlfn.XLOOKUP(J101,[1]Sheet1!$A:$A,[1]Sheet1!$B:$B,"")</f>
        <v>#ERROR!</v>
      </c>
      <c r="L101" s="105" t="s">
        <v>441</v>
      </c>
      <c r="M101" s="105" t="s">
        <v>442</v>
      </c>
      <c r="N101" s="106" t="s">
        <v>162</v>
      </c>
      <c r="O101" s="109" t="s">
        <v>95</v>
      </c>
      <c r="P101" s="110">
        <v>26.0</v>
      </c>
      <c r="Q101" s="103" t="s">
        <v>96</v>
      </c>
      <c r="R101" s="110" t="s">
        <v>97</v>
      </c>
      <c r="S101" s="110">
        <v>4.0</v>
      </c>
      <c r="T101" s="111" t="e">
        <v>#N/A</v>
      </c>
      <c r="U101" s="106" t="s">
        <v>98</v>
      </c>
      <c r="V101" s="112">
        <v>0.0</v>
      </c>
      <c r="W101" s="113">
        <v>45.0</v>
      </c>
      <c r="X101" s="113">
        <v>45.0</v>
      </c>
      <c r="Y101" s="113">
        <v>55.0</v>
      </c>
      <c r="Z101" s="113" t="s">
        <v>99</v>
      </c>
      <c r="AA101" s="114">
        <f t="shared" si="202"/>
        <v>768.284414</v>
      </c>
      <c r="AB101" s="115" t="str">
        <f t="shared" si="180"/>
        <v>#REF!</v>
      </c>
      <c r="AC101" s="116">
        <f t="shared" si="5"/>
        <v>682.4419614</v>
      </c>
      <c r="AD101" s="117">
        <f t="shared" si="6"/>
        <v>718.3599594</v>
      </c>
      <c r="AE101" s="118" t="str">
        <f t="shared" si="181"/>
        <v>#REF!</v>
      </c>
      <c r="AF101" s="118" t="str">
        <f t="shared" si="94"/>
        <v>#REF!</v>
      </c>
      <c r="AG101" s="119" t="str">
        <f t="shared" si="95"/>
        <v>#REF!</v>
      </c>
      <c r="AH101" s="120" t="str">
        <f t="shared" si="96"/>
        <v>#REF!</v>
      </c>
      <c r="AI101" s="121">
        <v>0.09</v>
      </c>
      <c r="AJ101" s="121">
        <v>0.09</v>
      </c>
      <c r="AK101" s="122">
        <v>0.19</v>
      </c>
      <c r="AL101" s="123">
        <f t="shared" si="11"/>
        <v>129.6639727</v>
      </c>
      <c r="AM101" s="124" t="s">
        <v>10</v>
      </c>
      <c r="AN101" s="125">
        <f t="shared" si="12"/>
        <v>682.4419614</v>
      </c>
      <c r="AO101" s="126">
        <f t="shared" si="126"/>
        <v>0.19</v>
      </c>
      <c r="AP101" s="127"/>
      <c r="AQ101" s="128">
        <f t="shared" ref="AQ101:AR101" si="203">BC101/(1-AI101)</f>
        <v>666.9721836</v>
      </c>
      <c r="AR101" s="125">
        <f t="shared" si="203"/>
        <v>607.4483393</v>
      </c>
      <c r="AS101" s="126">
        <f t="shared" si="129"/>
        <v>0.1318681319</v>
      </c>
      <c r="AT101" s="126">
        <f t="shared" si="130"/>
        <v>0.1098901099</v>
      </c>
      <c r="AU101" s="129"/>
      <c r="AV101" s="39" t="s">
        <v>126</v>
      </c>
      <c r="AW101" s="130">
        <v>29.25</v>
      </c>
      <c r="AX101" s="130">
        <v>3374.96</v>
      </c>
      <c r="AY101" s="130"/>
      <c r="AZ101" s="130">
        <v>5.0</v>
      </c>
      <c r="BA101" s="130">
        <f t="shared" si="204"/>
        <v>4164.71</v>
      </c>
      <c r="BB101" s="130">
        <f t="shared" si="205"/>
        <v>4169.71</v>
      </c>
      <c r="BC101" s="131">
        <f t="shared" si="206"/>
        <v>606.944687</v>
      </c>
      <c r="BD101" s="132">
        <f t="shared" si="207"/>
        <v>552.7779887</v>
      </c>
      <c r="BE101" s="133"/>
      <c r="BF101" s="134" t="s">
        <v>101</v>
      </c>
      <c r="BG101" s="49"/>
      <c r="BH101" s="116">
        <f t="shared" si="22"/>
        <v>2274.806538</v>
      </c>
      <c r="BI101" s="116">
        <f t="shared" si="23"/>
        <v>1364.883923</v>
      </c>
      <c r="BJ101" s="116">
        <f t="shared" si="24"/>
        <v>1137.403269</v>
      </c>
      <c r="BK101" s="116">
        <f t="shared" si="25"/>
        <v>909.9226152</v>
      </c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</row>
    <row r="102" ht="14.25" customHeight="1">
      <c r="A102" s="103" t="s">
        <v>84</v>
      </c>
      <c r="B102" s="103" t="s">
        <v>85</v>
      </c>
      <c r="C102" s="103" t="s">
        <v>120</v>
      </c>
      <c r="D102" s="103" t="s">
        <v>86</v>
      </c>
      <c r="E102" s="104" t="s">
        <v>87</v>
      </c>
      <c r="F102" s="105" t="s">
        <v>426</v>
      </c>
      <c r="G102" s="106" t="s">
        <v>351</v>
      </c>
      <c r="H102" s="106">
        <v>22.0</v>
      </c>
      <c r="I102" s="107" t="s">
        <v>443</v>
      </c>
      <c r="J102" s="108" t="s">
        <v>444</v>
      </c>
      <c r="K102" s="108" t="str">
        <f>_xlfn.XLOOKUP(J102,[1]Sheet1!$A:$A,[1]Sheet1!$B:$B,"")</f>
        <v>#ERROR!</v>
      </c>
      <c r="L102" s="105" t="s">
        <v>445</v>
      </c>
      <c r="M102" s="105" t="s">
        <v>446</v>
      </c>
      <c r="N102" s="106" t="s">
        <v>162</v>
      </c>
      <c r="O102" s="109" t="s">
        <v>95</v>
      </c>
      <c r="P102" s="110">
        <v>27.6</v>
      </c>
      <c r="Q102" s="103" t="s">
        <v>96</v>
      </c>
      <c r="R102" s="110" t="s">
        <v>97</v>
      </c>
      <c r="S102" s="110">
        <v>4.0</v>
      </c>
      <c r="T102" s="111" t="e">
        <v>#N/A</v>
      </c>
      <c r="U102" s="106" t="s">
        <v>98</v>
      </c>
      <c r="V102" s="112">
        <v>0.0</v>
      </c>
      <c r="W102" s="113">
        <v>45.0</v>
      </c>
      <c r="X102" s="113">
        <v>45.0</v>
      </c>
      <c r="Y102" s="113">
        <v>55.0</v>
      </c>
      <c r="Z102" s="113" t="s">
        <v>99</v>
      </c>
      <c r="AA102" s="114">
        <f t="shared" si="202"/>
        <v>816.8242036</v>
      </c>
      <c r="AB102" s="115" t="str">
        <f t="shared" si="180"/>
        <v>#REF!</v>
      </c>
      <c r="AC102" s="116">
        <f t="shared" si="5"/>
        <v>723.6082886</v>
      </c>
      <c r="AD102" s="117">
        <f t="shared" si="6"/>
        <v>761.6929354</v>
      </c>
      <c r="AE102" s="118" t="str">
        <f t="shared" si="181"/>
        <v>#REF!</v>
      </c>
      <c r="AF102" s="118" t="str">
        <f t="shared" si="94"/>
        <v>#REF!</v>
      </c>
      <c r="AG102" s="119" t="str">
        <f t="shared" si="95"/>
        <v>#REF!</v>
      </c>
      <c r="AH102" s="120" t="str">
        <f t="shared" si="96"/>
        <v>#REF!</v>
      </c>
      <c r="AI102" s="121">
        <v>0.09</v>
      </c>
      <c r="AJ102" s="121">
        <v>0.09</v>
      </c>
      <c r="AK102" s="122">
        <v>0.19</v>
      </c>
      <c r="AL102" s="123">
        <f t="shared" si="11"/>
        <v>137.4855748</v>
      </c>
      <c r="AM102" s="124" t="s">
        <v>10</v>
      </c>
      <c r="AN102" s="125">
        <f t="shared" si="12"/>
        <v>723.6082886</v>
      </c>
      <c r="AO102" s="126">
        <f t="shared" si="126"/>
        <v>0.19</v>
      </c>
      <c r="AP102" s="127"/>
      <c r="AQ102" s="128">
        <f t="shared" ref="AQ102:AR102" si="208">BC102/(1-AI102)</f>
        <v>709.1111218</v>
      </c>
      <c r="AR102" s="125">
        <f t="shared" si="208"/>
        <v>644.0908942</v>
      </c>
      <c r="AS102" s="126">
        <f t="shared" si="129"/>
        <v>0.1318681319</v>
      </c>
      <c r="AT102" s="126">
        <f t="shared" si="130"/>
        <v>0.1098901099</v>
      </c>
      <c r="AU102" s="129"/>
      <c r="AV102" s="39" t="s">
        <v>126</v>
      </c>
      <c r="AW102" s="130">
        <v>30.95</v>
      </c>
      <c r="AX102" s="130">
        <v>3592.5</v>
      </c>
      <c r="AY102" s="130"/>
      <c r="AZ102" s="130">
        <v>5.0</v>
      </c>
      <c r="BA102" s="130">
        <f t="shared" si="204"/>
        <v>4428.15</v>
      </c>
      <c r="BB102" s="130">
        <f t="shared" si="205"/>
        <v>4433.15</v>
      </c>
      <c r="BC102" s="131">
        <f t="shared" si="206"/>
        <v>645.2911208</v>
      </c>
      <c r="BD102" s="132">
        <f t="shared" si="207"/>
        <v>586.1227138</v>
      </c>
      <c r="BE102" s="133"/>
      <c r="BF102" s="134" t="s">
        <v>101</v>
      </c>
      <c r="BG102" s="49"/>
      <c r="BH102" s="116">
        <f t="shared" si="22"/>
        <v>2412.027629</v>
      </c>
      <c r="BI102" s="116">
        <f t="shared" si="23"/>
        <v>1447.216577</v>
      </c>
      <c r="BJ102" s="116">
        <f t="shared" si="24"/>
        <v>1206.013814</v>
      </c>
      <c r="BK102" s="116">
        <f t="shared" si="25"/>
        <v>964.8110514</v>
      </c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</row>
    <row r="103" ht="14.25" customHeight="1">
      <c r="A103" s="103" t="s">
        <v>84</v>
      </c>
      <c r="B103" s="103" t="s">
        <v>120</v>
      </c>
      <c r="C103" s="103" t="s">
        <v>120</v>
      </c>
      <c r="D103" s="103" t="s">
        <v>86</v>
      </c>
      <c r="E103" s="104" t="s">
        <v>87</v>
      </c>
      <c r="F103" s="105" t="s">
        <v>447</v>
      </c>
      <c r="G103" s="106" t="s">
        <v>351</v>
      </c>
      <c r="H103" s="106">
        <v>22.0</v>
      </c>
      <c r="I103" s="107" t="s">
        <v>448</v>
      </c>
      <c r="J103" s="205" t="s">
        <v>449</v>
      </c>
      <c r="K103" s="108" t="str">
        <f>_xlfn.XLOOKUP(J103,[1]Sheet1!$A:$A,[1]Sheet1!$B:$B,"")</f>
        <v>#ERROR!</v>
      </c>
      <c r="L103" s="105" t="s">
        <v>450</v>
      </c>
      <c r="M103" s="105" t="s">
        <v>451</v>
      </c>
      <c r="N103" s="106" t="s">
        <v>201</v>
      </c>
      <c r="O103" s="109" t="s">
        <v>95</v>
      </c>
      <c r="P103" s="110">
        <v>27.6</v>
      </c>
      <c r="Q103" s="103" t="s">
        <v>96</v>
      </c>
      <c r="R103" s="110" t="s">
        <v>97</v>
      </c>
      <c r="S103" s="110">
        <v>6.0</v>
      </c>
      <c r="T103" s="111"/>
      <c r="U103" s="106" t="s">
        <v>98</v>
      </c>
      <c r="V103" s="112">
        <v>0.0</v>
      </c>
      <c r="W103" s="113">
        <v>45.0</v>
      </c>
      <c r="X103" s="113">
        <v>45.0</v>
      </c>
      <c r="Y103" s="113">
        <v>55.0</v>
      </c>
      <c r="Z103" s="113" t="s">
        <v>99</v>
      </c>
      <c r="AA103" s="114">
        <f t="shared" si="202"/>
        <v>994.0981493</v>
      </c>
      <c r="AB103" s="115" t="str">
        <f t="shared" si="180"/>
        <v>#REF!</v>
      </c>
      <c r="AC103" s="116">
        <f t="shared" si="5"/>
        <v>863.6458356</v>
      </c>
      <c r="AD103" s="117">
        <f t="shared" si="6"/>
        <v>909.1008796</v>
      </c>
      <c r="AE103" s="118" t="str">
        <f t="shared" si="181"/>
        <v>#REF!</v>
      </c>
      <c r="AF103" s="118" t="str">
        <f t="shared" si="94"/>
        <v>#REF!</v>
      </c>
      <c r="AG103" s="119" t="str">
        <f t="shared" si="95"/>
        <v>#REF!</v>
      </c>
      <c r="AH103" s="120" t="str">
        <f t="shared" si="96"/>
        <v>#REF!</v>
      </c>
      <c r="AI103" s="121">
        <v>0.09</v>
      </c>
      <c r="AJ103" s="121">
        <v>0.09</v>
      </c>
      <c r="AK103" s="122">
        <v>0.21</v>
      </c>
      <c r="AL103" s="123">
        <f t="shared" si="11"/>
        <v>181.3656255</v>
      </c>
      <c r="AM103" s="124" t="s">
        <v>10</v>
      </c>
      <c r="AN103" s="125">
        <f t="shared" si="12"/>
        <v>863.6458356</v>
      </c>
      <c r="AO103" s="126">
        <f t="shared" si="126"/>
        <v>0.21</v>
      </c>
      <c r="AP103" s="127"/>
      <c r="AQ103" s="128">
        <f t="shared" ref="AQ103:AR103" si="209">BC103/(1-AI103)</f>
        <v>841.1599725</v>
      </c>
      <c r="AR103" s="125">
        <f t="shared" si="209"/>
        <v>749.7584727</v>
      </c>
      <c r="AS103" s="126">
        <f t="shared" si="129"/>
        <v>0.1538461538</v>
      </c>
      <c r="AT103" s="126">
        <f t="shared" si="130"/>
        <v>0.1318681319</v>
      </c>
      <c r="AU103" s="129">
        <v>655.8000000000001</v>
      </c>
      <c r="AV103" s="39" t="s">
        <v>126</v>
      </c>
      <c r="AW103" s="130">
        <f t="shared" ref="AW103:AX103" si="210">AW104*1.03</f>
        <v>31.8785</v>
      </c>
      <c r="AX103" s="130">
        <f t="shared" si="210"/>
        <v>4392.9603</v>
      </c>
      <c r="AY103" s="130"/>
      <c r="AZ103" s="130">
        <v>5.0</v>
      </c>
      <c r="BA103" s="130">
        <f t="shared" si="204"/>
        <v>5253.6798</v>
      </c>
      <c r="BB103" s="130">
        <f t="shared" si="205"/>
        <v>5258.6798</v>
      </c>
      <c r="BC103" s="131">
        <f t="shared" si="206"/>
        <v>765.455575</v>
      </c>
      <c r="BD103" s="132">
        <f t="shared" si="207"/>
        <v>682.2802101</v>
      </c>
      <c r="BE103" s="135" t="s">
        <v>452</v>
      </c>
      <c r="BF103" s="134"/>
      <c r="BG103" s="49"/>
      <c r="BH103" s="118">
        <f t="shared" si="22"/>
        <v>2878.819452</v>
      </c>
      <c r="BI103" s="118">
        <f t="shared" si="23"/>
        <v>1727.291671</v>
      </c>
      <c r="BJ103" s="118">
        <f t="shared" si="24"/>
        <v>1439.409726</v>
      </c>
      <c r="BK103" s="118">
        <f t="shared" si="25"/>
        <v>1151.527781</v>
      </c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</row>
    <row r="104" ht="14.25" customHeight="1">
      <c r="A104" s="103" t="s">
        <v>84</v>
      </c>
      <c r="B104" s="103" t="s">
        <v>120</v>
      </c>
      <c r="C104" s="103" t="s">
        <v>85</v>
      </c>
      <c r="D104" s="103" t="s">
        <v>86</v>
      </c>
      <c r="E104" s="104" t="s">
        <v>87</v>
      </c>
      <c r="F104" s="105" t="s">
        <v>447</v>
      </c>
      <c r="G104" s="106" t="s">
        <v>351</v>
      </c>
      <c r="H104" s="106">
        <v>22.0</v>
      </c>
      <c r="I104" s="107" t="s">
        <v>453</v>
      </c>
      <c r="J104" s="108" t="s">
        <v>454</v>
      </c>
      <c r="K104" s="108" t="str">
        <f>_xlfn.XLOOKUP(J104,[1]Sheet1!$A:$A,[1]Sheet1!$B:$B,"")</f>
        <v>#ERROR!</v>
      </c>
      <c r="L104" s="105" t="s">
        <v>455</v>
      </c>
      <c r="M104" s="105" t="s">
        <v>456</v>
      </c>
      <c r="N104" s="106" t="s">
        <v>162</v>
      </c>
      <c r="O104" s="109" t="s">
        <v>95</v>
      </c>
      <c r="P104" s="110">
        <v>27.6</v>
      </c>
      <c r="Q104" s="103" t="s">
        <v>96</v>
      </c>
      <c r="R104" s="110" t="s">
        <v>97</v>
      </c>
      <c r="S104" s="110">
        <v>6.0</v>
      </c>
      <c r="T104" s="111"/>
      <c r="U104" s="106" t="s">
        <v>98</v>
      </c>
      <c r="V104" s="112">
        <v>0.0</v>
      </c>
      <c r="W104" s="113">
        <v>45.0</v>
      </c>
      <c r="X104" s="113">
        <v>45.0</v>
      </c>
      <c r="Y104" s="113">
        <v>55.0</v>
      </c>
      <c r="Z104" s="113" t="s">
        <v>99</v>
      </c>
      <c r="AA104" s="114">
        <f t="shared" si="202"/>
        <v>965.1713643</v>
      </c>
      <c r="AB104" s="115" t="str">
        <f t="shared" si="180"/>
        <v>#REF!</v>
      </c>
      <c r="AC104" s="116">
        <f t="shared" si="5"/>
        <v>839.1289127</v>
      </c>
      <c r="AD104" s="117">
        <f t="shared" si="6"/>
        <v>883.2935923</v>
      </c>
      <c r="AE104" s="118" t="str">
        <f t="shared" si="181"/>
        <v>#REF!</v>
      </c>
      <c r="AF104" s="118" t="str">
        <f t="shared" si="94"/>
        <v>#REF!</v>
      </c>
      <c r="AG104" s="119" t="str">
        <f t="shared" si="95"/>
        <v>#REF!</v>
      </c>
      <c r="AH104" s="120" t="str">
        <f t="shared" si="96"/>
        <v>#REF!</v>
      </c>
      <c r="AI104" s="121">
        <v>0.09</v>
      </c>
      <c r="AJ104" s="121">
        <v>0.09</v>
      </c>
      <c r="AK104" s="122">
        <v>0.21</v>
      </c>
      <c r="AL104" s="123">
        <f t="shared" si="11"/>
        <v>176.2170717</v>
      </c>
      <c r="AM104" s="124" t="s">
        <v>10</v>
      </c>
      <c r="AN104" s="125">
        <f t="shared" si="12"/>
        <v>839.1289127</v>
      </c>
      <c r="AO104" s="126">
        <f t="shared" si="126"/>
        <v>0.21</v>
      </c>
      <c r="AP104" s="127"/>
      <c r="AQ104" s="128">
        <f t="shared" ref="AQ104:AR104" si="211">BC104/(1-AI104)</f>
        <v>816.6834621</v>
      </c>
      <c r="AR104" s="125">
        <f t="shared" si="211"/>
        <v>728.4745506</v>
      </c>
      <c r="AS104" s="126">
        <f t="shared" si="129"/>
        <v>0.1538461538</v>
      </c>
      <c r="AT104" s="126">
        <f t="shared" si="130"/>
        <v>0.1318681319</v>
      </c>
      <c r="AU104" s="129"/>
      <c r="AV104" s="39" t="s">
        <v>126</v>
      </c>
      <c r="AW104" s="130">
        <v>30.95</v>
      </c>
      <c r="AX104" s="130">
        <v>4265.01</v>
      </c>
      <c r="AY104" s="130"/>
      <c r="AZ104" s="130">
        <v>5.0</v>
      </c>
      <c r="BA104" s="130">
        <f t="shared" si="204"/>
        <v>5100.66</v>
      </c>
      <c r="BB104" s="130">
        <f t="shared" si="205"/>
        <v>5105.66</v>
      </c>
      <c r="BC104" s="131">
        <f t="shared" si="206"/>
        <v>743.1819505</v>
      </c>
      <c r="BD104" s="132">
        <f t="shared" si="207"/>
        <v>662.911841</v>
      </c>
      <c r="BE104" s="135" t="s">
        <v>452</v>
      </c>
      <c r="BF104" s="134" t="s">
        <v>101</v>
      </c>
      <c r="BG104" s="49"/>
      <c r="BH104" s="118">
        <f t="shared" si="22"/>
        <v>2797.096376</v>
      </c>
      <c r="BI104" s="118">
        <f t="shared" si="23"/>
        <v>1678.257825</v>
      </c>
      <c r="BJ104" s="118">
        <f t="shared" si="24"/>
        <v>1398.548188</v>
      </c>
      <c r="BK104" s="118">
        <f t="shared" si="25"/>
        <v>1118.83855</v>
      </c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</row>
    <row r="105" ht="14.25" customHeight="1">
      <c r="A105" s="103" t="s">
        <v>84</v>
      </c>
      <c r="B105" s="103" t="s">
        <v>120</v>
      </c>
      <c r="C105" s="103" t="s">
        <v>120</v>
      </c>
      <c r="D105" s="103" t="s">
        <v>86</v>
      </c>
      <c r="E105" s="104" t="s">
        <v>457</v>
      </c>
      <c r="F105" s="105"/>
      <c r="G105" s="106"/>
      <c r="H105" s="106">
        <v>26.0</v>
      </c>
      <c r="I105" s="107" t="s">
        <v>458</v>
      </c>
      <c r="J105" s="108" t="s">
        <v>459</v>
      </c>
      <c r="K105" s="108" t="str">
        <f>_xlfn.XLOOKUP(J105,[1]Sheet1!$A:$A,[1]Sheet1!$B:$B,"")</f>
        <v>#ERROR!</v>
      </c>
      <c r="L105" s="105" t="s">
        <v>460</v>
      </c>
      <c r="M105" s="105" t="s">
        <v>461</v>
      </c>
      <c r="N105" s="106"/>
      <c r="O105" s="109" t="s">
        <v>95</v>
      </c>
      <c r="P105" s="110">
        <v>9.53</v>
      </c>
      <c r="Q105" s="103" t="s">
        <v>96</v>
      </c>
      <c r="R105" s="110" t="s">
        <v>97</v>
      </c>
      <c r="S105" s="110">
        <v>12.0</v>
      </c>
      <c r="T105" s="111"/>
      <c r="U105" s="106" t="s">
        <v>98</v>
      </c>
      <c r="V105" s="112">
        <v>0.0</v>
      </c>
      <c r="W105" s="113">
        <v>45.0</v>
      </c>
      <c r="X105" s="113">
        <v>45.0</v>
      </c>
      <c r="Y105" s="113">
        <v>55.0</v>
      </c>
      <c r="Z105" s="113" t="s">
        <v>99</v>
      </c>
      <c r="AA105" s="114"/>
      <c r="AB105" s="115"/>
      <c r="AC105" s="116"/>
      <c r="AD105" s="117">
        <f t="shared" ref="AD105:AD106" si="212">AC105/0.93</f>
        <v>0</v>
      </c>
      <c r="AE105" s="116"/>
      <c r="AF105" s="116" t="str">
        <f t="shared" si="94"/>
        <v>#REF!</v>
      </c>
      <c r="AG105" s="210" t="str">
        <f t="shared" si="95"/>
        <v>#REF!</v>
      </c>
      <c r="AH105" s="120" t="str">
        <f t="shared" si="96"/>
        <v>#REF!</v>
      </c>
      <c r="AI105" s="121"/>
      <c r="AJ105" s="121"/>
      <c r="AK105" s="122"/>
      <c r="AL105" s="123">
        <f t="shared" si="11"/>
        <v>0</v>
      </c>
      <c r="AM105" s="124" t="s">
        <v>10</v>
      </c>
      <c r="AN105" s="125" t="str">
        <f t="shared" si="12"/>
        <v/>
      </c>
      <c r="AO105" s="126"/>
      <c r="AP105" s="127"/>
      <c r="AQ105" s="128"/>
      <c r="AR105" s="125"/>
      <c r="AS105" s="126"/>
      <c r="AT105" s="126"/>
      <c r="AU105" s="129"/>
      <c r="AV105" s="39" t="s">
        <v>100</v>
      </c>
      <c r="AW105" s="130">
        <f>0.59*2*7.3</f>
        <v>8.614</v>
      </c>
      <c r="AX105" s="130">
        <f>239.92*7.3</f>
        <v>1751.416</v>
      </c>
      <c r="AY105" s="130"/>
      <c r="AZ105" s="130">
        <v>5.0</v>
      </c>
      <c r="BA105" s="130">
        <f t="shared" si="204"/>
        <v>1983.994</v>
      </c>
      <c r="BB105" s="130">
        <f t="shared" si="205"/>
        <v>1988.994</v>
      </c>
      <c r="BC105" s="131">
        <f t="shared" si="206"/>
        <v>289.5187773</v>
      </c>
      <c r="BD105" s="132">
        <f t="shared" si="207"/>
        <v>260.0887918</v>
      </c>
      <c r="BE105" s="135"/>
      <c r="BF105" s="134"/>
      <c r="BG105" s="49"/>
      <c r="BH105" s="118">
        <f t="shared" si="22"/>
        <v>0</v>
      </c>
      <c r="BI105" s="118">
        <f t="shared" si="23"/>
        <v>0</v>
      </c>
      <c r="BJ105" s="118">
        <f t="shared" si="24"/>
        <v>0</v>
      </c>
      <c r="BK105" s="118">
        <f t="shared" si="25"/>
        <v>0</v>
      </c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</row>
    <row r="106" ht="14.25" customHeight="1">
      <c r="A106" s="103" t="s">
        <v>84</v>
      </c>
      <c r="B106" s="103" t="s">
        <v>120</v>
      </c>
      <c r="C106" s="103" t="s">
        <v>120</v>
      </c>
      <c r="D106" s="103" t="s">
        <v>86</v>
      </c>
      <c r="E106" s="104" t="s">
        <v>457</v>
      </c>
      <c r="F106" s="105"/>
      <c r="G106" s="106"/>
      <c r="H106" s="106">
        <v>22.0</v>
      </c>
      <c r="I106" s="107" t="s">
        <v>462</v>
      </c>
      <c r="J106" s="108" t="s">
        <v>463</v>
      </c>
      <c r="K106" s="108" t="str">
        <f>_xlfn.XLOOKUP(J106,[1]Sheet1!$A:$A,[1]Sheet1!$B:$B,"")</f>
        <v>#ERROR!</v>
      </c>
      <c r="L106" s="105" t="s">
        <v>464</v>
      </c>
      <c r="M106" s="105" t="s">
        <v>465</v>
      </c>
      <c r="N106" s="106"/>
      <c r="O106" s="109" t="s">
        <v>95</v>
      </c>
      <c r="P106" s="110">
        <v>16.46</v>
      </c>
      <c r="Q106" s="103" t="s">
        <v>96</v>
      </c>
      <c r="R106" s="110" t="s">
        <v>466</v>
      </c>
      <c r="S106" s="110">
        <v>12.0</v>
      </c>
      <c r="T106" s="111"/>
      <c r="U106" s="106" t="s">
        <v>98</v>
      </c>
      <c r="V106" s="112">
        <v>0.0</v>
      </c>
      <c r="W106" s="113">
        <v>45.0</v>
      </c>
      <c r="X106" s="113">
        <v>45.0</v>
      </c>
      <c r="Y106" s="113">
        <v>55.0</v>
      </c>
      <c r="Z106" s="113" t="s">
        <v>99</v>
      </c>
      <c r="AA106" s="114"/>
      <c r="AB106" s="115"/>
      <c r="AC106" s="116"/>
      <c r="AD106" s="117">
        <f t="shared" si="212"/>
        <v>0</v>
      </c>
      <c r="AE106" s="116"/>
      <c r="AF106" s="116" t="str">
        <f t="shared" si="94"/>
        <v>#REF!</v>
      </c>
      <c r="AG106" s="210" t="str">
        <f t="shared" si="95"/>
        <v>#REF!</v>
      </c>
      <c r="AH106" s="120" t="str">
        <f t="shared" si="96"/>
        <v>#REF!</v>
      </c>
      <c r="AI106" s="121"/>
      <c r="AJ106" s="121"/>
      <c r="AK106" s="122"/>
      <c r="AL106" s="123">
        <f t="shared" si="11"/>
        <v>0</v>
      </c>
      <c r="AM106" s="124" t="s">
        <v>10</v>
      </c>
      <c r="AN106" s="125" t="str">
        <f t="shared" si="12"/>
        <v/>
      </c>
      <c r="AO106" s="126"/>
      <c r="AP106" s="127"/>
      <c r="AQ106" s="128"/>
      <c r="AR106" s="125"/>
      <c r="AS106" s="126"/>
      <c r="AT106" s="126"/>
      <c r="AU106" s="129"/>
      <c r="AV106" s="39" t="s">
        <v>100</v>
      </c>
      <c r="AW106" s="130">
        <f>1.05*2*7.3</f>
        <v>15.33</v>
      </c>
      <c r="AX106" s="130">
        <f>266.4*7.3</f>
        <v>1944.72</v>
      </c>
      <c r="AY106" s="130"/>
      <c r="AZ106" s="130">
        <v>5.0</v>
      </c>
      <c r="BA106" s="130">
        <f t="shared" si="204"/>
        <v>2358.63</v>
      </c>
      <c r="BB106" s="130">
        <f t="shared" si="205"/>
        <v>2363.63</v>
      </c>
      <c r="BC106" s="131">
        <f t="shared" si="206"/>
        <v>344.0509461</v>
      </c>
      <c r="BD106" s="132">
        <f t="shared" si="207"/>
        <v>307.5080691</v>
      </c>
      <c r="BE106" s="135"/>
      <c r="BF106" s="134"/>
      <c r="BG106" s="49"/>
      <c r="BH106" s="118">
        <f t="shared" si="22"/>
        <v>0</v>
      </c>
      <c r="BI106" s="118">
        <f t="shared" si="23"/>
        <v>0</v>
      </c>
      <c r="BJ106" s="118">
        <f t="shared" si="24"/>
        <v>0</v>
      </c>
      <c r="BK106" s="118">
        <f t="shared" si="25"/>
        <v>0</v>
      </c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</row>
    <row r="107" ht="14.25" customHeight="1">
      <c r="A107" s="103" t="s">
        <v>179</v>
      </c>
      <c r="B107" s="103" t="s">
        <v>120</v>
      </c>
      <c r="C107" s="103" t="s">
        <v>85</v>
      </c>
      <c r="D107" s="103" t="s">
        <v>86</v>
      </c>
      <c r="E107" s="104" t="s">
        <v>87</v>
      </c>
      <c r="F107" s="105" t="s">
        <v>467</v>
      </c>
      <c r="G107" s="106" t="s">
        <v>299</v>
      </c>
      <c r="H107" s="106" t="s">
        <v>468</v>
      </c>
      <c r="I107" s="107" t="s">
        <v>469</v>
      </c>
      <c r="J107" s="108" t="s">
        <v>470</v>
      </c>
      <c r="K107" s="108" t="str">
        <f>_xlfn.XLOOKUP(J107,[1]Sheet1!$A:$A,[1]Sheet1!$B:$B,"")</f>
        <v>#ERROR!</v>
      </c>
      <c r="L107" s="105" t="s">
        <v>471</v>
      </c>
      <c r="M107" s="105" t="s">
        <v>472</v>
      </c>
      <c r="N107" s="106" t="s">
        <v>106</v>
      </c>
      <c r="O107" s="109" t="s">
        <v>95</v>
      </c>
      <c r="P107" s="110">
        <v>17.8</v>
      </c>
      <c r="Q107" s="103" t="s">
        <v>96</v>
      </c>
      <c r="R107" s="110" t="s">
        <v>473</v>
      </c>
      <c r="S107" s="110">
        <v>8.0</v>
      </c>
      <c r="T107" s="111" t="s">
        <v>474</v>
      </c>
      <c r="U107" s="106" t="s">
        <v>98</v>
      </c>
      <c r="V107" s="112">
        <v>0.0</v>
      </c>
      <c r="W107" s="113">
        <v>45.0</v>
      </c>
      <c r="X107" s="113">
        <v>45.0</v>
      </c>
      <c r="Y107" s="113">
        <v>55.0</v>
      </c>
      <c r="Z107" s="113" t="s">
        <v>99</v>
      </c>
      <c r="AA107" s="114">
        <f t="shared" ref="AA107:AA108" si="214">BC107/(1-(AK107+2%))</f>
        <v>617.3576293</v>
      </c>
      <c r="AB107" s="115" t="str">
        <f t="shared" ref="AB107:AB114" si="215">VLOOKUP(J107,'[2]PO &amp; SC Sept 2025'!$I$14:$BK$660,55,FALSE)+(($F$3/1000)-1.5)*P107</f>
        <v>#REF!</v>
      </c>
      <c r="AC107" s="116">
        <f t="shared" ref="AC107:AC212" si="216">BD107/(1-AK107)</f>
        <v>538.9572339</v>
      </c>
      <c r="AD107" s="117">
        <f t="shared" ref="AD107:AD114" si="217">AC107/0.95</f>
        <v>567.3234041</v>
      </c>
      <c r="AE107" s="118" t="str">
        <f t="shared" ref="AE107:AE114" si="218">VLOOKUP(J107,'[2]PO &amp; SC Sept 2025'!$I$14:$BE$660,49,FALSE)+(P107*(($F$4/1000)-1.5))</f>
        <v>#REF!</v>
      </c>
      <c r="AF107" s="118" t="str">
        <f t="shared" si="94"/>
        <v>#REF!</v>
      </c>
      <c r="AG107" s="119" t="str">
        <f t="shared" si="95"/>
        <v>#REF!</v>
      </c>
      <c r="AH107" s="120" t="str">
        <f t="shared" si="96"/>
        <v>#REF!</v>
      </c>
      <c r="AI107" s="121">
        <v>0.09</v>
      </c>
      <c r="AJ107" s="121">
        <v>0.09</v>
      </c>
      <c r="AK107" s="122">
        <v>0.17</v>
      </c>
      <c r="AL107" s="123">
        <f t="shared" si="11"/>
        <v>91.62272976</v>
      </c>
      <c r="AM107" s="124" t="s">
        <v>10</v>
      </c>
      <c r="AN107" s="125">
        <f t="shared" si="12"/>
        <v>538.9572339</v>
      </c>
      <c r="AO107" s="126">
        <f t="shared" ref="AO107:AO212" si="219">1-(BD107/AN107)</f>
        <v>0.17</v>
      </c>
      <c r="AP107" s="127"/>
      <c r="AQ107" s="128">
        <f t="shared" ref="AQ107:AR107" si="213">BC107/(1-AI107)</f>
        <v>549.5161316</v>
      </c>
      <c r="AR107" s="125">
        <f t="shared" si="213"/>
        <v>491.5763782</v>
      </c>
      <c r="AS107" s="126">
        <f t="shared" ref="AS107:AS212" si="221">1-(AQ107/AA107)</f>
        <v>0.1098901099</v>
      </c>
      <c r="AT107" s="126">
        <f t="shared" ref="AT107:AT212" si="222">1-(AR107/AC107)</f>
        <v>0.08791208791</v>
      </c>
      <c r="AU107" s="129">
        <v>435.19</v>
      </c>
      <c r="AV107" s="39" t="s">
        <v>126</v>
      </c>
      <c r="AW107" s="130">
        <v>20.22</v>
      </c>
      <c r="AX107" s="130">
        <v>2889.47</v>
      </c>
      <c r="AY107" s="130"/>
      <c r="AZ107" s="130">
        <v>0.0</v>
      </c>
      <c r="BA107" s="130">
        <f t="shared" si="204"/>
        <v>3435.41</v>
      </c>
      <c r="BB107" s="130">
        <f t="shared" si="205"/>
        <v>3435.41</v>
      </c>
      <c r="BC107" s="131">
        <f t="shared" si="206"/>
        <v>500.0596798</v>
      </c>
      <c r="BD107" s="132">
        <f t="shared" si="207"/>
        <v>447.3345041</v>
      </c>
      <c r="BE107" s="135" t="s">
        <v>475</v>
      </c>
      <c r="BF107" s="134" t="s">
        <v>101</v>
      </c>
      <c r="BG107" s="49"/>
      <c r="BH107" s="116">
        <f t="shared" si="22"/>
        <v>1796.524113</v>
      </c>
      <c r="BI107" s="116">
        <f t="shared" si="23"/>
        <v>1077.914468</v>
      </c>
      <c r="BJ107" s="116">
        <f t="shared" si="24"/>
        <v>898.2620565</v>
      </c>
      <c r="BK107" s="116">
        <f t="shared" si="25"/>
        <v>718.6096452</v>
      </c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</row>
    <row r="108" ht="14.25" customHeight="1">
      <c r="A108" s="103" t="s">
        <v>179</v>
      </c>
      <c r="B108" s="103" t="s">
        <v>120</v>
      </c>
      <c r="C108" s="103" t="s">
        <v>85</v>
      </c>
      <c r="D108" s="103" t="s">
        <v>86</v>
      </c>
      <c r="E108" s="104" t="s">
        <v>87</v>
      </c>
      <c r="F108" s="105" t="s">
        <v>467</v>
      </c>
      <c r="G108" s="106" t="s">
        <v>299</v>
      </c>
      <c r="H108" s="106" t="s">
        <v>468</v>
      </c>
      <c r="I108" s="107" t="s">
        <v>476</v>
      </c>
      <c r="J108" s="108" t="s">
        <v>477</v>
      </c>
      <c r="K108" s="108" t="str">
        <f>_xlfn.XLOOKUP(J108,[1]Sheet1!$A:$A,[1]Sheet1!$B:$B,"")</f>
        <v>#ERROR!</v>
      </c>
      <c r="L108" s="105" t="s">
        <v>478</v>
      </c>
      <c r="M108" s="105" t="s">
        <v>479</v>
      </c>
      <c r="N108" s="106" t="s">
        <v>106</v>
      </c>
      <c r="O108" s="109" t="s">
        <v>95</v>
      </c>
      <c r="P108" s="110">
        <v>17.8</v>
      </c>
      <c r="Q108" s="103" t="s">
        <v>480</v>
      </c>
      <c r="R108" s="110" t="s">
        <v>473</v>
      </c>
      <c r="S108" s="110">
        <v>8.0</v>
      </c>
      <c r="T108" s="111" t="s">
        <v>481</v>
      </c>
      <c r="U108" s="106" t="s">
        <v>98</v>
      </c>
      <c r="V108" s="112">
        <v>0.0</v>
      </c>
      <c r="W108" s="113">
        <v>45.0</v>
      </c>
      <c r="X108" s="113">
        <v>45.0</v>
      </c>
      <c r="Y108" s="113">
        <v>55.0</v>
      </c>
      <c r="Z108" s="113" t="s">
        <v>99</v>
      </c>
      <c r="AA108" s="114">
        <f t="shared" si="214"/>
        <v>617.3576293</v>
      </c>
      <c r="AB108" s="115" t="str">
        <f t="shared" si="215"/>
        <v>#REF!</v>
      </c>
      <c r="AC108" s="116">
        <f t="shared" si="216"/>
        <v>538.9572339</v>
      </c>
      <c r="AD108" s="117">
        <f t="shared" si="217"/>
        <v>567.3234041</v>
      </c>
      <c r="AE108" s="118" t="str">
        <f t="shared" si="218"/>
        <v>#REF!</v>
      </c>
      <c r="AF108" s="118" t="str">
        <f t="shared" si="94"/>
        <v>#REF!</v>
      </c>
      <c r="AG108" s="119" t="str">
        <f t="shared" si="95"/>
        <v>#REF!</v>
      </c>
      <c r="AH108" s="120" t="str">
        <f t="shared" si="96"/>
        <v>#REF!</v>
      </c>
      <c r="AI108" s="121">
        <v>0.09</v>
      </c>
      <c r="AJ108" s="121">
        <v>0.09</v>
      </c>
      <c r="AK108" s="122">
        <v>0.17</v>
      </c>
      <c r="AL108" s="123">
        <f t="shared" si="11"/>
        <v>91.62272976</v>
      </c>
      <c r="AM108" s="124" t="s">
        <v>10</v>
      </c>
      <c r="AN108" s="125">
        <f t="shared" si="12"/>
        <v>538.9572339</v>
      </c>
      <c r="AO108" s="126">
        <f t="shared" si="219"/>
        <v>0.17</v>
      </c>
      <c r="AP108" s="127"/>
      <c r="AQ108" s="128">
        <f t="shared" ref="AQ108:AR108" si="220">BC108/(1-AI108)</f>
        <v>549.5161316</v>
      </c>
      <c r="AR108" s="125">
        <f t="shared" si="220"/>
        <v>491.5763782</v>
      </c>
      <c r="AS108" s="126">
        <f t="shared" si="221"/>
        <v>0.1098901099</v>
      </c>
      <c r="AT108" s="126">
        <f t="shared" si="222"/>
        <v>0.08791208791</v>
      </c>
      <c r="AU108" s="129"/>
      <c r="AV108" s="39" t="s">
        <v>126</v>
      </c>
      <c r="AW108" s="130">
        <v>20.22</v>
      </c>
      <c r="AX108" s="130">
        <v>2889.47</v>
      </c>
      <c r="AY108" s="130"/>
      <c r="AZ108" s="130">
        <v>0.0</v>
      </c>
      <c r="BA108" s="130">
        <f t="shared" si="204"/>
        <v>3435.41</v>
      </c>
      <c r="BB108" s="130">
        <f t="shared" si="205"/>
        <v>3435.41</v>
      </c>
      <c r="BC108" s="131">
        <f t="shared" si="206"/>
        <v>500.0596798</v>
      </c>
      <c r="BD108" s="132">
        <f t="shared" si="207"/>
        <v>447.3345041</v>
      </c>
      <c r="BE108" s="135" t="s">
        <v>475</v>
      </c>
      <c r="BF108" s="134" t="s">
        <v>101</v>
      </c>
      <c r="BG108" s="49"/>
      <c r="BH108" s="116">
        <f t="shared" si="22"/>
        <v>1796.524113</v>
      </c>
      <c r="BI108" s="116">
        <f t="shared" si="23"/>
        <v>1077.914468</v>
      </c>
      <c r="BJ108" s="116">
        <f t="shared" si="24"/>
        <v>898.2620565</v>
      </c>
      <c r="BK108" s="116">
        <f t="shared" si="25"/>
        <v>718.6096452</v>
      </c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</row>
    <row r="109" ht="14.25" customHeight="1">
      <c r="A109" s="103" t="s">
        <v>179</v>
      </c>
      <c r="B109" s="103" t="s">
        <v>85</v>
      </c>
      <c r="C109" s="103" t="s">
        <v>85</v>
      </c>
      <c r="D109" s="103" t="s">
        <v>86</v>
      </c>
      <c r="E109" s="104" t="s">
        <v>87</v>
      </c>
      <c r="F109" s="105" t="s">
        <v>467</v>
      </c>
      <c r="G109" s="106" t="s">
        <v>299</v>
      </c>
      <c r="H109" s="106" t="s">
        <v>468</v>
      </c>
      <c r="I109" s="107" t="s">
        <v>482</v>
      </c>
      <c r="J109" s="108" t="s">
        <v>470</v>
      </c>
      <c r="K109" s="108" t="str">
        <f>_xlfn.XLOOKUP(J109,[1]Sheet1!$A:$A,[1]Sheet1!$B:$B,"")</f>
        <v>#ERROR!</v>
      </c>
      <c r="L109" s="105" t="s">
        <v>471</v>
      </c>
      <c r="M109" s="105" t="s">
        <v>483</v>
      </c>
      <c r="N109" s="106" t="s">
        <v>106</v>
      </c>
      <c r="O109" s="109" t="s">
        <v>147</v>
      </c>
      <c r="P109" s="110">
        <v>23.0</v>
      </c>
      <c r="Q109" s="103" t="s">
        <v>96</v>
      </c>
      <c r="R109" s="110" t="s">
        <v>473</v>
      </c>
      <c r="S109" s="110">
        <v>6.0</v>
      </c>
      <c r="T109" s="111" t="s">
        <v>474</v>
      </c>
      <c r="U109" s="106" t="s">
        <v>98</v>
      </c>
      <c r="V109" s="112">
        <v>0.0</v>
      </c>
      <c r="W109" s="113">
        <v>60.0</v>
      </c>
      <c r="X109" s="113">
        <v>14.0</v>
      </c>
      <c r="Y109" s="113">
        <v>14.0</v>
      </c>
      <c r="Z109" s="113" t="s">
        <v>148</v>
      </c>
      <c r="AA109" s="114">
        <f t="shared" ref="AA109:AA110" si="223">(BC109/(1-(AK109+2%)))*$F$6</f>
        <v>670.1234568</v>
      </c>
      <c r="AB109" s="115" t="str">
        <f t="shared" si="215"/>
        <v>#REF!</v>
      </c>
      <c r="AC109" s="116">
        <f t="shared" si="216"/>
        <v>581.7705605</v>
      </c>
      <c r="AD109" s="117">
        <f t="shared" si="217"/>
        <v>612.3900637</v>
      </c>
      <c r="AE109" s="118" t="str">
        <f t="shared" si="218"/>
        <v>#REF!</v>
      </c>
      <c r="AF109" s="118" t="str">
        <f t="shared" si="94"/>
        <v>#REF!</v>
      </c>
      <c r="AG109" s="119" t="str">
        <f t="shared" si="95"/>
        <v>#REF!</v>
      </c>
      <c r="AH109" s="120" t="str">
        <f t="shared" si="96"/>
        <v>#REF!</v>
      </c>
      <c r="AI109" s="121">
        <f t="shared" ref="AI109:AI110" si="224">AJ109</f>
        <v>0.07</v>
      </c>
      <c r="AJ109" s="121">
        <v>0.07</v>
      </c>
      <c r="AK109" s="122">
        <v>0.17</v>
      </c>
      <c r="AL109" s="123">
        <f t="shared" si="11"/>
        <v>98.90099529</v>
      </c>
      <c r="AM109" s="122" t="s">
        <v>10</v>
      </c>
      <c r="AN109" s="125">
        <f t="shared" si="12"/>
        <v>581.7705605</v>
      </c>
      <c r="AO109" s="141">
        <f t="shared" si="219"/>
        <v>0.17</v>
      </c>
      <c r="AP109" s="127"/>
      <c r="AQ109" s="128">
        <f t="shared" ref="AQ109:AQ110" si="225">BC109/(1-AI109)*$F$6</f>
        <v>583.655914</v>
      </c>
      <c r="AR109" s="125">
        <f t="shared" ref="AR109:AR110" si="226">BD109/(1-AJ109)</f>
        <v>519.2145863</v>
      </c>
      <c r="AS109" s="144">
        <f t="shared" si="221"/>
        <v>0.1290322581</v>
      </c>
      <c r="AT109" s="144">
        <f t="shared" si="222"/>
        <v>0.1075268817</v>
      </c>
      <c r="AU109" s="129">
        <v>435.19</v>
      </c>
      <c r="AV109" s="39" t="s">
        <v>149</v>
      </c>
      <c r="AW109" s="130"/>
      <c r="AX109" s="130"/>
      <c r="AY109" s="136">
        <v>265.0</v>
      </c>
      <c r="AZ109" s="130"/>
      <c r="BA109" s="130"/>
      <c r="BB109" s="130"/>
      <c r="BC109" s="137">
        <f t="shared" ref="BC109:BC110" si="227">AY109+($F$4-1500)/1000*P109</f>
        <v>472</v>
      </c>
      <c r="BD109" s="132">
        <f t="shared" ref="BD109:BD110" si="228">(AY109+($F$4-1500)/1000*P109)+(($F$10+$G$10)/40/S109/$F$6)</f>
        <v>482.8695652</v>
      </c>
      <c r="BE109" s="135" t="s">
        <v>475</v>
      </c>
      <c r="BF109" s="134" t="s">
        <v>101</v>
      </c>
      <c r="BG109" s="49"/>
      <c r="BH109" s="116">
        <f t="shared" si="22"/>
        <v>1939.235202</v>
      </c>
      <c r="BI109" s="116">
        <f t="shared" si="23"/>
        <v>1163.541121</v>
      </c>
      <c r="BJ109" s="116">
        <f t="shared" si="24"/>
        <v>969.6176008</v>
      </c>
      <c r="BK109" s="116">
        <f t="shared" si="25"/>
        <v>775.6940807</v>
      </c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</row>
    <row r="110" ht="14.25" customHeight="1">
      <c r="A110" s="103" t="s">
        <v>179</v>
      </c>
      <c r="B110" s="103" t="s">
        <v>85</v>
      </c>
      <c r="C110" s="103" t="s">
        <v>85</v>
      </c>
      <c r="D110" s="103" t="s">
        <v>86</v>
      </c>
      <c r="E110" s="104" t="s">
        <v>87</v>
      </c>
      <c r="F110" s="105" t="s">
        <v>467</v>
      </c>
      <c r="G110" s="106" t="s">
        <v>299</v>
      </c>
      <c r="H110" s="106" t="s">
        <v>468</v>
      </c>
      <c r="I110" s="107" t="s">
        <v>484</v>
      </c>
      <c r="J110" s="108" t="s">
        <v>477</v>
      </c>
      <c r="K110" s="108" t="str">
        <f>_xlfn.XLOOKUP(J110,[1]Sheet1!$A:$A,[1]Sheet1!$B:$B,"")</f>
        <v>#ERROR!</v>
      </c>
      <c r="L110" s="105" t="s">
        <v>478</v>
      </c>
      <c r="M110" s="105" t="s">
        <v>485</v>
      </c>
      <c r="N110" s="106" t="s">
        <v>106</v>
      </c>
      <c r="O110" s="109" t="s">
        <v>147</v>
      </c>
      <c r="P110" s="110">
        <v>23.0</v>
      </c>
      <c r="Q110" s="103" t="s">
        <v>480</v>
      </c>
      <c r="R110" s="110" t="s">
        <v>473</v>
      </c>
      <c r="S110" s="110">
        <v>4.0</v>
      </c>
      <c r="T110" s="111" t="s">
        <v>481</v>
      </c>
      <c r="U110" s="106" t="s">
        <v>98</v>
      </c>
      <c r="V110" s="112">
        <v>0.0</v>
      </c>
      <c r="W110" s="113">
        <v>60.0</v>
      </c>
      <c r="X110" s="113">
        <v>14.0</v>
      </c>
      <c r="Y110" s="113">
        <v>14.0</v>
      </c>
      <c r="Z110" s="113" t="s">
        <v>148</v>
      </c>
      <c r="AA110" s="114">
        <f t="shared" si="223"/>
        <v>670.1234568</v>
      </c>
      <c r="AB110" s="115" t="str">
        <f t="shared" si="215"/>
        <v>#REF!</v>
      </c>
      <c r="AC110" s="116">
        <f t="shared" si="216"/>
        <v>588.3184914</v>
      </c>
      <c r="AD110" s="117">
        <f t="shared" si="217"/>
        <v>619.2826225</v>
      </c>
      <c r="AE110" s="118" t="str">
        <f t="shared" si="218"/>
        <v>#REF!</v>
      </c>
      <c r="AF110" s="118" t="str">
        <f t="shared" si="94"/>
        <v>#REF!</v>
      </c>
      <c r="AG110" s="119" t="str">
        <f t="shared" si="95"/>
        <v>#REF!</v>
      </c>
      <c r="AH110" s="120" t="str">
        <f t="shared" si="96"/>
        <v>#REF!</v>
      </c>
      <c r="AI110" s="121">
        <f t="shared" si="224"/>
        <v>0.07</v>
      </c>
      <c r="AJ110" s="121">
        <v>0.07</v>
      </c>
      <c r="AK110" s="122">
        <v>0.17</v>
      </c>
      <c r="AL110" s="123">
        <f t="shared" si="11"/>
        <v>100.0141435</v>
      </c>
      <c r="AM110" s="122" t="s">
        <v>10</v>
      </c>
      <c r="AN110" s="125">
        <f t="shared" si="12"/>
        <v>588.3184914</v>
      </c>
      <c r="AO110" s="112">
        <f t="shared" si="219"/>
        <v>0.17</v>
      </c>
      <c r="AP110" s="127"/>
      <c r="AQ110" s="128">
        <f t="shared" si="225"/>
        <v>583.655914</v>
      </c>
      <c r="AR110" s="125">
        <f t="shared" si="226"/>
        <v>525.0584385</v>
      </c>
      <c r="AS110" s="126">
        <f t="shared" si="221"/>
        <v>0.1290322581</v>
      </c>
      <c r="AT110" s="126">
        <f t="shared" si="222"/>
        <v>0.1075268817</v>
      </c>
      <c r="AU110" s="129"/>
      <c r="AV110" s="39" t="s">
        <v>149</v>
      </c>
      <c r="AW110" s="130"/>
      <c r="AX110" s="130"/>
      <c r="AY110" s="136">
        <v>265.0</v>
      </c>
      <c r="AZ110" s="130"/>
      <c r="BA110" s="130"/>
      <c r="BB110" s="130"/>
      <c r="BC110" s="137">
        <f t="shared" si="227"/>
        <v>472</v>
      </c>
      <c r="BD110" s="132">
        <f t="shared" si="228"/>
        <v>488.3043478</v>
      </c>
      <c r="BE110" s="135" t="s">
        <v>475</v>
      </c>
      <c r="BF110" s="134" t="s">
        <v>101</v>
      </c>
      <c r="BG110" s="49"/>
      <c r="BH110" s="116">
        <f t="shared" si="22"/>
        <v>1961.061638</v>
      </c>
      <c r="BI110" s="116">
        <f t="shared" si="23"/>
        <v>1176.636983</v>
      </c>
      <c r="BJ110" s="116">
        <f t="shared" si="24"/>
        <v>980.5308189</v>
      </c>
      <c r="BK110" s="116">
        <f t="shared" si="25"/>
        <v>784.4246551</v>
      </c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</row>
    <row r="111" ht="14.25" customHeight="1">
      <c r="A111" s="103" t="s">
        <v>179</v>
      </c>
      <c r="B111" s="103" t="s">
        <v>120</v>
      </c>
      <c r="C111" s="103" t="s">
        <v>85</v>
      </c>
      <c r="D111" s="103" t="s">
        <v>86</v>
      </c>
      <c r="E111" s="104" t="s">
        <v>87</v>
      </c>
      <c r="F111" s="105" t="s">
        <v>467</v>
      </c>
      <c r="G111" s="106" t="s">
        <v>299</v>
      </c>
      <c r="H111" s="106" t="s">
        <v>468</v>
      </c>
      <c r="I111" s="107" t="s">
        <v>486</v>
      </c>
      <c r="J111" s="108" t="s">
        <v>487</v>
      </c>
      <c r="K111" s="108" t="s">
        <v>488</v>
      </c>
      <c r="L111" s="105" t="s">
        <v>489</v>
      </c>
      <c r="M111" s="105" t="s">
        <v>479</v>
      </c>
      <c r="N111" s="106" t="s">
        <v>162</v>
      </c>
      <c r="O111" s="109" t="s">
        <v>95</v>
      </c>
      <c r="P111" s="110">
        <v>17.8</v>
      </c>
      <c r="Q111" s="103" t="s">
        <v>96</v>
      </c>
      <c r="R111" s="110" t="s">
        <v>473</v>
      </c>
      <c r="S111" s="110">
        <v>8.0</v>
      </c>
      <c r="T111" s="111" t="s">
        <v>490</v>
      </c>
      <c r="U111" s="106" t="s">
        <v>98</v>
      </c>
      <c r="V111" s="112">
        <v>0.0</v>
      </c>
      <c r="W111" s="113">
        <v>45.0</v>
      </c>
      <c r="X111" s="113">
        <v>45.0</v>
      </c>
      <c r="Y111" s="113">
        <v>55.0</v>
      </c>
      <c r="Z111" s="113" t="s">
        <v>99</v>
      </c>
      <c r="AA111" s="114">
        <f t="shared" ref="AA111:AA112" si="230">BC111/(1-(AK111+2%))</f>
        <v>644.5810196</v>
      </c>
      <c r="AB111" s="115" t="str">
        <f t="shared" si="215"/>
        <v>#REF!</v>
      </c>
      <c r="AC111" s="116">
        <f t="shared" si="216"/>
        <v>562.0593252</v>
      </c>
      <c r="AD111" s="117">
        <f t="shared" si="217"/>
        <v>591.641395</v>
      </c>
      <c r="AE111" s="118" t="str">
        <f t="shared" si="218"/>
        <v>#REF!</v>
      </c>
      <c r="AF111" s="118" t="str">
        <f t="shared" si="94"/>
        <v>#REF!</v>
      </c>
      <c r="AG111" s="119" t="str">
        <f t="shared" si="95"/>
        <v>#REF!</v>
      </c>
      <c r="AH111" s="120" t="str">
        <f t="shared" si="96"/>
        <v>#REF!</v>
      </c>
      <c r="AI111" s="121">
        <v>0.09</v>
      </c>
      <c r="AJ111" s="121">
        <v>0.09</v>
      </c>
      <c r="AK111" s="122">
        <v>0.17</v>
      </c>
      <c r="AL111" s="123">
        <f t="shared" si="11"/>
        <v>95.55008529</v>
      </c>
      <c r="AM111" s="122" t="s">
        <v>10</v>
      </c>
      <c r="AN111" s="125">
        <f t="shared" si="12"/>
        <v>562.0593252</v>
      </c>
      <c r="AO111" s="112">
        <f t="shared" si="219"/>
        <v>0.17</v>
      </c>
      <c r="AP111" s="127"/>
      <c r="AQ111" s="128">
        <f t="shared" ref="AQ111:AR111" si="229">BC111/(1-AI111)</f>
        <v>573.7479406</v>
      </c>
      <c r="AR111" s="125">
        <f t="shared" si="229"/>
        <v>512.6475164</v>
      </c>
      <c r="AS111" s="126">
        <f t="shared" si="221"/>
        <v>0.1098901099</v>
      </c>
      <c r="AT111" s="126">
        <f t="shared" si="222"/>
        <v>0.08791208791</v>
      </c>
      <c r="AU111" s="129"/>
      <c r="AV111" s="39" t="s">
        <v>126</v>
      </c>
      <c r="AW111" s="130">
        <v>20.22</v>
      </c>
      <c r="AX111" s="130">
        <v>3040.96</v>
      </c>
      <c r="AY111" s="130"/>
      <c r="AZ111" s="130">
        <v>0.0</v>
      </c>
      <c r="BA111" s="130">
        <f t="shared" ref="BA111:BA112" si="232">($F$2-70000)/1000*AW111+AX111</f>
        <v>3586.9</v>
      </c>
      <c r="BB111" s="130">
        <f t="shared" ref="BB111:BB112" si="233">AZ111+BA111</f>
        <v>3586.9</v>
      </c>
      <c r="BC111" s="131">
        <f t="shared" ref="BC111:BC112" si="234">(AZ111+BA111)/$F$5</f>
        <v>522.1106259</v>
      </c>
      <c r="BD111" s="132">
        <f t="shared" ref="BD111:BD112" si="235">(BC111/$F$6)+(($F$9+$G$9)/40/S111)+BC111*V111</f>
        <v>466.5092399</v>
      </c>
      <c r="BE111" s="135" t="s">
        <v>475</v>
      </c>
      <c r="BF111" s="134" t="s">
        <v>101</v>
      </c>
      <c r="BG111" s="49"/>
      <c r="BH111" s="116">
        <f t="shared" si="22"/>
        <v>1873.531084</v>
      </c>
      <c r="BI111" s="116">
        <f t="shared" si="23"/>
        <v>1124.11865</v>
      </c>
      <c r="BJ111" s="116">
        <f t="shared" si="24"/>
        <v>936.765542</v>
      </c>
      <c r="BK111" s="116">
        <f t="shared" si="25"/>
        <v>749.4124336</v>
      </c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</row>
    <row r="112" ht="14.25" customHeight="1">
      <c r="A112" s="103" t="s">
        <v>179</v>
      </c>
      <c r="B112" s="103" t="s">
        <v>120</v>
      </c>
      <c r="C112" s="103" t="s">
        <v>85</v>
      </c>
      <c r="D112" s="103" t="s">
        <v>86</v>
      </c>
      <c r="E112" s="104" t="s">
        <v>87</v>
      </c>
      <c r="F112" s="105" t="s">
        <v>467</v>
      </c>
      <c r="G112" s="106" t="s">
        <v>299</v>
      </c>
      <c r="H112" s="106" t="s">
        <v>468</v>
      </c>
      <c r="I112" s="107" t="s">
        <v>491</v>
      </c>
      <c r="J112" s="108" t="s">
        <v>492</v>
      </c>
      <c r="K112" s="108" t="s">
        <v>493</v>
      </c>
      <c r="L112" s="105" t="s">
        <v>494</v>
      </c>
      <c r="M112" s="105" t="s">
        <v>495</v>
      </c>
      <c r="N112" s="106" t="s">
        <v>162</v>
      </c>
      <c r="O112" s="109" t="s">
        <v>95</v>
      </c>
      <c r="P112" s="110">
        <v>17.8</v>
      </c>
      <c r="Q112" s="103" t="s">
        <v>480</v>
      </c>
      <c r="R112" s="110" t="s">
        <v>473</v>
      </c>
      <c r="S112" s="110">
        <v>8.0</v>
      </c>
      <c r="T112" s="111" t="s">
        <v>496</v>
      </c>
      <c r="U112" s="106" t="s">
        <v>98</v>
      </c>
      <c r="V112" s="112">
        <v>0.0</v>
      </c>
      <c r="W112" s="113">
        <v>45.0</v>
      </c>
      <c r="X112" s="113">
        <v>45.0</v>
      </c>
      <c r="Y112" s="113">
        <v>55.0</v>
      </c>
      <c r="Z112" s="113" t="s">
        <v>99</v>
      </c>
      <c r="AA112" s="114">
        <f t="shared" si="230"/>
        <v>644.5810196</v>
      </c>
      <c r="AB112" s="115" t="str">
        <f t="shared" si="215"/>
        <v>#REF!</v>
      </c>
      <c r="AC112" s="116">
        <f t="shared" si="216"/>
        <v>562.0593252</v>
      </c>
      <c r="AD112" s="117">
        <f t="shared" si="217"/>
        <v>591.641395</v>
      </c>
      <c r="AE112" s="118" t="str">
        <f t="shared" si="218"/>
        <v>#REF!</v>
      </c>
      <c r="AF112" s="118" t="str">
        <f t="shared" si="94"/>
        <v>#REF!</v>
      </c>
      <c r="AG112" s="119" t="str">
        <f t="shared" si="95"/>
        <v>#REF!</v>
      </c>
      <c r="AH112" s="120" t="str">
        <f t="shared" si="96"/>
        <v>#REF!</v>
      </c>
      <c r="AI112" s="121">
        <v>0.09</v>
      </c>
      <c r="AJ112" s="121">
        <v>0.09</v>
      </c>
      <c r="AK112" s="122">
        <v>0.17</v>
      </c>
      <c r="AL112" s="123">
        <f t="shared" si="11"/>
        <v>95.55008529</v>
      </c>
      <c r="AM112" s="122" t="s">
        <v>10</v>
      </c>
      <c r="AN112" s="125">
        <f t="shared" si="12"/>
        <v>562.0593252</v>
      </c>
      <c r="AO112" s="112">
        <f t="shared" si="219"/>
        <v>0.17</v>
      </c>
      <c r="AP112" s="127"/>
      <c r="AQ112" s="128">
        <f t="shared" ref="AQ112:AR112" si="231">BC112/(1-AI112)</f>
        <v>573.7479406</v>
      </c>
      <c r="AR112" s="125">
        <f t="shared" si="231"/>
        <v>512.6475164</v>
      </c>
      <c r="AS112" s="126">
        <f t="shared" si="221"/>
        <v>0.1098901099</v>
      </c>
      <c r="AT112" s="126">
        <f t="shared" si="222"/>
        <v>0.08791208791</v>
      </c>
      <c r="AU112" s="129"/>
      <c r="AV112" s="39" t="s">
        <v>126</v>
      </c>
      <c r="AW112" s="130">
        <v>20.22</v>
      </c>
      <c r="AX112" s="130">
        <v>3040.96</v>
      </c>
      <c r="AY112" s="130"/>
      <c r="AZ112" s="130">
        <v>0.0</v>
      </c>
      <c r="BA112" s="130">
        <f t="shared" si="232"/>
        <v>3586.9</v>
      </c>
      <c r="BB112" s="130">
        <f t="shared" si="233"/>
        <v>3586.9</v>
      </c>
      <c r="BC112" s="131">
        <f t="shared" si="234"/>
        <v>522.1106259</v>
      </c>
      <c r="BD112" s="132">
        <f t="shared" si="235"/>
        <v>466.5092399</v>
      </c>
      <c r="BE112" s="135" t="s">
        <v>475</v>
      </c>
      <c r="BF112" s="134" t="s">
        <v>101</v>
      </c>
      <c r="BG112" s="49"/>
      <c r="BH112" s="116">
        <f t="shared" si="22"/>
        <v>1873.531084</v>
      </c>
      <c r="BI112" s="116">
        <f t="shared" si="23"/>
        <v>1124.11865</v>
      </c>
      <c r="BJ112" s="116">
        <f t="shared" si="24"/>
        <v>936.765542</v>
      </c>
      <c r="BK112" s="116">
        <f t="shared" si="25"/>
        <v>749.4124336</v>
      </c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</row>
    <row r="113" ht="14.25" customHeight="1">
      <c r="A113" s="103" t="s">
        <v>179</v>
      </c>
      <c r="B113" s="103" t="s">
        <v>85</v>
      </c>
      <c r="C113" s="103" t="s">
        <v>85</v>
      </c>
      <c r="D113" s="103" t="s">
        <v>86</v>
      </c>
      <c r="E113" s="104" t="s">
        <v>87</v>
      </c>
      <c r="F113" s="105" t="s">
        <v>467</v>
      </c>
      <c r="G113" s="106" t="s">
        <v>299</v>
      </c>
      <c r="H113" s="106" t="s">
        <v>468</v>
      </c>
      <c r="I113" s="107" t="s">
        <v>497</v>
      </c>
      <c r="J113" s="108" t="s">
        <v>487</v>
      </c>
      <c r="K113" s="108" t="s">
        <v>488</v>
      </c>
      <c r="L113" s="105" t="s">
        <v>489</v>
      </c>
      <c r="M113" s="105" t="s">
        <v>498</v>
      </c>
      <c r="N113" s="106" t="s">
        <v>162</v>
      </c>
      <c r="O113" s="109" t="s">
        <v>147</v>
      </c>
      <c r="P113" s="110">
        <v>23.0</v>
      </c>
      <c r="Q113" s="103" t="s">
        <v>96</v>
      </c>
      <c r="R113" s="110" t="s">
        <v>473</v>
      </c>
      <c r="S113" s="110">
        <v>6.0</v>
      </c>
      <c r="T113" s="111" t="s">
        <v>490</v>
      </c>
      <c r="U113" s="106" t="s">
        <v>98</v>
      </c>
      <c r="V113" s="112">
        <v>0.0</v>
      </c>
      <c r="W113" s="113">
        <v>60.0</v>
      </c>
      <c r="X113" s="113">
        <v>14.0</v>
      </c>
      <c r="Y113" s="113">
        <v>14.0</v>
      </c>
      <c r="Z113" s="113" t="s">
        <v>148</v>
      </c>
      <c r="AA113" s="114">
        <f t="shared" ref="AA113:AA114" si="236">(BC113/(1-(AK113+2%)))*$F$6</f>
        <v>653.0864198</v>
      </c>
      <c r="AB113" s="115" t="str">
        <f t="shared" si="215"/>
        <v>#REF!</v>
      </c>
      <c r="AC113" s="116">
        <f t="shared" si="216"/>
        <v>567.3127292</v>
      </c>
      <c r="AD113" s="117">
        <f t="shared" si="217"/>
        <v>597.1712939</v>
      </c>
      <c r="AE113" s="118" t="str">
        <f t="shared" si="218"/>
        <v>#REF!</v>
      </c>
      <c r="AF113" s="118" t="str">
        <f t="shared" si="94"/>
        <v>#REF!</v>
      </c>
      <c r="AG113" s="119" t="str">
        <f t="shared" si="95"/>
        <v>#REF!</v>
      </c>
      <c r="AH113" s="120" t="str">
        <f t="shared" si="96"/>
        <v>#REF!</v>
      </c>
      <c r="AI113" s="121">
        <f t="shared" ref="AI113:AI289" si="237">AJ113</f>
        <v>0.07</v>
      </c>
      <c r="AJ113" s="121">
        <v>0.07</v>
      </c>
      <c r="AK113" s="122">
        <v>0.17</v>
      </c>
      <c r="AL113" s="123">
        <f t="shared" si="11"/>
        <v>96.44316396</v>
      </c>
      <c r="AM113" s="122" t="s">
        <v>10</v>
      </c>
      <c r="AN113" s="125">
        <f t="shared" si="12"/>
        <v>567.3127292</v>
      </c>
      <c r="AO113" s="112">
        <f t="shared" si="219"/>
        <v>0.17</v>
      </c>
      <c r="AP113" s="127"/>
      <c r="AQ113" s="128">
        <f t="shared" ref="AQ113:AQ114" si="238">BC113/(1-AI113)*$F$6</f>
        <v>568.8172043</v>
      </c>
      <c r="AR113" s="125">
        <f t="shared" ref="AR113:AR114" si="239">BD113/(1-AJ113)</f>
        <v>506.3113604</v>
      </c>
      <c r="AS113" s="126">
        <f t="shared" si="221"/>
        <v>0.1290322581</v>
      </c>
      <c r="AT113" s="126">
        <f t="shared" si="222"/>
        <v>0.1075268817</v>
      </c>
      <c r="AU113" s="129"/>
      <c r="AV113" s="39" t="s">
        <v>149</v>
      </c>
      <c r="AW113" s="130"/>
      <c r="AX113" s="130"/>
      <c r="AY113" s="139">
        <v>253.0</v>
      </c>
      <c r="AZ113" s="130"/>
      <c r="BA113" s="130"/>
      <c r="BB113" s="130"/>
      <c r="BC113" s="137">
        <f t="shared" ref="BC113:BC114" si="240">AY113+($F$4-1500)/1000*P113</f>
        <v>460</v>
      </c>
      <c r="BD113" s="132">
        <f t="shared" ref="BD113:BD114" si="241">(AY113+($F$4-1500)/1000*P113)+(($F$10+$G$10)/40/S113/$F$6)</f>
        <v>470.8695652</v>
      </c>
      <c r="BE113" s="135" t="s">
        <v>475</v>
      </c>
      <c r="BF113" s="134" t="s">
        <v>101</v>
      </c>
      <c r="BG113" s="49"/>
      <c r="BH113" s="116">
        <f t="shared" si="22"/>
        <v>1891.042431</v>
      </c>
      <c r="BI113" s="116">
        <f t="shared" si="23"/>
        <v>1134.625458</v>
      </c>
      <c r="BJ113" s="116">
        <f t="shared" si="24"/>
        <v>945.5212153</v>
      </c>
      <c r="BK113" s="116">
        <f t="shared" si="25"/>
        <v>756.4169722</v>
      </c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</row>
    <row r="114" ht="14.25" customHeight="1">
      <c r="A114" s="103" t="s">
        <v>179</v>
      </c>
      <c r="B114" s="103" t="s">
        <v>85</v>
      </c>
      <c r="C114" s="103" t="s">
        <v>85</v>
      </c>
      <c r="D114" s="103" t="s">
        <v>86</v>
      </c>
      <c r="E114" s="104" t="s">
        <v>87</v>
      </c>
      <c r="F114" s="105" t="s">
        <v>467</v>
      </c>
      <c r="G114" s="106" t="s">
        <v>299</v>
      </c>
      <c r="H114" s="106" t="s">
        <v>468</v>
      </c>
      <c r="I114" s="107" t="s">
        <v>499</v>
      </c>
      <c r="J114" s="108" t="s">
        <v>492</v>
      </c>
      <c r="K114" s="108" t="s">
        <v>493</v>
      </c>
      <c r="L114" s="105" t="s">
        <v>494</v>
      </c>
      <c r="M114" s="105" t="s">
        <v>500</v>
      </c>
      <c r="N114" s="106" t="s">
        <v>162</v>
      </c>
      <c r="O114" s="109" t="s">
        <v>147</v>
      </c>
      <c r="P114" s="110">
        <v>23.0</v>
      </c>
      <c r="Q114" s="103" t="s">
        <v>480</v>
      </c>
      <c r="R114" s="110" t="s">
        <v>473</v>
      </c>
      <c r="S114" s="110">
        <v>4.0</v>
      </c>
      <c r="T114" s="111" t="s">
        <v>496</v>
      </c>
      <c r="U114" s="106" t="s">
        <v>98</v>
      </c>
      <c r="V114" s="112">
        <v>0.0</v>
      </c>
      <c r="W114" s="113">
        <v>60.0</v>
      </c>
      <c r="X114" s="113">
        <v>14.0</v>
      </c>
      <c r="Y114" s="113">
        <v>14.0</v>
      </c>
      <c r="Z114" s="113" t="s">
        <v>148</v>
      </c>
      <c r="AA114" s="114">
        <f t="shared" si="236"/>
        <v>653.0864198</v>
      </c>
      <c r="AB114" s="115" t="str">
        <f t="shared" si="215"/>
        <v>#REF!</v>
      </c>
      <c r="AC114" s="116">
        <f t="shared" si="216"/>
        <v>573.86066</v>
      </c>
      <c r="AD114" s="117">
        <f t="shared" si="217"/>
        <v>604.0638527</v>
      </c>
      <c r="AE114" s="118" t="str">
        <f t="shared" si="218"/>
        <v>#REF!</v>
      </c>
      <c r="AF114" s="118" t="str">
        <f t="shared" si="94"/>
        <v>#REF!</v>
      </c>
      <c r="AG114" s="119" t="str">
        <f t="shared" si="95"/>
        <v>#REF!</v>
      </c>
      <c r="AH114" s="120" t="str">
        <f t="shared" si="96"/>
        <v>#REF!</v>
      </c>
      <c r="AI114" s="121">
        <f t="shared" si="237"/>
        <v>0.07</v>
      </c>
      <c r="AJ114" s="121">
        <v>0.07</v>
      </c>
      <c r="AK114" s="122">
        <v>0.17</v>
      </c>
      <c r="AL114" s="123">
        <f t="shared" si="11"/>
        <v>97.55631221</v>
      </c>
      <c r="AM114" s="122" t="s">
        <v>10</v>
      </c>
      <c r="AN114" s="125">
        <f t="shared" si="12"/>
        <v>573.86066</v>
      </c>
      <c r="AO114" s="112">
        <f t="shared" si="219"/>
        <v>0.17</v>
      </c>
      <c r="AP114" s="127"/>
      <c r="AQ114" s="128">
        <f t="shared" si="238"/>
        <v>568.8172043</v>
      </c>
      <c r="AR114" s="125">
        <f t="shared" si="239"/>
        <v>512.1552127</v>
      </c>
      <c r="AS114" s="126">
        <f t="shared" si="221"/>
        <v>0.1290322581</v>
      </c>
      <c r="AT114" s="126">
        <f t="shared" si="222"/>
        <v>0.1075268817</v>
      </c>
      <c r="AU114" s="129"/>
      <c r="AV114" s="39" t="s">
        <v>149</v>
      </c>
      <c r="AW114" s="130"/>
      <c r="AX114" s="130"/>
      <c r="AY114" s="139">
        <v>253.0</v>
      </c>
      <c r="AZ114" s="130"/>
      <c r="BA114" s="130"/>
      <c r="BB114" s="130"/>
      <c r="BC114" s="137">
        <f t="shared" si="240"/>
        <v>460</v>
      </c>
      <c r="BD114" s="132">
        <f t="shared" si="241"/>
        <v>476.3043478</v>
      </c>
      <c r="BE114" s="135" t="s">
        <v>475</v>
      </c>
      <c r="BF114" s="134" t="s">
        <v>101</v>
      </c>
      <c r="BG114" s="49"/>
      <c r="BH114" s="116">
        <f t="shared" si="22"/>
        <v>1912.868867</v>
      </c>
      <c r="BI114" s="116">
        <f t="shared" si="23"/>
        <v>1147.72132</v>
      </c>
      <c r="BJ114" s="116">
        <f t="shared" si="24"/>
        <v>956.4344334</v>
      </c>
      <c r="BK114" s="116">
        <f t="shared" si="25"/>
        <v>765.1475467</v>
      </c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</row>
    <row r="115" ht="14.25" customHeight="1">
      <c r="A115" s="103" t="s">
        <v>84</v>
      </c>
      <c r="B115" s="103" t="s">
        <v>120</v>
      </c>
      <c r="C115" s="103" t="s">
        <v>120</v>
      </c>
      <c r="D115" s="103" t="s">
        <v>86</v>
      </c>
      <c r="E115" s="104" t="s">
        <v>501</v>
      </c>
      <c r="F115" s="104" t="s">
        <v>502</v>
      </c>
      <c r="G115" s="110"/>
      <c r="H115" s="110"/>
      <c r="I115" s="107"/>
      <c r="J115" s="211" t="s">
        <v>503</v>
      </c>
      <c r="K115" s="211" t="str">
        <f>_xlfn.XLOOKUP(J115,[1]Sheet1!$A:$A,[1]Sheet1!$B:$B,"")</f>
        <v>#ERROR!</v>
      </c>
      <c r="L115" s="104" t="s">
        <v>504</v>
      </c>
      <c r="M115" s="104" t="s">
        <v>505</v>
      </c>
      <c r="N115" s="110"/>
      <c r="O115" s="104" t="s">
        <v>95</v>
      </c>
      <c r="P115" s="110"/>
      <c r="Q115" s="103" t="s">
        <v>506</v>
      </c>
      <c r="R115" s="110" t="s">
        <v>507</v>
      </c>
      <c r="S115" s="110">
        <v>8640.0</v>
      </c>
      <c r="T115" s="110" t="s">
        <v>508</v>
      </c>
      <c r="U115" s="110" t="s">
        <v>509</v>
      </c>
      <c r="V115" s="112">
        <v>0.017</v>
      </c>
      <c r="W115" s="113">
        <v>45.0</v>
      </c>
      <c r="X115" s="113">
        <v>45.0</v>
      </c>
      <c r="Y115" s="113">
        <v>55.0</v>
      </c>
      <c r="Z115" s="113" t="s">
        <v>148</v>
      </c>
      <c r="AA115" s="114">
        <f t="shared" ref="AA115:AA246" si="243">BC115/(1-(AK115+2%))</f>
        <v>0.5125366464</v>
      </c>
      <c r="AB115" s="115"/>
      <c r="AC115" s="212">
        <f t="shared" si="216"/>
        <v>0.457802822</v>
      </c>
      <c r="AD115" s="213">
        <f t="shared" ref="AD115:AD512" si="244">AC115/0.93</f>
        <v>0.4922610989</v>
      </c>
      <c r="AE115" s="212"/>
      <c r="AF115" s="212" t="str">
        <f t="shared" si="94"/>
        <v>#REF!</v>
      </c>
      <c r="AG115" s="210" t="str">
        <f t="shared" si="95"/>
        <v>#REF!</v>
      </c>
      <c r="AH115" s="120" t="str">
        <f t="shared" si="96"/>
        <v>#REF!</v>
      </c>
      <c r="AI115" s="121">
        <f t="shared" si="237"/>
        <v>0.1</v>
      </c>
      <c r="AJ115" s="121">
        <v>0.1</v>
      </c>
      <c r="AK115" s="122">
        <v>0.27</v>
      </c>
      <c r="AL115" s="123">
        <f t="shared" si="11"/>
        <v>0.1236067619</v>
      </c>
      <c r="AM115" s="122" t="s">
        <v>6</v>
      </c>
      <c r="AN115" s="111">
        <f t="shared" ref="AN115:AN120" si="245">AC115*(1-$AN$3)</f>
        <v>0.4120225398</v>
      </c>
      <c r="AO115" s="112">
        <f t="shared" si="219"/>
        <v>0.1888888889</v>
      </c>
      <c r="AP115" s="127"/>
      <c r="AQ115" s="128">
        <f t="shared" ref="AQ115:AR115" si="242">BC115/(1-AI115)</f>
        <v>0.4043344655</v>
      </c>
      <c r="AR115" s="139">
        <f t="shared" si="242"/>
        <v>0.3713289556</v>
      </c>
      <c r="AS115" s="126">
        <f t="shared" si="221"/>
        <v>0.2111111111</v>
      </c>
      <c r="AT115" s="126">
        <f t="shared" si="222"/>
        <v>0.1888888889</v>
      </c>
      <c r="AU115" s="129">
        <v>0.34</v>
      </c>
      <c r="AV115" s="39" t="s">
        <v>510</v>
      </c>
      <c r="AW115" s="214"/>
      <c r="AX115" s="214"/>
      <c r="AY115" s="214"/>
      <c r="AZ115" s="214">
        <v>0.94</v>
      </c>
      <c r="BA115" s="214">
        <v>1.56</v>
      </c>
      <c r="BB115" s="130">
        <f t="shared" ref="BB115:BB122" si="247">AZ115+BA115</f>
        <v>2.5</v>
      </c>
      <c r="BC115" s="131">
        <f t="shared" ref="BC115:BC122" si="248">(AZ115+BA115)/$F$5</f>
        <v>0.3639010189</v>
      </c>
      <c r="BD115" s="132">
        <f t="shared" ref="BD115:BD212" si="249">(BC115/$F$6)+(($F$9+$G$9)/40/S115)+BC115*V115</f>
        <v>0.33419606</v>
      </c>
      <c r="BE115" s="215"/>
      <c r="BF115" s="134"/>
      <c r="BG115" s="49"/>
      <c r="BH115" s="212">
        <f t="shared" si="22"/>
        <v>1.526009407</v>
      </c>
      <c r="BI115" s="212">
        <f t="shared" si="23"/>
        <v>0.9156056439</v>
      </c>
      <c r="BJ115" s="212">
        <f t="shared" si="24"/>
        <v>0.7630047033</v>
      </c>
      <c r="BK115" s="212">
        <f t="shared" si="25"/>
        <v>0.6104037626</v>
      </c>
      <c r="BL115" s="216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</row>
    <row r="116" ht="14.25" customHeight="1">
      <c r="A116" s="103" t="s">
        <v>84</v>
      </c>
      <c r="B116" s="103" t="s">
        <v>120</v>
      </c>
      <c r="C116" s="103" t="s">
        <v>120</v>
      </c>
      <c r="D116" s="103" t="s">
        <v>86</v>
      </c>
      <c r="E116" s="104" t="s">
        <v>501</v>
      </c>
      <c r="F116" s="104" t="s">
        <v>502</v>
      </c>
      <c r="G116" s="110"/>
      <c r="H116" s="110"/>
      <c r="I116" s="107"/>
      <c r="J116" s="211" t="s">
        <v>511</v>
      </c>
      <c r="K116" s="211" t="str">
        <f>_xlfn.XLOOKUP(J116,[1]Sheet1!$A:$A,[1]Sheet1!$B:$B,"")</f>
        <v>#ERROR!</v>
      </c>
      <c r="L116" s="104" t="s">
        <v>512</v>
      </c>
      <c r="M116" s="104" t="s">
        <v>513</v>
      </c>
      <c r="N116" s="110"/>
      <c r="O116" s="104" t="s">
        <v>95</v>
      </c>
      <c r="P116" s="110"/>
      <c r="Q116" s="103" t="s">
        <v>514</v>
      </c>
      <c r="R116" s="110" t="s">
        <v>507</v>
      </c>
      <c r="S116" s="110">
        <v>8640.0</v>
      </c>
      <c r="T116" s="110" t="s">
        <v>515</v>
      </c>
      <c r="U116" s="110" t="s">
        <v>509</v>
      </c>
      <c r="V116" s="112">
        <v>0.017</v>
      </c>
      <c r="W116" s="113">
        <v>45.0</v>
      </c>
      <c r="X116" s="113">
        <v>45.0</v>
      </c>
      <c r="Y116" s="113">
        <v>55.0</v>
      </c>
      <c r="Z116" s="113" t="s">
        <v>148</v>
      </c>
      <c r="AA116" s="114">
        <f t="shared" si="243"/>
        <v>0.5535395781</v>
      </c>
      <c r="AB116" s="115"/>
      <c r="AC116" s="212">
        <f t="shared" si="216"/>
        <v>0.493158656</v>
      </c>
      <c r="AD116" s="213">
        <f t="shared" si="244"/>
        <v>0.5302781248</v>
      </c>
      <c r="AE116" s="212"/>
      <c r="AF116" s="212" t="str">
        <f t="shared" si="94"/>
        <v>#REF!</v>
      </c>
      <c r="AG116" s="210" t="str">
        <f t="shared" si="95"/>
        <v>#REF!</v>
      </c>
      <c r="AH116" s="120" t="str">
        <f t="shared" si="96"/>
        <v>#REF!</v>
      </c>
      <c r="AI116" s="121">
        <f t="shared" si="237"/>
        <v>0.1</v>
      </c>
      <c r="AJ116" s="121">
        <v>0.1</v>
      </c>
      <c r="AK116" s="122">
        <v>0.27</v>
      </c>
      <c r="AL116" s="123">
        <f t="shared" si="11"/>
        <v>0.1331528371</v>
      </c>
      <c r="AM116" s="122" t="s">
        <v>6</v>
      </c>
      <c r="AN116" s="111">
        <f t="shared" si="245"/>
        <v>0.4438427904</v>
      </c>
      <c r="AO116" s="112">
        <f t="shared" si="219"/>
        <v>0.1888888889</v>
      </c>
      <c r="AP116" s="127"/>
      <c r="AQ116" s="128">
        <f t="shared" ref="AQ116:AR116" si="246">BC116/(1-AI116)</f>
        <v>0.4366812227</v>
      </c>
      <c r="AR116" s="139">
        <f t="shared" si="246"/>
        <v>0.4000064654</v>
      </c>
      <c r="AS116" s="126">
        <f t="shared" si="221"/>
        <v>0.2111111111</v>
      </c>
      <c r="AT116" s="126">
        <f t="shared" si="222"/>
        <v>0.1888888889</v>
      </c>
      <c r="AU116" s="129"/>
      <c r="AV116" s="39" t="s">
        <v>510</v>
      </c>
      <c r="AW116" s="214"/>
      <c r="AX116" s="214"/>
      <c r="AY116" s="214"/>
      <c r="AZ116" s="214">
        <v>0.94</v>
      </c>
      <c r="BA116" s="214">
        <v>1.76</v>
      </c>
      <c r="BB116" s="130">
        <f t="shared" si="247"/>
        <v>2.7</v>
      </c>
      <c r="BC116" s="131">
        <f t="shared" si="248"/>
        <v>0.3930131004</v>
      </c>
      <c r="BD116" s="132">
        <f t="shared" si="249"/>
        <v>0.3600058189</v>
      </c>
      <c r="BE116" s="215"/>
      <c r="BF116" s="134"/>
      <c r="BG116" s="49"/>
      <c r="BH116" s="212">
        <f t="shared" si="22"/>
        <v>1.643862187</v>
      </c>
      <c r="BI116" s="212">
        <f t="shared" si="23"/>
        <v>0.9863173121</v>
      </c>
      <c r="BJ116" s="212">
        <f t="shared" si="24"/>
        <v>0.8219310934</v>
      </c>
      <c r="BK116" s="212">
        <f t="shared" si="25"/>
        <v>0.6575448747</v>
      </c>
      <c r="BL116" s="216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</row>
    <row r="117" ht="14.25" customHeight="1">
      <c r="A117" s="103" t="s">
        <v>84</v>
      </c>
      <c r="B117" s="103" t="s">
        <v>120</v>
      </c>
      <c r="C117" s="103" t="s">
        <v>120</v>
      </c>
      <c r="D117" s="103" t="s">
        <v>86</v>
      </c>
      <c r="E117" s="104" t="s">
        <v>501</v>
      </c>
      <c r="F117" s="104" t="s">
        <v>502</v>
      </c>
      <c r="G117" s="110"/>
      <c r="H117" s="110"/>
      <c r="I117" s="107"/>
      <c r="J117" s="211" t="s">
        <v>516</v>
      </c>
      <c r="K117" s="211" t="str">
        <f>_xlfn.XLOOKUP(J117,[1]Sheet1!$A:$A,[1]Sheet1!$B:$B,"")</f>
        <v>#ERROR!</v>
      </c>
      <c r="L117" s="104" t="s">
        <v>517</v>
      </c>
      <c r="M117" s="104" t="s">
        <v>518</v>
      </c>
      <c r="N117" s="110"/>
      <c r="O117" s="104" t="s">
        <v>95</v>
      </c>
      <c r="P117" s="110"/>
      <c r="Q117" s="103" t="s">
        <v>506</v>
      </c>
      <c r="R117" s="110" t="s">
        <v>507</v>
      </c>
      <c r="S117" s="110">
        <v>11520.0</v>
      </c>
      <c r="T117" s="110" t="s">
        <v>519</v>
      </c>
      <c r="U117" s="110" t="s">
        <v>509</v>
      </c>
      <c r="V117" s="112">
        <v>0.017</v>
      </c>
      <c r="W117" s="113">
        <v>45.0</v>
      </c>
      <c r="X117" s="113">
        <v>45.0</v>
      </c>
      <c r="Y117" s="113">
        <v>55.0</v>
      </c>
      <c r="Z117" s="113" t="s">
        <v>148</v>
      </c>
      <c r="AA117" s="114">
        <f t="shared" si="243"/>
        <v>0.4637138698</v>
      </c>
      <c r="AB117" s="115"/>
      <c r="AC117" s="212">
        <f t="shared" si="216"/>
        <v>0.4117491209</v>
      </c>
      <c r="AD117" s="213">
        <f t="shared" si="244"/>
        <v>0.4427409902</v>
      </c>
      <c r="AE117" s="212"/>
      <c r="AF117" s="212" t="str">
        <f t="shared" si="94"/>
        <v>#REF!</v>
      </c>
      <c r="AG117" s="210" t="str">
        <f t="shared" si="95"/>
        <v>#REF!</v>
      </c>
      <c r="AH117" s="120" t="str">
        <f t="shared" si="96"/>
        <v>#REF!</v>
      </c>
      <c r="AI117" s="121">
        <f t="shared" si="237"/>
        <v>0.1</v>
      </c>
      <c r="AJ117" s="121">
        <v>0.1</v>
      </c>
      <c r="AK117" s="122">
        <v>0.28</v>
      </c>
      <c r="AL117" s="123">
        <f t="shared" si="11"/>
        <v>0.1152897538</v>
      </c>
      <c r="AM117" s="122" t="s">
        <v>6</v>
      </c>
      <c r="AN117" s="111">
        <f t="shared" si="245"/>
        <v>0.3705742088</v>
      </c>
      <c r="AO117" s="112">
        <f t="shared" si="219"/>
        <v>0.2</v>
      </c>
      <c r="AP117" s="127"/>
      <c r="AQ117" s="128">
        <f t="shared" ref="AQ117:AR117" si="250">BC117/(1-AI117)</f>
        <v>0.3606663432</v>
      </c>
      <c r="AR117" s="139">
        <f t="shared" si="250"/>
        <v>0.3293992967</v>
      </c>
      <c r="AS117" s="126">
        <f t="shared" si="221"/>
        <v>0.2222222222</v>
      </c>
      <c r="AT117" s="126">
        <f t="shared" si="222"/>
        <v>0.2</v>
      </c>
      <c r="AU117" s="129">
        <v>0.29</v>
      </c>
      <c r="AV117" s="39" t="s">
        <v>510</v>
      </c>
      <c r="AW117" s="214"/>
      <c r="AX117" s="214"/>
      <c r="AY117" s="214"/>
      <c r="AZ117" s="214">
        <v>0.9</v>
      </c>
      <c r="BA117" s="214">
        <v>1.33</v>
      </c>
      <c r="BB117" s="130">
        <f t="shared" si="247"/>
        <v>2.23</v>
      </c>
      <c r="BC117" s="131">
        <f t="shared" si="248"/>
        <v>0.3245997089</v>
      </c>
      <c r="BD117" s="132">
        <f t="shared" si="249"/>
        <v>0.296459367</v>
      </c>
      <c r="BE117" s="215"/>
      <c r="BF117" s="134"/>
      <c r="BG117" s="49"/>
      <c r="BH117" s="212">
        <f t="shared" si="22"/>
        <v>1.37249707</v>
      </c>
      <c r="BI117" s="212">
        <f t="shared" si="23"/>
        <v>0.8234982417</v>
      </c>
      <c r="BJ117" s="212">
        <f t="shared" si="24"/>
        <v>0.6862485348</v>
      </c>
      <c r="BK117" s="212">
        <f t="shared" si="25"/>
        <v>0.5489988278</v>
      </c>
      <c r="BL117" s="216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</row>
    <row r="118" ht="14.25" customHeight="1">
      <c r="A118" s="103" t="s">
        <v>84</v>
      </c>
      <c r="B118" s="103" t="s">
        <v>120</v>
      </c>
      <c r="C118" s="103" t="s">
        <v>120</v>
      </c>
      <c r="D118" s="103" t="s">
        <v>86</v>
      </c>
      <c r="E118" s="104" t="s">
        <v>501</v>
      </c>
      <c r="F118" s="104" t="s">
        <v>502</v>
      </c>
      <c r="G118" s="110"/>
      <c r="H118" s="110"/>
      <c r="I118" s="107"/>
      <c r="J118" s="211" t="s">
        <v>520</v>
      </c>
      <c r="K118" s="211" t="str">
        <f>_xlfn.XLOOKUP(J118,[1]Sheet1!$A:$A,[1]Sheet1!$B:$B,"")</f>
        <v>#ERROR!</v>
      </c>
      <c r="L118" s="104" t="s">
        <v>521</v>
      </c>
      <c r="M118" s="104" t="s">
        <v>522</v>
      </c>
      <c r="N118" s="110"/>
      <c r="O118" s="104" t="s">
        <v>95</v>
      </c>
      <c r="P118" s="110"/>
      <c r="Q118" s="103" t="s">
        <v>514</v>
      </c>
      <c r="R118" s="110" t="s">
        <v>507</v>
      </c>
      <c r="S118" s="110">
        <v>11520.0</v>
      </c>
      <c r="T118" s="110" t="s">
        <v>523</v>
      </c>
      <c r="U118" s="110" t="s">
        <v>509</v>
      </c>
      <c r="V118" s="112">
        <v>0.017</v>
      </c>
      <c r="W118" s="113">
        <v>45.0</v>
      </c>
      <c r="X118" s="113">
        <v>45.0</v>
      </c>
      <c r="Y118" s="113">
        <v>55.0</v>
      </c>
      <c r="Z118" s="113" t="s">
        <v>148</v>
      </c>
      <c r="AA118" s="114">
        <f t="shared" si="243"/>
        <v>0.4918177407</v>
      </c>
      <c r="AB118" s="115"/>
      <c r="AC118" s="212">
        <f t="shared" si="216"/>
        <v>0.4359696574</v>
      </c>
      <c r="AD118" s="213">
        <f t="shared" si="244"/>
        <v>0.4687845778</v>
      </c>
      <c r="AE118" s="212"/>
      <c r="AF118" s="212" t="str">
        <f t="shared" si="94"/>
        <v>#REF!</v>
      </c>
      <c r="AG118" s="210" t="str">
        <f t="shared" si="95"/>
        <v>#REF!</v>
      </c>
      <c r="AH118" s="120" t="str">
        <f t="shared" si="96"/>
        <v>#REF!</v>
      </c>
      <c r="AI118" s="121">
        <f t="shared" si="237"/>
        <v>0.1</v>
      </c>
      <c r="AJ118" s="121">
        <v>0.1</v>
      </c>
      <c r="AK118" s="122">
        <v>0.32</v>
      </c>
      <c r="AL118" s="123">
        <f t="shared" si="11"/>
        <v>0.1395102904</v>
      </c>
      <c r="AM118" s="122" t="s">
        <v>6</v>
      </c>
      <c r="AN118" s="111">
        <f t="shared" si="245"/>
        <v>0.3923726916</v>
      </c>
      <c r="AO118" s="112">
        <f t="shared" si="219"/>
        <v>0.2444444444</v>
      </c>
      <c r="AP118" s="127"/>
      <c r="AQ118" s="128">
        <f t="shared" ref="AQ118:AR118" si="251">BC118/(1-AI118)</f>
        <v>0.3606663432</v>
      </c>
      <c r="AR118" s="139">
        <f t="shared" si="251"/>
        <v>0.3293992967</v>
      </c>
      <c r="AS118" s="126">
        <f t="shared" si="221"/>
        <v>0.2666666667</v>
      </c>
      <c r="AT118" s="126">
        <f t="shared" si="222"/>
        <v>0.2444444444</v>
      </c>
      <c r="AU118" s="129"/>
      <c r="AV118" s="39" t="s">
        <v>510</v>
      </c>
      <c r="AW118" s="214"/>
      <c r="AX118" s="214"/>
      <c r="AY118" s="214"/>
      <c r="AZ118" s="214">
        <v>0.9</v>
      </c>
      <c r="BA118" s="214">
        <v>1.33</v>
      </c>
      <c r="BB118" s="130">
        <f t="shared" si="247"/>
        <v>2.23</v>
      </c>
      <c r="BC118" s="131">
        <f t="shared" si="248"/>
        <v>0.3245997089</v>
      </c>
      <c r="BD118" s="132">
        <f t="shared" si="249"/>
        <v>0.296459367</v>
      </c>
      <c r="BE118" s="215"/>
      <c r="BF118" s="134"/>
      <c r="BG118" s="49"/>
      <c r="BH118" s="212">
        <f t="shared" si="22"/>
        <v>1.453232191</v>
      </c>
      <c r="BI118" s="212">
        <f t="shared" si="23"/>
        <v>0.8719393148</v>
      </c>
      <c r="BJ118" s="212">
        <f t="shared" si="24"/>
        <v>0.7266160956</v>
      </c>
      <c r="BK118" s="212">
        <f t="shared" si="25"/>
        <v>0.5812928765</v>
      </c>
      <c r="BL118" s="216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</row>
    <row r="119" ht="14.25" customHeight="1">
      <c r="A119" s="103" t="s">
        <v>84</v>
      </c>
      <c r="B119" s="103" t="s">
        <v>120</v>
      </c>
      <c r="C119" s="103" t="s">
        <v>120</v>
      </c>
      <c r="D119" s="103" t="s">
        <v>86</v>
      </c>
      <c r="E119" s="103" t="s">
        <v>501</v>
      </c>
      <c r="F119" s="104" t="s">
        <v>502</v>
      </c>
      <c r="G119" s="110"/>
      <c r="H119" s="110"/>
      <c r="I119" s="107"/>
      <c r="J119" s="211" t="s">
        <v>524</v>
      </c>
      <c r="K119" s="211" t="str">
        <f>_xlfn.XLOOKUP(J119,[1]Sheet1!$A:$A,[1]Sheet1!$B:$B,"")</f>
        <v>#ERROR!</v>
      </c>
      <c r="L119" s="104" t="s">
        <v>525</v>
      </c>
      <c r="M119" s="104" t="s">
        <v>526</v>
      </c>
      <c r="N119" s="110"/>
      <c r="O119" s="104" t="s">
        <v>95</v>
      </c>
      <c r="P119" s="110"/>
      <c r="Q119" s="103" t="s">
        <v>514</v>
      </c>
      <c r="R119" s="110" t="s">
        <v>507</v>
      </c>
      <c r="S119" s="110">
        <v>11520.0</v>
      </c>
      <c r="T119" s="110" t="s">
        <v>527</v>
      </c>
      <c r="U119" s="110" t="s">
        <v>509</v>
      </c>
      <c r="V119" s="112">
        <v>0.017</v>
      </c>
      <c r="W119" s="113">
        <v>45.0</v>
      </c>
      <c r="X119" s="113">
        <v>45.0</v>
      </c>
      <c r="Y119" s="113">
        <v>55.0</v>
      </c>
      <c r="Z119" s="113" t="s">
        <v>148</v>
      </c>
      <c r="AA119" s="114">
        <f t="shared" si="243"/>
        <v>0.6431123462</v>
      </c>
      <c r="AB119" s="115"/>
      <c r="AC119" s="212">
        <f t="shared" si="216"/>
        <v>0.5653844314</v>
      </c>
      <c r="AD119" s="213">
        <f t="shared" si="244"/>
        <v>0.6079402488</v>
      </c>
      <c r="AE119" s="212"/>
      <c r="AF119" s="212" t="str">
        <f t="shared" si="94"/>
        <v>#REF!</v>
      </c>
      <c r="AG119" s="210" t="str">
        <f t="shared" si="95"/>
        <v>#REF!</v>
      </c>
      <c r="AH119" s="120" t="str">
        <f t="shared" si="96"/>
        <v>#REF!</v>
      </c>
      <c r="AI119" s="121">
        <f t="shared" si="237"/>
        <v>0.1</v>
      </c>
      <c r="AJ119" s="121">
        <v>0.1</v>
      </c>
      <c r="AK119" s="122">
        <v>0.43</v>
      </c>
      <c r="AL119" s="123">
        <f t="shared" si="11"/>
        <v>0.2431153055</v>
      </c>
      <c r="AM119" s="122" t="s">
        <v>6</v>
      </c>
      <c r="AN119" s="111">
        <f t="shared" si="245"/>
        <v>0.5088459883</v>
      </c>
      <c r="AO119" s="112">
        <f t="shared" si="219"/>
        <v>0.3666666667</v>
      </c>
      <c r="AP119" s="127"/>
      <c r="AQ119" s="128">
        <f t="shared" ref="AQ119:AR119" si="252">BC119/(1-AI119)</f>
        <v>0.3930131004</v>
      </c>
      <c r="AR119" s="139">
        <f t="shared" si="252"/>
        <v>0.3580768066</v>
      </c>
      <c r="AS119" s="126">
        <f t="shared" si="221"/>
        <v>0.3888888889</v>
      </c>
      <c r="AT119" s="126">
        <f t="shared" si="222"/>
        <v>0.3666666667</v>
      </c>
      <c r="AU119" s="129"/>
      <c r="AV119" s="39" t="s">
        <v>510</v>
      </c>
      <c r="AW119" s="214"/>
      <c r="AX119" s="214"/>
      <c r="AY119" s="214"/>
      <c r="AZ119" s="214">
        <v>0.1</v>
      </c>
      <c r="BA119" s="214">
        <v>2.33</v>
      </c>
      <c r="BB119" s="130">
        <f t="shared" si="247"/>
        <v>2.43</v>
      </c>
      <c r="BC119" s="131">
        <f t="shared" si="248"/>
        <v>0.3537117904</v>
      </c>
      <c r="BD119" s="132">
        <f t="shared" si="249"/>
        <v>0.3222691259</v>
      </c>
      <c r="BE119" s="215"/>
      <c r="BF119" s="134"/>
      <c r="BG119" s="49"/>
      <c r="BH119" s="212">
        <f t="shared" si="22"/>
        <v>1.884614771</v>
      </c>
      <c r="BI119" s="212">
        <f t="shared" si="23"/>
        <v>1.130768863</v>
      </c>
      <c r="BJ119" s="212">
        <f t="shared" si="24"/>
        <v>0.9423073857</v>
      </c>
      <c r="BK119" s="212">
        <f t="shared" si="25"/>
        <v>0.7538459085</v>
      </c>
      <c r="BL119" s="216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</row>
    <row r="120" ht="14.25" customHeight="1">
      <c r="A120" s="103" t="s">
        <v>84</v>
      </c>
      <c r="B120" s="103" t="s">
        <v>120</v>
      </c>
      <c r="C120" s="103" t="s">
        <v>120</v>
      </c>
      <c r="D120" s="103" t="s">
        <v>86</v>
      </c>
      <c r="E120" s="103" t="s">
        <v>501</v>
      </c>
      <c r="F120" s="104" t="s">
        <v>502</v>
      </c>
      <c r="G120" s="110"/>
      <c r="H120" s="110"/>
      <c r="I120" s="107"/>
      <c r="J120" s="211" t="s">
        <v>528</v>
      </c>
      <c r="K120" s="211" t="str">
        <f>_xlfn.XLOOKUP(J120,[1]Sheet1!$A:$A,[1]Sheet1!$B:$B,"")</f>
        <v>#ERROR!</v>
      </c>
      <c r="L120" s="104" t="s">
        <v>529</v>
      </c>
      <c r="M120" s="104" t="s">
        <v>530</v>
      </c>
      <c r="N120" s="110"/>
      <c r="O120" s="104" t="s">
        <v>95</v>
      </c>
      <c r="P120" s="110"/>
      <c r="Q120" s="103" t="s">
        <v>514</v>
      </c>
      <c r="R120" s="110" t="s">
        <v>507</v>
      </c>
      <c r="S120" s="110">
        <v>11520.0</v>
      </c>
      <c r="T120" s="110" t="s">
        <v>531</v>
      </c>
      <c r="U120" s="110" t="s">
        <v>509</v>
      </c>
      <c r="V120" s="112">
        <v>0.017</v>
      </c>
      <c r="W120" s="113">
        <v>45.0</v>
      </c>
      <c r="X120" s="113">
        <v>45.0</v>
      </c>
      <c r="Y120" s="113">
        <v>55.0</v>
      </c>
      <c r="Z120" s="113" t="s">
        <v>148</v>
      </c>
      <c r="AA120" s="114">
        <f t="shared" si="243"/>
        <v>0.6802149815</v>
      </c>
      <c r="AB120" s="115"/>
      <c r="AC120" s="212">
        <f t="shared" si="216"/>
        <v>0.5967946776</v>
      </c>
      <c r="AD120" s="213">
        <f t="shared" si="244"/>
        <v>0.6417147071</v>
      </c>
      <c r="AE120" s="212"/>
      <c r="AF120" s="212" t="str">
        <f t="shared" si="94"/>
        <v>#REF!</v>
      </c>
      <c r="AG120" s="210" t="str">
        <f t="shared" si="95"/>
        <v>#REF!</v>
      </c>
      <c r="AH120" s="120" t="str">
        <f t="shared" si="96"/>
        <v>#REF!</v>
      </c>
      <c r="AI120" s="121">
        <f t="shared" si="237"/>
        <v>0.1</v>
      </c>
      <c r="AJ120" s="121">
        <v>0.1</v>
      </c>
      <c r="AK120" s="122">
        <v>0.46</v>
      </c>
      <c r="AL120" s="123">
        <f t="shared" si="11"/>
        <v>0.2745255517</v>
      </c>
      <c r="AM120" s="122" t="s">
        <v>6</v>
      </c>
      <c r="AN120" s="111">
        <f t="shared" si="245"/>
        <v>0.5371152098</v>
      </c>
      <c r="AO120" s="112">
        <f t="shared" si="219"/>
        <v>0.4</v>
      </c>
      <c r="AP120" s="127"/>
      <c r="AQ120" s="128">
        <f t="shared" ref="AQ120:AR120" si="253">BC120/(1-AI120)</f>
        <v>0.3930131004</v>
      </c>
      <c r="AR120" s="139">
        <f t="shared" si="253"/>
        <v>0.3580768066</v>
      </c>
      <c r="AS120" s="126">
        <f t="shared" si="221"/>
        <v>0.4222222222</v>
      </c>
      <c r="AT120" s="126">
        <f t="shared" si="222"/>
        <v>0.4</v>
      </c>
      <c r="AU120" s="129">
        <v>0.41</v>
      </c>
      <c r="AV120" s="39" t="s">
        <v>510</v>
      </c>
      <c r="AW120" s="214"/>
      <c r="AX120" s="214"/>
      <c r="AY120" s="214"/>
      <c r="AZ120" s="214">
        <v>0.1</v>
      </c>
      <c r="BA120" s="214">
        <v>2.33</v>
      </c>
      <c r="BB120" s="130">
        <f t="shared" si="247"/>
        <v>2.43</v>
      </c>
      <c r="BC120" s="131">
        <f t="shared" si="248"/>
        <v>0.3537117904</v>
      </c>
      <c r="BD120" s="132">
        <f t="shared" si="249"/>
        <v>0.3222691259</v>
      </c>
      <c r="BE120" s="215"/>
      <c r="BF120" s="134"/>
      <c r="BG120" s="49"/>
      <c r="BH120" s="212">
        <f t="shared" si="22"/>
        <v>1.989315592</v>
      </c>
      <c r="BI120" s="212">
        <f t="shared" si="23"/>
        <v>1.193589355</v>
      </c>
      <c r="BJ120" s="212">
        <f t="shared" si="24"/>
        <v>0.994657796</v>
      </c>
      <c r="BK120" s="212">
        <f t="shared" si="25"/>
        <v>0.7957262368</v>
      </c>
      <c r="BL120" s="216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</row>
    <row r="121" ht="14.25" customHeight="1">
      <c r="A121" s="103" t="s">
        <v>84</v>
      </c>
      <c r="B121" s="103" t="s">
        <v>85</v>
      </c>
      <c r="C121" s="103" t="s">
        <v>120</v>
      </c>
      <c r="D121" s="103" t="s">
        <v>86</v>
      </c>
      <c r="E121" s="103" t="s">
        <v>501</v>
      </c>
      <c r="F121" s="104" t="s">
        <v>502</v>
      </c>
      <c r="G121" s="110"/>
      <c r="H121" s="110"/>
      <c r="I121" s="107"/>
      <c r="J121" s="211" t="s">
        <v>532</v>
      </c>
      <c r="K121" s="211" t="str">
        <f>_xlfn.XLOOKUP(J121,[1]Sheet1!$A:$A,[1]Sheet1!$B:$B,"")</f>
        <v>#ERROR!</v>
      </c>
      <c r="L121" s="104" t="s">
        <v>533</v>
      </c>
      <c r="M121" s="104" t="s">
        <v>534</v>
      </c>
      <c r="N121" s="110"/>
      <c r="O121" s="104" t="s">
        <v>95</v>
      </c>
      <c r="P121" s="110"/>
      <c r="Q121" s="103" t="s">
        <v>514</v>
      </c>
      <c r="R121" s="110" t="s">
        <v>507</v>
      </c>
      <c r="S121" s="110">
        <v>4320.0</v>
      </c>
      <c r="T121" s="111" t="e">
        <v>#N/A</v>
      </c>
      <c r="U121" s="110" t="s">
        <v>509</v>
      </c>
      <c r="V121" s="112">
        <v>0.017</v>
      </c>
      <c r="W121" s="113">
        <v>45.0</v>
      </c>
      <c r="X121" s="113">
        <v>45.0</v>
      </c>
      <c r="Y121" s="113">
        <v>55.0</v>
      </c>
      <c r="Z121" s="113" t="s">
        <v>148</v>
      </c>
      <c r="AA121" s="114">
        <f t="shared" si="243"/>
        <v>0.6606203113</v>
      </c>
      <c r="AB121" s="115"/>
      <c r="AC121" s="212">
        <f t="shared" si="216"/>
        <v>0.6027493904</v>
      </c>
      <c r="AD121" s="213">
        <f t="shared" si="244"/>
        <v>0.6481176241</v>
      </c>
      <c r="AE121" s="212"/>
      <c r="AF121" s="212" t="str">
        <f t="shared" si="94"/>
        <v>#REF!</v>
      </c>
      <c r="AG121" s="210" t="str">
        <f t="shared" si="95"/>
        <v>#REF!</v>
      </c>
      <c r="AH121" s="120" t="str">
        <f t="shared" si="96"/>
        <v>#REF!</v>
      </c>
      <c r="AI121" s="121">
        <f t="shared" si="237"/>
        <v>0.1</v>
      </c>
      <c r="AJ121" s="121">
        <v>0.1</v>
      </c>
      <c r="AK121" s="122">
        <v>0.33</v>
      </c>
      <c r="AL121" s="123">
        <f t="shared" si="11"/>
        <v>0.1989072988</v>
      </c>
      <c r="AM121" s="122" t="s">
        <v>10</v>
      </c>
      <c r="AN121" s="125">
        <f t="shared" ref="AN121:AN126" si="255">AC121</f>
        <v>0.6027493904</v>
      </c>
      <c r="AO121" s="112">
        <f t="shared" si="219"/>
        <v>0.33</v>
      </c>
      <c r="AP121" s="127"/>
      <c r="AQ121" s="128">
        <f t="shared" ref="AQ121:AR121" si="254">BC121/(1-AI121)</f>
        <v>0.4771146693</v>
      </c>
      <c r="AR121" s="139">
        <f t="shared" si="254"/>
        <v>0.4487134351</v>
      </c>
      <c r="AS121" s="126">
        <f t="shared" si="221"/>
        <v>0.2777777778</v>
      </c>
      <c r="AT121" s="126">
        <f t="shared" si="222"/>
        <v>0.2555555556</v>
      </c>
      <c r="AU121" s="129"/>
      <c r="AV121" s="39" t="s">
        <v>535</v>
      </c>
      <c r="AW121" s="214"/>
      <c r="AX121" s="214"/>
      <c r="AY121" s="214"/>
      <c r="AZ121" s="217">
        <v>0.25</v>
      </c>
      <c r="BA121" s="214">
        <v>2.7</v>
      </c>
      <c r="BB121" s="130">
        <f t="shared" si="247"/>
        <v>2.95</v>
      </c>
      <c r="BC121" s="131">
        <f t="shared" si="248"/>
        <v>0.4294032023</v>
      </c>
      <c r="BD121" s="132">
        <f t="shared" si="249"/>
        <v>0.4038420916</v>
      </c>
      <c r="BE121" s="135" t="s">
        <v>536</v>
      </c>
      <c r="BF121" s="134"/>
      <c r="BG121" s="49"/>
      <c r="BH121" s="212">
        <f t="shared" si="22"/>
        <v>2.009164635</v>
      </c>
      <c r="BI121" s="212">
        <f t="shared" si="23"/>
        <v>1.205498781</v>
      </c>
      <c r="BJ121" s="212">
        <f t="shared" si="24"/>
        <v>1.004582317</v>
      </c>
      <c r="BK121" s="212">
        <f t="shared" si="25"/>
        <v>0.8036658539</v>
      </c>
      <c r="BL121" s="216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</row>
    <row r="122" ht="14.25" customHeight="1">
      <c r="A122" s="103" t="s">
        <v>84</v>
      </c>
      <c r="B122" s="103" t="s">
        <v>85</v>
      </c>
      <c r="C122" s="103" t="s">
        <v>120</v>
      </c>
      <c r="D122" s="103" t="s">
        <v>86</v>
      </c>
      <c r="E122" s="103" t="s">
        <v>501</v>
      </c>
      <c r="F122" s="104" t="s">
        <v>502</v>
      </c>
      <c r="G122" s="110"/>
      <c r="H122" s="110"/>
      <c r="I122" s="107"/>
      <c r="J122" s="211" t="s">
        <v>537</v>
      </c>
      <c r="K122" s="211" t="str">
        <f>_xlfn.XLOOKUP(J122,[1]Sheet1!$A:$A,[1]Sheet1!$B:$B,"")</f>
        <v>#ERROR!</v>
      </c>
      <c r="L122" s="104" t="s">
        <v>538</v>
      </c>
      <c r="M122" s="104" t="s">
        <v>539</v>
      </c>
      <c r="N122" s="110"/>
      <c r="O122" s="104" t="s">
        <v>95</v>
      </c>
      <c r="P122" s="110"/>
      <c r="Q122" s="103" t="s">
        <v>514</v>
      </c>
      <c r="R122" s="110" t="s">
        <v>507</v>
      </c>
      <c r="S122" s="110">
        <v>4320.0</v>
      </c>
      <c r="T122" s="111" t="e">
        <v>#N/A</v>
      </c>
      <c r="U122" s="110" t="s">
        <v>509</v>
      </c>
      <c r="V122" s="112">
        <v>0.017</v>
      </c>
      <c r="W122" s="113">
        <v>45.0</v>
      </c>
      <c r="X122" s="113">
        <v>45.0</v>
      </c>
      <c r="Y122" s="113">
        <v>55.0</v>
      </c>
      <c r="Z122" s="113" t="s">
        <v>148</v>
      </c>
      <c r="AA122" s="114">
        <f t="shared" si="243"/>
        <v>0.7613929011</v>
      </c>
      <c r="AB122" s="115"/>
      <c r="AC122" s="212">
        <f t="shared" si="216"/>
        <v>0.6894239538</v>
      </c>
      <c r="AD122" s="213">
        <f t="shared" si="244"/>
        <v>0.7413160793</v>
      </c>
      <c r="AE122" s="212"/>
      <c r="AF122" s="212" t="str">
        <f t="shared" si="94"/>
        <v>#REF!</v>
      </c>
      <c r="AG122" s="210" t="str">
        <f t="shared" si="95"/>
        <v>#REF!</v>
      </c>
      <c r="AH122" s="120" t="str">
        <f t="shared" si="96"/>
        <v>#REF!</v>
      </c>
      <c r="AI122" s="121">
        <f t="shared" si="237"/>
        <v>0.1</v>
      </c>
      <c r="AJ122" s="121">
        <v>0.1</v>
      </c>
      <c r="AK122" s="122">
        <v>0.33</v>
      </c>
      <c r="AL122" s="123">
        <f t="shared" si="11"/>
        <v>0.2275099048</v>
      </c>
      <c r="AM122" s="122" t="s">
        <v>10</v>
      </c>
      <c r="AN122" s="125">
        <f t="shared" si="255"/>
        <v>0.6894239538</v>
      </c>
      <c r="AO122" s="112">
        <f t="shared" si="219"/>
        <v>0.33</v>
      </c>
      <c r="AP122" s="127"/>
      <c r="AQ122" s="128">
        <f t="shared" ref="AQ122:AR122" si="256">BC122/(1-AI122)</f>
        <v>0.549894873</v>
      </c>
      <c r="AR122" s="139">
        <f t="shared" si="256"/>
        <v>0.5132378323</v>
      </c>
      <c r="AS122" s="126">
        <f t="shared" si="221"/>
        <v>0.2777777778</v>
      </c>
      <c r="AT122" s="126">
        <f t="shared" si="222"/>
        <v>0.2555555556</v>
      </c>
      <c r="AU122" s="129"/>
      <c r="AV122" s="39" t="s">
        <v>535</v>
      </c>
      <c r="AW122" s="214"/>
      <c r="AX122" s="214"/>
      <c r="AY122" s="214"/>
      <c r="AZ122" s="217">
        <v>0.25</v>
      </c>
      <c r="BA122" s="214">
        <v>3.15</v>
      </c>
      <c r="BB122" s="130">
        <f t="shared" si="247"/>
        <v>3.4</v>
      </c>
      <c r="BC122" s="131">
        <f t="shared" si="248"/>
        <v>0.4949053857</v>
      </c>
      <c r="BD122" s="132">
        <f t="shared" si="249"/>
        <v>0.461914049</v>
      </c>
      <c r="BE122" s="135" t="s">
        <v>540</v>
      </c>
      <c r="BF122" s="134"/>
      <c r="BG122" s="49"/>
      <c r="BH122" s="218">
        <f t="shared" si="22"/>
        <v>2.298079846</v>
      </c>
      <c r="BI122" s="218">
        <f t="shared" si="23"/>
        <v>1.378847908</v>
      </c>
      <c r="BJ122" s="218">
        <f t="shared" si="24"/>
        <v>1.149039923</v>
      </c>
      <c r="BK122" s="218">
        <f t="shared" si="25"/>
        <v>0.9192319384</v>
      </c>
      <c r="BL122" s="216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</row>
    <row r="123" ht="14.25" customHeight="1">
      <c r="A123" s="103" t="s">
        <v>84</v>
      </c>
      <c r="B123" s="103" t="s">
        <v>85</v>
      </c>
      <c r="C123" s="103" t="s">
        <v>120</v>
      </c>
      <c r="D123" s="103" t="s">
        <v>86</v>
      </c>
      <c r="E123" s="103" t="s">
        <v>501</v>
      </c>
      <c r="F123" s="104" t="s">
        <v>502</v>
      </c>
      <c r="G123" s="110"/>
      <c r="H123" s="110"/>
      <c r="I123" s="107"/>
      <c r="J123" s="211" t="s">
        <v>541</v>
      </c>
      <c r="K123" s="211" t="s">
        <v>542</v>
      </c>
      <c r="L123" s="104" t="s">
        <v>543</v>
      </c>
      <c r="M123" s="219" t="s">
        <v>544</v>
      </c>
      <c r="N123" s="110"/>
      <c r="O123" s="104" t="s">
        <v>95</v>
      </c>
      <c r="P123" s="110"/>
      <c r="Q123" s="103" t="s">
        <v>506</v>
      </c>
      <c r="R123" s="110" t="s">
        <v>545</v>
      </c>
      <c r="S123" s="110">
        <v>4320.0</v>
      </c>
      <c r="T123" s="111"/>
      <c r="U123" s="110" t="s">
        <v>509</v>
      </c>
      <c r="V123" s="112">
        <v>0.017</v>
      </c>
      <c r="W123" s="113">
        <v>35.0</v>
      </c>
      <c r="X123" s="113">
        <v>35.0</v>
      </c>
      <c r="Y123" s="113">
        <v>35.0</v>
      </c>
      <c r="Z123" s="113" t="s">
        <v>546</v>
      </c>
      <c r="AA123" s="114">
        <f t="shared" si="243"/>
        <v>1.353846154</v>
      </c>
      <c r="AB123" s="115"/>
      <c r="AC123" s="212">
        <f t="shared" si="216"/>
        <v>1.198993342</v>
      </c>
      <c r="AD123" s="213">
        <f t="shared" si="244"/>
        <v>1.289240153</v>
      </c>
      <c r="AE123" s="212"/>
      <c r="AF123" s="212" t="str">
        <f t="shared" si="94"/>
        <v>#REF!</v>
      </c>
      <c r="AG123" s="210" t="str">
        <f t="shared" si="95"/>
        <v>#REF!</v>
      </c>
      <c r="AH123" s="120" t="str">
        <f t="shared" si="96"/>
        <v>#REF!</v>
      </c>
      <c r="AI123" s="121">
        <f t="shared" si="237"/>
        <v>0.1</v>
      </c>
      <c r="AJ123" s="121">
        <v>0.1</v>
      </c>
      <c r="AK123" s="122">
        <v>0.33</v>
      </c>
      <c r="AL123" s="123">
        <f t="shared" si="11"/>
        <v>0.395667803</v>
      </c>
      <c r="AM123" s="122" t="s">
        <v>10</v>
      </c>
      <c r="AN123" s="125">
        <f t="shared" si="255"/>
        <v>1.198993342</v>
      </c>
      <c r="AO123" s="112">
        <f t="shared" si="219"/>
        <v>0.33</v>
      </c>
      <c r="AP123" s="127"/>
      <c r="AQ123" s="128">
        <f t="shared" ref="AQ123:AR123" si="257">BC123/(1-AI123)</f>
        <v>0.9777777778</v>
      </c>
      <c r="AR123" s="139">
        <f t="shared" si="257"/>
        <v>0.8925839327</v>
      </c>
      <c r="AS123" s="126">
        <f t="shared" si="221"/>
        <v>0.2777777778</v>
      </c>
      <c r="AT123" s="126">
        <f t="shared" si="222"/>
        <v>0.2555555556</v>
      </c>
      <c r="AU123" s="129"/>
      <c r="AV123" s="39" t="s">
        <v>547</v>
      </c>
      <c r="AW123" s="214"/>
      <c r="AX123" s="214"/>
      <c r="AY123" s="214"/>
      <c r="AZ123" s="217"/>
      <c r="BA123" s="214"/>
      <c r="BB123" s="130"/>
      <c r="BC123" s="131">
        <v>0.88</v>
      </c>
      <c r="BD123" s="132">
        <f t="shared" si="249"/>
        <v>0.8033255395</v>
      </c>
      <c r="BE123" s="135" t="s">
        <v>548</v>
      </c>
      <c r="BF123" s="134"/>
      <c r="BG123" s="49"/>
      <c r="BH123" s="212">
        <f t="shared" si="22"/>
        <v>3.996644475</v>
      </c>
      <c r="BI123" s="212">
        <f t="shared" si="23"/>
        <v>2.397986685</v>
      </c>
      <c r="BJ123" s="212">
        <f t="shared" si="24"/>
        <v>1.998322237</v>
      </c>
      <c r="BK123" s="212">
        <f t="shared" si="25"/>
        <v>1.59865779</v>
      </c>
      <c r="BL123" s="216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</row>
    <row r="124" ht="14.25" customHeight="1">
      <c r="A124" s="103" t="s">
        <v>84</v>
      </c>
      <c r="B124" s="103" t="s">
        <v>85</v>
      </c>
      <c r="C124" s="103" t="s">
        <v>120</v>
      </c>
      <c r="D124" s="103" t="s">
        <v>86</v>
      </c>
      <c r="E124" s="103" t="s">
        <v>501</v>
      </c>
      <c r="F124" s="104" t="s">
        <v>502</v>
      </c>
      <c r="G124" s="110"/>
      <c r="H124" s="110"/>
      <c r="I124" s="107"/>
      <c r="J124" s="211" t="s">
        <v>549</v>
      </c>
      <c r="K124" s="211"/>
      <c r="L124" s="104" t="s">
        <v>543</v>
      </c>
      <c r="M124" s="104" t="s">
        <v>550</v>
      </c>
      <c r="N124" s="110"/>
      <c r="O124" s="104" t="s">
        <v>95</v>
      </c>
      <c r="P124" s="110"/>
      <c r="Q124" s="103" t="s">
        <v>506</v>
      </c>
      <c r="R124" s="110" t="s">
        <v>545</v>
      </c>
      <c r="S124" s="110">
        <v>4320.0</v>
      </c>
      <c r="T124" s="111"/>
      <c r="U124" s="110" t="s">
        <v>509</v>
      </c>
      <c r="V124" s="112">
        <v>0.017</v>
      </c>
      <c r="W124" s="113">
        <v>35.0</v>
      </c>
      <c r="X124" s="113">
        <v>35.0</v>
      </c>
      <c r="Y124" s="113">
        <v>35.0</v>
      </c>
      <c r="Z124" s="113" t="s">
        <v>546</v>
      </c>
      <c r="AA124" s="114">
        <f t="shared" si="243"/>
        <v>1.461538462</v>
      </c>
      <c r="AB124" s="115"/>
      <c r="AC124" s="212">
        <f t="shared" si="216"/>
        <v>1.291619559</v>
      </c>
      <c r="AD124" s="213">
        <f t="shared" si="244"/>
        <v>1.388838236</v>
      </c>
      <c r="AE124" s="212"/>
      <c r="AF124" s="212" t="str">
        <f t="shared" si="94"/>
        <v>#REF!</v>
      </c>
      <c r="AG124" s="210" t="str">
        <f t="shared" si="95"/>
        <v>#REF!</v>
      </c>
      <c r="AH124" s="120" t="str">
        <f t="shared" si="96"/>
        <v>#REF!</v>
      </c>
      <c r="AI124" s="121">
        <f t="shared" si="237"/>
        <v>0.1</v>
      </c>
      <c r="AJ124" s="121">
        <v>0.1</v>
      </c>
      <c r="AK124" s="122">
        <v>0.33</v>
      </c>
      <c r="AL124" s="123">
        <f t="shared" si="11"/>
        <v>0.4262344545</v>
      </c>
      <c r="AM124" s="122" t="s">
        <v>10</v>
      </c>
      <c r="AN124" s="125">
        <f t="shared" si="255"/>
        <v>1.291619559</v>
      </c>
      <c r="AO124" s="112">
        <f t="shared" si="219"/>
        <v>0.33</v>
      </c>
      <c r="AP124" s="127"/>
      <c r="AQ124" s="128">
        <f t="shared" ref="AQ124:AR124" si="258">BC124/(1-AI124)</f>
        <v>1.055555556</v>
      </c>
      <c r="AR124" s="139">
        <f t="shared" si="258"/>
        <v>0.9615390052</v>
      </c>
      <c r="AS124" s="126">
        <f t="shared" si="221"/>
        <v>0.2777777778</v>
      </c>
      <c r="AT124" s="126">
        <f t="shared" si="222"/>
        <v>0.2555555556</v>
      </c>
      <c r="AU124" s="129"/>
      <c r="AV124" s="39" t="s">
        <v>547</v>
      </c>
      <c r="AW124" s="214"/>
      <c r="AX124" s="214"/>
      <c r="AY124" s="214"/>
      <c r="AZ124" s="217"/>
      <c r="BA124" s="214"/>
      <c r="BB124" s="130"/>
      <c r="BC124" s="131">
        <v>0.95</v>
      </c>
      <c r="BD124" s="132">
        <f t="shared" si="249"/>
        <v>0.8653851047</v>
      </c>
      <c r="BE124" s="135"/>
      <c r="BF124" s="134"/>
      <c r="BG124" s="49"/>
      <c r="BH124" s="218">
        <f t="shared" si="22"/>
        <v>4.305398531</v>
      </c>
      <c r="BI124" s="218">
        <f t="shared" si="23"/>
        <v>2.583239118</v>
      </c>
      <c r="BJ124" s="218">
        <f t="shared" si="24"/>
        <v>2.152699265</v>
      </c>
      <c r="BK124" s="218">
        <f t="shared" si="25"/>
        <v>1.722159412</v>
      </c>
      <c r="BL124" s="216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</row>
    <row r="125" ht="14.25" customHeight="1">
      <c r="A125" s="105" t="s">
        <v>84</v>
      </c>
      <c r="B125" s="103" t="s">
        <v>85</v>
      </c>
      <c r="C125" s="103" t="s">
        <v>120</v>
      </c>
      <c r="D125" s="105" t="s">
        <v>86</v>
      </c>
      <c r="E125" s="105" t="s">
        <v>501</v>
      </c>
      <c r="F125" s="105" t="s">
        <v>502</v>
      </c>
      <c r="G125" s="106"/>
      <c r="H125" s="110"/>
      <c r="I125" s="107"/>
      <c r="J125" s="220" t="s">
        <v>551</v>
      </c>
      <c r="K125" s="220" t="str">
        <f>_xlfn.XLOOKUP(J125,[1]Sheet1!$A:$A,[1]Sheet1!$B:$B,"")</f>
        <v>#ERROR!</v>
      </c>
      <c r="L125" s="105" t="s">
        <v>552</v>
      </c>
      <c r="M125" s="105" t="s">
        <v>553</v>
      </c>
      <c r="N125" s="110"/>
      <c r="O125" s="104" t="s">
        <v>95</v>
      </c>
      <c r="P125" s="110"/>
      <c r="Q125" s="103" t="s">
        <v>554</v>
      </c>
      <c r="R125" s="110" t="s">
        <v>555</v>
      </c>
      <c r="S125" s="110">
        <v>2000.0</v>
      </c>
      <c r="T125" s="110" t="e">
        <v>#N/A</v>
      </c>
      <c r="U125" s="110" t="s">
        <v>509</v>
      </c>
      <c r="V125" s="112">
        <v>0.017</v>
      </c>
      <c r="W125" s="113">
        <v>45.0</v>
      </c>
      <c r="X125" s="113">
        <v>45.0</v>
      </c>
      <c r="Y125" s="113">
        <v>55.0</v>
      </c>
      <c r="Z125" s="113" t="s">
        <v>148</v>
      </c>
      <c r="AA125" s="114">
        <f t="shared" si="243"/>
        <v>0.7233232561</v>
      </c>
      <c r="AB125" s="115"/>
      <c r="AC125" s="212">
        <f t="shared" si="216"/>
        <v>0.6967576207</v>
      </c>
      <c r="AD125" s="213">
        <f t="shared" si="244"/>
        <v>0.7492017427</v>
      </c>
      <c r="AE125" s="212"/>
      <c r="AF125" s="212" t="str">
        <f t="shared" si="94"/>
        <v>#REF!</v>
      </c>
      <c r="AG125" s="210" t="str">
        <f t="shared" si="95"/>
        <v>#REF!</v>
      </c>
      <c r="AH125" s="120" t="str">
        <f t="shared" si="96"/>
        <v>#REF!</v>
      </c>
      <c r="AI125" s="121">
        <f t="shared" si="237"/>
        <v>0.1</v>
      </c>
      <c r="AJ125" s="121">
        <v>0.1</v>
      </c>
      <c r="AK125" s="122">
        <v>0.33</v>
      </c>
      <c r="AL125" s="123">
        <f t="shared" si="11"/>
        <v>0.2299300148</v>
      </c>
      <c r="AM125" s="122" t="s">
        <v>10</v>
      </c>
      <c r="AN125" s="125">
        <f t="shared" si="255"/>
        <v>0.6967576207</v>
      </c>
      <c r="AO125" s="112">
        <f t="shared" si="219"/>
        <v>0.33</v>
      </c>
      <c r="AP125" s="127"/>
      <c r="AQ125" s="128">
        <f t="shared" ref="AQ125:AR125" si="259">BC125/(1-AI125)</f>
        <v>0.5224001294</v>
      </c>
      <c r="AR125" s="139">
        <f t="shared" si="259"/>
        <v>0.5186973398</v>
      </c>
      <c r="AS125" s="126">
        <f t="shared" si="221"/>
        <v>0.2777777778</v>
      </c>
      <c r="AT125" s="126">
        <f t="shared" si="222"/>
        <v>0.2555555556</v>
      </c>
      <c r="AU125" s="129"/>
      <c r="AV125" s="39" t="s">
        <v>510</v>
      </c>
      <c r="AW125" s="214"/>
      <c r="AX125" s="214"/>
      <c r="AY125" s="214"/>
      <c r="AZ125" s="217">
        <v>0.5</v>
      </c>
      <c r="BA125" s="214">
        <v>2.73</v>
      </c>
      <c r="BB125" s="130">
        <f t="shared" ref="BB125:BB137" si="261">AZ125+BA125</f>
        <v>3.23</v>
      </c>
      <c r="BC125" s="131">
        <f t="shared" ref="BC125:BC163" si="262">(AZ125+BA125)/$F$5</f>
        <v>0.4701601164</v>
      </c>
      <c r="BD125" s="132">
        <f t="shared" si="249"/>
        <v>0.4668276058</v>
      </c>
      <c r="BE125" s="135" t="s">
        <v>556</v>
      </c>
      <c r="BF125" s="134"/>
      <c r="BG125" s="49"/>
      <c r="BH125" s="212">
        <f t="shared" si="22"/>
        <v>2.322525402</v>
      </c>
      <c r="BI125" s="212">
        <f t="shared" si="23"/>
        <v>1.393515241</v>
      </c>
      <c r="BJ125" s="212">
        <f t="shared" si="24"/>
        <v>1.161262701</v>
      </c>
      <c r="BK125" s="212">
        <f t="shared" si="25"/>
        <v>0.9290101609</v>
      </c>
      <c r="BL125" s="216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</row>
    <row r="126" ht="14.25" customHeight="1">
      <c r="A126" s="105" t="s">
        <v>84</v>
      </c>
      <c r="B126" s="103" t="s">
        <v>85</v>
      </c>
      <c r="C126" s="103" t="s">
        <v>120</v>
      </c>
      <c r="D126" s="105" t="s">
        <v>86</v>
      </c>
      <c r="E126" s="105" t="s">
        <v>501</v>
      </c>
      <c r="F126" s="105" t="s">
        <v>502</v>
      </c>
      <c r="G126" s="106"/>
      <c r="H126" s="110"/>
      <c r="I126" s="107"/>
      <c r="J126" s="220" t="s">
        <v>557</v>
      </c>
      <c r="K126" s="220" t="str">
        <f>_xlfn.XLOOKUP(J126,[1]Sheet1!$A:$A,[1]Sheet1!$B:$B,"")</f>
        <v>#ERROR!</v>
      </c>
      <c r="L126" s="105" t="s">
        <v>558</v>
      </c>
      <c r="M126" s="105" t="s">
        <v>559</v>
      </c>
      <c r="N126" s="110"/>
      <c r="O126" s="104" t="s">
        <v>95</v>
      </c>
      <c r="P126" s="110"/>
      <c r="Q126" s="103" t="s">
        <v>554</v>
      </c>
      <c r="R126" s="110" t="s">
        <v>555</v>
      </c>
      <c r="S126" s="110">
        <v>2000.0</v>
      </c>
      <c r="T126" s="110" t="e">
        <v>#N/A</v>
      </c>
      <c r="U126" s="110" t="s">
        <v>509</v>
      </c>
      <c r="V126" s="112">
        <v>0.017</v>
      </c>
      <c r="W126" s="113">
        <v>45.0</v>
      </c>
      <c r="X126" s="113">
        <v>45.0</v>
      </c>
      <c r="Y126" s="113">
        <v>55.0</v>
      </c>
      <c r="Z126" s="113" t="s">
        <v>148</v>
      </c>
      <c r="AA126" s="114">
        <f t="shared" si="243"/>
        <v>0.5924563957</v>
      </c>
      <c r="AB126" s="115"/>
      <c r="AC126" s="212">
        <f t="shared" si="216"/>
        <v>0.5921918694</v>
      </c>
      <c r="AD126" s="213">
        <f t="shared" si="244"/>
        <v>0.636765451</v>
      </c>
      <c r="AE126" s="212"/>
      <c r="AF126" s="212" t="str">
        <f t="shared" si="94"/>
        <v>#REF!</v>
      </c>
      <c r="AG126" s="210" t="str">
        <f t="shared" si="95"/>
        <v>#REF!</v>
      </c>
      <c r="AH126" s="120" t="str">
        <f t="shared" si="96"/>
        <v>#REF!</v>
      </c>
      <c r="AI126" s="121">
        <f t="shared" si="237"/>
        <v>0.1</v>
      </c>
      <c r="AJ126" s="121">
        <v>0.1</v>
      </c>
      <c r="AK126" s="122">
        <v>0.41000000000000003</v>
      </c>
      <c r="AL126" s="123">
        <f t="shared" si="11"/>
        <v>0.2427986665</v>
      </c>
      <c r="AM126" s="122" t="s">
        <v>10</v>
      </c>
      <c r="AN126" s="125">
        <f t="shared" si="255"/>
        <v>0.5921918694</v>
      </c>
      <c r="AO126" s="112">
        <f t="shared" si="219"/>
        <v>0.41</v>
      </c>
      <c r="AP126" s="127"/>
      <c r="AQ126" s="128">
        <f t="shared" ref="AQ126:AR126" si="260">BC126/(1-AI126)</f>
        <v>0.375222384</v>
      </c>
      <c r="AR126" s="139">
        <f t="shared" si="260"/>
        <v>0.38821467</v>
      </c>
      <c r="AS126" s="126">
        <f t="shared" si="221"/>
        <v>0.3666666667</v>
      </c>
      <c r="AT126" s="126">
        <f t="shared" si="222"/>
        <v>0.3444444444</v>
      </c>
      <c r="AU126" s="129"/>
      <c r="AV126" s="39" t="s">
        <v>510</v>
      </c>
      <c r="AW126" s="214"/>
      <c r="AX126" s="214"/>
      <c r="AY126" s="214"/>
      <c r="AZ126" s="217">
        <v>0.5</v>
      </c>
      <c r="BA126" s="217">
        <v>1.82</v>
      </c>
      <c r="BB126" s="140">
        <f t="shared" si="261"/>
        <v>2.32</v>
      </c>
      <c r="BC126" s="131">
        <f t="shared" si="262"/>
        <v>0.3377001456</v>
      </c>
      <c r="BD126" s="132">
        <f t="shared" si="249"/>
        <v>0.349393203</v>
      </c>
      <c r="BE126" s="215" t="s">
        <v>560</v>
      </c>
      <c r="BF126" s="134"/>
      <c r="BG126" s="49"/>
      <c r="BH126" s="212">
        <f t="shared" si="22"/>
        <v>1.973972898</v>
      </c>
      <c r="BI126" s="212">
        <f t="shared" si="23"/>
        <v>1.184383739</v>
      </c>
      <c r="BJ126" s="212">
        <f t="shared" si="24"/>
        <v>0.986986449</v>
      </c>
      <c r="BK126" s="212">
        <f t="shared" si="25"/>
        <v>0.7895891592</v>
      </c>
      <c r="BL126" s="216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</row>
    <row r="127" ht="14.25" customHeight="1">
      <c r="A127" s="103" t="s">
        <v>84</v>
      </c>
      <c r="B127" s="103" t="s">
        <v>85</v>
      </c>
      <c r="C127" s="103" t="s">
        <v>120</v>
      </c>
      <c r="D127" s="103" t="s">
        <v>86</v>
      </c>
      <c r="E127" s="104" t="s">
        <v>501</v>
      </c>
      <c r="F127" s="104" t="s">
        <v>502</v>
      </c>
      <c r="G127" s="110"/>
      <c r="H127" s="110"/>
      <c r="I127" s="107"/>
      <c r="J127" s="211" t="s">
        <v>561</v>
      </c>
      <c r="K127" s="211" t="str">
        <f>_xlfn.XLOOKUP(J127,[1]Sheet1!$A:$A,[1]Sheet1!$B:$B,"")</f>
        <v>#ERROR!</v>
      </c>
      <c r="L127" s="104" t="s">
        <v>562</v>
      </c>
      <c r="M127" s="104" t="s">
        <v>563</v>
      </c>
      <c r="N127" s="110"/>
      <c r="O127" s="104" t="s">
        <v>95</v>
      </c>
      <c r="P127" s="110"/>
      <c r="Q127" s="103" t="s">
        <v>564</v>
      </c>
      <c r="R127" s="110" t="s">
        <v>507</v>
      </c>
      <c r="S127" s="110">
        <f>720*18</f>
        <v>12960</v>
      </c>
      <c r="T127" s="110" t="e">
        <v>#N/A</v>
      </c>
      <c r="U127" s="110" t="s">
        <v>509</v>
      </c>
      <c r="V127" s="112">
        <v>0.017</v>
      </c>
      <c r="W127" s="113">
        <v>45.0</v>
      </c>
      <c r="X127" s="113">
        <v>45.0</v>
      </c>
      <c r="Y127" s="113">
        <v>55.0</v>
      </c>
      <c r="Z127" s="113" t="s">
        <v>148</v>
      </c>
      <c r="AA127" s="114">
        <f t="shared" si="243"/>
        <v>0.2508117792</v>
      </c>
      <c r="AB127" s="115"/>
      <c r="AC127" s="221">
        <f t="shared" si="216"/>
        <v>0.2272398494</v>
      </c>
      <c r="AD127" s="222">
        <f t="shared" si="244"/>
        <v>0.2443439241</v>
      </c>
      <c r="AE127" s="221"/>
      <c r="AF127" s="221" t="str">
        <f t="shared" si="94"/>
        <v>#REF!</v>
      </c>
      <c r="AG127" s="223" t="str">
        <f t="shared" si="95"/>
        <v>#REF!</v>
      </c>
      <c r="AH127" s="120" t="str">
        <f t="shared" si="96"/>
        <v>#REF!</v>
      </c>
      <c r="AI127" s="121">
        <f t="shared" si="237"/>
        <v>0.1</v>
      </c>
      <c r="AJ127" s="121">
        <v>0.1</v>
      </c>
      <c r="AK127" s="122">
        <v>0.33</v>
      </c>
      <c r="AL127" s="123">
        <f t="shared" si="11"/>
        <v>0.0749891503</v>
      </c>
      <c r="AM127" s="122" t="s">
        <v>6</v>
      </c>
      <c r="AN127" s="111">
        <f>AC127*(1-$AN$3)</f>
        <v>0.2045158644</v>
      </c>
      <c r="AO127" s="112">
        <f t="shared" si="219"/>
        <v>0.2555555556</v>
      </c>
      <c r="AP127" s="127"/>
      <c r="AQ127" s="128">
        <f t="shared" ref="AQ127:AR127" si="263">BC127/(1-AI127)</f>
        <v>0.1811418405</v>
      </c>
      <c r="AR127" s="139">
        <f t="shared" si="263"/>
        <v>0.1691674434</v>
      </c>
      <c r="AS127" s="126">
        <f t="shared" si="221"/>
        <v>0.2777777778</v>
      </c>
      <c r="AT127" s="126">
        <f t="shared" si="222"/>
        <v>0.2555555556</v>
      </c>
      <c r="AU127" s="129"/>
      <c r="AV127" s="39" t="s">
        <v>510</v>
      </c>
      <c r="AW127" s="214"/>
      <c r="AX127" s="214"/>
      <c r="AY127" s="214"/>
      <c r="AZ127" s="214"/>
      <c r="BA127" s="214">
        <v>1.12</v>
      </c>
      <c r="BB127" s="130">
        <f t="shared" si="261"/>
        <v>1.12</v>
      </c>
      <c r="BC127" s="177">
        <f t="shared" si="262"/>
        <v>0.1630276565</v>
      </c>
      <c r="BD127" s="139">
        <f t="shared" si="249"/>
        <v>0.1522506991</v>
      </c>
      <c r="BE127" s="173" t="s">
        <v>565</v>
      </c>
      <c r="BF127" s="134"/>
      <c r="BG127" s="49"/>
      <c r="BH127" s="111">
        <f t="shared" si="22"/>
        <v>0.7574661646</v>
      </c>
      <c r="BI127" s="111">
        <f t="shared" si="23"/>
        <v>0.4544796988</v>
      </c>
      <c r="BJ127" s="111">
        <f t="shared" si="24"/>
        <v>0.3787330823</v>
      </c>
      <c r="BK127" s="111">
        <f t="shared" si="25"/>
        <v>0.3029864658</v>
      </c>
      <c r="BL127" s="216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</row>
    <row r="128" ht="14.25" customHeight="1">
      <c r="A128" s="105" t="s">
        <v>84</v>
      </c>
      <c r="B128" s="103" t="s">
        <v>85</v>
      </c>
      <c r="C128" s="103" t="s">
        <v>85</v>
      </c>
      <c r="D128" s="105" t="s">
        <v>86</v>
      </c>
      <c r="E128" s="105" t="s">
        <v>566</v>
      </c>
      <c r="F128" s="105" t="s">
        <v>567</v>
      </c>
      <c r="G128" s="106" t="s">
        <v>568</v>
      </c>
      <c r="H128" s="110"/>
      <c r="I128" s="107"/>
      <c r="J128" s="220" t="s">
        <v>569</v>
      </c>
      <c r="K128" s="220" t="str">
        <f>_xlfn.XLOOKUP(J128,[1]Sheet1!$A:$A,[1]Sheet1!$B:$B,"")</f>
        <v>#ERROR!</v>
      </c>
      <c r="L128" s="105" t="s">
        <v>570</v>
      </c>
      <c r="M128" s="105" t="s">
        <v>571</v>
      </c>
      <c r="N128" s="110"/>
      <c r="O128" s="104" t="s">
        <v>95</v>
      </c>
      <c r="P128" s="110"/>
      <c r="Q128" s="103" t="s">
        <v>572</v>
      </c>
      <c r="R128" s="110" t="s">
        <v>573</v>
      </c>
      <c r="S128" s="110">
        <v>8064.0</v>
      </c>
      <c r="T128" s="110" t="e">
        <v>#N/A</v>
      </c>
      <c r="U128" s="110" t="s">
        <v>574</v>
      </c>
      <c r="V128" s="112">
        <v>0.023</v>
      </c>
      <c r="W128" s="113">
        <v>45.0</v>
      </c>
      <c r="X128" s="113">
        <v>45.0</v>
      </c>
      <c r="Y128" s="113">
        <v>55.0</v>
      </c>
      <c r="Z128" s="113" t="s">
        <v>575</v>
      </c>
      <c r="AA128" s="114">
        <f t="shared" si="243"/>
        <v>0</v>
      </c>
      <c r="AB128" s="115"/>
      <c r="AC128" s="212">
        <f t="shared" si="216"/>
        <v>0.01698738856</v>
      </c>
      <c r="AD128" s="213">
        <f t="shared" si="244"/>
        <v>0.01826600921</v>
      </c>
      <c r="AE128" s="212"/>
      <c r="AF128" s="212" t="str">
        <f t="shared" si="94"/>
        <v>#REF!</v>
      </c>
      <c r="AG128" s="210" t="str">
        <f t="shared" si="95"/>
        <v>#REF!</v>
      </c>
      <c r="AH128" s="120" t="str">
        <f t="shared" si="96"/>
        <v>#REF!</v>
      </c>
      <c r="AI128" s="121">
        <f t="shared" si="237"/>
        <v>0.1</v>
      </c>
      <c r="AJ128" s="121">
        <v>0.1</v>
      </c>
      <c r="AK128" s="122">
        <v>0.27</v>
      </c>
      <c r="AL128" s="123">
        <f t="shared" si="11"/>
        <v>0.004586594912</v>
      </c>
      <c r="AM128" s="122" t="s">
        <v>10</v>
      </c>
      <c r="AN128" s="125">
        <f t="shared" ref="AN128:AN141" si="265">AC128</f>
        <v>0.01698738856</v>
      </c>
      <c r="AO128" s="112">
        <f t="shared" si="219"/>
        <v>0.27</v>
      </c>
      <c r="AP128" s="127"/>
      <c r="AQ128" s="128">
        <f t="shared" ref="AQ128:AR128" si="264">BC128/(1-AI128)</f>
        <v>0</v>
      </c>
      <c r="AR128" s="139">
        <f t="shared" si="264"/>
        <v>0.01377865961</v>
      </c>
      <c r="AS128" s="126" t="str">
        <f t="shared" si="221"/>
        <v>#DIV/0!</v>
      </c>
      <c r="AT128" s="126">
        <f t="shared" si="222"/>
        <v>0.1888888889</v>
      </c>
      <c r="AU128" s="129"/>
      <c r="AV128" s="39" t="s">
        <v>510</v>
      </c>
      <c r="AW128" s="214"/>
      <c r="AX128" s="214"/>
      <c r="AY128" s="214"/>
      <c r="AZ128" s="214"/>
      <c r="BA128" s="217"/>
      <c r="BB128" s="130">
        <f t="shared" si="261"/>
        <v>0</v>
      </c>
      <c r="BC128" s="131">
        <f t="shared" si="262"/>
        <v>0</v>
      </c>
      <c r="BD128" s="132">
        <f t="shared" si="249"/>
        <v>0.01240079365</v>
      </c>
      <c r="BE128" s="133"/>
      <c r="BF128" s="134" t="s">
        <v>576</v>
      </c>
      <c r="BG128" s="49"/>
      <c r="BH128" s="224">
        <f t="shared" si="22"/>
        <v>0.05662462854</v>
      </c>
      <c r="BI128" s="224">
        <f t="shared" si="23"/>
        <v>0.03397477713</v>
      </c>
      <c r="BJ128" s="224">
        <f t="shared" si="24"/>
        <v>0.02831231427</v>
      </c>
      <c r="BK128" s="224">
        <f t="shared" si="25"/>
        <v>0.02264985142</v>
      </c>
      <c r="BL128" s="216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</row>
    <row r="129" ht="14.25" customHeight="1">
      <c r="A129" s="105" t="s">
        <v>84</v>
      </c>
      <c r="B129" s="103" t="s">
        <v>120</v>
      </c>
      <c r="C129" s="103" t="s">
        <v>120</v>
      </c>
      <c r="D129" s="105" t="s">
        <v>86</v>
      </c>
      <c r="E129" s="105" t="s">
        <v>566</v>
      </c>
      <c r="F129" s="105" t="s">
        <v>567</v>
      </c>
      <c r="G129" s="106" t="s">
        <v>577</v>
      </c>
      <c r="H129" s="110"/>
      <c r="I129" s="107"/>
      <c r="J129" s="220" t="s">
        <v>578</v>
      </c>
      <c r="K129" s="220" t="str">
        <f>_xlfn.XLOOKUP(J129,[1]Sheet1!$A:$A,[1]Sheet1!$B:$B,"")</f>
        <v>#ERROR!</v>
      </c>
      <c r="L129" s="105" t="s">
        <v>579</v>
      </c>
      <c r="M129" s="105" t="s">
        <v>580</v>
      </c>
      <c r="N129" s="110"/>
      <c r="O129" s="104" t="s">
        <v>95</v>
      </c>
      <c r="P129" s="110"/>
      <c r="Q129" s="103" t="s">
        <v>572</v>
      </c>
      <c r="R129" s="110" t="s">
        <v>573</v>
      </c>
      <c r="S129" s="110">
        <v>8064.0</v>
      </c>
      <c r="T129" s="110" t="e">
        <v>#N/A</v>
      </c>
      <c r="U129" s="110" t="s">
        <v>574</v>
      </c>
      <c r="V129" s="112">
        <v>0.023</v>
      </c>
      <c r="W129" s="113">
        <v>45.0</v>
      </c>
      <c r="X129" s="113">
        <v>45.0</v>
      </c>
      <c r="Y129" s="113">
        <v>55.0</v>
      </c>
      <c r="Z129" s="113" t="s">
        <v>575</v>
      </c>
      <c r="AA129" s="114">
        <f t="shared" si="243"/>
        <v>1.776291849</v>
      </c>
      <c r="AB129" s="115"/>
      <c r="AC129" s="212">
        <f t="shared" si="216"/>
        <v>1.55620127</v>
      </c>
      <c r="AD129" s="213">
        <f t="shared" si="244"/>
        <v>1.673334699</v>
      </c>
      <c r="AE129" s="212"/>
      <c r="AF129" s="212" t="str">
        <f t="shared" si="94"/>
        <v>#REF!</v>
      </c>
      <c r="AG129" s="210" t="str">
        <f t="shared" si="95"/>
        <v>#REF!</v>
      </c>
      <c r="AH129" s="120" t="str">
        <f t="shared" si="96"/>
        <v>#REF!</v>
      </c>
      <c r="AI129" s="121">
        <f t="shared" si="237"/>
        <v>0.1</v>
      </c>
      <c r="AJ129" s="121">
        <v>0.1</v>
      </c>
      <c r="AK129" s="122">
        <v>0.34</v>
      </c>
      <c r="AL129" s="123">
        <f t="shared" si="11"/>
        <v>0.5291084319</v>
      </c>
      <c r="AM129" s="122" t="s">
        <v>10</v>
      </c>
      <c r="AN129" s="125">
        <f t="shared" si="265"/>
        <v>1.55620127</v>
      </c>
      <c r="AO129" s="112">
        <f t="shared" si="219"/>
        <v>0.34</v>
      </c>
      <c r="AP129" s="127"/>
      <c r="AQ129" s="128">
        <f t="shared" ref="AQ129:AR129" si="266">BC129/(1-AI129)</f>
        <v>1.26314087</v>
      </c>
      <c r="AR129" s="139">
        <f t="shared" si="266"/>
        <v>1.141214265</v>
      </c>
      <c r="AS129" s="126">
        <f t="shared" si="221"/>
        <v>0.2888888889</v>
      </c>
      <c r="AT129" s="126">
        <f t="shared" si="222"/>
        <v>0.2666666667</v>
      </c>
      <c r="AU129" s="129">
        <v>1.28</v>
      </c>
      <c r="AV129" s="39" t="s">
        <v>510</v>
      </c>
      <c r="AW129" s="214"/>
      <c r="AX129" s="214"/>
      <c r="AY129" s="214"/>
      <c r="AZ129" s="214">
        <v>0.35</v>
      </c>
      <c r="BA129" s="214">
        <v>7.46</v>
      </c>
      <c r="BB129" s="130">
        <f t="shared" si="261"/>
        <v>7.81</v>
      </c>
      <c r="BC129" s="131">
        <f t="shared" si="262"/>
        <v>1.136826783</v>
      </c>
      <c r="BD129" s="132">
        <f t="shared" si="249"/>
        <v>1.027092838</v>
      </c>
      <c r="BE129" s="135"/>
      <c r="BF129" s="134" t="s">
        <v>576</v>
      </c>
      <c r="BG129" s="49"/>
      <c r="BH129" s="224">
        <f t="shared" si="22"/>
        <v>5.187337568</v>
      </c>
      <c r="BI129" s="224">
        <f t="shared" si="23"/>
        <v>3.112402541</v>
      </c>
      <c r="BJ129" s="224">
        <f t="shared" si="24"/>
        <v>2.593668784</v>
      </c>
      <c r="BK129" s="224">
        <f t="shared" si="25"/>
        <v>2.074935027</v>
      </c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</row>
    <row r="130" ht="14.25" customHeight="1">
      <c r="A130" s="105" t="s">
        <v>84</v>
      </c>
      <c r="B130" s="103" t="s">
        <v>120</v>
      </c>
      <c r="C130" s="103" t="s">
        <v>120</v>
      </c>
      <c r="D130" s="105" t="s">
        <v>86</v>
      </c>
      <c r="E130" s="105" t="s">
        <v>566</v>
      </c>
      <c r="F130" s="105" t="s">
        <v>567</v>
      </c>
      <c r="G130" s="106" t="s">
        <v>581</v>
      </c>
      <c r="H130" s="110"/>
      <c r="I130" s="107"/>
      <c r="J130" s="220" t="s">
        <v>582</v>
      </c>
      <c r="K130" s="220" t="str">
        <f>_xlfn.XLOOKUP(J130,[1]Sheet1!$A:$A,[1]Sheet1!$B:$B,"")</f>
        <v>#ERROR!</v>
      </c>
      <c r="L130" s="105" t="s">
        <v>583</v>
      </c>
      <c r="M130" s="105" t="s">
        <v>584</v>
      </c>
      <c r="N130" s="110"/>
      <c r="O130" s="104" t="s">
        <v>95</v>
      </c>
      <c r="P130" s="110"/>
      <c r="Q130" s="103" t="s">
        <v>572</v>
      </c>
      <c r="R130" s="110" t="s">
        <v>573</v>
      </c>
      <c r="S130" s="110">
        <v>8064.0</v>
      </c>
      <c r="T130" s="110" t="e">
        <v>#N/A</v>
      </c>
      <c r="U130" s="110" t="s">
        <v>574</v>
      </c>
      <c r="V130" s="112">
        <v>0.023</v>
      </c>
      <c r="W130" s="113">
        <v>45.0</v>
      </c>
      <c r="X130" s="113">
        <v>45.0</v>
      </c>
      <c r="Y130" s="113">
        <v>55.0</v>
      </c>
      <c r="Z130" s="113" t="s">
        <v>575</v>
      </c>
      <c r="AA130" s="114">
        <f t="shared" si="243"/>
        <v>0.9016055096</v>
      </c>
      <c r="AB130" s="115"/>
      <c r="AC130" s="212">
        <f t="shared" si="216"/>
        <v>0.7993880355</v>
      </c>
      <c r="AD130" s="213">
        <f t="shared" si="244"/>
        <v>0.8595570274</v>
      </c>
      <c r="AE130" s="212"/>
      <c r="AF130" s="212" t="str">
        <f t="shared" si="94"/>
        <v>#REF!</v>
      </c>
      <c r="AG130" s="210" t="str">
        <f t="shared" si="95"/>
        <v>#REF!</v>
      </c>
      <c r="AH130" s="120" t="str">
        <f t="shared" si="96"/>
        <v>#REF!</v>
      </c>
      <c r="AI130" s="121">
        <f t="shared" si="237"/>
        <v>0.1</v>
      </c>
      <c r="AJ130" s="121">
        <v>0.1</v>
      </c>
      <c r="AK130" s="122">
        <v>0.31</v>
      </c>
      <c r="AL130" s="123">
        <f t="shared" si="11"/>
        <v>0.247810291</v>
      </c>
      <c r="AM130" s="122" t="s">
        <v>10</v>
      </c>
      <c r="AN130" s="125">
        <f t="shared" si="265"/>
        <v>0.7993880355</v>
      </c>
      <c r="AO130" s="112">
        <f t="shared" si="219"/>
        <v>0.31</v>
      </c>
      <c r="AP130" s="127"/>
      <c r="AQ130" s="128">
        <f t="shared" ref="AQ130:AR130" si="267">BC130/(1-AI130)</f>
        <v>0.6711952127</v>
      </c>
      <c r="AR130" s="139">
        <f t="shared" si="267"/>
        <v>0.6128641605</v>
      </c>
      <c r="AS130" s="126">
        <f t="shared" si="221"/>
        <v>0.2555555556</v>
      </c>
      <c r="AT130" s="126">
        <f t="shared" si="222"/>
        <v>0.2333333333</v>
      </c>
      <c r="AU130" s="129">
        <v>0.67</v>
      </c>
      <c r="AV130" s="39" t="s">
        <v>510</v>
      </c>
      <c r="AW130" s="214"/>
      <c r="AX130" s="214"/>
      <c r="AY130" s="214"/>
      <c r="AZ130" s="214">
        <v>0.35</v>
      </c>
      <c r="BA130" s="214">
        <v>3.8</v>
      </c>
      <c r="BB130" s="130">
        <f t="shared" si="261"/>
        <v>4.15</v>
      </c>
      <c r="BC130" s="131">
        <f t="shared" si="262"/>
        <v>0.6040756914</v>
      </c>
      <c r="BD130" s="132">
        <f t="shared" si="249"/>
        <v>0.5515777445</v>
      </c>
      <c r="BE130" s="225"/>
      <c r="BF130" s="134" t="s">
        <v>576</v>
      </c>
      <c r="BG130" s="49"/>
      <c r="BH130" s="224">
        <f t="shared" si="22"/>
        <v>2.664626785</v>
      </c>
      <c r="BI130" s="224">
        <f t="shared" si="23"/>
        <v>1.598776071</v>
      </c>
      <c r="BJ130" s="224">
        <f t="shared" si="24"/>
        <v>1.332313392</v>
      </c>
      <c r="BK130" s="224">
        <f t="shared" si="25"/>
        <v>1.065850714</v>
      </c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</row>
    <row r="131" ht="14.25" customHeight="1">
      <c r="A131" s="105" t="s">
        <v>84</v>
      </c>
      <c r="B131" s="103" t="s">
        <v>120</v>
      </c>
      <c r="C131" s="103" t="s">
        <v>120</v>
      </c>
      <c r="D131" s="105" t="s">
        <v>86</v>
      </c>
      <c r="E131" s="105" t="s">
        <v>566</v>
      </c>
      <c r="F131" s="105" t="s">
        <v>567</v>
      </c>
      <c r="G131" s="106" t="s">
        <v>577</v>
      </c>
      <c r="H131" s="110"/>
      <c r="I131" s="107"/>
      <c r="J131" s="220" t="s">
        <v>585</v>
      </c>
      <c r="K131" s="220" t="str">
        <f>_xlfn.XLOOKUP(J131,[1]Sheet1!$A:$A,[1]Sheet1!$B:$B,"")</f>
        <v>#ERROR!</v>
      </c>
      <c r="L131" s="105" t="s">
        <v>586</v>
      </c>
      <c r="M131" s="105" t="s">
        <v>587</v>
      </c>
      <c r="N131" s="110"/>
      <c r="O131" s="104" t="s">
        <v>95</v>
      </c>
      <c r="P131" s="110"/>
      <c r="Q131" s="103" t="s">
        <v>572</v>
      </c>
      <c r="R131" s="110" t="s">
        <v>573</v>
      </c>
      <c r="S131" s="110">
        <v>8064.0</v>
      </c>
      <c r="T131" s="110" t="e">
        <v>#N/A</v>
      </c>
      <c r="U131" s="110" t="s">
        <v>574</v>
      </c>
      <c r="V131" s="112">
        <v>0.023</v>
      </c>
      <c r="W131" s="113">
        <v>45.0</v>
      </c>
      <c r="X131" s="113">
        <v>45.0</v>
      </c>
      <c r="Y131" s="113">
        <v>55.0</v>
      </c>
      <c r="Z131" s="113" t="s">
        <v>575</v>
      </c>
      <c r="AA131" s="114">
        <f t="shared" si="243"/>
        <v>1.805418604</v>
      </c>
      <c r="AB131" s="115"/>
      <c r="AC131" s="212">
        <f t="shared" si="216"/>
        <v>1.580472156</v>
      </c>
      <c r="AD131" s="213">
        <f t="shared" si="244"/>
        <v>1.699432425</v>
      </c>
      <c r="AE131" s="212"/>
      <c r="AF131" s="212" t="str">
        <f t="shared" si="94"/>
        <v>#REF!</v>
      </c>
      <c r="AG131" s="210" t="str">
        <f t="shared" si="95"/>
        <v>#REF!</v>
      </c>
      <c r="AH131" s="120" t="str">
        <f t="shared" si="96"/>
        <v>#REF!</v>
      </c>
      <c r="AI131" s="121">
        <f t="shared" si="237"/>
        <v>0.1</v>
      </c>
      <c r="AJ131" s="121">
        <v>0.1</v>
      </c>
      <c r="AK131" s="122">
        <v>0.36</v>
      </c>
      <c r="AL131" s="123">
        <f t="shared" si="11"/>
        <v>0.568969976</v>
      </c>
      <c r="AM131" s="122" t="s">
        <v>10</v>
      </c>
      <c r="AN131" s="125">
        <f t="shared" si="265"/>
        <v>1.580472156</v>
      </c>
      <c r="AO131" s="112">
        <f t="shared" si="219"/>
        <v>0.36</v>
      </c>
      <c r="AP131" s="127"/>
      <c r="AQ131" s="128">
        <f t="shared" ref="AQ131:AR131" si="268">BC131/(1-AI131)</f>
        <v>1.243732816</v>
      </c>
      <c r="AR131" s="139">
        <f t="shared" si="268"/>
        <v>1.123891311</v>
      </c>
      <c r="AS131" s="126">
        <f t="shared" si="221"/>
        <v>0.3111111111</v>
      </c>
      <c r="AT131" s="126">
        <f t="shared" si="222"/>
        <v>0.2888888889</v>
      </c>
      <c r="AU131" s="129"/>
      <c r="AV131" s="39" t="s">
        <v>510</v>
      </c>
      <c r="AW131" s="214"/>
      <c r="AX131" s="214"/>
      <c r="AY131" s="214"/>
      <c r="AZ131" s="214">
        <v>0.35</v>
      </c>
      <c r="BA131" s="214">
        <v>7.34</v>
      </c>
      <c r="BB131" s="130">
        <f t="shared" si="261"/>
        <v>7.69</v>
      </c>
      <c r="BC131" s="131">
        <f t="shared" si="262"/>
        <v>1.119359534</v>
      </c>
      <c r="BD131" s="132">
        <f t="shared" si="249"/>
        <v>1.01150218</v>
      </c>
      <c r="BE131" s="226" t="s">
        <v>588</v>
      </c>
      <c r="BF131" s="134" t="s">
        <v>576</v>
      </c>
      <c r="BG131" s="49"/>
      <c r="BH131" s="224">
        <f t="shared" si="22"/>
        <v>5.268240519</v>
      </c>
      <c r="BI131" s="224">
        <f t="shared" si="23"/>
        <v>3.160944311</v>
      </c>
      <c r="BJ131" s="224">
        <f t="shared" si="24"/>
        <v>2.634120259</v>
      </c>
      <c r="BK131" s="224">
        <f t="shared" si="25"/>
        <v>2.107296208</v>
      </c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</row>
    <row r="132" ht="14.25" customHeight="1">
      <c r="A132" s="105" t="s">
        <v>84</v>
      </c>
      <c r="B132" s="103" t="s">
        <v>120</v>
      </c>
      <c r="C132" s="103" t="s">
        <v>120</v>
      </c>
      <c r="D132" s="105" t="s">
        <v>86</v>
      </c>
      <c r="E132" s="105" t="s">
        <v>566</v>
      </c>
      <c r="F132" s="105" t="s">
        <v>567</v>
      </c>
      <c r="G132" s="106" t="s">
        <v>577</v>
      </c>
      <c r="H132" s="110"/>
      <c r="I132" s="107"/>
      <c r="J132" s="220" t="s">
        <v>589</v>
      </c>
      <c r="K132" s="220" t="str">
        <f>_xlfn.XLOOKUP(J132,[1]Sheet1!$A:$A,[1]Sheet1!$B:$B,"")</f>
        <v>#ERROR!</v>
      </c>
      <c r="L132" s="105" t="s">
        <v>590</v>
      </c>
      <c r="M132" s="105" t="s">
        <v>591</v>
      </c>
      <c r="N132" s="110"/>
      <c r="O132" s="104" t="s">
        <v>95</v>
      </c>
      <c r="P132" s="110"/>
      <c r="Q132" s="103" t="s">
        <v>572</v>
      </c>
      <c r="R132" s="110" t="s">
        <v>573</v>
      </c>
      <c r="S132" s="110">
        <v>8064.0</v>
      </c>
      <c r="T132" s="110" t="e">
        <v>#N/A</v>
      </c>
      <c r="U132" s="110" t="s">
        <v>574</v>
      </c>
      <c r="V132" s="112">
        <v>0.023</v>
      </c>
      <c r="W132" s="113">
        <v>45.0</v>
      </c>
      <c r="X132" s="113">
        <v>45.0</v>
      </c>
      <c r="Y132" s="113">
        <v>55.0</v>
      </c>
      <c r="Z132" s="113" t="s">
        <v>575</v>
      </c>
      <c r="AA132" s="114">
        <f t="shared" si="243"/>
        <v>1.608207729</v>
      </c>
      <c r="AB132" s="115"/>
      <c r="AC132" s="212">
        <f t="shared" si="216"/>
        <v>1.409949325</v>
      </c>
      <c r="AD132" s="213">
        <f t="shared" si="244"/>
        <v>1.516074543</v>
      </c>
      <c r="AE132" s="212"/>
      <c r="AF132" s="212" t="str">
        <f t="shared" si="94"/>
        <v>#REF!</v>
      </c>
      <c r="AG132" s="210" t="str">
        <f t="shared" si="95"/>
        <v>#REF!</v>
      </c>
      <c r="AH132" s="120" t="str">
        <f t="shared" si="96"/>
        <v>#REF!</v>
      </c>
      <c r="AI132" s="121">
        <f t="shared" si="237"/>
        <v>0.1</v>
      </c>
      <c r="AJ132" s="121">
        <v>0.1</v>
      </c>
      <c r="AK132" s="122">
        <v>0.36</v>
      </c>
      <c r="AL132" s="123">
        <f t="shared" si="11"/>
        <v>0.5075817569</v>
      </c>
      <c r="AM132" s="122" t="s">
        <v>10</v>
      </c>
      <c r="AN132" s="125">
        <f t="shared" si="265"/>
        <v>1.409949325</v>
      </c>
      <c r="AO132" s="112">
        <f t="shared" si="219"/>
        <v>0.36</v>
      </c>
      <c r="AP132" s="127"/>
      <c r="AQ132" s="128">
        <f t="shared" ref="AQ132:AR132" si="269">BC132/(1-AI132)</f>
        <v>1.107876435</v>
      </c>
      <c r="AR132" s="139">
        <f t="shared" si="269"/>
        <v>1.002630631</v>
      </c>
      <c r="AS132" s="126">
        <f t="shared" si="221"/>
        <v>0.3111111111</v>
      </c>
      <c r="AT132" s="126">
        <f t="shared" si="222"/>
        <v>0.2888888889</v>
      </c>
      <c r="AU132" s="129"/>
      <c r="AV132" s="39" t="s">
        <v>510</v>
      </c>
      <c r="AW132" s="214"/>
      <c r="AX132" s="214"/>
      <c r="AY132" s="214"/>
      <c r="AZ132" s="214">
        <v>0.35</v>
      </c>
      <c r="BA132" s="214">
        <v>6.5</v>
      </c>
      <c r="BB132" s="130">
        <f t="shared" si="261"/>
        <v>6.85</v>
      </c>
      <c r="BC132" s="131">
        <f t="shared" si="262"/>
        <v>0.9970887918</v>
      </c>
      <c r="BD132" s="132">
        <f t="shared" si="249"/>
        <v>0.9023675679</v>
      </c>
      <c r="BE132" s="135" t="s">
        <v>592</v>
      </c>
      <c r="BF132" s="134" t="s">
        <v>576</v>
      </c>
      <c r="BG132" s="49"/>
      <c r="BH132" s="224">
        <f t="shared" si="22"/>
        <v>4.699831083</v>
      </c>
      <c r="BI132" s="224">
        <f t="shared" si="23"/>
        <v>2.81989865</v>
      </c>
      <c r="BJ132" s="224">
        <f t="shared" si="24"/>
        <v>2.349915541</v>
      </c>
      <c r="BK132" s="224">
        <f t="shared" si="25"/>
        <v>1.879932433</v>
      </c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</row>
    <row r="133" ht="14.25" customHeight="1">
      <c r="A133" s="105" t="s">
        <v>84</v>
      </c>
      <c r="B133" s="103" t="s">
        <v>85</v>
      </c>
      <c r="C133" s="103" t="s">
        <v>85</v>
      </c>
      <c r="D133" s="105" t="s">
        <v>86</v>
      </c>
      <c r="E133" s="105" t="s">
        <v>566</v>
      </c>
      <c r="F133" s="105" t="s">
        <v>567</v>
      </c>
      <c r="G133" s="106" t="s">
        <v>577</v>
      </c>
      <c r="H133" s="110"/>
      <c r="I133" s="107"/>
      <c r="J133" s="220" t="s">
        <v>593</v>
      </c>
      <c r="K133" s="220" t="str">
        <f>_xlfn.XLOOKUP(J133,[1]Sheet1!$A:$A,[1]Sheet1!$B:$B,"")</f>
        <v>#ERROR!</v>
      </c>
      <c r="L133" s="105" t="s">
        <v>594</v>
      </c>
      <c r="M133" s="105" t="s">
        <v>595</v>
      </c>
      <c r="N133" s="110"/>
      <c r="O133" s="104" t="s">
        <v>95</v>
      </c>
      <c r="P133" s="110"/>
      <c r="Q133" s="103" t="s">
        <v>572</v>
      </c>
      <c r="R133" s="110" t="s">
        <v>573</v>
      </c>
      <c r="S133" s="110">
        <v>8064.0</v>
      </c>
      <c r="T133" s="111" t="e">
        <v>#N/A</v>
      </c>
      <c r="U133" s="110" t="s">
        <v>574</v>
      </c>
      <c r="V133" s="112">
        <v>0.023</v>
      </c>
      <c r="W133" s="113">
        <v>30.0</v>
      </c>
      <c r="X133" s="113">
        <v>45.0</v>
      </c>
      <c r="Y133" s="113">
        <v>55.0</v>
      </c>
      <c r="Z133" s="113" t="s">
        <v>596</v>
      </c>
      <c r="AA133" s="114">
        <f t="shared" si="243"/>
        <v>4.586927965</v>
      </c>
      <c r="AB133" s="115"/>
      <c r="AC133" s="212">
        <f t="shared" si="216"/>
        <v>4.011415864</v>
      </c>
      <c r="AD133" s="213">
        <f t="shared" si="244"/>
        <v>4.313350392</v>
      </c>
      <c r="AE133" s="212"/>
      <c r="AF133" s="212" t="str">
        <f t="shared" si="94"/>
        <v>#REF!</v>
      </c>
      <c r="AG133" s="210" t="str">
        <f t="shared" si="95"/>
        <v>#REF!</v>
      </c>
      <c r="AH133" s="120" t="str">
        <f t="shared" si="96"/>
        <v>#REF!</v>
      </c>
      <c r="AI133" s="121">
        <f t="shared" si="237"/>
        <v>0.1</v>
      </c>
      <c r="AJ133" s="121">
        <v>0.1</v>
      </c>
      <c r="AK133" s="122">
        <v>0.16</v>
      </c>
      <c r="AL133" s="123">
        <f t="shared" si="11"/>
        <v>0.6418265383</v>
      </c>
      <c r="AM133" s="122" t="s">
        <v>10</v>
      </c>
      <c r="AN133" s="125">
        <f t="shared" si="265"/>
        <v>4.011415864</v>
      </c>
      <c r="AO133" s="112">
        <f t="shared" si="219"/>
        <v>0.16</v>
      </c>
      <c r="AP133" s="127"/>
      <c r="AQ133" s="128">
        <f t="shared" ref="AQ133:AR133" si="270">BC133/(1-AI133)</f>
        <v>4.179201035</v>
      </c>
      <c r="AR133" s="139">
        <f t="shared" si="270"/>
        <v>3.74398814</v>
      </c>
      <c r="AS133" s="126">
        <f t="shared" si="221"/>
        <v>0.08888888889</v>
      </c>
      <c r="AT133" s="126">
        <f t="shared" si="222"/>
        <v>0.06666666667</v>
      </c>
      <c r="AU133" s="129"/>
      <c r="AV133" s="39" t="s">
        <v>597</v>
      </c>
      <c r="AW133" s="214"/>
      <c r="AX133" s="214"/>
      <c r="AY133" s="214"/>
      <c r="AZ133" s="214"/>
      <c r="BA133" s="214">
        <v>25.84</v>
      </c>
      <c r="BB133" s="130">
        <f t="shared" si="261"/>
        <v>25.84</v>
      </c>
      <c r="BC133" s="131">
        <f t="shared" si="262"/>
        <v>3.761280932</v>
      </c>
      <c r="BD133" s="132">
        <f t="shared" si="249"/>
        <v>3.369589326</v>
      </c>
      <c r="BE133" s="133"/>
      <c r="BF133" s="134" t="s">
        <v>576</v>
      </c>
      <c r="BG133" s="49"/>
      <c r="BH133" s="212">
        <f t="shared" si="22"/>
        <v>13.37138621</v>
      </c>
      <c r="BI133" s="212">
        <f t="shared" si="23"/>
        <v>8.022831729</v>
      </c>
      <c r="BJ133" s="212">
        <f t="shared" si="24"/>
        <v>6.685693107</v>
      </c>
      <c r="BK133" s="212">
        <f t="shared" si="25"/>
        <v>5.348554486</v>
      </c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</row>
    <row r="134" ht="14.25" customHeight="1">
      <c r="A134" s="105" t="s">
        <v>84</v>
      </c>
      <c r="B134" s="103" t="s">
        <v>120</v>
      </c>
      <c r="C134" s="103" t="s">
        <v>120</v>
      </c>
      <c r="D134" s="105" t="s">
        <v>86</v>
      </c>
      <c r="E134" s="105" t="s">
        <v>566</v>
      </c>
      <c r="F134" s="105" t="s">
        <v>598</v>
      </c>
      <c r="G134" s="106" t="s">
        <v>577</v>
      </c>
      <c r="H134" s="110"/>
      <c r="I134" s="107"/>
      <c r="J134" s="220" t="s">
        <v>599</v>
      </c>
      <c r="K134" s="220" t="str">
        <f>_xlfn.XLOOKUP(J134,[1]Sheet1!$A:$A,[1]Sheet1!$B:$B,"")</f>
        <v>#ERROR!</v>
      </c>
      <c r="L134" s="105" t="s">
        <v>600</v>
      </c>
      <c r="M134" s="105" t="s">
        <v>601</v>
      </c>
      <c r="N134" s="110"/>
      <c r="O134" s="104" t="s">
        <v>95</v>
      </c>
      <c r="P134" s="110"/>
      <c r="Q134" s="103" t="s">
        <v>572</v>
      </c>
      <c r="R134" s="110" t="s">
        <v>602</v>
      </c>
      <c r="S134" s="110">
        <v>8064.0</v>
      </c>
      <c r="T134" s="111"/>
      <c r="U134" s="110" t="s">
        <v>574</v>
      </c>
      <c r="V134" s="112">
        <v>0.023</v>
      </c>
      <c r="W134" s="113">
        <v>45.0</v>
      </c>
      <c r="X134" s="113">
        <v>45.0</v>
      </c>
      <c r="Y134" s="113">
        <v>55.0</v>
      </c>
      <c r="Z134" s="113" t="s">
        <v>596</v>
      </c>
      <c r="AA134" s="114">
        <f t="shared" si="243"/>
        <v>3.493449782</v>
      </c>
      <c r="AB134" s="115"/>
      <c r="AC134" s="212">
        <f t="shared" si="216"/>
        <v>3.050615762</v>
      </c>
      <c r="AD134" s="213">
        <f t="shared" si="244"/>
        <v>3.280232002</v>
      </c>
      <c r="AE134" s="212"/>
      <c r="AF134" s="212" t="str">
        <f t="shared" si="94"/>
        <v>#REF!</v>
      </c>
      <c r="AG134" s="210" t="str">
        <f t="shared" si="95"/>
        <v>#REF!</v>
      </c>
      <c r="AH134" s="120" t="str">
        <f t="shared" si="96"/>
        <v>#REF!</v>
      </c>
      <c r="AI134" s="121">
        <f t="shared" si="237"/>
        <v>0.1</v>
      </c>
      <c r="AJ134" s="121">
        <v>0.1</v>
      </c>
      <c r="AK134" s="122">
        <v>0.26</v>
      </c>
      <c r="AL134" s="123">
        <f t="shared" si="11"/>
        <v>0.793160098</v>
      </c>
      <c r="AM134" s="122" t="s">
        <v>10</v>
      </c>
      <c r="AN134" s="125">
        <f t="shared" si="265"/>
        <v>3.050615762</v>
      </c>
      <c r="AO134" s="112">
        <f t="shared" si="219"/>
        <v>0.26</v>
      </c>
      <c r="AP134" s="127"/>
      <c r="AQ134" s="128">
        <f t="shared" ref="AQ134:AR134" si="271">BC134/(1-AI134)</f>
        <v>2.794759825</v>
      </c>
      <c r="AR134" s="139">
        <f t="shared" si="271"/>
        <v>2.508284071</v>
      </c>
      <c r="AS134" s="126">
        <f t="shared" si="221"/>
        <v>0.2</v>
      </c>
      <c r="AT134" s="126">
        <f t="shared" si="222"/>
        <v>0.1777777778</v>
      </c>
      <c r="AU134" s="129"/>
      <c r="AV134" s="39" t="s">
        <v>603</v>
      </c>
      <c r="AW134" s="214"/>
      <c r="AX134" s="214"/>
      <c r="AY134" s="214"/>
      <c r="AZ134" s="214"/>
      <c r="BA134" s="214">
        <f>2.4*7.2</f>
        <v>17.28</v>
      </c>
      <c r="BB134" s="130">
        <f t="shared" si="261"/>
        <v>17.28</v>
      </c>
      <c r="BC134" s="131">
        <f t="shared" si="262"/>
        <v>2.515283843</v>
      </c>
      <c r="BD134" s="132">
        <f t="shared" si="249"/>
        <v>2.257455664</v>
      </c>
      <c r="BE134" s="135" t="s">
        <v>604</v>
      </c>
      <c r="BF134" s="134" t="s">
        <v>576</v>
      </c>
      <c r="BG134" s="49"/>
      <c r="BH134" s="224">
        <f t="shared" si="22"/>
        <v>10.16871921</v>
      </c>
      <c r="BI134" s="224">
        <f t="shared" si="23"/>
        <v>6.101231523</v>
      </c>
      <c r="BJ134" s="224">
        <f t="shared" si="24"/>
        <v>5.084359603</v>
      </c>
      <c r="BK134" s="224">
        <f t="shared" si="25"/>
        <v>4.067487682</v>
      </c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</row>
    <row r="135" ht="14.25" customHeight="1">
      <c r="A135" s="103" t="s">
        <v>84</v>
      </c>
      <c r="B135" s="103" t="s">
        <v>85</v>
      </c>
      <c r="C135" s="103" t="s">
        <v>85</v>
      </c>
      <c r="D135" s="103" t="s">
        <v>86</v>
      </c>
      <c r="E135" s="104" t="s">
        <v>566</v>
      </c>
      <c r="F135" s="105" t="s">
        <v>605</v>
      </c>
      <c r="G135" s="106" t="s">
        <v>581</v>
      </c>
      <c r="H135" s="110"/>
      <c r="I135" s="107"/>
      <c r="J135" s="220" t="s">
        <v>606</v>
      </c>
      <c r="K135" s="220" t="str">
        <f>_xlfn.XLOOKUP(J135,[1]Sheet1!$A:$A,[1]Sheet1!$B:$B,"")</f>
        <v>#ERROR!</v>
      </c>
      <c r="L135" s="105" t="s">
        <v>607</v>
      </c>
      <c r="M135" s="105" t="s">
        <v>608</v>
      </c>
      <c r="N135" s="110"/>
      <c r="O135" s="104" t="s">
        <v>95</v>
      </c>
      <c r="P135" s="110"/>
      <c r="Q135" s="103" t="s">
        <v>609</v>
      </c>
      <c r="R135" s="110" t="s">
        <v>573</v>
      </c>
      <c r="S135" s="110">
        <v>10368.0</v>
      </c>
      <c r="T135" s="110" t="e">
        <v>#N/A</v>
      </c>
      <c r="U135" s="110" t="s">
        <v>574</v>
      </c>
      <c r="V135" s="112">
        <v>0.023</v>
      </c>
      <c r="W135" s="113">
        <v>45.0</v>
      </c>
      <c r="X135" s="113">
        <v>45.0</v>
      </c>
      <c r="Y135" s="113">
        <v>55.0</v>
      </c>
      <c r="Z135" s="113" t="s">
        <v>596</v>
      </c>
      <c r="AA135" s="114">
        <f t="shared" si="243"/>
        <v>0.5865867171</v>
      </c>
      <c r="AB135" s="115"/>
      <c r="AC135" s="212">
        <f t="shared" si="216"/>
        <v>0.5223693988</v>
      </c>
      <c r="AD135" s="213">
        <f t="shared" si="244"/>
        <v>0.5616875256</v>
      </c>
      <c r="AE135" s="212"/>
      <c r="AF135" s="212" t="str">
        <f t="shared" si="94"/>
        <v>#REF!</v>
      </c>
      <c r="AG135" s="210" t="str">
        <f t="shared" si="95"/>
        <v>#REF!</v>
      </c>
      <c r="AH135" s="120" t="str">
        <f t="shared" si="96"/>
        <v>#REF!</v>
      </c>
      <c r="AI135" s="121">
        <f t="shared" si="237"/>
        <v>0.1</v>
      </c>
      <c r="AJ135" s="121">
        <v>0.1</v>
      </c>
      <c r="AK135" s="122">
        <v>0.31</v>
      </c>
      <c r="AL135" s="123">
        <f t="shared" si="11"/>
        <v>0.1619345136</v>
      </c>
      <c r="AM135" s="122" t="s">
        <v>10</v>
      </c>
      <c r="AN135" s="125">
        <f t="shared" si="265"/>
        <v>0.5223693988</v>
      </c>
      <c r="AO135" s="112">
        <f t="shared" si="219"/>
        <v>0.31</v>
      </c>
      <c r="AP135" s="127"/>
      <c r="AQ135" s="128">
        <f t="shared" ref="AQ135:AR135" si="272">BC135/(1-AI135)</f>
        <v>0.4366812227</v>
      </c>
      <c r="AR135" s="139">
        <f t="shared" si="272"/>
        <v>0.4004832057</v>
      </c>
      <c r="AS135" s="126">
        <f t="shared" si="221"/>
        <v>0.2555555556</v>
      </c>
      <c r="AT135" s="126">
        <f t="shared" si="222"/>
        <v>0.2333333333</v>
      </c>
      <c r="AU135" s="129"/>
      <c r="AV135" s="39" t="s">
        <v>510</v>
      </c>
      <c r="AW135" s="214"/>
      <c r="AX135" s="214"/>
      <c r="AY135" s="214"/>
      <c r="AZ135" s="217">
        <v>0.17</v>
      </c>
      <c r="BA135" s="214">
        <v>2.53</v>
      </c>
      <c r="BB135" s="130">
        <f t="shared" si="261"/>
        <v>2.7</v>
      </c>
      <c r="BC135" s="131">
        <f t="shared" si="262"/>
        <v>0.3930131004</v>
      </c>
      <c r="BD135" s="132">
        <f t="shared" si="249"/>
        <v>0.3604348852</v>
      </c>
      <c r="BE135" s="173" t="s">
        <v>610</v>
      </c>
      <c r="BF135" s="134" t="s">
        <v>576</v>
      </c>
      <c r="BG135" s="49"/>
      <c r="BH135" s="212">
        <f t="shared" si="22"/>
        <v>1.741231329</v>
      </c>
      <c r="BI135" s="212">
        <f t="shared" si="23"/>
        <v>1.044738798</v>
      </c>
      <c r="BJ135" s="212">
        <f t="shared" si="24"/>
        <v>0.8706156646</v>
      </c>
      <c r="BK135" s="212">
        <f t="shared" si="25"/>
        <v>0.6964925317</v>
      </c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</row>
    <row r="136" ht="14.25" customHeight="1">
      <c r="A136" s="103" t="s">
        <v>84</v>
      </c>
      <c r="B136" s="103" t="s">
        <v>85</v>
      </c>
      <c r="C136" s="103" t="s">
        <v>85</v>
      </c>
      <c r="D136" s="103" t="s">
        <v>86</v>
      </c>
      <c r="E136" s="104" t="s">
        <v>566</v>
      </c>
      <c r="F136" s="105" t="s">
        <v>605</v>
      </c>
      <c r="G136" s="106" t="s">
        <v>577</v>
      </c>
      <c r="H136" s="110"/>
      <c r="I136" s="107"/>
      <c r="J136" s="220" t="s">
        <v>611</v>
      </c>
      <c r="K136" s="220" t="str">
        <f>_xlfn.XLOOKUP(J136,[1]Sheet1!$A:$A,[1]Sheet1!$B:$B,"")</f>
        <v>#ERROR!</v>
      </c>
      <c r="L136" s="105" t="s">
        <v>612</v>
      </c>
      <c r="M136" s="105" t="s">
        <v>613</v>
      </c>
      <c r="N136" s="110"/>
      <c r="O136" s="104" t="s">
        <v>95</v>
      </c>
      <c r="P136" s="110"/>
      <c r="Q136" s="103" t="s">
        <v>614</v>
      </c>
      <c r="R136" s="110" t="s">
        <v>573</v>
      </c>
      <c r="S136" s="110">
        <v>10368.0</v>
      </c>
      <c r="T136" s="110" t="e">
        <v>#N/A</v>
      </c>
      <c r="U136" s="110" t="s">
        <v>574</v>
      </c>
      <c r="V136" s="112">
        <v>0.023</v>
      </c>
      <c r="W136" s="113">
        <v>45.0</v>
      </c>
      <c r="X136" s="113">
        <v>45.0</v>
      </c>
      <c r="Y136" s="113">
        <v>55.0</v>
      </c>
      <c r="Z136" s="113" t="s">
        <v>596</v>
      </c>
      <c r="AA136" s="114">
        <f t="shared" si="243"/>
        <v>1.325251472</v>
      </c>
      <c r="AB136" s="115"/>
      <c r="AC136" s="212">
        <f t="shared" si="216"/>
        <v>1.162565534</v>
      </c>
      <c r="AD136" s="213">
        <f t="shared" si="244"/>
        <v>1.250070467</v>
      </c>
      <c r="AE136" s="212"/>
      <c r="AF136" s="212" t="str">
        <f t="shared" si="94"/>
        <v>#REF!</v>
      </c>
      <c r="AG136" s="210" t="str">
        <f t="shared" si="95"/>
        <v>#REF!</v>
      </c>
      <c r="AH136" s="120" t="str">
        <f t="shared" si="96"/>
        <v>#REF!</v>
      </c>
      <c r="AI136" s="121">
        <f t="shared" si="237"/>
        <v>0.1</v>
      </c>
      <c r="AJ136" s="121">
        <v>0.1</v>
      </c>
      <c r="AK136" s="122">
        <v>0.31</v>
      </c>
      <c r="AL136" s="123">
        <f t="shared" si="11"/>
        <v>0.3603953155</v>
      </c>
      <c r="AM136" s="122" t="s">
        <v>10</v>
      </c>
      <c r="AN136" s="125">
        <f t="shared" si="265"/>
        <v>1.162565534</v>
      </c>
      <c r="AO136" s="112">
        <f t="shared" si="219"/>
        <v>0.31</v>
      </c>
      <c r="AP136" s="127"/>
      <c r="AQ136" s="128">
        <f t="shared" ref="AQ136:AR136" si="273">BC136/(1-AI136)</f>
        <v>0.9865760957</v>
      </c>
      <c r="AR136" s="139">
        <f t="shared" si="273"/>
        <v>0.8913002426</v>
      </c>
      <c r="AS136" s="126">
        <f t="shared" si="221"/>
        <v>0.2555555556</v>
      </c>
      <c r="AT136" s="126">
        <f t="shared" si="222"/>
        <v>0.2333333333</v>
      </c>
      <c r="AU136" s="129"/>
      <c r="AV136" s="39" t="s">
        <v>510</v>
      </c>
      <c r="AW136" s="214"/>
      <c r="AX136" s="214"/>
      <c r="AY136" s="214"/>
      <c r="AZ136" s="217">
        <v>0.17</v>
      </c>
      <c r="BA136" s="214">
        <v>5.93</v>
      </c>
      <c r="BB136" s="130">
        <f t="shared" si="261"/>
        <v>6.1</v>
      </c>
      <c r="BC136" s="131">
        <f t="shared" si="262"/>
        <v>0.8879184862</v>
      </c>
      <c r="BD136" s="132">
        <f t="shared" si="249"/>
        <v>0.8021702184</v>
      </c>
      <c r="BE136" s="173" t="s">
        <v>615</v>
      </c>
      <c r="BF136" s="134" t="s">
        <v>576</v>
      </c>
      <c r="BG136" s="49"/>
      <c r="BH136" s="212">
        <f t="shared" si="22"/>
        <v>3.875218446</v>
      </c>
      <c r="BI136" s="212">
        <f t="shared" si="23"/>
        <v>2.325131068</v>
      </c>
      <c r="BJ136" s="212">
        <f t="shared" si="24"/>
        <v>1.937609223</v>
      </c>
      <c r="BK136" s="212">
        <f t="shared" si="25"/>
        <v>1.550087378</v>
      </c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</row>
    <row r="137" ht="14.25" customHeight="1">
      <c r="A137" s="103" t="s">
        <v>84</v>
      </c>
      <c r="B137" s="103" t="s">
        <v>85</v>
      </c>
      <c r="C137" s="103" t="s">
        <v>85</v>
      </c>
      <c r="D137" s="103" t="s">
        <v>86</v>
      </c>
      <c r="E137" s="104" t="s">
        <v>566</v>
      </c>
      <c r="F137" s="105" t="s">
        <v>605</v>
      </c>
      <c r="G137" s="106" t="s">
        <v>581</v>
      </c>
      <c r="H137" s="110"/>
      <c r="I137" s="107"/>
      <c r="J137" s="220" t="s">
        <v>616</v>
      </c>
      <c r="K137" s="220" t="str">
        <f>_xlfn.XLOOKUP(J137,[1]Sheet1!$A:$A,[1]Sheet1!$B:$B,"")</f>
        <v>#ERROR!</v>
      </c>
      <c r="L137" s="105" t="s">
        <v>617</v>
      </c>
      <c r="M137" s="105" t="s">
        <v>618</v>
      </c>
      <c r="N137" s="110"/>
      <c r="O137" s="104" t="s">
        <v>95</v>
      </c>
      <c r="P137" s="110"/>
      <c r="Q137" s="103" t="s">
        <v>614</v>
      </c>
      <c r="R137" s="110" t="s">
        <v>573</v>
      </c>
      <c r="S137" s="110">
        <v>10368.0</v>
      </c>
      <c r="T137" s="110" t="e">
        <v>#N/A</v>
      </c>
      <c r="U137" s="110" t="s">
        <v>574</v>
      </c>
      <c r="V137" s="112">
        <v>0.023</v>
      </c>
      <c r="W137" s="113">
        <v>45.0</v>
      </c>
      <c r="X137" s="113">
        <v>45.0</v>
      </c>
      <c r="Y137" s="113">
        <v>55.0</v>
      </c>
      <c r="Z137" s="113" t="s">
        <v>596</v>
      </c>
      <c r="AA137" s="114">
        <f t="shared" si="243"/>
        <v>0.619174868</v>
      </c>
      <c r="AB137" s="115"/>
      <c r="AC137" s="212">
        <f t="shared" si="216"/>
        <v>0.5506133459</v>
      </c>
      <c r="AD137" s="213">
        <f t="shared" si="244"/>
        <v>0.5920573612</v>
      </c>
      <c r="AE137" s="212"/>
      <c r="AF137" s="212" t="str">
        <f t="shared" si="94"/>
        <v>#REF!</v>
      </c>
      <c r="AG137" s="210" t="str">
        <f t="shared" si="95"/>
        <v>#REF!</v>
      </c>
      <c r="AH137" s="120" t="str">
        <f t="shared" si="96"/>
        <v>#REF!</v>
      </c>
      <c r="AI137" s="121">
        <f t="shared" si="237"/>
        <v>0.1</v>
      </c>
      <c r="AJ137" s="121">
        <v>0.1</v>
      </c>
      <c r="AK137" s="122">
        <v>0.31</v>
      </c>
      <c r="AL137" s="123">
        <f t="shared" si="11"/>
        <v>0.1706901372</v>
      </c>
      <c r="AM137" s="122" t="s">
        <v>10</v>
      </c>
      <c r="AN137" s="125">
        <f t="shared" si="265"/>
        <v>0.5506133459</v>
      </c>
      <c r="AO137" s="112">
        <f t="shared" si="219"/>
        <v>0.31</v>
      </c>
      <c r="AP137" s="127"/>
      <c r="AQ137" s="128">
        <f t="shared" ref="AQ137:AR137" si="274">BC137/(1-AI137)</f>
        <v>0.4609412906</v>
      </c>
      <c r="AR137" s="139">
        <f t="shared" si="274"/>
        <v>0.4221368985</v>
      </c>
      <c r="AS137" s="126">
        <f t="shared" si="221"/>
        <v>0.2555555556</v>
      </c>
      <c r="AT137" s="126">
        <f t="shared" si="222"/>
        <v>0.2333333333</v>
      </c>
      <c r="AU137" s="129"/>
      <c r="AV137" s="39" t="s">
        <v>510</v>
      </c>
      <c r="AW137" s="214"/>
      <c r="AX137" s="214"/>
      <c r="AY137" s="214"/>
      <c r="AZ137" s="217">
        <v>0.17</v>
      </c>
      <c r="BA137" s="214">
        <v>2.68</v>
      </c>
      <c r="BB137" s="130">
        <f t="shared" si="261"/>
        <v>2.85</v>
      </c>
      <c r="BC137" s="131">
        <f t="shared" si="262"/>
        <v>0.4148471616</v>
      </c>
      <c r="BD137" s="132">
        <f t="shared" si="249"/>
        <v>0.3799232087</v>
      </c>
      <c r="BE137" s="173"/>
      <c r="BF137" s="134" t="s">
        <v>576</v>
      </c>
      <c r="BG137" s="49"/>
      <c r="BH137" s="212">
        <f t="shared" si="22"/>
        <v>1.83537782</v>
      </c>
      <c r="BI137" s="212">
        <f t="shared" si="23"/>
        <v>1.101226692</v>
      </c>
      <c r="BJ137" s="212">
        <f t="shared" si="24"/>
        <v>0.9176889099</v>
      </c>
      <c r="BK137" s="212">
        <f t="shared" si="25"/>
        <v>0.7341511279</v>
      </c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</row>
    <row r="138" ht="14.25" customHeight="1">
      <c r="A138" s="103" t="s">
        <v>84</v>
      </c>
      <c r="B138" s="103" t="s">
        <v>85</v>
      </c>
      <c r="C138" s="103" t="s">
        <v>120</v>
      </c>
      <c r="D138" s="103" t="s">
        <v>86</v>
      </c>
      <c r="E138" s="104" t="s">
        <v>566</v>
      </c>
      <c r="F138" s="105" t="s">
        <v>619</v>
      </c>
      <c r="G138" s="106" t="s">
        <v>581</v>
      </c>
      <c r="H138" s="110"/>
      <c r="I138" s="107"/>
      <c r="J138" s="220" t="s">
        <v>620</v>
      </c>
      <c r="K138" s="220" t="str">
        <f>_xlfn.XLOOKUP(J138,[1]Sheet1!$A:$A,[1]Sheet1!$B:$B,"")</f>
        <v>#ERROR!</v>
      </c>
      <c r="L138" s="105" t="s">
        <v>621</v>
      </c>
      <c r="M138" s="105" t="s">
        <v>622</v>
      </c>
      <c r="N138" s="110"/>
      <c r="O138" s="104" t="s">
        <v>95</v>
      </c>
      <c r="P138" s="110"/>
      <c r="Q138" s="103" t="s">
        <v>609</v>
      </c>
      <c r="R138" s="110" t="s">
        <v>573</v>
      </c>
      <c r="S138" s="110">
        <v>10368.0</v>
      </c>
      <c r="T138" s="111" t="s">
        <v>623</v>
      </c>
      <c r="U138" s="110" t="s">
        <v>574</v>
      </c>
      <c r="V138" s="112">
        <v>0.023</v>
      </c>
      <c r="W138" s="113">
        <v>45.0</v>
      </c>
      <c r="X138" s="113">
        <v>45.0</v>
      </c>
      <c r="Y138" s="113">
        <v>55.0</v>
      </c>
      <c r="Z138" s="113" t="s">
        <v>596</v>
      </c>
      <c r="AA138" s="114">
        <f t="shared" si="243"/>
        <v>0.7082491473</v>
      </c>
      <c r="AB138" s="115"/>
      <c r="AC138" s="212">
        <f t="shared" si="216"/>
        <v>0.6278134681</v>
      </c>
      <c r="AD138" s="213">
        <f t="shared" si="244"/>
        <v>0.6750682453</v>
      </c>
      <c r="AE138" s="212"/>
      <c r="AF138" s="212" t="str">
        <f t="shared" si="94"/>
        <v>#REF!</v>
      </c>
      <c r="AG138" s="210" t="str">
        <f t="shared" si="95"/>
        <v>#REF!</v>
      </c>
      <c r="AH138" s="120" t="str">
        <f t="shared" si="96"/>
        <v>#REF!</v>
      </c>
      <c r="AI138" s="121">
        <f t="shared" si="237"/>
        <v>0.1</v>
      </c>
      <c r="AJ138" s="121">
        <v>0.1</v>
      </c>
      <c r="AK138" s="122">
        <v>0.31</v>
      </c>
      <c r="AL138" s="123">
        <f t="shared" si="11"/>
        <v>0.1946221751</v>
      </c>
      <c r="AM138" s="122" t="s">
        <v>10</v>
      </c>
      <c r="AN138" s="125">
        <f t="shared" si="265"/>
        <v>0.6278134681</v>
      </c>
      <c r="AO138" s="112">
        <f t="shared" si="219"/>
        <v>0.31</v>
      </c>
      <c r="AP138" s="127"/>
      <c r="AQ138" s="128">
        <f t="shared" ref="AQ138:AR138" si="275">BC138/(1-AI138)</f>
        <v>0.527252143</v>
      </c>
      <c r="AR138" s="139">
        <f t="shared" si="275"/>
        <v>0.4813236589</v>
      </c>
      <c r="AS138" s="126">
        <f t="shared" si="221"/>
        <v>0.2555555556</v>
      </c>
      <c r="AT138" s="126">
        <f t="shared" si="222"/>
        <v>0.2333333333</v>
      </c>
      <c r="AU138" s="129"/>
      <c r="AV138" s="39" t="s">
        <v>603</v>
      </c>
      <c r="AW138" s="214"/>
      <c r="AX138" s="214"/>
      <c r="AY138" s="214"/>
      <c r="AZ138" s="214"/>
      <c r="BA138" s="130">
        <v>3.26</v>
      </c>
      <c r="BB138" s="130">
        <v>3.26</v>
      </c>
      <c r="BC138" s="131">
        <f t="shared" si="262"/>
        <v>0.4745269287</v>
      </c>
      <c r="BD138" s="132">
        <f t="shared" si="249"/>
        <v>0.433191293</v>
      </c>
      <c r="BE138" s="133"/>
      <c r="BF138" s="134" t="s">
        <v>576</v>
      </c>
      <c r="BG138" s="40"/>
      <c r="BH138" s="212">
        <f t="shared" si="22"/>
        <v>2.09271156</v>
      </c>
      <c r="BI138" s="212">
        <f t="shared" si="23"/>
        <v>1.255626936</v>
      </c>
      <c r="BJ138" s="212">
        <f t="shared" si="24"/>
        <v>1.04635578</v>
      </c>
      <c r="BK138" s="212">
        <f t="shared" si="25"/>
        <v>0.8370846241</v>
      </c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</row>
    <row r="139" ht="14.25" customHeight="1">
      <c r="A139" s="103" t="s">
        <v>84</v>
      </c>
      <c r="B139" s="103" t="s">
        <v>85</v>
      </c>
      <c r="C139" s="103" t="s">
        <v>120</v>
      </c>
      <c r="D139" s="103" t="s">
        <v>86</v>
      </c>
      <c r="E139" s="104" t="s">
        <v>566</v>
      </c>
      <c r="F139" s="105" t="s">
        <v>619</v>
      </c>
      <c r="G139" s="106" t="s">
        <v>581</v>
      </c>
      <c r="H139" s="110"/>
      <c r="I139" s="107"/>
      <c r="J139" s="220" t="s">
        <v>624</v>
      </c>
      <c r="K139" s="220" t="str">
        <f>_xlfn.XLOOKUP(J139,[1]Sheet1!$A:$A,[1]Sheet1!$B:$B,"")</f>
        <v>#ERROR!</v>
      </c>
      <c r="L139" s="105" t="s">
        <v>625</v>
      </c>
      <c r="M139" s="105" t="s">
        <v>626</v>
      </c>
      <c r="N139" s="110"/>
      <c r="O139" s="104" t="s">
        <v>95</v>
      </c>
      <c r="P139" s="110"/>
      <c r="Q139" s="103" t="s">
        <v>609</v>
      </c>
      <c r="R139" s="110" t="s">
        <v>573</v>
      </c>
      <c r="S139" s="110">
        <v>10368.0</v>
      </c>
      <c r="T139" s="111" t="s">
        <v>627</v>
      </c>
      <c r="U139" s="110" t="s">
        <v>574</v>
      </c>
      <c r="V139" s="112">
        <v>0.023</v>
      </c>
      <c r="W139" s="113">
        <v>45.0</v>
      </c>
      <c r="X139" s="113">
        <v>45.0</v>
      </c>
      <c r="Y139" s="113">
        <v>55.0</v>
      </c>
      <c r="Z139" s="113" t="s">
        <v>596</v>
      </c>
      <c r="AA139" s="114">
        <f t="shared" si="243"/>
        <v>0.7082491473</v>
      </c>
      <c r="AB139" s="115"/>
      <c r="AC139" s="212">
        <f t="shared" si="216"/>
        <v>0.6278134681</v>
      </c>
      <c r="AD139" s="213">
        <f t="shared" si="244"/>
        <v>0.6750682453</v>
      </c>
      <c r="AE139" s="212"/>
      <c r="AF139" s="212" t="str">
        <f t="shared" si="94"/>
        <v>#REF!</v>
      </c>
      <c r="AG139" s="210" t="str">
        <f t="shared" si="95"/>
        <v>#REF!</v>
      </c>
      <c r="AH139" s="120" t="str">
        <f t="shared" si="96"/>
        <v>#REF!</v>
      </c>
      <c r="AI139" s="121">
        <f t="shared" si="237"/>
        <v>0.1</v>
      </c>
      <c r="AJ139" s="121">
        <v>0.1</v>
      </c>
      <c r="AK139" s="122">
        <v>0.31</v>
      </c>
      <c r="AL139" s="123">
        <f t="shared" si="11"/>
        <v>0.1946221751</v>
      </c>
      <c r="AM139" s="122" t="s">
        <v>10</v>
      </c>
      <c r="AN139" s="125">
        <f t="shared" si="265"/>
        <v>0.6278134681</v>
      </c>
      <c r="AO139" s="112">
        <f t="shared" si="219"/>
        <v>0.31</v>
      </c>
      <c r="AP139" s="127"/>
      <c r="AQ139" s="128">
        <f t="shared" ref="AQ139:AR139" si="276">BC139/(1-AI139)</f>
        <v>0.527252143</v>
      </c>
      <c r="AR139" s="139">
        <f t="shared" si="276"/>
        <v>0.4813236589</v>
      </c>
      <c r="AS139" s="126">
        <f t="shared" si="221"/>
        <v>0.2555555556</v>
      </c>
      <c r="AT139" s="126">
        <f t="shared" si="222"/>
        <v>0.2333333333</v>
      </c>
      <c r="AU139" s="129"/>
      <c r="AV139" s="39" t="s">
        <v>603</v>
      </c>
      <c r="AW139" s="214"/>
      <c r="AX139" s="214"/>
      <c r="AY139" s="214"/>
      <c r="AZ139" s="214"/>
      <c r="BA139" s="130">
        <v>3.26</v>
      </c>
      <c r="BB139" s="130">
        <v>3.26</v>
      </c>
      <c r="BC139" s="131">
        <f t="shared" si="262"/>
        <v>0.4745269287</v>
      </c>
      <c r="BD139" s="132">
        <f t="shared" si="249"/>
        <v>0.433191293</v>
      </c>
      <c r="BE139" s="133"/>
      <c r="BF139" s="134" t="s">
        <v>576</v>
      </c>
      <c r="BG139" s="40"/>
      <c r="BH139" s="212">
        <f t="shared" si="22"/>
        <v>2.09271156</v>
      </c>
      <c r="BI139" s="212">
        <f t="shared" si="23"/>
        <v>1.255626936</v>
      </c>
      <c r="BJ139" s="212">
        <f t="shared" si="24"/>
        <v>1.04635578</v>
      </c>
      <c r="BK139" s="212">
        <f t="shared" si="25"/>
        <v>0.8370846241</v>
      </c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</row>
    <row r="140" ht="14.25" customHeight="1">
      <c r="A140" s="103" t="s">
        <v>84</v>
      </c>
      <c r="B140" s="103" t="s">
        <v>85</v>
      </c>
      <c r="C140" s="103" t="s">
        <v>120</v>
      </c>
      <c r="D140" s="103" t="s">
        <v>86</v>
      </c>
      <c r="E140" s="104" t="s">
        <v>566</v>
      </c>
      <c r="F140" s="105" t="s">
        <v>619</v>
      </c>
      <c r="G140" s="106" t="s">
        <v>581</v>
      </c>
      <c r="H140" s="110"/>
      <c r="I140" s="107"/>
      <c r="J140" s="220" t="s">
        <v>628</v>
      </c>
      <c r="K140" s="220" t="str">
        <f>_xlfn.XLOOKUP(J140,[1]Sheet1!$A:$A,[1]Sheet1!$B:$B,"")</f>
        <v>#ERROR!</v>
      </c>
      <c r="L140" s="105" t="s">
        <v>629</v>
      </c>
      <c r="M140" s="105" t="s">
        <v>630</v>
      </c>
      <c r="N140" s="110"/>
      <c r="O140" s="104" t="s">
        <v>95</v>
      </c>
      <c r="P140" s="110"/>
      <c r="Q140" s="103" t="s">
        <v>609</v>
      </c>
      <c r="R140" s="110" t="s">
        <v>573</v>
      </c>
      <c r="S140" s="110">
        <v>10368.0</v>
      </c>
      <c r="T140" s="111" t="s">
        <v>631</v>
      </c>
      <c r="U140" s="110" t="s">
        <v>574</v>
      </c>
      <c r="V140" s="112">
        <v>0.023</v>
      </c>
      <c r="W140" s="113">
        <v>45.0</v>
      </c>
      <c r="X140" s="113">
        <v>45.0</v>
      </c>
      <c r="Y140" s="113">
        <v>55.0</v>
      </c>
      <c r="Z140" s="113" t="s">
        <v>596</v>
      </c>
      <c r="AA140" s="114">
        <f t="shared" si="243"/>
        <v>0.7300414287</v>
      </c>
      <c r="AB140" s="115"/>
      <c r="AC140" s="212">
        <f t="shared" si="216"/>
        <v>0.6465541686</v>
      </c>
      <c r="AD140" s="213">
        <f t="shared" si="244"/>
        <v>0.6952195362</v>
      </c>
      <c r="AE140" s="212"/>
      <c r="AF140" s="212" t="str">
        <f t="shared" si="94"/>
        <v>#REF!</v>
      </c>
      <c r="AG140" s="210" t="str">
        <f t="shared" si="95"/>
        <v>#REF!</v>
      </c>
      <c r="AH140" s="120" t="str">
        <f t="shared" si="96"/>
        <v>#REF!</v>
      </c>
      <c r="AI140" s="121">
        <f t="shared" si="237"/>
        <v>0.1</v>
      </c>
      <c r="AJ140" s="121">
        <v>0.1</v>
      </c>
      <c r="AK140" s="122">
        <v>0.33</v>
      </c>
      <c r="AL140" s="123">
        <f t="shared" si="11"/>
        <v>0.2133628756</v>
      </c>
      <c r="AM140" s="122" t="s">
        <v>10</v>
      </c>
      <c r="AN140" s="125">
        <f t="shared" si="265"/>
        <v>0.6465541686</v>
      </c>
      <c r="AO140" s="112">
        <f t="shared" si="219"/>
        <v>0.33</v>
      </c>
      <c r="AP140" s="127"/>
      <c r="AQ140" s="128">
        <f t="shared" ref="AQ140:AR140" si="277">BC140/(1-AI140)</f>
        <v>0.527252143</v>
      </c>
      <c r="AR140" s="139">
        <f t="shared" si="277"/>
        <v>0.4813236589</v>
      </c>
      <c r="AS140" s="126">
        <f t="shared" si="221"/>
        <v>0.2777777778</v>
      </c>
      <c r="AT140" s="126">
        <f t="shared" si="222"/>
        <v>0.2555555556</v>
      </c>
      <c r="AU140" s="129"/>
      <c r="AV140" s="39" t="s">
        <v>603</v>
      </c>
      <c r="AW140" s="214"/>
      <c r="AX140" s="214"/>
      <c r="AY140" s="214"/>
      <c r="AZ140" s="214"/>
      <c r="BA140" s="130">
        <v>3.26</v>
      </c>
      <c r="BB140" s="130">
        <v>3.26</v>
      </c>
      <c r="BC140" s="131">
        <f t="shared" si="262"/>
        <v>0.4745269287</v>
      </c>
      <c r="BD140" s="132">
        <f t="shared" si="249"/>
        <v>0.433191293</v>
      </c>
      <c r="BE140" s="133"/>
      <c r="BF140" s="134" t="s">
        <v>576</v>
      </c>
      <c r="BG140" s="40"/>
      <c r="BH140" s="212">
        <f t="shared" si="22"/>
        <v>2.155180562</v>
      </c>
      <c r="BI140" s="212">
        <f t="shared" si="23"/>
        <v>1.293108337</v>
      </c>
      <c r="BJ140" s="212">
        <f t="shared" si="24"/>
        <v>1.077590281</v>
      </c>
      <c r="BK140" s="212">
        <f t="shared" si="25"/>
        <v>0.8620722248</v>
      </c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CA140" s="49"/>
      <c r="CB140" s="49"/>
      <c r="CC140" s="49"/>
      <c r="CD140" s="49"/>
      <c r="CE140" s="49"/>
      <c r="CF140" s="49"/>
    </row>
    <row r="141" ht="14.25" customHeight="1">
      <c r="A141" s="103" t="s">
        <v>84</v>
      </c>
      <c r="B141" s="103" t="s">
        <v>85</v>
      </c>
      <c r="C141" s="103" t="s">
        <v>120</v>
      </c>
      <c r="D141" s="103" t="s">
        <v>86</v>
      </c>
      <c r="E141" s="104" t="s">
        <v>566</v>
      </c>
      <c r="F141" s="105" t="s">
        <v>619</v>
      </c>
      <c r="G141" s="106" t="s">
        <v>581</v>
      </c>
      <c r="H141" s="110"/>
      <c r="I141" s="107"/>
      <c r="J141" s="220" t="s">
        <v>632</v>
      </c>
      <c r="K141" s="220" t="str">
        <f>_xlfn.XLOOKUP(J141,[1]Sheet1!$A:$A,[1]Sheet1!$B:$B,"")</f>
        <v>#ERROR!</v>
      </c>
      <c r="L141" s="105" t="s">
        <v>633</v>
      </c>
      <c r="M141" s="105" t="s">
        <v>634</v>
      </c>
      <c r="N141" s="110" t="s">
        <v>635</v>
      </c>
      <c r="O141" s="104" t="s">
        <v>95</v>
      </c>
      <c r="P141" s="110"/>
      <c r="Q141" s="103" t="s">
        <v>609</v>
      </c>
      <c r="R141" s="110" t="s">
        <v>573</v>
      </c>
      <c r="S141" s="110">
        <v>10368.0</v>
      </c>
      <c r="T141" s="111" t="s">
        <v>636</v>
      </c>
      <c r="U141" s="110" t="s">
        <v>574</v>
      </c>
      <c r="V141" s="112">
        <v>0.023</v>
      </c>
      <c r="W141" s="113">
        <v>45.0</v>
      </c>
      <c r="X141" s="113">
        <v>45.0</v>
      </c>
      <c r="Y141" s="113">
        <v>55.0</v>
      </c>
      <c r="Z141" s="113" t="s">
        <v>596</v>
      </c>
      <c r="AA141" s="114">
        <f t="shared" si="243"/>
        <v>1.030119807</v>
      </c>
      <c r="AB141" s="115"/>
      <c r="AC141" s="212">
        <f t="shared" si="216"/>
        <v>0.9063984823</v>
      </c>
      <c r="AD141" s="213">
        <f t="shared" si="244"/>
        <v>0.974622024</v>
      </c>
      <c r="AE141" s="212"/>
      <c r="AF141" s="212" t="str">
        <f t="shared" si="94"/>
        <v>#REF!</v>
      </c>
      <c r="AG141" s="210" t="str">
        <f t="shared" si="95"/>
        <v>#REF!</v>
      </c>
      <c r="AH141" s="120" t="str">
        <f t="shared" si="96"/>
        <v>#REF!</v>
      </c>
      <c r="AI141" s="121">
        <f t="shared" si="237"/>
        <v>0.1</v>
      </c>
      <c r="AJ141" s="121">
        <v>0.1</v>
      </c>
      <c r="AK141" s="122">
        <v>0.33</v>
      </c>
      <c r="AL141" s="123">
        <f t="shared" si="11"/>
        <v>0.2991114992</v>
      </c>
      <c r="AM141" s="122" t="s">
        <v>10</v>
      </c>
      <c r="AN141" s="125">
        <f t="shared" si="265"/>
        <v>0.9063984823</v>
      </c>
      <c r="AO141" s="112">
        <f t="shared" si="219"/>
        <v>0.33</v>
      </c>
      <c r="AP141" s="127"/>
      <c r="AQ141" s="128">
        <f t="shared" ref="AQ141:AR141" si="278">BC141/(1-AI141)</f>
        <v>0.7439754165</v>
      </c>
      <c r="AR141" s="139">
        <f t="shared" si="278"/>
        <v>0.6747633146</v>
      </c>
      <c r="AS141" s="126">
        <f t="shared" si="221"/>
        <v>0.2777777778</v>
      </c>
      <c r="AT141" s="126">
        <f t="shared" si="222"/>
        <v>0.2555555556</v>
      </c>
      <c r="AU141" s="129">
        <v>0.65</v>
      </c>
      <c r="AV141" s="39" t="s">
        <v>603</v>
      </c>
      <c r="AW141" s="214"/>
      <c r="AX141" s="214"/>
      <c r="AY141" s="214"/>
      <c r="AZ141" s="214"/>
      <c r="BA141" s="130">
        <v>4.6000000000000005</v>
      </c>
      <c r="BB141" s="130">
        <v>4.6000000000000005</v>
      </c>
      <c r="BC141" s="131">
        <f t="shared" si="262"/>
        <v>0.6695778748</v>
      </c>
      <c r="BD141" s="132">
        <f t="shared" si="249"/>
        <v>0.6072869831</v>
      </c>
      <c r="BE141" s="215" t="s">
        <v>637</v>
      </c>
      <c r="BF141" s="134" t="s">
        <v>576</v>
      </c>
      <c r="BG141" s="40"/>
      <c r="BH141" s="212">
        <f t="shared" si="22"/>
        <v>3.021328274</v>
      </c>
      <c r="BI141" s="212">
        <f t="shared" si="23"/>
        <v>1.812796965</v>
      </c>
      <c r="BJ141" s="212">
        <f t="shared" si="24"/>
        <v>1.510664137</v>
      </c>
      <c r="BK141" s="212">
        <f t="shared" si="25"/>
        <v>1.20853131</v>
      </c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</row>
    <row r="142" ht="14.25" customHeight="1">
      <c r="A142" s="103" t="s">
        <v>84</v>
      </c>
      <c r="B142" s="103" t="s">
        <v>120</v>
      </c>
      <c r="C142" s="103" t="s">
        <v>120</v>
      </c>
      <c r="D142" s="103" t="s">
        <v>86</v>
      </c>
      <c r="E142" s="104" t="s">
        <v>566</v>
      </c>
      <c r="F142" s="105" t="s">
        <v>619</v>
      </c>
      <c r="G142" s="106" t="s">
        <v>577</v>
      </c>
      <c r="H142" s="110"/>
      <c r="I142" s="107"/>
      <c r="J142" s="220" t="s">
        <v>638</v>
      </c>
      <c r="K142" s="220" t="str">
        <f>_xlfn.XLOOKUP(J142,[1]Sheet1!$A:$A,[1]Sheet1!$B:$B,"")</f>
        <v>#ERROR!</v>
      </c>
      <c r="L142" s="105" t="s">
        <v>639</v>
      </c>
      <c r="M142" s="105" t="s">
        <v>640</v>
      </c>
      <c r="N142" s="110"/>
      <c r="O142" s="104" t="s">
        <v>95</v>
      </c>
      <c r="P142" s="110"/>
      <c r="Q142" s="103" t="s">
        <v>641</v>
      </c>
      <c r="R142" s="110" t="s">
        <v>573</v>
      </c>
      <c r="S142" s="110">
        <v>6912.0</v>
      </c>
      <c r="T142" s="111" t="s">
        <v>642</v>
      </c>
      <c r="U142" s="110" t="s">
        <v>574</v>
      </c>
      <c r="V142" s="112">
        <v>0.023</v>
      </c>
      <c r="W142" s="113">
        <v>45.0</v>
      </c>
      <c r="X142" s="113">
        <v>45.0</v>
      </c>
      <c r="Y142" s="113">
        <v>55.0</v>
      </c>
      <c r="Z142" s="113" t="s">
        <v>596</v>
      </c>
      <c r="AA142" s="114">
        <f t="shared" si="243"/>
        <v>1.598610792</v>
      </c>
      <c r="AB142" s="115"/>
      <c r="AC142" s="212">
        <f t="shared" si="216"/>
        <v>1.403017448</v>
      </c>
      <c r="AD142" s="213">
        <f t="shared" si="244"/>
        <v>1.508620912</v>
      </c>
      <c r="AE142" s="212"/>
      <c r="AF142" s="212" t="str">
        <f t="shared" si="94"/>
        <v>#REF!</v>
      </c>
      <c r="AG142" s="210" t="str">
        <f t="shared" si="95"/>
        <v>#REF!</v>
      </c>
      <c r="AH142" s="120" t="str">
        <f t="shared" si="96"/>
        <v>#REF!</v>
      </c>
      <c r="AI142" s="121">
        <f t="shared" si="237"/>
        <v>0.1</v>
      </c>
      <c r="AJ142" s="121">
        <v>0.1</v>
      </c>
      <c r="AK142" s="122">
        <v>0.41000000000000003</v>
      </c>
      <c r="AL142" s="123">
        <f t="shared" si="11"/>
        <v>0.5752371537</v>
      </c>
      <c r="AM142" s="122" t="s">
        <v>6</v>
      </c>
      <c r="AN142" s="111">
        <f t="shared" ref="AN142:AN155" si="280">AC142*(1-$AN$3)</f>
        <v>1.262715703</v>
      </c>
      <c r="AO142" s="112">
        <f t="shared" si="219"/>
        <v>0.3444444444</v>
      </c>
      <c r="AP142" s="127"/>
      <c r="AQ142" s="128">
        <f t="shared" ref="AQ142:AR142" si="279">BC142/(1-AI142)</f>
        <v>1.012453502</v>
      </c>
      <c r="AR142" s="139">
        <f t="shared" si="279"/>
        <v>0.9197558826</v>
      </c>
      <c r="AS142" s="126">
        <f t="shared" si="221"/>
        <v>0.3666666667</v>
      </c>
      <c r="AT142" s="126">
        <f t="shared" si="222"/>
        <v>0.3444444444</v>
      </c>
      <c r="AU142" s="129"/>
      <c r="AV142" s="39" t="s">
        <v>603</v>
      </c>
      <c r="AW142" s="214"/>
      <c r="AX142" s="214"/>
      <c r="AY142" s="214"/>
      <c r="AZ142" s="214"/>
      <c r="BA142" s="130">
        <v>6.26</v>
      </c>
      <c r="BB142" s="130">
        <v>6.26</v>
      </c>
      <c r="BC142" s="131">
        <f t="shared" si="262"/>
        <v>0.9112081514</v>
      </c>
      <c r="BD142" s="132">
        <f t="shared" si="249"/>
        <v>0.8277802943</v>
      </c>
      <c r="BE142" s="133"/>
      <c r="BF142" s="134" t="s">
        <v>576</v>
      </c>
      <c r="BG142" s="49"/>
      <c r="BH142" s="212">
        <f t="shared" si="22"/>
        <v>4.676724827</v>
      </c>
      <c r="BI142" s="212">
        <f t="shared" si="23"/>
        <v>2.806034896</v>
      </c>
      <c r="BJ142" s="212">
        <f t="shared" si="24"/>
        <v>2.338362413</v>
      </c>
      <c r="BK142" s="212">
        <f t="shared" si="25"/>
        <v>1.870689931</v>
      </c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</row>
    <row r="143" ht="14.25" customHeight="1">
      <c r="A143" s="103" t="s">
        <v>84</v>
      </c>
      <c r="B143" s="103" t="s">
        <v>85</v>
      </c>
      <c r="C143" s="103" t="s">
        <v>85</v>
      </c>
      <c r="D143" s="103" t="s">
        <v>86</v>
      </c>
      <c r="E143" s="104" t="s">
        <v>566</v>
      </c>
      <c r="F143" s="105" t="s">
        <v>619</v>
      </c>
      <c r="G143" s="106" t="s">
        <v>577</v>
      </c>
      <c r="H143" s="110"/>
      <c r="I143" s="107"/>
      <c r="J143" s="220" t="s">
        <v>643</v>
      </c>
      <c r="K143" s="220" t="str">
        <f>_xlfn.XLOOKUP(J143,[1]Sheet1!$A:$A,[1]Sheet1!$B:$B,"")</f>
        <v>#ERROR!</v>
      </c>
      <c r="L143" s="105" t="s">
        <v>644</v>
      </c>
      <c r="M143" s="105" t="s">
        <v>645</v>
      </c>
      <c r="N143" s="110"/>
      <c r="O143" s="104" t="s">
        <v>95</v>
      </c>
      <c r="P143" s="110"/>
      <c r="Q143" s="103" t="s">
        <v>506</v>
      </c>
      <c r="R143" s="110" t="s">
        <v>573</v>
      </c>
      <c r="S143" s="110">
        <v>8064.0</v>
      </c>
      <c r="T143" s="111" t="s">
        <v>646</v>
      </c>
      <c r="U143" s="110" t="s">
        <v>574</v>
      </c>
      <c r="V143" s="112">
        <v>0.023</v>
      </c>
      <c r="W143" s="113">
        <v>45.0</v>
      </c>
      <c r="X143" s="113">
        <v>45.0</v>
      </c>
      <c r="Y143" s="113">
        <v>55.0</v>
      </c>
      <c r="Z143" s="113" t="s">
        <v>596</v>
      </c>
      <c r="AA143" s="114">
        <f t="shared" si="243"/>
        <v>1.578181261</v>
      </c>
      <c r="AB143" s="115"/>
      <c r="AC143" s="212">
        <f t="shared" si="216"/>
        <v>1.381897835</v>
      </c>
      <c r="AD143" s="213">
        <f t="shared" si="244"/>
        <v>1.485911651</v>
      </c>
      <c r="AE143" s="212"/>
      <c r="AF143" s="212" t="str">
        <f t="shared" si="94"/>
        <v>#REF!</v>
      </c>
      <c r="AG143" s="210" t="str">
        <f t="shared" si="95"/>
        <v>#REF!</v>
      </c>
      <c r="AH143" s="120" t="str">
        <f t="shared" si="96"/>
        <v>#REF!</v>
      </c>
      <c r="AI143" s="121">
        <f t="shared" si="237"/>
        <v>0.1</v>
      </c>
      <c r="AJ143" s="121">
        <v>0.1</v>
      </c>
      <c r="AK143" s="122">
        <v>0.41000000000000003</v>
      </c>
      <c r="AL143" s="123">
        <f t="shared" si="11"/>
        <v>0.5665781125</v>
      </c>
      <c r="AM143" s="122" t="s">
        <v>6</v>
      </c>
      <c r="AN143" s="111">
        <f t="shared" si="280"/>
        <v>1.243708052</v>
      </c>
      <c r="AO143" s="112">
        <f t="shared" si="219"/>
        <v>0.3444444444</v>
      </c>
      <c r="AP143" s="127"/>
      <c r="AQ143" s="128">
        <f t="shared" ref="AQ143:AR143" si="281">BC143/(1-AI143)</f>
        <v>0.9995147986</v>
      </c>
      <c r="AR143" s="139">
        <f t="shared" si="281"/>
        <v>0.9059108031</v>
      </c>
      <c r="AS143" s="126">
        <f t="shared" si="221"/>
        <v>0.3666666667</v>
      </c>
      <c r="AT143" s="126">
        <f t="shared" si="222"/>
        <v>0.3444444444</v>
      </c>
      <c r="AU143" s="129"/>
      <c r="AV143" s="39" t="s">
        <v>603</v>
      </c>
      <c r="AW143" s="214"/>
      <c r="AX143" s="214"/>
      <c r="AY143" s="214"/>
      <c r="AZ143" s="214"/>
      <c r="BA143" s="130">
        <v>6.18</v>
      </c>
      <c r="BB143" s="130">
        <v>6.18</v>
      </c>
      <c r="BC143" s="131">
        <f t="shared" si="262"/>
        <v>0.8995633188</v>
      </c>
      <c r="BD143" s="132">
        <f t="shared" si="249"/>
        <v>0.8153197228</v>
      </c>
      <c r="BE143" s="39"/>
      <c r="BF143" s="134" t="s">
        <v>576</v>
      </c>
      <c r="BG143" s="49"/>
      <c r="BH143" s="212">
        <f t="shared" si="22"/>
        <v>4.606326118</v>
      </c>
      <c r="BI143" s="212">
        <f t="shared" si="23"/>
        <v>2.763795671</v>
      </c>
      <c r="BJ143" s="212">
        <f t="shared" si="24"/>
        <v>2.303163059</v>
      </c>
      <c r="BK143" s="212">
        <f t="shared" si="25"/>
        <v>1.842530447</v>
      </c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</row>
    <row r="144" ht="14.25" customHeight="1">
      <c r="A144" s="103" t="s">
        <v>84</v>
      </c>
      <c r="B144" s="103" t="s">
        <v>120</v>
      </c>
      <c r="C144" s="103" t="s">
        <v>120</v>
      </c>
      <c r="D144" s="103" t="s">
        <v>86</v>
      </c>
      <c r="E144" s="104" t="s">
        <v>566</v>
      </c>
      <c r="F144" s="105" t="s">
        <v>619</v>
      </c>
      <c r="G144" s="106" t="s">
        <v>577</v>
      </c>
      <c r="H144" s="110"/>
      <c r="I144" s="107"/>
      <c r="J144" s="220" t="s">
        <v>647</v>
      </c>
      <c r="K144" s="220" t="str">
        <f>_xlfn.XLOOKUP(J144,[1]Sheet1!$A:$A,[1]Sheet1!$B:$B,"")</f>
        <v>#ERROR!</v>
      </c>
      <c r="L144" s="105" t="s">
        <v>648</v>
      </c>
      <c r="M144" s="105" t="s">
        <v>649</v>
      </c>
      <c r="N144" s="110"/>
      <c r="O144" s="104" t="s">
        <v>95</v>
      </c>
      <c r="P144" s="110"/>
      <c r="Q144" s="103" t="s">
        <v>614</v>
      </c>
      <c r="R144" s="110" t="s">
        <v>573</v>
      </c>
      <c r="S144" s="110">
        <v>10368.0</v>
      </c>
      <c r="T144" s="111" t="s">
        <v>650</v>
      </c>
      <c r="U144" s="110" t="s">
        <v>574</v>
      </c>
      <c r="V144" s="112">
        <v>0.023</v>
      </c>
      <c r="W144" s="113">
        <v>45.0</v>
      </c>
      <c r="X144" s="113">
        <v>45.0</v>
      </c>
      <c r="Y144" s="113">
        <v>55.0</v>
      </c>
      <c r="Z144" s="113" t="s">
        <v>596</v>
      </c>
      <c r="AA144" s="114">
        <f t="shared" si="243"/>
        <v>1.552644347</v>
      </c>
      <c r="AB144" s="115"/>
      <c r="AC144" s="212">
        <f t="shared" si="216"/>
        <v>1.355206399</v>
      </c>
      <c r="AD144" s="213">
        <f t="shared" si="244"/>
        <v>1.457211181</v>
      </c>
      <c r="AE144" s="212"/>
      <c r="AF144" s="212" t="str">
        <f t="shared" si="94"/>
        <v>#REF!</v>
      </c>
      <c r="AG144" s="210" t="str">
        <f t="shared" si="95"/>
        <v>#REF!</v>
      </c>
      <c r="AH144" s="120" t="str">
        <f t="shared" si="96"/>
        <v>#REF!</v>
      </c>
      <c r="AI144" s="121">
        <f t="shared" si="237"/>
        <v>0.1</v>
      </c>
      <c r="AJ144" s="121">
        <v>0.1</v>
      </c>
      <c r="AK144" s="122">
        <v>0.41000000000000003</v>
      </c>
      <c r="AL144" s="123">
        <f t="shared" si="11"/>
        <v>0.5556346235</v>
      </c>
      <c r="AM144" s="122" t="s">
        <v>6</v>
      </c>
      <c r="AN144" s="111">
        <f t="shared" si="280"/>
        <v>1.219685759</v>
      </c>
      <c r="AO144" s="112">
        <f t="shared" si="219"/>
        <v>0.3444444444</v>
      </c>
      <c r="AP144" s="127"/>
      <c r="AQ144" s="128">
        <f t="shared" ref="AQ144:AR144" si="282">BC144/(1-AI144)</f>
        <v>0.98334142</v>
      </c>
      <c r="AR144" s="139">
        <f t="shared" si="282"/>
        <v>0.8884130836</v>
      </c>
      <c r="AS144" s="126">
        <f t="shared" si="221"/>
        <v>0.3666666667</v>
      </c>
      <c r="AT144" s="126">
        <f t="shared" si="222"/>
        <v>0.3444444444</v>
      </c>
      <c r="AU144" s="129"/>
      <c r="AV144" s="39" t="s">
        <v>603</v>
      </c>
      <c r="AW144" s="214"/>
      <c r="AX144" s="214"/>
      <c r="AY144" s="214"/>
      <c r="AZ144" s="214"/>
      <c r="BA144" s="130">
        <v>6.08</v>
      </c>
      <c r="BB144" s="130">
        <v>6.08</v>
      </c>
      <c r="BC144" s="131">
        <f t="shared" si="262"/>
        <v>0.885007278</v>
      </c>
      <c r="BD144" s="132">
        <f t="shared" si="249"/>
        <v>0.7995717752</v>
      </c>
      <c r="BE144" s="133"/>
      <c r="BF144" s="134" t="s">
        <v>576</v>
      </c>
      <c r="BG144" s="49"/>
      <c r="BH144" s="212">
        <f t="shared" si="22"/>
        <v>4.517354662</v>
      </c>
      <c r="BI144" s="212">
        <f t="shared" si="23"/>
        <v>2.710412797</v>
      </c>
      <c r="BJ144" s="212">
        <f t="shared" si="24"/>
        <v>2.258677331</v>
      </c>
      <c r="BK144" s="212">
        <f t="shared" si="25"/>
        <v>1.806941865</v>
      </c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</row>
    <row r="145" ht="14.25" customHeight="1">
      <c r="A145" s="103" t="s">
        <v>84</v>
      </c>
      <c r="B145" s="103" t="s">
        <v>85</v>
      </c>
      <c r="C145" s="103" t="s">
        <v>120</v>
      </c>
      <c r="D145" s="103" t="s">
        <v>86</v>
      </c>
      <c r="E145" s="104" t="s">
        <v>566</v>
      </c>
      <c r="F145" s="105" t="s">
        <v>619</v>
      </c>
      <c r="G145" s="106" t="s">
        <v>577</v>
      </c>
      <c r="H145" s="110"/>
      <c r="I145" s="107"/>
      <c r="J145" s="220" t="s">
        <v>651</v>
      </c>
      <c r="K145" s="220" t="str">
        <f>_xlfn.XLOOKUP(J145,[1]Sheet1!$A:$A,[1]Sheet1!$B:$B,"")</f>
        <v>#ERROR!</v>
      </c>
      <c r="L145" s="105" t="s">
        <v>652</v>
      </c>
      <c r="M145" s="105" t="s">
        <v>653</v>
      </c>
      <c r="N145" s="110" t="s">
        <v>635</v>
      </c>
      <c r="O145" s="104" t="s">
        <v>95</v>
      </c>
      <c r="P145" s="110"/>
      <c r="Q145" s="103" t="s">
        <v>506</v>
      </c>
      <c r="R145" s="110" t="s">
        <v>573</v>
      </c>
      <c r="S145" s="110">
        <v>8064.0</v>
      </c>
      <c r="T145" s="111" t="s">
        <v>654</v>
      </c>
      <c r="U145" s="110" t="s">
        <v>574</v>
      </c>
      <c r="V145" s="112">
        <v>0.023</v>
      </c>
      <c r="W145" s="113">
        <v>45.0</v>
      </c>
      <c r="X145" s="113">
        <v>45.0</v>
      </c>
      <c r="Y145" s="113">
        <v>55.0</v>
      </c>
      <c r="Z145" s="113" t="s">
        <v>596</v>
      </c>
      <c r="AA145" s="114">
        <f t="shared" si="243"/>
        <v>1.788313579</v>
      </c>
      <c r="AB145" s="115"/>
      <c r="AC145" s="212">
        <f t="shared" si="216"/>
        <v>1.566151212</v>
      </c>
      <c r="AD145" s="213">
        <f t="shared" si="244"/>
        <v>1.684033561</v>
      </c>
      <c r="AE145" s="212"/>
      <c r="AF145" s="212" t="str">
        <f t="shared" si="94"/>
        <v>#REF!</v>
      </c>
      <c r="AG145" s="210" t="str">
        <f t="shared" si="95"/>
        <v>#REF!</v>
      </c>
      <c r="AH145" s="120" t="str">
        <f t="shared" si="96"/>
        <v>#REF!</v>
      </c>
      <c r="AI145" s="121">
        <f t="shared" si="237"/>
        <v>0.1</v>
      </c>
      <c r="AJ145" s="121">
        <v>0.1</v>
      </c>
      <c r="AK145" s="122">
        <v>0.35000000000000003</v>
      </c>
      <c r="AL145" s="123">
        <f t="shared" si="11"/>
        <v>0.548152924</v>
      </c>
      <c r="AM145" s="122" t="s">
        <v>6</v>
      </c>
      <c r="AN145" s="111">
        <f t="shared" si="280"/>
        <v>1.40953609</v>
      </c>
      <c r="AO145" s="112">
        <f t="shared" si="219"/>
        <v>0.2777777778</v>
      </c>
      <c r="AP145" s="127"/>
      <c r="AQ145" s="128">
        <f t="shared" ref="AQ145:AR145" si="283">BC145/(1-AI145)</f>
        <v>1.251819505</v>
      </c>
      <c r="AR145" s="139">
        <f t="shared" si="283"/>
        <v>1.131109208</v>
      </c>
      <c r="AS145" s="126">
        <f t="shared" si="221"/>
        <v>0.3</v>
      </c>
      <c r="AT145" s="126">
        <f t="shared" si="222"/>
        <v>0.2777777778</v>
      </c>
      <c r="AU145" s="129"/>
      <c r="AV145" s="39" t="s">
        <v>603</v>
      </c>
      <c r="AW145" s="214"/>
      <c r="AX145" s="214"/>
      <c r="AY145" s="214"/>
      <c r="AZ145" s="214"/>
      <c r="BA145" s="130">
        <v>7.74</v>
      </c>
      <c r="BB145" s="130">
        <v>7.74</v>
      </c>
      <c r="BC145" s="131">
        <f t="shared" si="262"/>
        <v>1.126637555</v>
      </c>
      <c r="BD145" s="132">
        <f t="shared" si="249"/>
        <v>1.017998287</v>
      </c>
      <c r="BE145" s="215" t="s">
        <v>637</v>
      </c>
      <c r="BF145" s="134" t="s">
        <v>576</v>
      </c>
      <c r="BG145" s="49"/>
      <c r="BH145" s="212">
        <f t="shared" si="22"/>
        <v>5.220504038</v>
      </c>
      <c r="BI145" s="212">
        <f t="shared" si="23"/>
        <v>3.132302423</v>
      </c>
      <c r="BJ145" s="212">
        <f t="shared" si="24"/>
        <v>2.610252019</v>
      </c>
      <c r="BK145" s="212">
        <f t="shared" si="25"/>
        <v>2.088201615</v>
      </c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</row>
    <row r="146" ht="14.25" customHeight="1">
      <c r="A146" s="103" t="s">
        <v>84</v>
      </c>
      <c r="B146" s="103" t="s">
        <v>85</v>
      </c>
      <c r="C146" s="103" t="s">
        <v>120</v>
      </c>
      <c r="D146" s="103" t="s">
        <v>86</v>
      </c>
      <c r="E146" s="104" t="s">
        <v>566</v>
      </c>
      <c r="F146" s="105" t="s">
        <v>619</v>
      </c>
      <c r="G146" s="106" t="s">
        <v>577</v>
      </c>
      <c r="H146" s="110"/>
      <c r="I146" s="107"/>
      <c r="J146" s="220" t="s">
        <v>655</v>
      </c>
      <c r="K146" s="220" t="str">
        <f>_xlfn.XLOOKUP(J146,[1]Sheet1!$A:$A,[1]Sheet1!$B:$B,"")</f>
        <v>#ERROR!</v>
      </c>
      <c r="L146" s="105" t="s">
        <v>656</v>
      </c>
      <c r="M146" s="105" t="s">
        <v>657</v>
      </c>
      <c r="N146" s="110" t="s">
        <v>635</v>
      </c>
      <c r="O146" s="104" t="s">
        <v>95</v>
      </c>
      <c r="P146" s="110"/>
      <c r="Q146" s="103" t="s">
        <v>614</v>
      </c>
      <c r="R146" s="110" t="s">
        <v>573</v>
      </c>
      <c r="S146" s="110">
        <v>10368.0</v>
      </c>
      <c r="T146" s="111" t="s">
        <v>658</v>
      </c>
      <c r="U146" s="110" t="s">
        <v>574</v>
      </c>
      <c r="V146" s="112">
        <v>0.023</v>
      </c>
      <c r="W146" s="113">
        <v>45.0</v>
      </c>
      <c r="X146" s="113">
        <v>45.0</v>
      </c>
      <c r="Y146" s="113">
        <v>55.0</v>
      </c>
      <c r="Z146" s="113" t="s">
        <v>596</v>
      </c>
      <c r="AA146" s="114">
        <f t="shared" si="243"/>
        <v>1.765208752</v>
      </c>
      <c r="AB146" s="115"/>
      <c r="AC146" s="212">
        <f t="shared" si="216"/>
        <v>1.5419236</v>
      </c>
      <c r="AD146" s="213">
        <f t="shared" si="244"/>
        <v>1.657982365</v>
      </c>
      <c r="AE146" s="212"/>
      <c r="AF146" s="212" t="str">
        <f t="shared" si="94"/>
        <v>#REF!</v>
      </c>
      <c r="AG146" s="210" t="str">
        <f t="shared" si="95"/>
        <v>#REF!</v>
      </c>
      <c r="AH146" s="120" t="str">
        <f t="shared" si="96"/>
        <v>#REF!</v>
      </c>
      <c r="AI146" s="121">
        <f t="shared" si="237"/>
        <v>0.1</v>
      </c>
      <c r="AJ146" s="121">
        <v>0.1</v>
      </c>
      <c r="AK146" s="122">
        <v>0.35000000000000003</v>
      </c>
      <c r="AL146" s="123">
        <f t="shared" si="11"/>
        <v>0.5396732599</v>
      </c>
      <c r="AM146" s="122" t="s">
        <v>6</v>
      </c>
      <c r="AN146" s="111">
        <f t="shared" si="280"/>
        <v>1.38773124</v>
      </c>
      <c r="AO146" s="112">
        <f t="shared" si="219"/>
        <v>0.2777777778</v>
      </c>
      <c r="AP146" s="127"/>
      <c r="AQ146" s="128">
        <f t="shared" ref="AQ146:AR146" si="284">BC146/(1-AI146)</f>
        <v>1.235646126</v>
      </c>
      <c r="AR146" s="139">
        <f t="shared" si="284"/>
        <v>1.113611489</v>
      </c>
      <c r="AS146" s="126">
        <f t="shared" si="221"/>
        <v>0.3</v>
      </c>
      <c r="AT146" s="126">
        <f t="shared" si="222"/>
        <v>0.2777777778</v>
      </c>
      <c r="AU146" s="129"/>
      <c r="AV146" s="39" t="s">
        <v>603</v>
      </c>
      <c r="AW146" s="214"/>
      <c r="AX146" s="214"/>
      <c r="AY146" s="214"/>
      <c r="AZ146" s="214"/>
      <c r="BA146" s="130">
        <v>7.640000000000001</v>
      </c>
      <c r="BB146" s="130">
        <v>7.640000000000001</v>
      </c>
      <c r="BC146" s="131">
        <f t="shared" si="262"/>
        <v>1.112081514</v>
      </c>
      <c r="BD146" s="132">
        <f t="shared" si="249"/>
        <v>1.00225034</v>
      </c>
      <c r="BE146" s="215" t="s">
        <v>637</v>
      </c>
      <c r="BF146" s="134" t="s">
        <v>576</v>
      </c>
      <c r="BG146" s="49"/>
      <c r="BH146" s="212">
        <f t="shared" si="22"/>
        <v>5.139745333</v>
      </c>
      <c r="BI146" s="212">
        <f t="shared" si="23"/>
        <v>3.0838472</v>
      </c>
      <c r="BJ146" s="212">
        <f t="shared" si="24"/>
        <v>2.569872666</v>
      </c>
      <c r="BK146" s="212">
        <f t="shared" si="25"/>
        <v>2.055898133</v>
      </c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CA146" s="49"/>
      <c r="CB146" s="49"/>
      <c r="CC146" s="49"/>
      <c r="CD146" s="49"/>
      <c r="CE146" s="49"/>
      <c r="CF146" s="49"/>
    </row>
    <row r="147" ht="14.25" customHeight="1">
      <c r="A147" s="103" t="s">
        <v>84</v>
      </c>
      <c r="B147" s="103" t="s">
        <v>85</v>
      </c>
      <c r="C147" s="103" t="s">
        <v>120</v>
      </c>
      <c r="D147" s="103" t="s">
        <v>86</v>
      </c>
      <c r="E147" s="104" t="s">
        <v>566</v>
      </c>
      <c r="F147" s="105" t="s">
        <v>659</v>
      </c>
      <c r="G147" s="106" t="s">
        <v>581</v>
      </c>
      <c r="H147" s="110"/>
      <c r="I147" s="107"/>
      <c r="J147" s="220" t="s">
        <v>660</v>
      </c>
      <c r="K147" s="220" t="str">
        <f>_xlfn.XLOOKUP(J147,[1]Sheet1!$A:$A,[1]Sheet1!$B:$B,"")</f>
        <v>#ERROR!</v>
      </c>
      <c r="L147" s="105" t="s">
        <v>661</v>
      </c>
      <c r="M147" s="105" t="s">
        <v>662</v>
      </c>
      <c r="N147" s="110"/>
      <c r="O147" s="104" t="s">
        <v>95</v>
      </c>
      <c r="P147" s="110"/>
      <c r="Q147" s="103" t="s">
        <v>614</v>
      </c>
      <c r="R147" s="110" t="s">
        <v>573</v>
      </c>
      <c r="S147" s="110">
        <v>10368.0</v>
      </c>
      <c r="T147" s="111" t="s">
        <v>663</v>
      </c>
      <c r="U147" s="110" t="s">
        <v>574</v>
      </c>
      <c r="V147" s="112">
        <v>0.023</v>
      </c>
      <c r="W147" s="113">
        <v>45.0</v>
      </c>
      <c r="X147" s="113">
        <v>45.0</v>
      </c>
      <c r="Y147" s="113">
        <v>55.0</v>
      </c>
      <c r="Z147" s="113" t="s">
        <v>596</v>
      </c>
      <c r="AA147" s="114">
        <f t="shared" si="243"/>
        <v>1.049868766</v>
      </c>
      <c r="AB147" s="115"/>
      <c r="AC147" s="212">
        <f t="shared" si="216"/>
        <v>0.9231886107</v>
      </c>
      <c r="AD147" s="213">
        <f t="shared" si="244"/>
        <v>0.9926759255</v>
      </c>
      <c r="AE147" s="212"/>
      <c r="AF147" s="212" t="str">
        <f t="shared" si="94"/>
        <v>#REF!</v>
      </c>
      <c r="AG147" s="210" t="str">
        <f t="shared" si="95"/>
        <v>#REF!</v>
      </c>
      <c r="AH147" s="120" t="str">
        <f t="shared" si="96"/>
        <v>#REF!</v>
      </c>
      <c r="AI147" s="121">
        <f t="shared" si="237"/>
        <v>0.1</v>
      </c>
      <c r="AJ147" s="121">
        <v>0.1</v>
      </c>
      <c r="AK147" s="122">
        <v>0.34500000000000003</v>
      </c>
      <c r="AL147" s="123">
        <f t="shared" si="11"/>
        <v>0.3185000707</v>
      </c>
      <c r="AM147" s="122" t="s">
        <v>6</v>
      </c>
      <c r="AN147" s="111">
        <f t="shared" si="280"/>
        <v>0.8308697496</v>
      </c>
      <c r="AO147" s="112">
        <f t="shared" si="219"/>
        <v>0.2722222222</v>
      </c>
      <c r="AP147" s="127"/>
      <c r="AQ147" s="128">
        <f t="shared" ref="AQ147:AR147" si="285">BC147/(1-AI147)</f>
        <v>0.7407407407</v>
      </c>
      <c r="AR147" s="139">
        <f t="shared" si="285"/>
        <v>0.6718761555</v>
      </c>
      <c r="AS147" s="126">
        <f t="shared" si="221"/>
        <v>0.2944444444</v>
      </c>
      <c r="AT147" s="126">
        <f t="shared" si="222"/>
        <v>0.2722222222</v>
      </c>
      <c r="AU147" s="129"/>
      <c r="AV147" s="39" t="s">
        <v>603</v>
      </c>
      <c r="AW147" s="214"/>
      <c r="AX147" s="214"/>
      <c r="AY147" s="214"/>
      <c r="AZ147" s="214"/>
      <c r="BA147" s="130">
        <v>4.58</v>
      </c>
      <c r="BB147" s="130">
        <v>4.58</v>
      </c>
      <c r="BC147" s="131">
        <f t="shared" si="262"/>
        <v>0.6666666667</v>
      </c>
      <c r="BD147" s="132">
        <f t="shared" si="249"/>
        <v>0.60468854</v>
      </c>
      <c r="BE147" s="133"/>
      <c r="BF147" s="134" t="s">
        <v>576</v>
      </c>
      <c r="BG147" s="49"/>
      <c r="BH147" s="212">
        <f t="shared" si="22"/>
        <v>3.077295369</v>
      </c>
      <c r="BI147" s="212">
        <f t="shared" si="23"/>
        <v>1.846377221</v>
      </c>
      <c r="BJ147" s="212">
        <f t="shared" si="24"/>
        <v>1.538647684</v>
      </c>
      <c r="BK147" s="212">
        <f t="shared" si="25"/>
        <v>1.230918148</v>
      </c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</row>
    <row r="148" ht="14.25" customHeight="1">
      <c r="A148" s="103" t="s">
        <v>84</v>
      </c>
      <c r="B148" s="103" t="s">
        <v>85</v>
      </c>
      <c r="C148" s="103" t="s">
        <v>120</v>
      </c>
      <c r="D148" s="103" t="s">
        <v>86</v>
      </c>
      <c r="E148" s="104" t="s">
        <v>566</v>
      </c>
      <c r="F148" s="105" t="s">
        <v>659</v>
      </c>
      <c r="G148" s="106" t="s">
        <v>581</v>
      </c>
      <c r="H148" s="110"/>
      <c r="I148" s="107"/>
      <c r="J148" s="220" t="s">
        <v>664</v>
      </c>
      <c r="K148" s="220" t="str">
        <f>_xlfn.XLOOKUP(J148,[1]Sheet1!$A:$A,[1]Sheet1!$B:$B,"")</f>
        <v>#ERROR!</v>
      </c>
      <c r="L148" s="105" t="s">
        <v>665</v>
      </c>
      <c r="M148" s="105" t="s">
        <v>666</v>
      </c>
      <c r="N148" s="110" t="s">
        <v>667</v>
      </c>
      <c r="O148" s="104" t="s">
        <v>95</v>
      </c>
      <c r="P148" s="110"/>
      <c r="Q148" s="103" t="s">
        <v>641</v>
      </c>
      <c r="R148" s="110" t="s">
        <v>573</v>
      </c>
      <c r="S148" s="110">
        <v>6912.0</v>
      </c>
      <c r="T148" s="111"/>
      <c r="U148" s="110" t="s">
        <v>574</v>
      </c>
      <c r="V148" s="112">
        <v>0.023</v>
      </c>
      <c r="W148" s="113">
        <v>45.0</v>
      </c>
      <c r="X148" s="113">
        <v>45.0</v>
      </c>
      <c r="Y148" s="113">
        <v>55.0</v>
      </c>
      <c r="Z148" s="113" t="s">
        <v>596</v>
      </c>
      <c r="AA148" s="114">
        <f t="shared" si="243"/>
        <v>1.503366084</v>
      </c>
      <c r="AB148" s="115"/>
      <c r="AC148" s="212">
        <f t="shared" si="216"/>
        <v>1.323110681</v>
      </c>
      <c r="AD148" s="213">
        <f t="shared" si="244"/>
        <v>1.422699657</v>
      </c>
      <c r="AE148" s="212"/>
      <c r="AF148" s="212" t="str">
        <f t="shared" si="94"/>
        <v>#REF!</v>
      </c>
      <c r="AG148" s="210" t="str">
        <f t="shared" si="95"/>
        <v>#REF!</v>
      </c>
      <c r="AH148" s="120" t="str">
        <f t="shared" si="96"/>
        <v>#REF!</v>
      </c>
      <c r="AI148" s="121">
        <f t="shared" si="237"/>
        <v>0.1</v>
      </c>
      <c r="AJ148" s="121">
        <v>0.1</v>
      </c>
      <c r="AK148" s="122">
        <v>0.34</v>
      </c>
      <c r="AL148" s="123">
        <f t="shared" si="11"/>
        <v>0.4498576314</v>
      </c>
      <c r="AM148" s="122" t="s">
        <v>6</v>
      </c>
      <c r="AN148" s="111">
        <f t="shared" si="280"/>
        <v>1.190799613</v>
      </c>
      <c r="AO148" s="112">
        <f t="shared" si="219"/>
        <v>0.2666666667</v>
      </c>
      <c r="AP148" s="127"/>
      <c r="AQ148" s="128">
        <f t="shared" ref="AQ148:AR148" si="286">BC148/(1-AI148)</f>
        <v>1.069060327</v>
      </c>
      <c r="AR148" s="139">
        <f t="shared" si="286"/>
        <v>0.9702811658</v>
      </c>
      <c r="AS148" s="126">
        <f t="shared" si="221"/>
        <v>0.2888888889</v>
      </c>
      <c r="AT148" s="126">
        <f t="shared" si="222"/>
        <v>0.2666666667</v>
      </c>
      <c r="AU148" s="129"/>
      <c r="AV148" s="39" t="s">
        <v>603</v>
      </c>
      <c r="AW148" s="214"/>
      <c r="AX148" s="214"/>
      <c r="AY148" s="214"/>
      <c r="AZ148" s="214"/>
      <c r="BA148" s="130">
        <v>6.609999999999999</v>
      </c>
      <c r="BB148" s="130">
        <v>6.609999999999999</v>
      </c>
      <c r="BC148" s="131">
        <f t="shared" si="262"/>
        <v>0.962154294</v>
      </c>
      <c r="BD148" s="132">
        <f t="shared" si="249"/>
        <v>0.8732530492</v>
      </c>
      <c r="BE148" s="215" t="s">
        <v>637</v>
      </c>
      <c r="BF148" s="134" t="s">
        <v>576</v>
      </c>
      <c r="BG148" s="49"/>
      <c r="BH148" s="212">
        <f t="shared" si="22"/>
        <v>4.410368935</v>
      </c>
      <c r="BI148" s="212">
        <f t="shared" si="23"/>
        <v>2.646221361</v>
      </c>
      <c r="BJ148" s="212">
        <f t="shared" si="24"/>
        <v>2.205184468</v>
      </c>
      <c r="BK148" s="212">
        <f t="shared" si="25"/>
        <v>1.764147574</v>
      </c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</row>
    <row r="149" ht="14.25" customHeight="1">
      <c r="A149" s="103" t="s">
        <v>84</v>
      </c>
      <c r="B149" s="103" t="s">
        <v>85</v>
      </c>
      <c r="C149" s="103" t="s">
        <v>120</v>
      </c>
      <c r="D149" s="103" t="s">
        <v>86</v>
      </c>
      <c r="E149" s="104" t="s">
        <v>566</v>
      </c>
      <c r="F149" s="105" t="s">
        <v>659</v>
      </c>
      <c r="G149" s="106" t="s">
        <v>581</v>
      </c>
      <c r="H149" s="110"/>
      <c r="I149" s="107"/>
      <c r="J149" s="220" t="s">
        <v>668</v>
      </c>
      <c r="K149" s="220" t="str">
        <f>_xlfn.XLOOKUP(J149,[1]Sheet1!$A:$A,[1]Sheet1!$B:$B,"")</f>
        <v>#ERROR!</v>
      </c>
      <c r="L149" s="105" t="s">
        <v>669</v>
      </c>
      <c r="M149" s="105" t="s">
        <v>670</v>
      </c>
      <c r="N149" s="110" t="s">
        <v>667</v>
      </c>
      <c r="O149" s="104" t="s">
        <v>95</v>
      </c>
      <c r="P149" s="110"/>
      <c r="Q149" s="103" t="s">
        <v>609</v>
      </c>
      <c r="R149" s="110" t="s">
        <v>573</v>
      </c>
      <c r="S149" s="110">
        <v>10368.0</v>
      </c>
      <c r="T149" s="111" t="s">
        <v>671</v>
      </c>
      <c r="U149" s="110" t="s">
        <v>574</v>
      </c>
      <c r="V149" s="112">
        <v>0.023</v>
      </c>
      <c r="W149" s="113">
        <v>45.0</v>
      </c>
      <c r="X149" s="113">
        <v>45.0</v>
      </c>
      <c r="Y149" s="113">
        <v>55.0</v>
      </c>
      <c r="Z149" s="113" t="s">
        <v>596</v>
      </c>
      <c r="AA149" s="114">
        <f t="shared" si="243"/>
        <v>1.46242722</v>
      </c>
      <c r="AB149" s="115"/>
      <c r="AC149" s="212">
        <f t="shared" si="216"/>
        <v>1.2803705</v>
      </c>
      <c r="AD149" s="213">
        <f t="shared" si="244"/>
        <v>1.376742473</v>
      </c>
      <c r="AE149" s="212"/>
      <c r="AF149" s="212" t="str">
        <f t="shared" si="94"/>
        <v>#REF!</v>
      </c>
      <c r="AG149" s="210" t="str">
        <f t="shared" si="95"/>
        <v>#REF!</v>
      </c>
      <c r="AH149" s="120" t="str">
        <f t="shared" si="96"/>
        <v>#REF!</v>
      </c>
      <c r="AI149" s="121">
        <f t="shared" si="237"/>
        <v>0.1</v>
      </c>
      <c r="AJ149" s="121">
        <v>0.1</v>
      </c>
      <c r="AK149" s="122">
        <v>0.34</v>
      </c>
      <c r="AL149" s="123">
        <f t="shared" si="11"/>
        <v>0.4353259701</v>
      </c>
      <c r="AM149" s="122" t="s">
        <v>6</v>
      </c>
      <c r="AN149" s="111">
        <f t="shared" si="280"/>
        <v>1.15233345</v>
      </c>
      <c r="AO149" s="112">
        <f t="shared" si="219"/>
        <v>0.2666666667</v>
      </c>
      <c r="AP149" s="127"/>
      <c r="AQ149" s="128">
        <f t="shared" ref="AQ149:AR149" si="287">BC149/(1-AI149)</f>
        <v>1.039948245</v>
      </c>
      <c r="AR149" s="139">
        <f t="shared" si="287"/>
        <v>0.9389383668</v>
      </c>
      <c r="AS149" s="126">
        <f t="shared" si="221"/>
        <v>0.2888888889</v>
      </c>
      <c r="AT149" s="126">
        <f t="shared" si="222"/>
        <v>0.2666666667</v>
      </c>
      <c r="AU149" s="129">
        <v>0.93</v>
      </c>
      <c r="AV149" s="39" t="s">
        <v>603</v>
      </c>
      <c r="AW149" s="214"/>
      <c r="AX149" s="214"/>
      <c r="AY149" s="214"/>
      <c r="AZ149" s="214"/>
      <c r="BA149" s="130">
        <v>6.43</v>
      </c>
      <c r="BB149" s="130">
        <v>6.43</v>
      </c>
      <c r="BC149" s="131">
        <f t="shared" si="262"/>
        <v>0.9359534207</v>
      </c>
      <c r="BD149" s="132">
        <f t="shared" si="249"/>
        <v>0.8450445301</v>
      </c>
      <c r="BE149" s="215" t="s">
        <v>637</v>
      </c>
      <c r="BF149" s="134" t="s">
        <v>576</v>
      </c>
      <c r="BG149" s="49"/>
      <c r="BH149" s="212">
        <f t="shared" si="22"/>
        <v>4.267901667</v>
      </c>
      <c r="BI149" s="212">
        <f t="shared" si="23"/>
        <v>2.560741</v>
      </c>
      <c r="BJ149" s="212">
        <f t="shared" si="24"/>
        <v>2.133950834</v>
      </c>
      <c r="BK149" s="212">
        <f t="shared" si="25"/>
        <v>1.707160667</v>
      </c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</row>
    <row r="150" ht="14.25" customHeight="1">
      <c r="A150" s="103" t="s">
        <v>84</v>
      </c>
      <c r="B150" s="103" t="s">
        <v>120</v>
      </c>
      <c r="C150" s="103" t="s">
        <v>120</v>
      </c>
      <c r="D150" s="103" t="s">
        <v>86</v>
      </c>
      <c r="E150" s="104" t="s">
        <v>566</v>
      </c>
      <c r="F150" s="105" t="s">
        <v>659</v>
      </c>
      <c r="G150" s="106" t="s">
        <v>577</v>
      </c>
      <c r="H150" s="110"/>
      <c r="I150" s="107"/>
      <c r="J150" s="220" t="s">
        <v>672</v>
      </c>
      <c r="K150" s="220" t="str">
        <f>_xlfn.XLOOKUP(J150,[1]Sheet1!$A:$A,[1]Sheet1!$B:$B,"")</f>
        <v>#ERROR!</v>
      </c>
      <c r="L150" s="105" t="s">
        <v>673</v>
      </c>
      <c r="M150" s="105" t="s">
        <v>674</v>
      </c>
      <c r="N150" s="110"/>
      <c r="O150" s="104" t="s">
        <v>95</v>
      </c>
      <c r="P150" s="110"/>
      <c r="Q150" s="103" t="s">
        <v>641</v>
      </c>
      <c r="R150" s="110" t="s">
        <v>573</v>
      </c>
      <c r="S150" s="110">
        <v>6912.0</v>
      </c>
      <c r="T150" s="111" t="s">
        <v>675</v>
      </c>
      <c r="U150" s="110" t="s">
        <v>574</v>
      </c>
      <c r="V150" s="112">
        <v>0.023</v>
      </c>
      <c r="W150" s="113">
        <v>45.0</v>
      </c>
      <c r="X150" s="113">
        <v>45.0</v>
      </c>
      <c r="Y150" s="113">
        <v>55.0</v>
      </c>
      <c r="Z150" s="113" t="s">
        <v>596</v>
      </c>
      <c r="AA150" s="114">
        <f t="shared" si="243"/>
        <v>1.739681645</v>
      </c>
      <c r="AB150" s="115"/>
      <c r="AC150" s="212">
        <f t="shared" si="216"/>
        <v>1.526860585</v>
      </c>
      <c r="AD150" s="213">
        <f t="shared" si="244"/>
        <v>1.641785576</v>
      </c>
      <c r="AE150" s="212"/>
      <c r="AF150" s="212" t="str">
        <f t="shared" si="94"/>
        <v>#REF!</v>
      </c>
      <c r="AG150" s="210" t="str">
        <f t="shared" si="95"/>
        <v>#REF!</v>
      </c>
      <c r="AH150" s="120" t="str">
        <f t="shared" si="96"/>
        <v>#REF!</v>
      </c>
      <c r="AI150" s="121">
        <f t="shared" si="237"/>
        <v>0.1</v>
      </c>
      <c r="AJ150" s="121">
        <v>0.1</v>
      </c>
      <c r="AK150" s="122">
        <v>0.36</v>
      </c>
      <c r="AL150" s="123">
        <f t="shared" si="11"/>
        <v>0.5496698108</v>
      </c>
      <c r="AM150" s="122" t="s">
        <v>6</v>
      </c>
      <c r="AN150" s="111">
        <f t="shared" si="280"/>
        <v>1.374174527</v>
      </c>
      <c r="AO150" s="112">
        <f t="shared" si="219"/>
        <v>0.2888888889</v>
      </c>
      <c r="AP150" s="127"/>
      <c r="AQ150" s="128">
        <f t="shared" ref="AQ150:AR150" si="288">BC150/(1-AI150)</f>
        <v>1.198447356</v>
      </c>
      <c r="AR150" s="139">
        <f t="shared" si="288"/>
        <v>1.085767527</v>
      </c>
      <c r="AS150" s="126">
        <f t="shared" si="221"/>
        <v>0.3111111111</v>
      </c>
      <c r="AT150" s="126">
        <f t="shared" si="222"/>
        <v>0.2888888889</v>
      </c>
      <c r="AU150" s="129">
        <v>1.12</v>
      </c>
      <c r="AV150" s="39" t="s">
        <v>603</v>
      </c>
      <c r="AW150" s="214"/>
      <c r="AX150" s="214"/>
      <c r="AY150" s="214"/>
      <c r="AZ150" s="214"/>
      <c r="BA150" s="130">
        <v>7.41</v>
      </c>
      <c r="BB150" s="130">
        <v>7.41</v>
      </c>
      <c r="BC150" s="131">
        <f t="shared" si="262"/>
        <v>1.07860262</v>
      </c>
      <c r="BD150" s="132">
        <f t="shared" si="249"/>
        <v>0.9771907747</v>
      </c>
      <c r="BE150" s="133"/>
      <c r="BF150" s="134" t="s">
        <v>576</v>
      </c>
      <c r="BG150" s="49"/>
      <c r="BH150" s="212">
        <f t="shared" si="22"/>
        <v>5.089535285</v>
      </c>
      <c r="BI150" s="212">
        <f t="shared" si="23"/>
        <v>3.053721171</v>
      </c>
      <c r="BJ150" s="212">
        <f t="shared" si="24"/>
        <v>2.544767642</v>
      </c>
      <c r="BK150" s="212">
        <f t="shared" si="25"/>
        <v>2.035814114</v>
      </c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</row>
    <row r="151" ht="14.25" customHeight="1">
      <c r="A151" s="103" t="s">
        <v>84</v>
      </c>
      <c r="B151" s="103" t="s">
        <v>85</v>
      </c>
      <c r="C151" s="103" t="s">
        <v>85</v>
      </c>
      <c r="D151" s="103" t="s">
        <v>86</v>
      </c>
      <c r="E151" s="104" t="s">
        <v>566</v>
      </c>
      <c r="F151" s="105" t="s">
        <v>659</v>
      </c>
      <c r="G151" s="106" t="s">
        <v>577</v>
      </c>
      <c r="H151" s="110"/>
      <c r="I151" s="107"/>
      <c r="J151" s="220" t="s">
        <v>676</v>
      </c>
      <c r="K151" s="220" t="str">
        <f>_xlfn.XLOOKUP(J151,[1]Sheet1!$A:$A,[1]Sheet1!$B:$B,"")</f>
        <v>#ERROR!</v>
      </c>
      <c r="L151" s="105" t="s">
        <v>677</v>
      </c>
      <c r="M151" s="105" t="s">
        <v>678</v>
      </c>
      <c r="N151" s="110"/>
      <c r="O151" s="104" t="s">
        <v>95</v>
      </c>
      <c r="P151" s="110"/>
      <c r="Q151" s="103" t="s">
        <v>506</v>
      </c>
      <c r="R151" s="110" t="s">
        <v>573</v>
      </c>
      <c r="S151" s="110">
        <v>8064.0</v>
      </c>
      <c r="T151" s="111" t="s">
        <v>679</v>
      </c>
      <c r="U151" s="110" t="s">
        <v>574</v>
      </c>
      <c r="V151" s="112">
        <v>0.023</v>
      </c>
      <c r="W151" s="113">
        <v>45.0</v>
      </c>
      <c r="X151" s="113">
        <v>45.0</v>
      </c>
      <c r="Y151" s="113">
        <v>55.0</v>
      </c>
      <c r="Z151" s="113" t="s">
        <v>596</v>
      </c>
      <c r="AA151" s="114">
        <f t="shared" si="243"/>
        <v>1.720899657</v>
      </c>
      <c r="AB151" s="115"/>
      <c r="AC151" s="212">
        <f t="shared" si="216"/>
        <v>1.507390942</v>
      </c>
      <c r="AD151" s="213">
        <f t="shared" si="244"/>
        <v>1.620850476</v>
      </c>
      <c r="AE151" s="212"/>
      <c r="AF151" s="212" t="str">
        <f t="shared" si="94"/>
        <v>#REF!</v>
      </c>
      <c r="AG151" s="210" t="str">
        <f t="shared" si="95"/>
        <v>#REF!</v>
      </c>
      <c r="AH151" s="120" t="str">
        <f t="shared" si="96"/>
        <v>#REF!</v>
      </c>
      <c r="AI151" s="121">
        <f t="shared" si="237"/>
        <v>0.1</v>
      </c>
      <c r="AJ151" s="121">
        <v>0.1</v>
      </c>
      <c r="AK151" s="122">
        <v>0.36</v>
      </c>
      <c r="AL151" s="123">
        <f t="shared" si="11"/>
        <v>0.5426607393</v>
      </c>
      <c r="AM151" s="122" t="s">
        <v>6</v>
      </c>
      <c r="AN151" s="111">
        <f t="shared" si="280"/>
        <v>1.356651848</v>
      </c>
      <c r="AO151" s="112">
        <f t="shared" si="219"/>
        <v>0.2888888889</v>
      </c>
      <c r="AP151" s="127"/>
      <c r="AQ151" s="128">
        <f t="shared" ref="AQ151:AR151" si="289">BC151/(1-AI151)</f>
        <v>1.185508653</v>
      </c>
      <c r="AR151" s="139">
        <f t="shared" si="289"/>
        <v>1.071922448</v>
      </c>
      <c r="AS151" s="126">
        <f t="shared" si="221"/>
        <v>0.3111111111</v>
      </c>
      <c r="AT151" s="126">
        <f t="shared" si="222"/>
        <v>0.2888888889</v>
      </c>
      <c r="AU151" s="129"/>
      <c r="AV151" s="39" t="s">
        <v>603</v>
      </c>
      <c r="AW151" s="214"/>
      <c r="AX151" s="214"/>
      <c r="AY151" s="214"/>
      <c r="AZ151" s="214"/>
      <c r="BA151" s="130">
        <v>7.33</v>
      </c>
      <c r="BB151" s="130">
        <v>7.33</v>
      </c>
      <c r="BC151" s="131">
        <f t="shared" si="262"/>
        <v>1.066957787</v>
      </c>
      <c r="BD151" s="132">
        <f t="shared" si="249"/>
        <v>0.9647302032</v>
      </c>
      <c r="BE151" s="39"/>
      <c r="BF151" s="134" t="s">
        <v>576</v>
      </c>
      <c r="BG151" s="49"/>
      <c r="BH151" s="212">
        <f t="shared" si="22"/>
        <v>5.024636475</v>
      </c>
      <c r="BI151" s="212">
        <f t="shared" si="23"/>
        <v>3.014781885</v>
      </c>
      <c r="BJ151" s="212">
        <f t="shared" si="24"/>
        <v>2.512318237</v>
      </c>
      <c r="BK151" s="212">
        <f t="shared" si="25"/>
        <v>2.00985459</v>
      </c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</row>
    <row r="152" ht="14.25" customHeight="1">
      <c r="A152" s="103" t="s">
        <v>84</v>
      </c>
      <c r="B152" s="103" t="s">
        <v>120</v>
      </c>
      <c r="C152" s="103" t="s">
        <v>120</v>
      </c>
      <c r="D152" s="103" t="s">
        <v>86</v>
      </c>
      <c r="E152" s="104" t="s">
        <v>566</v>
      </c>
      <c r="F152" s="105" t="s">
        <v>659</v>
      </c>
      <c r="G152" s="106" t="s">
        <v>577</v>
      </c>
      <c r="H152" s="110"/>
      <c r="I152" s="107"/>
      <c r="J152" s="220" t="s">
        <v>680</v>
      </c>
      <c r="K152" s="220" t="str">
        <f>_xlfn.XLOOKUP(J152,[1]Sheet1!$A:$A,[1]Sheet1!$B:$B,"")</f>
        <v>#ERROR!</v>
      </c>
      <c r="L152" s="105" t="s">
        <v>681</v>
      </c>
      <c r="M152" s="105" t="s">
        <v>682</v>
      </c>
      <c r="N152" s="110"/>
      <c r="O152" s="104" t="s">
        <v>95</v>
      </c>
      <c r="P152" s="110"/>
      <c r="Q152" s="103" t="s">
        <v>609</v>
      </c>
      <c r="R152" s="110" t="s">
        <v>573</v>
      </c>
      <c r="S152" s="110">
        <v>10368.0</v>
      </c>
      <c r="T152" s="111" t="s">
        <v>683</v>
      </c>
      <c r="U152" s="110" t="s">
        <v>574</v>
      </c>
      <c r="V152" s="112">
        <v>0.023</v>
      </c>
      <c r="W152" s="113">
        <v>45.0</v>
      </c>
      <c r="X152" s="113">
        <v>45.0</v>
      </c>
      <c r="Y152" s="113">
        <v>55.0</v>
      </c>
      <c r="Z152" s="113" t="s">
        <v>596</v>
      </c>
      <c r="AA152" s="114">
        <f t="shared" si="243"/>
        <v>1.697422172</v>
      </c>
      <c r="AB152" s="115"/>
      <c r="AC152" s="212">
        <f t="shared" si="216"/>
        <v>1.482784774</v>
      </c>
      <c r="AD152" s="213">
        <f t="shared" si="244"/>
        <v>1.59439223</v>
      </c>
      <c r="AE152" s="212"/>
      <c r="AF152" s="212" t="str">
        <f t="shared" si="94"/>
        <v>#REF!</v>
      </c>
      <c r="AG152" s="210" t="str">
        <f t="shared" si="95"/>
        <v>#REF!</v>
      </c>
      <c r="AH152" s="120" t="str">
        <f t="shared" si="96"/>
        <v>#REF!</v>
      </c>
      <c r="AI152" s="121">
        <f t="shared" si="237"/>
        <v>0.1</v>
      </c>
      <c r="AJ152" s="121">
        <v>0.1</v>
      </c>
      <c r="AK152" s="122">
        <v>0.36</v>
      </c>
      <c r="AL152" s="123">
        <f t="shared" si="11"/>
        <v>0.5338025188</v>
      </c>
      <c r="AM152" s="122" t="s">
        <v>6</v>
      </c>
      <c r="AN152" s="111">
        <f t="shared" si="280"/>
        <v>1.334506297</v>
      </c>
      <c r="AO152" s="112">
        <f t="shared" si="219"/>
        <v>0.2888888889</v>
      </c>
      <c r="AP152" s="127"/>
      <c r="AQ152" s="128">
        <f t="shared" ref="AQ152:AR152" si="290">BC152/(1-AI152)</f>
        <v>1.169335274</v>
      </c>
      <c r="AR152" s="139">
        <f t="shared" si="290"/>
        <v>1.054424728</v>
      </c>
      <c r="AS152" s="126">
        <f t="shared" si="221"/>
        <v>0.3111111111</v>
      </c>
      <c r="AT152" s="126">
        <f t="shared" si="222"/>
        <v>0.2888888889</v>
      </c>
      <c r="AU152" s="129"/>
      <c r="AV152" s="39" t="s">
        <v>603</v>
      </c>
      <c r="AW152" s="214"/>
      <c r="AX152" s="214"/>
      <c r="AY152" s="214"/>
      <c r="AZ152" s="214"/>
      <c r="BA152" s="130">
        <v>7.23</v>
      </c>
      <c r="BB152" s="130">
        <v>7.23</v>
      </c>
      <c r="BC152" s="131">
        <f t="shared" si="262"/>
        <v>1.052401747</v>
      </c>
      <c r="BD152" s="132">
        <f t="shared" si="249"/>
        <v>0.9489822556</v>
      </c>
      <c r="BE152" s="133"/>
      <c r="BF152" s="134" t="s">
        <v>576</v>
      </c>
      <c r="BG152" s="49"/>
      <c r="BH152" s="212">
        <f t="shared" si="22"/>
        <v>4.942615914</v>
      </c>
      <c r="BI152" s="212">
        <f t="shared" si="23"/>
        <v>2.965569549</v>
      </c>
      <c r="BJ152" s="212">
        <f t="shared" si="24"/>
        <v>2.471307957</v>
      </c>
      <c r="BK152" s="212">
        <f t="shared" si="25"/>
        <v>1.977046366</v>
      </c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</row>
    <row r="153" ht="14.25" customHeight="1">
      <c r="A153" s="103" t="s">
        <v>84</v>
      </c>
      <c r="B153" s="103" t="s">
        <v>85</v>
      </c>
      <c r="C153" s="103" t="s">
        <v>120</v>
      </c>
      <c r="D153" s="103" t="s">
        <v>86</v>
      </c>
      <c r="E153" s="104" t="s">
        <v>566</v>
      </c>
      <c r="F153" s="105" t="s">
        <v>659</v>
      </c>
      <c r="G153" s="106" t="s">
        <v>577</v>
      </c>
      <c r="H153" s="110"/>
      <c r="I153" s="107"/>
      <c r="J153" s="220" t="s">
        <v>684</v>
      </c>
      <c r="K153" s="220" t="str">
        <f>_xlfn.XLOOKUP(J153,[1]Sheet1!$A:$A,[1]Sheet1!$B:$B,"")</f>
        <v>#ERROR!</v>
      </c>
      <c r="L153" s="105" t="s">
        <v>685</v>
      </c>
      <c r="M153" s="105" t="s">
        <v>686</v>
      </c>
      <c r="N153" s="110" t="s">
        <v>667</v>
      </c>
      <c r="O153" s="104" t="s">
        <v>95</v>
      </c>
      <c r="P153" s="110"/>
      <c r="Q153" s="103" t="s">
        <v>641</v>
      </c>
      <c r="R153" s="110" t="s">
        <v>573</v>
      </c>
      <c r="S153" s="110">
        <v>6912.0</v>
      </c>
      <c r="T153" s="111" t="s">
        <v>687</v>
      </c>
      <c r="U153" s="110" t="s">
        <v>574</v>
      </c>
      <c r="V153" s="112">
        <v>0.023</v>
      </c>
      <c r="W153" s="113">
        <v>45.0</v>
      </c>
      <c r="X153" s="113">
        <v>45.0</v>
      </c>
      <c r="Y153" s="113">
        <v>55.0</v>
      </c>
      <c r="Z153" s="113" t="s">
        <v>596</v>
      </c>
      <c r="AA153" s="114">
        <f t="shared" si="243"/>
        <v>2.035640245</v>
      </c>
      <c r="AB153" s="115"/>
      <c r="AC153" s="212">
        <f t="shared" si="216"/>
        <v>1.784778088</v>
      </c>
      <c r="AD153" s="213">
        <f t="shared" si="244"/>
        <v>1.919116224</v>
      </c>
      <c r="AE153" s="212"/>
      <c r="AF153" s="212" t="str">
        <f t="shared" si="94"/>
        <v>#REF!</v>
      </c>
      <c r="AG153" s="210" t="str">
        <f t="shared" si="95"/>
        <v>#REF!</v>
      </c>
      <c r="AH153" s="120" t="str">
        <f t="shared" si="96"/>
        <v>#REF!</v>
      </c>
      <c r="AI153" s="121">
        <f t="shared" si="237"/>
        <v>0.1</v>
      </c>
      <c r="AJ153" s="121">
        <v>0.1</v>
      </c>
      <c r="AK153" s="122">
        <v>0.32</v>
      </c>
      <c r="AL153" s="123">
        <f t="shared" si="11"/>
        <v>0.5711289883</v>
      </c>
      <c r="AM153" s="122" t="s">
        <v>6</v>
      </c>
      <c r="AN153" s="111">
        <f t="shared" si="280"/>
        <v>1.60630028</v>
      </c>
      <c r="AO153" s="112">
        <f t="shared" si="219"/>
        <v>0.2444444444</v>
      </c>
      <c r="AP153" s="127"/>
      <c r="AQ153" s="128">
        <f t="shared" ref="AQ153:AR153" si="291">BC153/(1-AI153)</f>
        <v>1.492802847</v>
      </c>
      <c r="AR153" s="139">
        <f t="shared" si="291"/>
        <v>1.348499</v>
      </c>
      <c r="AS153" s="126">
        <f t="shared" si="221"/>
        <v>0.2666666667</v>
      </c>
      <c r="AT153" s="126">
        <f t="shared" si="222"/>
        <v>0.2444444444</v>
      </c>
      <c r="AU153" s="129">
        <v>1.4</v>
      </c>
      <c r="AV153" s="39" t="s">
        <v>603</v>
      </c>
      <c r="AW153" s="214"/>
      <c r="AX153" s="214"/>
      <c r="AY153" s="214"/>
      <c r="AZ153" s="214"/>
      <c r="BA153" s="130">
        <v>9.23</v>
      </c>
      <c r="BB153" s="130">
        <v>9.23</v>
      </c>
      <c r="BC153" s="131">
        <f t="shared" si="262"/>
        <v>1.343522562</v>
      </c>
      <c r="BD153" s="132">
        <f t="shared" si="249"/>
        <v>1.2136491</v>
      </c>
      <c r="BE153" s="215" t="s">
        <v>637</v>
      </c>
      <c r="BF153" s="134" t="s">
        <v>576</v>
      </c>
      <c r="BG153" s="49"/>
      <c r="BH153" s="212">
        <f t="shared" si="22"/>
        <v>5.949260295</v>
      </c>
      <c r="BI153" s="212">
        <f t="shared" si="23"/>
        <v>3.569556177</v>
      </c>
      <c r="BJ153" s="212">
        <f t="shared" si="24"/>
        <v>2.974630147</v>
      </c>
      <c r="BK153" s="212">
        <f t="shared" si="25"/>
        <v>2.379704118</v>
      </c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</row>
    <row r="154" ht="14.25" customHeight="1">
      <c r="A154" s="103" t="s">
        <v>84</v>
      </c>
      <c r="B154" s="103" t="s">
        <v>85</v>
      </c>
      <c r="C154" s="103" t="s">
        <v>85</v>
      </c>
      <c r="D154" s="103" t="s">
        <v>86</v>
      </c>
      <c r="E154" s="104" t="s">
        <v>566</v>
      </c>
      <c r="F154" s="105" t="s">
        <v>659</v>
      </c>
      <c r="G154" s="106" t="s">
        <v>577</v>
      </c>
      <c r="H154" s="110"/>
      <c r="I154" s="107"/>
      <c r="J154" s="220" t="s">
        <v>688</v>
      </c>
      <c r="K154" s="220" t="str">
        <f>_xlfn.XLOOKUP(J154,[1]Sheet1!$A:$A,[1]Sheet1!$B:$B,"")</f>
        <v>#ERROR!</v>
      </c>
      <c r="L154" s="105" t="s">
        <v>689</v>
      </c>
      <c r="M154" s="105" t="s">
        <v>690</v>
      </c>
      <c r="N154" s="110" t="s">
        <v>667</v>
      </c>
      <c r="O154" s="104" t="s">
        <v>95</v>
      </c>
      <c r="P154" s="110"/>
      <c r="Q154" s="103" t="s">
        <v>514</v>
      </c>
      <c r="R154" s="110" t="s">
        <v>573</v>
      </c>
      <c r="S154" s="110">
        <v>8064.0</v>
      </c>
      <c r="T154" s="111" t="s">
        <v>691</v>
      </c>
      <c r="U154" s="110" t="s">
        <v>574</v>
      </c>
      <c r="V154" s="112">
        <v>0.023</v>
      </c>
      <c r="W154" s="113">
        <v>45.0</v>
      </c>
      <c r="X154" s="113">
        <v>45.0</v>
      </c>
      <c r="Y154" s="113">
        <v>55.0</v>
      </c>
      <c r="Z154" s="113" t="s">
        <v>596</v>
      </c>
      <c r="AA154" s="114">
        <f t="shared" si="243"/>
        <v>2.017996559</v>
      </c>
      <c r="AB154" s="115"/>
      <c r="AC154" s="212">
        <f t="shared" si="216"/>
        <v>1.766453719</v>
      </c>
      <c r="AD154" s="213">
        <f t="shared" si="244"/>
        <v>1.899412601</v>
      </c>
      <c r="AE154" s="212"/>
      <c r="AF154" s="212" t="str">
        <f t="shared" si="94"/>
        <v>#REF!</v>
      </c>
      <c r="AG154" s="210" t="str">
        <f t="shared" si="95"/>
        <v>#REF!</v>
      </c>
      <c r="AH154" s="120" t="str">
        <f t="shared" si="96"/>
        <v>#REF!</v>
      </c>
      <c r="AI154" s="121">
        <f t="shared" si="237"/>
        <v>0.1</v>
      </c>
      <c r="AJ154" s="121">
        <v>0.1</v>
      </c>
      <c r="AK154" s="122">
        <v>0.32</v>
      </c>
      <c r="AL154" s="123">
        <f t="shared" si="11"/>
        <v>0.5652651899</v>
      </c>
      <c r="AM154" s="122" t="s">
        <v>6</v>
      </c>
      <c r="AN154" s="111">
        <f t="shared" si="280"/>
        <v>1.589808347</v>
      </c>
      <c r="AO154" s="112">
        <f t="shared" si="219"/>
        <v>0.2444444444</v>
      </c>
      <c r="AP154" s="127"/>
      <c r="AQ154" s="128">
        <f t="shared" ref="AQ154:AR154" si="292">BC154/(1-AI154)</f>
        <v>1.479864144</v>
      </c>
      <c r="AR154" s="139">
        <f t="shared" si="292"/>
        <v>1.334653921</v>
      </c>
      <c r="AS154" s="126">
        <f t="shared" si="221"/>
        <v>0.2666666667</v>
      </c>
      <c r="AT154" s="126">
        <f t="shared" si="222"/>
        <v>0.2444444444</v>
      </c>
      <c r="AU154" s="129"/>
      <c r="AV154" s="39" t="s">
        <v>603</v>
      </c>
      <c r="AW154" s="214"/>
      <c r="AX154" s="214"/>
      <c r="AY154" s="214"/>
      <c r="AZ154" s="214"/>
      <c r="BA154" s="130">
        <v>9.15</v>
      </c>
      <c r="BB154" s="130">
        <v>9.15</v>
      </c>
      <c r="BC154" s="131">
        <f t="shared" si="262"/>
        <v>1.331877729</v>
      </c>
      <c r="BD154" s="132">
        <f t="shared" si="249"/>
        <v>1.201188529</v>
      </c>
      <c r="BE154" s="215" t="s">
        <v>637</v>
      </c>
      <c r="BF154" s="134" t="s">
        <v>576</v>
      </c>
      <c r="BG154" s="49"/>
      <c r="BH154" s="212">
        <f t="shared" si="22"/>
        <v>5.888179062</v>
      </c>
      <c r="BI154" s="212">
        <f t="shared" si="23"/>
        <v>3.532907437</v>
      </c>
      <c r="BJ154" s="212">
        <f t="shared" si="24"/>
        <v>2.944089531</v>
      </c>
      <c r="BK154" s="212">
        <f t="shared" si="25"/>
        <v>2.355271625</v>
      </c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</row>
    <row r="155" ht="14.25" customHeight="1">
      <c r="A155" s="103" t="s">
        <v>84</v>
      </c>
      <c r="B155" s="103" t="s">
        <v>120</v>
      </c>
      <c r="C155" s="103" t="s">
        <v>120</v>
      </c>
      <c r="D155" s="103" t="s">
        <v>86</v>
      </c>
      <c r="E155" s="104" t="s">
        <v>566</v>
      </c>
      <c r="F155" s="105" t="s">
        <v>659</v>
      </c>
      <c r="G155" s="106" t="s">
        <v>577</v>
      </c>
      <c r="H155" s="110"/>
      <c r="I155" s="107"/>
      <c r="J155" s="220" t="s">
        <v>692</v>
      </c>
      <c r="K155" s="220" t="str">
        <f>_xlfn.XLOOKUP(J155,[1]Sheet1!$A:$A,[1]Sheet1!$B:$B,"")</f>
        <v>#ERROR!</v>
      </c>
      <c r="L155" s="105" t="s">
        <v>693</v>
      </c>
      <c r="M155" s="105" t="s">
        <v>694</v>
      </c>
      <c r="N155" s="110" t="s">
        <v>667</v>
      </c>
      <c r="O155" s="104" t="s">
        <v>95</v>
      </c>
      <c r="P155" s="110"/>
      <c r="Q155" s="103" t="s">
        <v>614</v>
      </c>
      <c r="R155" s="110" t="s">
        <v>573</v>
      </c>
      <c r="S155" s="110">
        <v>10368.0</v>
      </c>
      <c r="T155" s="111" t="s">
        <v>695</v>
      </c>
      <c r="U155" s="110" t="s">
        <v>574</v>
      </c>
      <c r="V155" s="112">
        <v>0.023</v>
      </c>
      <c r="W155" s="113">
        <v>45.0</v>
      </c>
      <c r="X155" s="113">
        <v>45.0</v>
      </c>
      <c r="Y155" s="113">
        <v>55.0</v>
      </c>
      <c r="Z155" s="113" t="s">
        <v>596</v>
      </c>
      <c r="AA155" s="114">
        <f t="shared" si="243"/>
        <v>1.995941952</v>
      </c>
      <c r="AB155" s="115"/>
      <c r="AC155" s="212">
        <f t="shared" si="216"/>
        <v>1.743294972</v>
      </c>
      <c r="AD155" s="213">
        <f t="shared" si="244"/>
        <v>1.874510723</v>
      </c>
      <c r="AE155" s="212"/>
      <c r="AF155" s="212" t="str">
        <f t="shared" si="94"/>
        <v>#REF!</v>
      </c>
      <c r="AG155" s="210" t="str">
        <f t="shared" si="95"/>
        <v>#REF!</v>
      </c>
      <c r="AH155" s="120" t="str">
        <f t="shared" si="96"/>
        <v>#REF!</v>
      </c>
      <c r="AI155" s="121">
        <f t="shared" si="237"/>
        <v>0.1</v>
      </c>
      <c r="AJ155" s="121">
        <v>0.1</v>
      </c>
      <c r="AK155" s="122">
        <v>0.32</v>
      </c>
      <c r="AL155" s="123">
        <f t="shared" si="11"/>
        <v>0.5578543911</v>
      </c>
      <c r="AM155" s="122" t="s">
        <v>6</v>
      </c>
      <c r="AN155" s="111">
        <f t="shared" si="280"/>
        <v>1.568965475</v>
      </c>
      <c r="AO155" s="112">
        <f t="shared" si="219"/>
        <v>0.2444444444</v>
      </c>
      <c r="AP155" s="127"/>
      <c r="AQ155" s="128">
        <f t="shared" ref="AQ155:AR155" si="293">BC155/(1-AI155)</f>
        <v>1.463690765</v>
      </c>
      <c r="AR155" s="139">
        <f t="shared" si="293"/>
        <v>1.317156201</v>
      </c>
      <c r="AS155" s="126">
        <f t="shared" si="221"/>
        <v>0.2666666667</v>
      </c>
      <c r="AT155" s="126">
        <f t="shared" si="222"/>
        <v>0.2444444444</v>
      </c>
      <c r="AU155" s="129">
        <v>1.24</v>
      </c>
      <c r="AV155" s="39" t="s">
        <v>603</v>
      </c>
      <c r="AW155" s="214"/>
      <c r="AX155" s="214"/>
      <c r="AY155" s="214"/>
      <c r="AZ155" s="214"/>
      <c r="BA155" s="130">
        <v>9.05</v>
      </c>
      <c r="BB155" s="130">
        <v>9.05</v>
      </c>
      <c r="BC155" s="131">
        <f t="shared" si="262"/>
        <v>1.317321689</v>
      </c>
      <c r="BD155" s="132">
        <f t="shared" si="249"/>
        <v>1.185440581</v>
      </c>
      <c r="BE155" s="215" t="s">
        <v>637</v>
      </c>
      <c r="BF155" s="134" t="s">
        <v>576</v>
      </c>
      <c r="BG155" s="49"/>
      <c r="BH155" s="212">
        <f t="shared" si="22"/>
        <v>5.81098324</v>
      </c>
      <c r="BI155" s="212">
        <f t="shared" si="23"/>
        <v>3.486589944</v>
      </c>
      <c r="BJ155" s="212">
        <f t="shared" si="24"/>
        <v>2.90549162</v>
      </c>
      <c r="BK155" s="212">
        <f t="shared" si="25"/>
        <v>2.324393296</v>
      </c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</row>
    <row r="156" ht="14.25" customHeight="1">
      <c r="A156" s="105" t="s">
        <v>84</v>
      </c>
      <c r="B156" s="103" t="s">
        <v>85</v>
      </c>
      <c r="C156" s="103" t="s">
        <v>85</v>
      </c>
      <c r="D156" s="105" t="s">
        <v>86</v>
      </c>
      <c r="E156" s="105" t="s">
        <v>566</v>
      </c>
      <c r="F156" s="105" t="s">
        <v>659</v>
      </c>
      <c r="G156" s="106" t="s">
        <v>577</v>
      </c>
      <c r="H156" s="110"/>
      <c r="I156" s="107"/>
      <c r="J156" s="220" t="s">
        <v>696</v>
      </c>
      <c r="K156" s="220" t="str">
        <f>_xlfn.XLOOKUP(J156,[1]Sheet1!$A:$A,[1]Sheet1!$B:$B,"")</f>
        <v>#ERROR!</v>
      </c>
      <c r="L156" s="105" t="s">
        <v>697</v>
      </c>
      <c r="M156" s="105" t="s">
        <v>698</v>
      </c>
      <c r="N156" s="110"/>
      <c r="O156" s="104" t="s">
        <v>95</v>
      </c>
      <c r="P156" s="110"/>
      <c r="Q156" s="103" t="s">
        <v>554</v>
      </c>
      <c r="R156" s="110" t="s">
        <v>555</v>
      </c>
      <c r="S156" s="110">
        <v>1000.0</v>
      </c>
      <c r="T156" s="110" t="e">
        <v>#N/A</v>
      </c>
      <c r="U156" s="110" t="s">
        <v>574</v>
      </c>
      <c r="V156" s="112">
        <v>0.023</v>
      </c>
      <c r="W156" s="113">
        <v>30.0</v>
      </c>
      <c r="X156" s="113">
        <v>45.0</v>
      </c>
      <c r="Y156" s="113">
        <v>55.0</v>
      </c>
      <c r="Z156" s="113" t="s">
        <v>699</v>
      </c>
      <c r="AA156" s="114">
        <f t="shared" si="243"/>
        <v>0.866084425</v>
      </c>
      <c r="AB156" s="115"/>
      <c r="AC156" s="212">
        <f t="shared" si="216"/>
        <v>0.9295910245</v>
      </c>
      <c r="AD156" s="213">
        <f t="shared" si="244"/>
        <v>0.9995602414</v>
      </c>
      <c r="AE156" s="212"/>
      <c r="AF156" s="212" t="str">
        <f t="shared" si="94"/>
        <v>#REF!</v>
      </c>
      <c r="AG156" s="210" t="str">
        <f t="shared" si="95"/>
        <v>#REF!</v>
      </c>
      <c r="AH156" s="120" t="str">
        <f t="shared" si="96"/>
        <v>#REF!</v>
      </c>
      <c r="AI156" s="121">
        <f t="shared" si="237"/>
        <v>0.1</v>
      </c>
      <c r="AJ156" s="121">
        <v>0.1</v>
      </c>
      <c r="AK156" s="122">
        <v>0.46</v>
      </c>
      <c r="AL156" s="123">
        <f t="shared" si="11"/>
        <v>0.4276118713</v>
      </c>
      <c r="AM156" s="122" t="s">
        <v>10</v>
      </c>
      <c r="AN156" s="125">
        <f t="shared" ref="AN156:AN212" si="295">AC156</f>
        <v>0.9295910245</v>
      </c>
      <c r="AO156" s="112">
        <f t="shared" si="219"/>
        <v>0.46</v>
      </c>
      <c r="AP156" s="127"/>
      <c r="AQ156" s="128">
        <f t="shared" ref="AQ156:AR156" si="294">BC156/(1-AI156)</f>
        <v>0.5004043345</v>
      </c>
      <c r="AR156" s="139">
        <f t="shared" si="294"/>
        <v>0.5577546147</v>
      </c>
      <c r="AS156" s="126">
        <f t="shared" si="221"/>
        <v>0.4222222222</v>
      </c>
      <c r="AT156" s="126">
        <f t="shared" si="222"/>
        <v>0.4</v>
      </c>
      <c r="AU156" s="129"/>
      <c r="AV156" s="39" t="s">
        <v>510</v>
      </c>
      <c r="AW156" s="214"/>
      <c r="AX156" s="214"/>
      <c r="AY156" s="214"/>
      <c r="AZ156" s="214">
        <f t="shared" ref="AZ156:AZ157" si="297">0.01*2*7.2</f>
        <v>0.144</v>
      </c>
      <c r="BA156" s="130">
        <v>2.95</v>
      </c>
      <c r="BB156" s="130">
        <f t="shared" ref="BB156:BB157" si="298">AZ156+BA156</f>
        <v>3.094</v>
      </c>
      <c r="BC156" s="131">
        <f t="shared" si="262"/>
        <v>0.450363901</v>
      </c>
      <c r="BD156" s="132">
        <f t="shared" si="249"/>
        <v>0.5019791532</v>
      </c>
      <c r="BE156" s="135" t="s">
        <v>700</v>
      </c>
      <c r="BF156" s="134"/>
      <c r="BG156" s="49"/>
      <c r="BH156" s="224">
        <f t="shared" si="22"/>
        <v>3.098636748</v>
      </c>
      <c r="BI156" s="224">
        <f t="shared" si="23"/>
        <v>1.859182049</v>
      </c>
      <c r="BJ156" s="224">
        <f t="shared" si="24"/>
        <v>1.549318374</v>
      </c>
      <c r="BK156" s="224">
        <f t="shared" si="25"/>
        <v>1.239454699</v>
      </c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</row>
    <row r="157" ht="14.25" customHeight="1">
      <c r="A157" s="105" t="s">
        <v>84</v>
      </c>
      <c r="B157" s="103" t="s">
        <v>85</v>
      </c>
      <c r="C157" s="103" t="s">
        <v>85</v>
      </c>
      <c r="D157" s="105" t="s">
        <v>86</v>
      </c>
      <c r="E157" s="105" t="s">
        <v>566</v>
      </c>
      <c r="F157" s="105" t="s">
        <v>659</v>
      </c>
      <c r="G157" s="106" t="s">
        <v>568</v>
      </c>
      <c r="H157" s="110"/>
      <c r="I157" s="107"/>
      <c r="J157" s="220" t="s">
        <v>701</v>
      </c>
      <c r="K157" s="220" t="str">
        <f>_xlfn.XLOOKUP(J157,[1]Sheet1!$A:$A,[1]Sheet1!$B:$B,"")</f>
        <v>#ERROR!</v>
      </c>
      <c r="L157" s="105" t="s">
        <v>702</v>
      </c>
      <c r="M157" s="105" t="s">
        <v>703</v>
      </c>
      <c r="N157" s="110"/>
      <c r="O157" s="104" t="s">
        <v>95</v>
      </c>
      <c r="P157" s="110"/>
      <c r="Q157" s="103" t="s">
        <v>554</v>
      </c>
      <c r="R157" s="110" t="s">
        <v>555</v>
      </c>
      <c r="S157" s="110">
        <v>1000.0</v>
      </c>
      <c r="T157" s="110" t="e">
        <v>#N/A</v>
      </c>
      <c r="U157" s="110" t="s">
        <v>574</v>
      </c>
      <c r="V157" s="112">
        <v>0.023</v>
      </c>
      <c r="W157" s="113">
        <v>30.0</v>
      </c>
      <c r="X157" s="113">
        <v>45.0</v>
      </c>
      <c r="Y157" s="113">
        <v>55.0</v>
      </c>
      <c r="Z157" s="113" t="s">
        <v>699</v>
      </c>
      <c r="AA157" s="114">
        <f t="shared" si="243"/>
        <v>1.69667254</v>
      </c>
      <c r="AB157" s="115"/>
      <c r="AC157" s="212">
        <f t="shared" si="216"/>
        <v>1.632547136</v>
      </c>
      <c r="AD157" s="213">
        <f t="shared" si="244"/>
        <v>1.755427027</v>
      </c>
      <c r="AE157" s="212"/>
      <c r="AF157" s="212" t="str">
        <f t="shared" si="94"/>
        <v>#REF!</v>
      </c>
      <c r="AG157" s="210" t="str">
        <f t="shared" si="95"/>
        <v>#REF!</v>
      </c>
      <c r="AH157" s="120" t="str">
        <f t="shared" si="96"/>
        <v>#REF!</v>
      </c>
      <c r="AI157" s="121">
        <f t="shared" si="237"/>
        <v>0.1</v>
      </c>
      <c r="AJ157" s="121">
        <v>0.1</v>
      </c>
      <c r="AK157" s="122">
        <v>0.41000000000000003</v>
      </c>
      <c r="AL157" s="123">
        <f t="shared" si="11"/>
        <v>0.6693443256</v>
      </c>
      <c r="AM157" s="122" t="s">
        <v>10</v>
      </c>
      <c r="AN157" s="125">
        <f t="shared" si="295"/>
        <v>1.632547136</v>
      </c>
      <c r="AO157" s="112">
        <f t="shared" si="219"/>
        <v>0.41</v>
      </c>
      <c r="AP157" s="127"/>
      <c r="AQ157" s="128">
        <f t="shared" ref="AQ157:AR157" si="296">BC157/(1-AI157)</f>
        <v>1.074559275</v>
      </c>
      <c r="AR157" s="139">
        <f t="shared" si="296"/>
        <v>1.070225344</v>
      </c>
      <c r="AS157" s="126">
        <f t="shared" si="221"/>
        <v>0.3666666667</v>
      </c>
      <c r="AT157" s="126">
        <f t="shared" si="222"/>
        <v>0.3444444444</v>
      </c>
      <c r="AU157" s="129"/>
      <c r="AV157" s="39" t="s">
        <v>510</v>
      </c>
      <c r="AW157" s="214"/>
      <c r="AX157" s="214"/>
      <c r="AY157" s="214"/>
      <c r="AZ157" s="214">
        <f t="shared" si="297"/>
        <v>0.144</v>
      </c>
      <c r="BA157" s="130">
        <v>6.5</v>
      </c>
      <c r="BB157" s="130">
        <f t="shared" si="298"/>
        <v>6.644</v>
      </c>
      <c r="BC157" s="131">
        <f t="shared" si="262"/>
        <v>0.9671033479</v>
      </c>
      <c r="BD157" s="132">
        <f t="shared" si="249"/>
        <v>0.9632028099</v>
      </c>
      <c r="BE157" s="135" t="s">
        <v>704</v>
      </c>
      <c r="BF157" s="134"/>
      <c r="BG157" s="49"/>
      <c r="BH157" s="224">
        <f t="shared" si="22"/>
        <v>5.441823785</v>
      </c>
      <c r="BI157" s="224">
        <f t="shared" si="23"/>
        <v>3.265094271</v>
      </c>
      <c r="BJ157" s="224">
        <f t="shared" si="24"/>
        <v>2.720911893</v>
      </c>
      <c r="BK157" s="224">
        <f t="shared" si="25"/>
        <v>2.176729514</v>
      </c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</row>
    <row r="158" ht="14.25" customHeight="1">
      <c r="A158" s="103" t="s">
        <v>84</v>
      </c>
      <c r="B158" s="103" t="s">
        <v>120</v>
      </c>
      <c r="C158" s="103" t="s">
        <v>120</v>
      </c>
      <c r="D158" s="103" t="s">
        <v>86</v>
      </c>
      <c r="E158" s="104" t="s">
        <v>566</v>
      </c>
      <c r="F158" s="105" t="s">
        <v>705</v>
      </c>
      <c r="G158" s="106" t="s">
        <v>577</v>
      </c>
      <c r="H158" s="110"/>
      <c r="I158" s="107"/>
      <c r="J158" s="220" t="s">
        <v>706</v>
      </c>
      <c r="K158" s="220" t="str">
        <f>_xlfn.XLOOKUP(J158,[1]Sheet1!$A:$A,[1]Sheet1!$B:$B,"")</f>
        <v>#ERROR!</v>
      </c>
      <c r="L158" s="105" t="s">
        <v>707</v>
      </c>
      <c r="M158" s="105" t="s">
        <v>708</v>
      </c>
      <c r="N158" s="110"/>
      <c r="O158" s="104" t="s">
        <v>95</v>
      </c>
      <c r="P158" s="110"/>
      <c r="Q158" s="103" t="s">
        <v>614</v>
      </c>
      <c r="R158" s="110" t="s">
        <v>602</v>
      </c>
      <c r="S158" s="110">
        <v>10368.0</v>
      </c>
      <c r="T158" s="111" t="e">
        <v>#N/A</v>
      </c>
      <c r="U158" s="110" t="s">
        <v>574</v>
      </c>
      <c r="V158" s="112">
        <v>0.023</v>
      </c>
      <c r="W158" s="113">
        <v>45.0</v>
      </c>
      <c r="X158" s="113">
        <v>45.0</v>
      </c>
      <c r="Y158" s="113">
        <v>55.0</v>
      </c>
      <c r="Z158" s="113" t="s">
        <v>596</v>
      </c>
      <c r="AA158" s="114">
        <f t="shared" si="243"/>
        <v>3.72149442</v>
      </c>
      <c r="AB158" s="115"/>
      <c r="AC158" s="212">
        <f t="shared" si="216"/>
        <v>3.230082173</v>
      </c>
      <c r="AD158" s="213">
        <f t="shared" si="244"/>
        <v>3.473206638</v>
      </c>
      <c r="AE158" s="212"/>
      <c r="AF158" s="212" t="str">
        <f t="shared" si="94"/>
        <v>#REF!</v>
      </c>
      <c r="AG158" s="210" t="str">
        <f t="shared" si="95"/>
        <v>#REF!</v>
      </c>
      <c r="AH158" s="120" t="str">
        <f t="shared" si="96"/>
        <v>#REF!</v>
      </c>
      <c r="AI158" s="121">
        <f t="shared" si="237"/>
        <v>0.1</v>
      </c>
      <c r="AJ158" s="121">
        <v>0.1</v>
      </c>
      <c r="AK158" s="122">
        <v>0.38</v>
      </c>
      <c r="AL158" s="123">
        <f t="shared" si="11"/>
        <v>1.227431226</v>
      </c>
      <c r="AM158" s="122" t="s">
        <v>10</v>
      </c>
      <c r="AN158" s="125">
        <f t="shared" si="295"/>
        <v>3.230082173</v>
      </c>
      <c r="AO158" s="112">
        <f t="shared" si="219"/>
        <v>0.38</v>
      </c>
      <c r="AP158" s="127"/>
      <c r="AQ158" s="128">
        <f t="shared" ref="AQ158:AR158" si="299">BC158/(1-AI158)</f>
        <v>2.48099628</v>
      </c>
      <c r="AR158" s="139">
        <f t="shared" si="299"/>
        <v>2.225167719</v>
      </c>
      <c r="AS158" s="126">
        <f t="shared" si="221"/>
        <v>0.3333333333</v>
      </c>
      <c r="AT158" s="126">
        <f t="shared" si="222"/>
        <v>0.3111111111</v>
      </c>
      <c r="AU158" s="129"/>
      <c r="AV158" s="39" t="s">
        <v>603</v>
      </c>
      <c r="AW158" s="214"/>
      <c r="AX158" s="214"/>
      <c r="AY158" s="214"/>
      <c r="AZ158" s="214"/>
      <c r="BA158" s="130">
        <v>15.34</v>
      </c>
      <c r="BB158" s="130">
        <v>15.34</v>
      </c>
      <c r="BC158" s="131">
        <f t="shared" si="262"/>
        <v>2.232896652</v>
      </c>
      <c r="BD158" s="132">
        <f t="shared" si="249"/>
        <v>2.002650947</v>
      </c>
      <c r="BE158" s="215" t="s">
        <v>637</v>
      </c>
      <c r="BF158" s="134"/>
      <c r="BG158" s="49"/>
      <c r="BH158" s="224">
        <f t="shared" si="22"/>
        <v>10.76694058</v>
      </c>
      <c r="BI158" s="224">
        <f t="shared" si="23"/>
        <v>6.460164347</v>
      </c>
      <c r="BJ158" s="224">
        <f t="shared" si="24"/>
        <v>5.383470289</v>
      </c>
      <c r="BK158" s="224">
        <f t="shared" si="25"/>
        <v>4.306776231</v>
      </c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</row>
    <row r="159" ht="14.25" customHeight="1">
      <c r="A159" s="105" t="s">
        <v>84</v>
      </c>
      <c r="B159" s="103" t="s">
        <v>120</v>
      </c>
      <c r="C159" s="103" t="s">
        <v>120</v>
      </c>
      <c r="D159" s="105" t="s">
        <v>86</v>
      </c>
      <c r="E159" s="105" t="s">
        <v>566</v>
      </c>
      <c r="F159" s="105" t="s">
        <v>709</v>
      </c>
      <c r="G159" s="106"/>
      <c r="H159" s="110"/>
      <c r="I159" s="107"/>
      <c r="J159" s="220" t="s">
        <v>710</v>
      </c>
      <c r="K159" s="220" t="str">
        <f>_xlfn.XLOOKUP(J159,[1]Sheet1!$A:$A,[1]Sheet1!$B:$B,"")</f>
        <v>#ERROR!</v>
      </c>
      <c r="L159" s="105" t="s">
        <v>711</v>
      </c>
      <c r="M159" s="105" t="s">
        <v>712</v>
      </c>
      <c r="N159" s="110"/>
      <c r="O159" s="104" t="s">
        <v>95</v>
      </c>
      <c r="P159" s="110"/>
      <c r="Q159" s="103" t="s">
        <v>713</v>
      </c>
      <c r="R159" s="110" t="s">
        <v>714</v>
      </c>
      <c r="S159" s="110">
        <v>86400.0</v>
      </c>
      <c r="T159" s="111" t="s">
        <v>715</v>
      </c>
      <c r="U159" s="110" t="s">
        <v>509</v>
      </c>
      <c r="V159" s="112">
        <v>0.017</v>
      </c>
      <c r="W159" s="113">
        <v>45.0</v>
      </c>
      <c r="X159" s="113">
        <v>45.0</v>
      </c>
      <c r="Y159" s="113">
        <v>55.0</v>
      </c>
      <c r="Z159" s="113" t="s">
        <v>699</v>
      </c>
      <c r="AA159" s="114">
        <f t="shared" si="243"/>
        <v>0.05391126206</v>
      </c>
      <c r="AB159" s="115"/>
      <c r="AC159" s="212">
        <f t="shared" si="216"/>
        <v>0.04849064429</v>
      </c>
      <c r="AD159" s="213">
        <f t="shared" si="244"/>
        <v>0.05214047774</v>
      </c>
      <c r="AE159" s="212"/>
      <c r="AF159" s="212" t="str">
        <f t="shared" si="94"/>
        <v>#REF!</v>
      </c>
      <c r="AG159" s="210" t="str">
        <f t="shared" si="95"/>
        <v>#REF!</v>
      </c>
      <c r="AH159" s="120" t="str">
        <f t="shared" si="96"/>
        <v>#REF!</v>
      </c>
      <c r="AI159" s="121">
        <f t="shared" si="237"/>
        <v>0.1</v>
      </c>
      <c r="AJ159" s="121">
        <v>0.1</v>
      </c>
      <c r="AK159" s="122">
        <v>0.71</v>
      </c>
      <c r="AL159" s="123">
        <f t="shared" si="11"/>
        <v>0.03442835745</v>
      </c>
      <c r="AM159" s="122" t="s">
        <v>10</v>
      </c>
      <c r="AN159" s="125">
        <f t="shared" si="295"/>
        <v>0.04849064429</v>
      </c>
      <c r="AO159" s="112">
        <f t="shared" si="219"/>
        <v>0.71</v>
      </c>
      <c r="AP159" s="127"/>
      <c r="AQ159" s="128">
        <f t="shared" ref="AQ159:AR159" si="300">BC159/(1-AI159)</f>
        <v>0.01617337862</v>
      </c>
      <c r="AR159" s="139">
        <f t="shared" si="300"/>
        <v>0.01562476316</v>
      </c>
      <c r="AS159" s="126">
        <f t="shared" si="221"/>
        <v>0.7</v>
      </c>
      <c r="AT159" s="126">
        <f t="shared" si="222"/>
        <v>0.6777777778</v>
      </c>
      <c r="AU159" s="129"/>
      <c r="AV159" s="39" t="s">
        <v>603</v>
      </c>
      <c r="AW159" s="214"/>
      <c r="AX159" s="214"/>
      <c r="AY159" s="214"/>
      <c r="AZ159" s="214"/>
      <c r="BA159" s="214">
        <v>0.1</v>
      </c>
      <c r="BB159" s="130">
        <f t="shared" ref="BB159:BB163" si="302">AZ159+BA159</f>
        <v>0.1</v>
      </c>
      <c r="BC159" s="131">
        <f t="shared" si="262"/>
        <v>0.01455604076</v>
      </c>
      <c r="BD159" s="132">
        <f t="shared" si="249"/>
        <v>0.01406228685</v>
      </c>
      <c r="BE159" s="133"/>
      <c r="BF159" s="134" t="s">
        <v>576</v>
      </c>
      <c r="BG159" s="49"/>
      <c r="BH159" s="212">
        <f t="shared" si="22"/>
        <v>0.161635481</v>
      </c>
      <c r="BI159" s="212">
        <f t="shared" si="23"/>
        <v>0.09698128859</v>
      </c>
      <c r="BJ159" s="212">
        <f t="shared" si="24"/>
        <v>0.08081774049</v>
      </c>
      <c r="BK159" s="212">
        <f t="shared" si="25"/>
        <v>0.06465419239</v>
      </c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</row>
    <row r="160" ht="14.25" customHeight="1">
      <c r="A160" s="105" t="s">
        <v>84</v>
      </c>
      <c r="B160" s="103" t="s">
        <v>120</v>
      </c>
      <c r="C160" s="103" t="s">
        <v>120</v>
      </c>
      <c r="D160" s="105" t="s">
        <v>86</v>
      </c>
      <c r="E160" s="105" t="s">
        <v>566</v>
      </c>
      <c r="F160" s="105" t="s">
        <v>709</v>
      </c>
      <c r="G160" s="106"/>
      <c r="H160" s="110"/>
      <c r="I160" s="107"/>
      <c r="J160" s="220" t="s">
        <v>716</v>
      </c>
      <c r="K160" s="220" t="str">
        <f>_xlfn.XLOOKUP(J160,[1]Sheet1!$A:$A,[1]Sheet1!$B:$B,"")</f>
        <v>#ERROR!</v>
      </c>
      <c r="L160" s="105" t="s">
        <v>717</v>
      </c>
      <c r="M160" s="105" t="s">
        <v>718</v>
      </c>
      <c r="N160" s="110"/>
      <c r="O160" s="104" t="s">
        <v>95</v>
      </c>
      <c r="P160" s="110"/>
      <c r="Q160" s="103" t="s">
        <v>713</v>
      </c>
      <c r="R160" s="110" t="s">
        <v>714</v>
      </c>
      <c r="S160" s="110">
        <v>86400.0</v>
      </c>
      <c r="T160" s="111" t="s">
        <v>719</v>
      </c>
      <c r="U160" s="110" t="s">
        <v>509</v>
      </c>
      <c r="V160" s="112">
        <v>0.017</v>
      </c>
      <c r="W160" s="113">
        <v>45.0</v>
      </c>
      <c r="X160" s="113">
        <v>45.0</v>
      </c>
      <c r="Y160" s="113">
        <v>55.0</v>
      </c>
      <c r="Z160" s="113" t="s">
        <v>699</v>
      </c>
      <c r="AA160" s="114">
        <f t="shared" si="243"/>
        <v>0.05391126206</v>
      </c>
      <c r="AB160" s="115"/>
      <c r="AC160" s="212">
        <f t="shared" si="216"/>
        <v>0.04849064429</v>
      </c>
      <c r="AD160" s="213">
        <f t="shared" si="244"/>
        <v>0.05214047774</v>
      </c>
      <c r="AE160" s="212"/>
      <c r="AF160" s="212" t="str">
        <f t="shared" si="94"/>
        <v>#REF!</v>
      </c>
      <c r="AG160" s="210" t="str">
        <f t="shared" si="95"/>
        <v>#REF!</v>
      </c>
      <c r="AH160" s="120" t="str">
        <f t="shared" si="96"/>
        <v>#REF!</v>
      </c>
      <c r="AI160" s="121">
        <f t="shared" si="237"/>
        <v>0.1</v>
      </c>
      <c r="AJ160" s="121">
        <v>0.1</v>
      </c>
      <c r="AK160" s="122">
        <v>0.71</v>
      </c>
      <c r="AL160" s="123">
        <f t="shared" si="11"/>
        <v>0.03442835745</v>
      </c>
      <c r="AM160" s="122" t="s">
        <v>10</v>
      </c>
      <c r="AN160" s="125">
        <f t="shared" si="295"/>
        <v>0.04849064429</v>
      </c>
      <c r="AO160" s="112">
        <f t="shared" si="219"/>
        <v>0.71</v>
      </c>
      <c r="AP160" s="127"/>
      <c r="AQ160" s="128">
        <f t="shared" ref="AQ160:AR160" si="301">BC160/(1-AI160)</f>
        <v>0.01617337862</v>
      </c>
      <c r="AR160" s="139">
        <f t="shared" si="301"/>
        <v>0.01562476316</v>
      </c>
      <c r="AS160" s="126">
        <f t="shared" si="221"/>
        <v>0.7</v>
      </c>
      <c r="AT160" s="126">
        <f t="shared" si="222"/>
        <v>0.6777777778</v>
      </c>
      <c r="AU160" s="129"/>
      <c r="AV160" s="39" t="s">
        <v>603</v>
      </c>
      <c r="AW160" s="214"/>
      <c r="AX160" s="214"/>
      <c r="AY160" s="214"/>
      <c r="AZ160" s="214"/>
      <c r="BA160" s="214">
        <v>0.1</v>
      </c>
      <c r="BB160" s="130">
        <f t="shared" si="302"/>
        <v>0.1</v>
      </c>
      <c r="BC160" s="131">
        <f t="shared" si="262"/>
        <v>0.01455604076</v>
      </c>
      <c r="BD160" s="132">
        <f t="shared" si="249"/>
        <v>0.01406228685</v>
      </c>
      <c r="BE160" s="133"/>
      <c r="BF160" s="134" t="s">
        <v>576</v>
      </c>
      <c r="BG160" s="49"/>
      <c r="BH160" s="212">
        <f t="shared" si="22"/>
        <v>0.161635481</v>
      </c>
      <c r="BI160" s="212">
        <f t="shared" si="23"/>
        <v>0.09698128859</v>
      </c>
      <c r="BJ160" s="212">
        <f t="shared" si="24"/>
        <v>0.08081774049</v>
      </c>
      <c r="BK160" s="212">
        <f t="shared" si="25"/>
        <v>0.06465419239</v>
      </c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49"/>
      <c r="CB160" s="49"/>
      <c r="CC160" s="49"/>
      <c r="CD160" s="49"/>
      <c r="CE160" s="49"/>
      <c r="CF160" s="49"/>
    </row>
    <row r="161" ht="14.25" customHeight="1">
      <c r="A161" s="105" t="s">
        <v>84</v>
      </c>
      <c r="B161" s="103" t="s">
        <v>120</v>
      </c>
      <c r="C161" s="103" t="s">
        <v>120</v>
      </c>
      <c r="D161" s="105" t="s">
        <v>86</v>
      </c>
      <c r="E161" s="105" t="s">
        <v>566</v>
      </c>
      <c r="F161" s="105" t="s">
        <v>709</v>
      </c>
      <c r="G161" s="106"/>
      <c r="H161" s="110"/>
      <c r="I161" s="107"/>
      <c r="J161" s="220" t="s">
        <v>720</v>
      </c>
      <c r="K161" s="220" t="str">
        <f>_xlfn.XLOOKUP(J161,[1]Sheet1!$A:$A,[1]Sheet1!$B:$B,"")</f>
        <v>#ERROR!</v>
      </c>
      <c r="L161" s="105" t="s">
        <v>721</v>
      </c>
      <c r="M161" s="105" t="s">
        <v>722</v>
      </c>
      <c r="N161" s="110"/>
      <c r="O161" s="104" t="s">
        <v>95</v>
      </c>
      <c r="P161" s="110"/>
      <c r="Q161" s="103" t="s">
        <v>713</v>
      </c>
      <c r="R161" s="110" t="s">
        <v>714</v>
      </c>
      <c r="S161" s="110">
        <v>86400.0</v>
      </c>
      <c r="T161" s="111" t="s">
        <v>723</v>
      </c>
      <c r="U161" s="110" t="s">
        <v>509</v>
      </c>
      <c r="V161" s="112">
        <v>0.017</v>
      </c>
      <c r="W161" s="113">
        <v>45.0</v>
      </c>
      <c r="X161" s="113">
        <v>45.0</v>
      </c>
      <c r="Y161" s="113">
        <v>55.0</v>
      </c>
      <c r="Z161" s="113" t="s">
        <v>699</v>
      </c>
      <c r="AA161" s="114">
        <f t="shared" si="243"/>
        <v>0.05391126206</v>
      </c>
      <c r="AB161" s="115"/>
      <c r="AC161" s="212">
        <f t="shared" si="216"/>
        <v>0.04849064429</v>
      </c>
      <c r="AD161" s="213">
        <f t="shared" si="244"/>
        <v>0.05214047774</v>
      </c>
      <c r="AE161" s="212"/>
      <c r="AF161" s="212" t="str">
        <f t="shared" si="94"/>
        <v>#REF!</v>
      </c>
      <c r="AG161" s="210" t="str">
        <f t="shared" si="95"/>
        <v>#REF!</v>
      </c>
      <c r="AH161" s="120" t="str">
        <f t="shared" si="96"/>
        <v>#REF!</v>
      </c>
      <c r="AI161" s="121">
        <f t="shared" si="237"/>
        <v>0.1</v>
      </c>
      <c r="AJ161" s="121">
        <v>0.1</v>
      </c>
      <c r="AK161" s="122">
        <v>0.71</v>
      </c>
      <c r="AL161" s="123">
        <f t="shared" si="11"/>
        <v>0.03442835745</v>
      </c>
      <c r="AM161" s="122" t="s">
        <v>10</v>
      </c>
      <c r="AN161" s="125">
        <f t="shared" si="295"/>
        <v>0.04849064429</v>
      </c>
      <c r="AO161" s="112">
        <f t="shared" si="219"/>
        <v>0.71</v>
      </c>
      <c r="AP161" s="127"/>
      <c r="AQ161" s="128">
        <f t="shared" ref="AQ161:AR161" si="303">BC161/(1-AI161)</f>
        <v>0.01617337862</v>
      </c>
      <c r="AR161" s="139">
        <f t="shared" si="303"/>
        <v>0.01562476316</v>
      </c>
      <c r="AS161" s="126">
        <f t="shared" si="221"/>
        <v>0.7</v>
      </c>
      <c r="AT161" s="126">
        <f t="shared" si="222"/>
        <v>0.6777777778</v>
      </c>
      <c r="AU161" s="129"/>
      <c r="AV161" s="39" t="s">
        <v>603</v>
      </c>
      <c r="AW161" s="214"/>
      <c r="AX161" s="214"/>
      <c r="AY161" s="214"/>
      <c r="AZ161" s="214"/>
      <c r="BA161" s="214">
        <v>0.1</v>
      </c>
      <c r="BB161" s="130">
        <f t="shared" si="302"/>
        <v>0.1</v>
      </c>
      <c r="BC161" s="131">
        <f t="shared" si="262"/>
        <v>0.01455604076</v>
      </c>
      <c r="BD161" s="132">
        <f t="shared" si="249"/>
        <v>0.01406228685</v>
      </c>
      <c r="BE161" s="133"/>
      <c r="BF161" s="134" t="s">
        <v>576</v>
      </c>
      <c r="BG161" s="49"/>
      <c r="BH161" s="212">
        <f t="shared" si="22"/>
        <v>0.161635481</v>
      </c>
      <c r="BI161" s="212">
        <f t="shared" si="23"/>
        <v>0.09698128859</v>
      </c>
      <c r="BJ161" s="212">
        <f t="shared" si="24"/>
        <v>0.08081774049</v>
      </c>
      <c r="BK161" s="212">
        <f t="shared" si="25"/>
        <v>0.06465419239</v>
      </c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</row>
    <row r="162" ht="14.25" customHeight="1">
      <c r="A162" s="105" t="s">
        <v>84</v>
      </c>
      <c r="B162" s="103" t="s">
        <v>120</v>
      </c>
      <c r="C162" s="103" t="s">
        <v>120</v>
      </c>
      <c r="D162" s="105" t="s">
        <v>86</v>
      </c>
      <c r="E162" s="105" t="s">
        <v>566</v>
      </c>
      <c r="F162" s="105" t="s">
        <v>709</v>
      </c>
      <c r="G162" s="106"/>
      <c r="H162" s="110"/>
      <c r="I162" s="107"/>
      <c r="J162" s="220" t="s">
        <v>724</v>
      </c>
      <c r="K162" s="220" t="str">
        <f>_xlfn.XLOOKUP(J162,[1]Sheet1!$A:$A,[1]Sheet1!$B:$B,"")</f>
        <v>#ERROR!</v>
      </c>
      <c r="L162" s="105" t="s">
        <v>725</v>
      </c>
      <c r="M162" s="105" t="s">
        <v>726</v>
      </c>
      <c r="N162" s="110"/>
      <c r="O162" s="104" t="s">
        <v>95</v>
      </c>
      <c r="P162" s="110"/>
      <c r="Q162" s="103" t="s">
        <v>713</v>
      </c>
      <c r="R162" s="110" t="s">
        <v>714</v>
      </c>
      <c r="S162" s="110">
        <v>86400.0</v>
      </c>
      <c r="T162" s="111" t="s">
        <v>727</v>
      </c>
      <c r="U162" s="110" t="s">
        <v>509</v>
      </c>
      <c r="V162" s="112">
        <v>0.017</v>
      </c>
      <c r="W162" s="113">
        <v>45.0</v>
      </c>
      <c r="X162" s="113">
        <v>45.0</v>
      </c>
      <c r="Y162" s="113">
        <v>55.0</v>
      </c>
      <c r="Z162" s="113" t="s">
        <v>699</v>
      </c>
      <c r="AA162" s="114">
        <f t="shared" si="243"/>
        <v>0.05391126206</v>
      </c>
      <c r="AB162" s="115"/>
      <c r="AC162" s="212">
        <f t="shared" si="216"/>
        <v>0.04849064429</v>
      </c>
      <c r="AD162" s="213">
        <f t="shared" si="244"/>
        <v>0.05214047774</v>
      </c>
      <c r="AE162" s="212"/>
      <c r="AF162" s="212" t="str">
        <f t="shared" si="94"/>
        <v>#REF!</v>
      </c>
      <c r="AG162" s="210" t="str">
        <f t="shared" si="95"/>
        <v>#REF!</v>
      </c>
      <c r="AH162" s="120" t="str">
        <f t="shared" si="96"/>
        <v>#REF!</v>
      </c>
      <c r="AI162" s="121">
        <f t="shared" si="237"/>
        <v>0.1</v>
      </c>
      <c r="AJ162" s="121">
        <v>0.1</v>
      </c>
      <c r="AK162" s="122">
        <v>0.71</v>
      </c>
      <c r="AL162" s="123">
        <f t="shared" si="11"/>
        <v>0.03442835745</v>
      </c>
      <c r="AM162" s="122" t="s">
        <v>10</v>
      </c>
      <c r="AN162" s="125">
        <f t="shared" si="295"/>
        <v>0.04849064429</v>
      </c>
      <c r="AO162" s="112">
        <f t="shared" si="219"/>
        <v>0.71</v>
      </c>
      <c r="AP162" s="127"/>
      <c r="AQ162" s="128">
        <f t="shared" ref="AQ162:AR162" si="304">BC162/(1-AI162)</f>
        <v>0.01617337862</v>
      </c>
      <c r="AR162" s="139">
        <f t="shared" si="304"/>
        <v>0.01562476316</v>
      </c>
      <c r="AS162" s="126">
        <f t="shared" si="221"/>
        <v>0.7</v>
      </c>
      <c r="AT162" s="126">
        <f t="shared" si="222"/>
        <v>0.6777777778</v>
      </c>
      <c r="AU162" s="129"/>
      <c r="AV162" s="39" t="s">
        <v>603</v>
      </c>
      <c r="AW162" s="214"/>
      <c r="AX162" s="214"/>
      <c r="AY162" s="214"/>
      <c r="AZ162" s="214"/>
      <c r="BA162" s="214">
        <v>0.1</v>
      </c>
      <c r="BB162" s="130">
        <f t="shared" si="302"/>
        <v>0.1</v>
      </c>
      <c r="BC162" s="131">
        <f t="shared" si="262"/>
        <v>0.01455604076</v>
      </c>
      <c r="BD162" s="132">
        <f t="shared" si="249"/>
        <v>0.01406228685</v>
      </c>
      <c r="BE162" s="133"/>
      <c r="BF162" s="134" t="s">
        <v>576</v>
      </c>
      <c r="BG162" s="49"/>
      <c r="BH162" s="212">
        <f t="shared" si="22"/>
        <v>0.161635481</v>
      </c>
      <c r="BI162" s="212">
        <f t="shared" si="23"/>
        <v>0.09698128859</v>
      </c>
      <c r="BJ162" s="212">
        <f t="shared" si="24"/>
        <v>0.08081774049</v>
      </c>
      <c r="BK162" s="212">
        <f t="shared" si="25"/>
        <v>0.06465419239</v>
      </c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</row>
    <row r="163" ht="14.25" customHeight="1">
      <c r="A163" s="105" t="s">
        <v>84</v>
      </c>
      <c r="B163" s="103" t="s">
        <v>85</v>
      </c>
      <c r="C163" s="103" t="s">
        <v>120</v>
      </c>
      <c r="D163" s="105" t="s">
        <v>86</v>
      </c>
      <c r="E163" s="105" t="s">
        <v>566</v>
      </c>
      <c r="F163" s="105" t="s">
        <v>709</v>
      </c>
      <c r="G163" s="106" t="s">
        <v>577</v>
      </c>
      <c r="H163" s="110"/>
      <c r="I163" s="107"/>
      <c r="J163" s="220" t="s">
        <v>728</v>
      </c>
      <c r="K163" s="220" t="str">
        <f>_xlfn.XLOOKUP(J163,[1]Sheet1!$A:$A,[1]Sheet1!$B:$B,"")</f>
        <v>#ERROR!</v>
      </c>
      <c r="L163" s="105" t="s">
        <v>729</v>
      </c>
      <c r="M163" s="105" t="s">
        <v>730</v>
      </c>
      <c r="N163" s="110"/>
      <c r="O163" s="104" t="s">
        <v>95</v>
      </c>
      <c r="P163" s="110"/>
      <c r="Q163" s="103" t="s">
        <v>713</v>
      </c>
      <c r="R163" s="110" t="s">
        <v>507</v>
      </c>
      <c r="S163" s="110">
        <v>60000.0</v>
      </c>
      <c r="T163" s="111" t="e">
        <v>#N/A</v>
      </c>
      <c r="U163" s="110">
        <v>8.536699099E9</v>
      </c>
      <c r="V163" s="112">
        <v>0.023</v>
      </c>
      <c r="W163" s="113">
        <v>30.0</v>
      </c>
      <c r="X163" s="113">
        <v>45.0</v>
      </c>
      <c r="Y163" s="113">
        <v>55.0</v>
      </c>
      <c r="Z163" s="113" t="s">
        <v>596</v>
      </c>
      <c r="AA163" s="114">
        <f t="shared" si="243"/>
        <v>0.2893332312</v>
      </c>
      <c r="AB163" s="115"/>
      <c r="AC163" s="212">
        <f t="shared" si="216"/>
        <v>0.2523194413</v>
      </c>
      <c r="AD163" s="213">
        <f t="shared" si="244"/>
        <v>0.2713112272</v>
      </c>
      <c r="AE163" s="212"/>
      <c r="AF163" s="212" t="str">
        <f t="shared" si="94"/>
        <v>#REF!</v>
      </c>
      <c r="AG163" s="210" t="str">
        <f t="shared" si="95"/>
        <v>#REF!</v>
      </c>
      <c r="AH163" s="120" t="str">
        <f t="shared" si="96"/>
        <v>#REF!</v>
      </c>
      <c r="AI163" s="121">
        <f t="shared" si="237"/>
        <v>0.1</v>
      </c>
      <c r="AJ163" s="121">
        <v>0.1</v>
      </c>
      <c r="AK163" s="122">
        <v>0.41000000000000003</v>
      </c>
      <c r="AL163" s="123">
        <f t="shared" si="11"/>
        <v>0.1034509709</v>
      </c>
      <c r="AM163" s="122" t="s">
        <v>10</v>
      </c>
      <c r="AN163" s="125">
        <f t="shared" si="295"/>
        <v>0.2523194413</v>
      </c>
      <c r="AO163" s="112">
        <f t="shared" si="219"/>
        <v>0.41</v>
      </c>
      <c r="AP163" s="127"/>
      <c r="AQ163" s="128">
        <f t="shared" ref="AQ163:AR163" si="305">BC163/(1-AI163)</f>
        <v>0.1832443798</v>
      </c>
      <c r="AR163" s="139">
        <f t="shared" si="305"/>
        <v>0.1654094115</v>
      </c>
      <c r="AS163" s="126">
        <f t="shared" si="221"/>
        <v>0.3666666667</v>
      </c>
      <c r="AT163" s="126">
        <f t="shared" si="222"/>
        <v>0.3444444444</v>
      </c>
      <c r="AU163" s="129"/>
      <c r="AV163" s="39" t="s">
        <v>597</v>
      </c>
      <c r="AW163" s="214"/>
      <c r="AX163" s="214"/>
      <c r="AY163" s="214"/>
      <c r="AZ163" s="214"/>
      <c r="BA163" s="227">
        <v>1.133</v>
      </c>
      <c r="BB163" s="130">
        <f t="shared" si="302"/>
        <v>1.133</v>
      </c>
      <c r="BC163" s="131">
        <f t="shared" si="262"/>
        <v>0.1649199418</v>
      </c>
      <c r="BD163" s="132">
        <f t="shared" si="249"/>
        <v>0.1488684703</v>
      </c>
      <c r="BE163" s="133"/>
      <c r="BF163" s="134"/>
      <c r="BG163" s="49"/>
      <c r="BH163" s="212">
        <f t="shared" si="22"/>
        <v>0.8410648042</v>
      </c>
      <c r="BI163" s="212">
        <f t="shared" si="23"/>
        <v>0.5046388825</v>
      </c>
      <c r="BJ163" s="212">
        <f t="shared" si="24"/>
        <v>0.4205324021</v>
      </c>
      <c r="BK163" s="212">
        <f t="shared" si="25"/>
        <v>0.3364259217</v>
      </c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</row>
    <row r="164" ht="14.25" customHeight="1">
      <c r="A164" s="105" t="s">
        <v>84</v>
      </c>
      <c r="B164" s="103" t="s">
        <v>85</v>
      </c>
      <c r="C164" s="103" t="s">
        <v>120</v>
      </c>
      <c r="D164" s="105" t="s">
        <v>86</v>
      </c>
      <c r="E164" s="105" t="s">
        <v>566</v>
      </c>
      <c r="F164" s="105" t="s">
        <v>709</v>
      </c>
      <c r="G164" s="106"/>
      <c r="H164" s="110"/>
      <c r="I164" s="107"/>
      <c r="J164" s="220" t="s">
        <v>731</v>
      </c>
      <c r="K164" s="220" t="str">
        <f>_xlfn.XLOOKUP(J164,[1]Sheet1!$A:$A,[1]Sheet1!$B:$B,"")</f>
        <v>#ERROR!</v>
      </c>
      <c r="L164" s="228" t="s">
        <v>732</v>
      </c>
      <c r="M164" s="105" t="s">
        <v>733</v>
      </c>
      <c r="N164" s="110"/>
      <c r="O164" s="104" t="s">
        <v>95</v>
      </c>
      <c r="P164" s="110"/>
      <c r="Q164" s="103" t="s">
        <v>713</v>
      </c>
      <c r="R164" s="110" t="s">
        <v>507</v>
      </c>
      <c r="S164" s="110">
        <v>60000.0</v>
      </c>
      <c r="T164" s="111" t="e">
        <v>#N/A</v>
      </c>
      <c r="U164" s="110" t="s">
        <v>509</v>
      </c>
      <c r="V164" s="112">
        <v>0.017</v>
      </c>
      <c r="W164" s="113">
        <v>30.0</v>
      </c>
      <c r="X164" s="113">
        <v>45.0</v>
      </c>
      <c r="Y164" s="113">
        <v>55.0</v>
      </c>
      <c r="Z164" s="113" t="s">
        <v>596</v>
      </c>
      <c r="AA164" s="114">
        <f t="shared" si="243"/>
        <v>0.0972972973</v>
      </c>
      <c r="AB164" s="115"/>
      <c r="AC164" s="212">
        <f t="shared" si="216"/>
        <v>0.08611029357</v>
      </c>
      <c r="AD164" s="213">
        <f t="shared" si="244"/>
        <v>0.09259171352</v>
      </c>
      <c r="AE164" s="212"/>
      <c r="AF164" s="212" t="str">
        <f t="shared" si="94"/>
        <v>#REF!</v>
      </c>
      <c r="AG164" s="210" t="str">
        <f t="shared" si="95"/>
        <v>#REF!</v>
      </c>
      <c r="AH164" s="120" t="str">
        <f t="shared" si="96"/>
        <v>#REF!</v>
      </c>
      <c r="AI164" s="121">
        <f t="shared" si="237"/>
        <v>0.1</v>
      </c>
      <c r="AJ164" s="121">
        <v>0.1</v>
      </c>
      <c r="AK164" s="122">
        <v>0.61</v>
      </c>
      <c r="AL164" s="123">
        <f t="shared" si="11"/>
        <v>0.05252727908</v>
      </c>
      <c r="AM164" s="122" t="s">
        <v>10</v>
      </c>
      <c r="AN164" s="125">
        <f t="shared" si="295"/>
        <v>0.08611029357</v>
      </c>
      <c r="AO164" s="112">
        <f t="shared" si="219"/>
        <v>0.61</v>
      </c>
      <c r="AP164" s="127"/>
      <c r="AQ164" s="128">
        <f t="shared" ref="AQ164:AR164" si="306">BC164/(1-AI164)</f>
        <v>0.04</v>
      </c>
      <c r="AR164" s="139">
        <f t="shared" si="306"/>
        <v>0.03731446055</v>
      </c>
      <c r="AS164" s="126">
        <f t="shared" si="221"/>
        <v>0.5888888889</v>
      </c>
      <c r="AT164" s="126">
        <f t="shared" si="222"/>
        <v>0.5666666667</v>
      </c>
      <c r="AU164" s="129"/>
      <c r="AV164" s="39" t="s">
        <v>597</v>
      </c>
      <c r="AW164" s="214"/>
      <c r="AX164" s="214"/>
      <c r="AY164" s="214"/>
      <c r="AZ164" s="214"/>
      <c r="BA164" s="227"/>
      <c r="BB164" s="130"/>
      <c r="BC164" s="229">
        <v>0.036</v>
      </c>
      <c r="BD164" s="132">
        <f t="shared" si="249"/>
        <v>0.03358301449</v>
      </c>
      <c r="BE164" s="135" t="s">
        <v>734</v>
      </c>
      <c r="BF164" s="134"/>
      <c r="BG164" s="49"/>
      <c r="BH164" s="212">
        <f t="shared" si="22"/>
        <v>0.2870343119</v>
      </c>
      <c r="BI164" s="212">
        <f t="shared" si="23"/>
        <v>0.1722205871</v>
      </c>
      <c r="BJ164" s="212">
        <f t="shared" si="24"/>
        <v>0.143517156</v>
      </c>
      <c r="BK164" s="212">
        <f t="shared" si="25"/>
        <v>0.1148137248</v>
      </c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</row>
    <row r="165" ht="14.25" customHeight="1">
      <c r="A165" s="182" t="s">
        <v>84</v>
      </c>
      <c r="B165" s="180" t="s">
        <v>85</v>
      </c>
      <c r="C165" s="180" t="s">
        <v>120</v>
      </c>
      <c r="D165" s="182" t="s">
        <v>86</v>
      </c>
      <c r="E165" s="182" t="s">
        <v>566</v>
      </c>
      <c r="F165" s="182" t="s">
        <v>709</v>
      </c>
      <c r="G165" s="183"/>
      <c r="H165" s="186"/>
      <c r="I165" s="107"/>
      <c r="J165" s="230" t="s">
        <v>735</v>
      </c>
      <c r="K165" s="230" t="str">
        <f>_xlfn.XLOOKUP(J165,[1]Sheet1!$A:$A,[1]Sheet1!$B:$B,"")</f>
        <v>#ERROR!</v>
      </c>
      <c r="L165" s="231" t="s">
        <v>736</v>
      </c>
      <c r="M165" s="182" t="s">
        <v>737</v>
      </c>
      <c r="N165" s="186"/>
      <c r="O165" s="181" t="s">
        <v>95</v>
      </c>
      <c r="P165" s="186"/>
      <c r="Q165" s="180" t="s">
        <v>713</v>
      </c>
      <c r="R165" s="186" t="s">
        <v>507</v>
      </c>
      <c r="S165" s="186">
        <v>60000.0</v>
      </c>
      <c r="T165" s="187" t="e">
        <v>#N/A</v>
      </c>
      <c r="U165" s="186" t="s">
        <v>509</v>
      </c>
      <c r="V165" s="188">
        <v>0.017</v>
      </c>
      <c r="W165" s="189">
        <v>30.0</v>
      </c>
      <c r="X165" s="189">
        <v>45.0</v>
      </c>
      <c r="Y165" s="189">
        <v>55.0</v>
      </c>
      <c r="Z165" s="189" t="s">
        <v>596</v>
      </c>
      <c r="AA165" s="114">
        <f t="shared" si="243"/>
        <v>0.0972972973</v>
      </c>
      <c r="AB165" s="190"/>
      <c r="AC165" s="232">
        <f t="shared" si="216"/>
        <v>0.08611029357</v>
      </c>
      <c r="AD165" s="213">
        <f t="shared" si="244"/>
        <v>0.09259171352</v>
      </c>
      <c r="AE165" s="232"/>
      <c r="AF165" s="232" t="str">
        <f t="shared" si="94"/>
        <v>#REF!</v>
      </c>
      <c r="AG165" s="192" t="str">
        <f t="shared" si="95"/>
        <v>#REF!</v>
      </c>
      <c r="AH165" s="120" t="str">
        <f t="shared" si="96"/>
        <v>#REF!</v>
      </c>
      <c r="AI165" s="188">
        <f t="shared" si="237"/>
        <v>0.1</v>
      </c>
      <c r="AJ165" s="188">
        <v>0.1</v>
      </c>
      <c r="AK165" s="188">
        <v>0.61</v>
      </c>
      <c r="AL165" s="123">
        <f t="shared" si="11"/>
        <v>0.05252727908</v>
      </c>
      <c r="AM165" s="188" t="s">
        <v>10</v>
      </c>
      <c r="AN165" s="194">
        <f t="shared" si="295"/>
        <v>0.08611029357</v>
      </c>
      <c r="AO165" s="188">
        <f t="shared" si="219"/>
        <v>0.61</v>
      </c>
      <c r="AP165" s="196"/>
      <c r="AQ165" s="197">
        <f t="shared" ref="AQ165:AR165" si="307">BC165/(1-AI165)</f>
        <v>0.04</v>
      </c>
      <c r="AR165" s="233">
        <f t="shared" si="307"/>
        <v>0.03731446055</v>
      </c>
      <c r="AS165" s="195">
        <f t="shared" si="221"/>
        <v>0.5888888889</v>
      </c>
      <c r="AT165" s="195">
        <f t="shared" si="222"/>
        <v>0.5666666667</v>
      </c>
      <c r="AU165" s="129"/>
      <c r="AV165" s="198" t="s">
        <v>597</v>
      </c>
      <c r="AW165" s="234"/>
      <c r="AX165" s="234"/>
      <c r="AY165" s="234"/>
      <c r="AZ165" s="234"/>
      <c r="BA165" s="235"/>
      <c r="BB165" s="199"/>
      <c r="BC165" s="236">
        <v>0.036</v>
      </c>
      <c r="BD165" s="201">
        <f t="shared" si="249"/>
        <v>0.03358301449</v>
      </c>
      <c r="BE165" s="237" t="s">
        <v>734</v>
      </c>
      <c r="BF165" s="203"/>
      <c r="BG165" s="204"/>
      <c r="BH165" s="232">
        <f t="shared" si="22"/>
        <v>0.2870343119</v>
      </c>
      <c r="BI165" s="232">
        <f t="shared" si="23"/>
        <v>0.1722205871</v>
      </c>
      <c r="BJ165" s="232">
        <f t="shared" si="24"/>
        <v>0.143517156</v>
      </c>
      <c r="BK165" s="232">
        <f t="shared" si="25"/>
        <v>0.1148137248</v>
      </c>
      <c r="BL165" s="204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</row>
    <row r="166" ht="14.25" customHeight="1">
      <c r="A166" s="105" t="s">
        <v>84</v>
      </c>
      <c r="B166" s="103" t="s">
        <v>85</v>
      </c>
      <c r="C166" s="103" t="s">
        <v>120</v>
      </c>
      <c r="D166" s="105" t="s">
        <v>86</v>
      </c>
      <c r="E166" s="105" t="s">
        <v>566</v>
      </c>
      <c r="F166" s="105" t="s">
        <v>709</v>
      </c>
      <c r="G166" s="106"/>
      <c r="H166" s="110"/>
      <c r="I166" s="107"/>
      <c r="J166" s="220" t="s">
        <v>738</v>
      </c>
      <c r="K166" s="220" t="str">
        <f>_xlfn.XLOOKUP(J166,[1]Sheet1!$A:$A,[1]Sheet1!$B:$B,"")</f>
        <v>#ERROR!</v>
      </c>
      <c r="L166" s="228" t="s">
        <v>739</v>
      </c>
      <c r="M166" s="105" t="s">
        <v>740</v>
      </c>
      <c r="N166" s="110"/>
      <c r="O166" s="104" t="s">
        <v>95</v>
      </c>
      <c r="P166" s="110"/>
      <c r="Q166" s="103" t="s">
        <v>554</v>
      </c>
      <c r="R166" s="110" t="s">
        <v>741</v>
      </c>
      <c r="S166" s="110">
        <v>480.0</v>
      </c>
      <c r="T166" s="110" t="e">
        <v>#N/A</v>
      </c>
      <c r="U166" s="110">
        <v>8.2032E9</v>
      </c>
      <c r="V166" s="112">
        <v>0.017</v>
      </c>
      <c r="W166" s="113">
        <v>30.0</v>
      </c>
      <c r="X166" s="113">
        <v>45.0</v>
      </c>
      <c r="Y166" s="113">
        <v>55.0</v>
      </c>
      <c r="Z166" s="113" t="s">
        <v>699</v>
      </c>
      <c r="AA166" s="114">
        <f t="shared" si="243"/>
        <v>15.34285377</v>
      </c>
      <c r="AB166" s="115"/>
      <c r="AC166" s="212">
        <f t="shared" si="216"/>
        <v>13.43906747</v>
      </c>
      <c r="AD166" s="213">
        <f t="shared" si="244"/>
        <v>14.45061019</v>
      </c>
      <c r="AE166" s="212"/>
      <c r="AF166" s="212" t="str">
        <f t="shared" si="94"/>
        <v>#REF!</v>
      </c>
      <c r="AG166" s="210" t="str">
        <f t="shared" si="95"/>
        <v>#REF!</v>
      </c>
      <c r="AH166" s="120" t="str">
        <f t="shared" si="96"/>
        <v>#REF!</v>
      </c>
      <c r="AI166" s="121">
        <f t="shared" si="237"/>
        <v>0.1</v>
      </c>
      <c r="AJ166" s="121">
        <v>0.1</v>
      </c>
      <c r="AK166" s="122">
        <v>0.61</v>
      </c>
      <c r="AL166" s="123">
        <f t="shared" si="11"/>
        <v>8.197831158</v>
      </c>
      <c r="AM166" s="122" t="s">
        <v>10</v>
      </c>
      <c r="AN166" s="125">
        <f t="shared" si="295"/>
        <v>13.43906747</v>
      </c>
      <c r="AO166" s="112">
        <f t="shared" si="219"/>
        <v>0.61</v>
      </c>
      <c r="AP166" s="127"/>
      <c r="AQ166" s="128">
        <f t="shared" ref="AQ166:AR166" si="308">BC166/(1-AI166)</f>
        <v>6.307617661</v>
      </c>
      <c r="AR166" s="139">
        <f t="shared" si="308"/>
        <v>5.823595905</v>
      </c>
      <c r="AS166" s="126">
        <f t="shared" si="221"/>
        <v>0.5888888889</v>
      </c>
      <c r="AT166" s="126">
        <f t="shared" si="222"/>
        <v>0.5666666667</v>
      </c>
      <c r="AU166" s="129"/>
      <c r="AV166" s="39" t="s">
        <v>510</v>
      </c>
      <c r="AW166" s="214"/>
      <c r="AX166" s="214"/>
      <c r="AY166" s="214"/>
      <c r="AZ166" s="214"/>
      <c r="BA166" s="214">
        <v>39.0</v>
      </c>
      <c r="BB166" s="130">
        <f t="shared" ref="BB166:BB170" si="310">AZ166+BA166</f>
        <v>39</v>
      </c>
      <c r="BC166" s="131">
        <f t="shared" ref="BC166:BC170" si="311">(AZ166+BA166)/$F$5</f>
        <v>5.676855895</v>
      </c>
      <c r="BD166" s="132">
        <f t="shared" si="249"/>
        <v>5.241236314</v>
      </c>
      <c r="BE166" s="135" t="s">
        <v>742</v>
      </c>
      <c r="BF166" s="134"/>
      <c r="BG166" s="49"/>
      <c r="BH166" s="224">
        <f t="shared" si="22"/>
        <v>44.79689157</v>
      </c>
      <c r="BI166" s="224">
        <f t="shared" si="23"/>
        <v>26.87813494</v>
      </c>
      <c r="BJ166" s="224">
        <f t="shared" si="24"/>
        <v>22.39844579</v>
      </c>
      <c r="BK166" s="224">
        <f t="shared" si="25"/>
        <v>17.91875663</v>
      </c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</row>
    <row r="167" ht="14.25" customHeight="1">
      <c r="A167" s="105" t="s">
        <v>84</v>
      </c>
      <c r="B167" s="103" t="s">
        <v>85</v>
      </c>
      <c r="C167" s="103" t="s">
        <v>85</v>
      </c>
      <c r="D167" s="105" t="s">
        <v>86</v>
      </c>
      <c r="E167" s="105" t="s">
        <v>566</v>
      </c>
      <c r="F167" s="105" t="s">
        <v>709</v>
      </c>
      <c r="G167" s="106" t="s">
        <v>568</v>
      </c>
      <c r="H167" s="110"/>
      <c r="I167" s="107"/>
      <c r="J167" s="220" t="s">
        <v>743</v>
      </c>
      <c r="K167" s="220" t="str">
        <f>_xlfn.XLOOKUP(J167,[1]Sheet1!$A:$A,[1]Sheet1!$B:$B,"")</f>
        <v>#ERROR!</v>
      </c>
      <c r="L167" s="105" t="s">
        <v>744</v>
      </c>
      <c r="M167" s="105" t="s">
        <v>745</v>
      </c>
      <c r="N167" s="110"/>
      <c r="O167" s="104" t="s">
        <v>95</v>
      </c>
      <c r="P167" s="110"/>
      <c r="Q167" s="103" t="s">
        <v>713</v>
      </c>
      <c r="R167" s="110" t="s">
        <v>507</v>
      </c>
      <c r="S167" s="110">
        <v>60000.0</v>
      </c>
      <c r="T167" s="111" t="e">
        <v>#N/A</v>
      </c>
      <c r="U167" s="110">
        <v>8.536699099E9</v>
      </c>
      <c r="V167" s="112">
        <v>0.023</v>
      </c>
      <c r="W167" s="113">
        <v>30.0</v>
      </c>
      <c r="X167" s="113">
        <v>45.0</v>
      </c>
      <c r="Y167" s="113">
        <v>55.0</v>
      </c>
      <c r="Z167" s="113" t="s">
        <v>596</v>
      </c>
      <c r="AA167" s="114">
        <f t="shared" si="243"/>
        <v>0.08825557343</v>
      </c>
      <c r="AB167" s="115"/>
      <c r="AC167" s="212">
        <f t="shared" si="216"/>
        <v>0.07892841367</v>
      </c>
      <c r="AD167" s="213">
        <f t="shared" si="244"/>
        <v>0.08486926201</v>
      </c>
      <c r="AE167" s="212"/>
      <c r="AF167" s="212" t="str">
        <f t="shared" si="94"/>
        <v>#REF!</v>
      </c>
      <c r="AG167" s="210" t="str">
        <f t="shared" si="95"/>
        <v>#REF!</v>
      </c>
      <c r="AH167" s="120" t="str">
        <f t="shared" si="96"/>
        <v>#REF!</v>
      </c>
      <c r="AI167" s="121">
        <f t="shared" si="237"/>
        <v>0.1</v>
      </c>
      <c r="AJ167" s="121">
        <v>0.1</v>
      </c>
      <c r="AK167" s="122">
        <v>0.41000000000000003</v>
      </c>
      <c r="AL167" s="123">
        <f t="shared" si="11"/>
        <v>0.0323606496</v>
      </c>
      <c r="AM167" s="122" t="s">
        <v>10</v>
      </c>
      <c r="AN167" s="125">
        <f t="shared" si="295"/>
        <v>0.07892841367</v>
      </c>
      <c r="AO167" s="112">
        <f t="shared" si="219"/>
        <v>0.41</v>
      </c>
      <c r="AP167" s="127"/>
      <c r="AQ167" s="128">
        <f t="shared" ref="AQ167:AR167" si="309">BC167/(1-AI167)</f>
        <v>0.05589519651</v>
      </c>
      <c r="AR167" s="139">
        <f t="shared" si="309"/>
        <v>0.05174196007</v>
      </c>
      <c r="AS167" s="126">
        <f t="shared" si="221"/>
        <v>0.3666666667</v>
      </c>
      <c r="AT167" s="126">
        <f t="shared" si="222"/>
        <v>0.3444444444</v>
      </c>
      <c r="AU167" s="129"/>
      <c r="AV167" s="39" t="s">
        <v>597</v>
      </c>
      <c r="AW167" s="214"/>
      <c r="AX167" s="214"/>
      <c r="AY167" s="214"/>
      <c r="AZ167" s="214"/>
      <c r="BA167" s="227">
        <f>0.048*7.2</f>
        <v>0.3456</v>
      </c>
      <c r="BB167" s="130">
        <f t="shared" si="310"/>
        <v>0.3456</v>
      </c>
      <c r="BC167" s="131">
        <f t="shared" si="311"/>
        <v>0.05030567686</v>
      </c>
      <c r="BD167" s="132">
        <f t="shared" si="249"/>
        <v>0.04656776407</v>
      </c>
      <c r="BE167" s="173" t="s">
        <v>746</v>
      </c>
      <c r="BF167" s="134"/>
      <c r="BG167" s="49"/>
      <c r="BH167" s="212">
        <f t="shared" si="22"/>
        <v>0.2630947122</v>
      </c>
      <c r="BI167" s="212">
        <f t="shared" si="23"/>
        <v>0.1578568273</v>
      </c>
      <c r="BJ167" s="212">
        <f t="shared" si="24"/>
        <v>0.1315473561</v>
      </c>
      <c r="BK167" s="212">
        <f t="shared" si="25"/>
        <v>0.1052378849</v>
      </c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</row>
    <row r="168" ht="14.25" customHeight="1">
      <c r="A168" s="105" t="s">
        <v>84</v>
      </c>
      <c r="B168" s="103" t="s">
        <v>85</v>
      </c>
      <c r="C168" s="103" t="s">
        <v>85</v>
      </c>
      <c r="D168" s="105" t="s">
        <v>86</v>
      </c>
      <c r="E168" s="105" t="s">
        <v>566</v>
      </c>
      <c r="F168" s="105" t="s">
        <v>709</v>
      </c>
      <c r="G168" s="106" t="s">
        <v>577</v>
      </c>
      <c r="H168" s="110"/>
      <c r="I168" s="107"/>
      <c r="J168" s="220" t="s">
        <v>747</v>
      </c>
      <c r="K168" s="220" t="str">
        <f>_xlfn.XLOOKUP(J168,[1]Sheet1!$A:$A,[1]Sheet1!$B:$B,"")</f>
        <v>#ERROR!</v>
      </c>
      <c r="L168" s="105" t="s">
        <v>748</v>
      </c>
      <c r="M168" s="105" t="s">
        <v>749</v>
      </c>
      <c r="N168" s="110"/>
      <c r="O168" s="104" t="s">
        <v>95</v>
      </c>
      <c r="P168" s="110"/>
      <c r="Q168" s="103" t="s">
        <v>713</v>
      </c>
      <c r="R168" s="110" t="s">
        <v>507</v>
      </c>
      <c r="S168" s="110">
        <v>60000.0</v>
      </c>
      <c r="T168" s="111" t="e">
        <v>#N/A</v>
      </c>
      <c r="U168" s="110">
        <v>8.536699099E9</v>
      </c>
      <c r="V168" s="112">
        <v>0.023</v>
      </c>
      <c r="W168" s="113">
        <v>30.0</v>
      </c>
      <c r="X168" s="113">
        <v>45.0</v>
      </c>
      <c r="Y168" s="113">
        <v>55.0</v>
      </c>
      <c r="Z168" s="113" t="s">
        <v>596</v>
      </c>
      <c r="AA168" s="114">
        <f t="shared" si="243"/>
        <v>0.1618018846</v>
      </c>
      <c r="AB168" s="115"/>
      <c r="AC168" s="212">
        <f t="shared" si="216"/>
        <v>0.1423480428</v>
      </c>
      <c r="AD168" s="213">
        <f t="shared" si="244"/>
        <v>0.1530624116</v>
      </c>
      <c r="AE168" s="212"/>
      <c r="AF168" s="212" t="str">
        <f t="shared" si="94"/>
        <v>#REF!</v>
      </c>
      <c r="AG168" s="210" t="str">
        <f t="shared" si="95"/>
        <v>#REF!</v>
      </c>
      <c r="AH168" s="120" t="str">
        <f t="shared" si="96"/>
        <v>#REF!</v>
      </c>
      <c r="AI168" s="121">
        <f t="shared" si="237"/>
        <v>0.1</v>
      </c>
      <c r="AJ168" s="121">
        <v>0.1</v>
      </c>
      <c r="AK168" s="122">
        <v>0.41000000000000003</v>
      </c>
      <c r="AL168" s="123">
        <f t="shared" si="11"/>
        <v>0.05836269753</v>
      </c>
      <c r="AM168" s="122" t="s">
        <v>10</v>
      </c>
      <c r="AN168" s="125">
        <f t="shared" si="295"/>
        <v>0.1423480428</v>
      </c>
      <c r="AO168" s="112">
        <f t="shared" si="219"/>
        <v>0.41</v>
      </c>
      <c r="AP168" s="127"/>
      <c r="AQ168" s="128">
        <f t="shared" ref="AQ168:AR168" si="312">BC168/(1-AI168)</f>
        <v>0.1024745269</v>
      </c>
      <c r="AR168" s="139">
        <f t="shared" si="312"/>
        <v>0.09331705026</v>
      </c>
      <c r="AS168" s="126">
        <f t="shared" si="221"/>
        <v>0.3666666667</v>
      </c>
      <c r="AT168" s="126">
        <f t="shared" si="222"/>
        <v>0.3444444444</v>
      </c>
      <c r="AU168" s="129"/>
      <c r="AV168" s="39" t="s">
        <v>597</v>
      </c>
      <c r="AW168" s="214"/>
      <c r="AX168" s="214"/>
      <c r="AY168" s="214"/>
      <c r="AZ168" s="214"/>
      <c r="BA168" s="227">
        <f>0.088*7.2</f>
        <v>0.6336</v>
      </c>
      <c r="BB168" s="130">
        <f t="shared" si="310"/>
        <v>0.6336</v>
      </c>
      <c r="BC168" s="131">
        <f t="shared" si="311"/>
        <v>0.09222707424</v>
      </c>
      <c r="BD168" s="132">
        <f t="shared" si="249"/>
        <v>0.08398534523</v>
      </c>
      <c r="BE168" s="173" t="s">
        <v>750</v>
      </c>
      <c r="BF168" s="134"/>
      <c r="BG168" s="49"/>
      <c r="BH168" s="212">
        <f t="shared" si="22"/>
        <v>0.4744934759</v>
      </c>
      <c r="BI168" s="212">
        <f t="shared" si="23"/>
        <v>0.2846960855</v>
      </c>
      <c r="BJ168" s="212">
        <f t="shared" si="24"/>
        <v>0.2372467379</v>
      </c>
      <c r="BK168" s="212">
        <f t="shared" si="25"/>
        <v>0.1897973904</v>
      </c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</row>
    <row r="169" ht="14.25" customHeight="1">
      <c r="A169" s="105" t="s">
        <v>84</v>
      </c>
      <c r="B169" s="103" t="s">
        <v>85</v>
      </c>
      <c r="C169" s="103" t="s">
        <v>120</v>
      </c>
      <c r="D169" s="105" t="s">
        <v>86</v>
      </c>
      <c r="E169" s="105" t="s">
        <v>566</v>
      </c>
      <c r="F169" s="105" t="s">
        <v>709</v>
      </c>
      <c r="G169" s="106" t="s">
        <v>568</v>
      </c>
      <c r="H169" s="110"/>
      <c r="I169" s="107"/>
      <c r="J169" s="220" t="s">
        <v>751</v>
      </c>
      <c r="K169" s="220" t="str">
        <f>_xlfn.XLOOKUP(J169,[1]Sheet1!$A:$A,[1]Sheet1!$B:$B,"")</f>
        <v>#ERROR!</v>
      </c>
      <c r="L169" s="105" t="s">
        <v>752</v>
      </c>
      <c r="M169" s="105" t="s">
        <v>753</v>
      </c>
      <c r="N169" s="110"/>
      <c r="O169" s="104" t="s">
        <v>95</v>
      </c>
      <c r="P169" s="110"/>
      <c r="Q169" s="103" t="s">
        <v>713</v>
      </c>
      <c r="R169" s="110" t="s">
        <v>507</v>
      </c>
      <c r="S169" s="110">
        <v>60000.0</v>
      </c>
      <c r="T169" s="111" t="e">
        <v>#N/A</v>
      </c>
      <c r="U169" s="110">
        <v>8.536699099E9</v>
      </c>
      <c r="V169" s="112">
        <v>0.023</v>
      </c>
      <c r="W169" s="113">
        <v>30.0</v>
      </c>
      <c r="X169" s="113">
        <v>45.0</v>
      </c>
      <c r="Y169" s="113">
        <v>55.0</v>
      </c>
      <c r="Z169" s="113" t="s">
        <v>596</v>
      </c>
      <c r="AA169" s="114">
        <f t="shared" si="243"/>
        <v>0.1195127557</v>
      </c>
      <c r="AB169" s="115"/>
      <c r="AC169" s="212">
        <f t="shared" si="216"/>
        <v>0.105881756</v>
      </c>
      <c r="AD169" s="213">
        <f t="shared" si="244"/>
        <v>0.1138513506</v>
      </c>
      <c r="AE169" s="212"/>
      <c r="AF169" s="212" t="str">
        <f t="shared" si="94"/>
        <v>#REF!</v>
      </c>
      <c r="AG169" s="210" t="str">
        <f t="shared" si="95"/>
        <v>#REF!</v>
      </c>
      <c r="AH169" s="120" t="str">
        <f t="shared" si="96"/>
        <v>#REF!</v>
      </c>
      <c r="AI169" s="121">
        <f t="shared" si="237"/>
        <v>0.1</v>
      </c>
      <c r="AJ169" s="121">
        <v>0.1</v>
      </c>
      <c r="AK169" s="122">
        <v>0.41000000000000003</v>
      </c>
      <c r="AL169" s="123">
        <f t="shared" si="11"/>
        <v>0.04341151997</v>
      </c>
      <c r="AM169" s="122" t="s">
        <v>10</v>
      </c>
      <c r="AN169" s="125">
        <f t="shared" si="295"/>
        <v>0.105881756</v>
      </c>
      <c r="AO169" s="112">
        <f t="shared" si="219"/>
        <v>0.41</v>
      </c>
      <c r="AP169" s="127"/>
      <c r="AQ169" s="128">
        <f t="shared" ref="AQ169:AR169" si="313">BC169/(1-AI169)</f>
        <v>0.07569141194</v>
      </c>
      <c r="AR169" s="139">
        <f t="shared" si="313"/>
        <v>0.0694113734</v>
      </c>
      <c r="AS169" s="126">
        <f t="shared" si="221"/>
        <v>0.3666666667</v>
      </c>
      <c r="AT169" s="126">
        <f t="shared" si="222"/>
        <v>0.3444444444</v>
      </c>
      <c r="AU169" s="129"/>
      <c r="AV169" s="39" t="s">
        <v>597</v>
      </c>
      <c r="AW169" s="214"/>
      <c r="AX169" s="214"/>
      <c r="AY169" s="214"/>
      <c r="AZ169" s="214"/>
      <c r="BA169" s="227">
        <f>0.065*7.2</f>
        <v>0.468</v>
      </c>
      <c r="BB169" s="130">
        <f t="shared" si="310"/>
        <v>0.468</v>
      </c>
      <c r="BC169" s="131">
        <f t="shared" si="311"/>
        <v>0.06812227074</v>
      </c>
      <c r="BD169" s="132">
        <f t="shared" si="249"/>
        <v>0.06247023606</v>
      </c>
      <c r="BE169" s="173" t="s">
        <v>754</v>
      </c>
      <c r="BF169" s="134"/>
      <c r="BG169" s="49"/>
      <c r="BH169" s="212">
        <f t="shared" si="22"/>
        <v>0.3529391868</v>
      </c>
      <c r="BI169" s="212">
        <f t="shared" si="23"/>
        <v>0.2117635121</v>
      </c>
      <c r="BJ169" s="212">
        <f t="shared" si="24"/>
        <v>0.1764695934</v>
      </c>
      <c r="BK169" s="212">
        <f t="shared" si="25"/>
        <v>0.1411756747</v>
      </c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</row>
    <row r="170" ht="14.25" customHeight="1">
      <c r="A170" s="105" t="s">
        <v>84</v>
      </c>
      <c r="B170" s="103" t="s">
        <v>85</v>
      </c>
      <c r="C170" s="103" t="s">
        <v>120</v>
      </c>
      <c r="D170" s="105" t="s">
        <v>86</v>
      </c>
      <c r="E170" s="105" t="s">
        <v>566</v>
      </c>
      <c r="F170" s="105" t="s">
        <v>709</v>
      </c>
      <c r="G170" s="106" t="s">
        <v>577</v>
      </c>
      <c r="H170" s="110"/>
      <c r="I170" s="107"/>
      <c r="J170" s="220" t="s">
        <v>755</v>
      </c>
      <c r="K170" s="220" t="str">
        <f>_xlfn.XLOOKUP(J170,[1]Sheet1!$A:$A,[1]Sheet1!$B:$B,"")</f>
        <v>#ERROR!</v>
      </c>
      <c r="L170" s="105" t="s">
        <v>756</v>
      </c>
      <c r="M170" s="105" t="s">
        <v>757</v>
      </c>
      <c r="N170" s="110"/>
      <c r="O170" s="104" t="s">
        <v>95</v>
      </c>
      <c r="P170" s="110"/>
      <c r="Q170" s="103" t="s">
        <v>713</v>
      </c>
      <c r="R170" s="110" t="s">
        <v>507</v>
      </c>
      <c r="S170" s="110">
        <v>60000.0</v>
      </c>
      <c r="T170" s="111" t="e">
        <v>#N/A</v>
      </c>
      <c r="U170" s="110">
        <v>8.536699099E9</v>
      </c>
      <c r="V170" s="112">
        <v>0.023</v>
      </c>
      <c r="W170" s="113">
        <v>30.0</v>
      </c>
      <c r="X170" s="113">
        <v>45.0</v>
      </c>
      <c r="Y170" s="113">
        <v>55.0</v>
      </c>
      <c r="Z170" s="113" t="s">
        <v>596</v>
      </c>
      <c r="AA170" s="114">
        <f t="shared" si="243"/>
        <v>0.1930590669</v>
      </c>
      <c r="AB170" s="115"/>
      <c r="AC170" s="212">
        <f t="shared" si="216"/>
        <v>0.1693013851</v>
      </c>
      <c r="AD170" s="213">
        <f t="shared" si="244"/>
        <v>0.1820445001</v>
      </c>
      <c r="AE170" s="212"/>
      <c r="AF170" s="212" t="str">
        <f t="shared" si="94"/>
        <v>#REF!</v>
      </c>
      <c r="AG170" s="210" t="str">
        <f t="shared" si="95"/>
        <v>#REF!</v>
      </c>
      <c r="AH170" s="120" t="str">
        <f t="shared" si="96"/>
        <v>#REF!</v>
      </c>
      <c r="AI170" s="121">
        <f t="shared" si="237"/>
        <v>0.1</v>
      </c>
      <c r="AJ170" s="121">
        <v>0.1</v>
      </c>
      <c r="AK170" s="122">
        <v>0.41000000000000003</v>
      </c>
      <c r="AL170" s="123">
        <f t="shared" si="11"/>
        <v>0.0694135679</v>
      </c>
      <c r="AM170" s="122" t="s">
        <v>10</v>
      </c>
      <c r="AN170" s="125">
        <f t="shared" si="295"/>
        <v>0.1693013851</v>
      </c>
      <c r="AO170" s="112">
        <f t="shared" si="219"/>
        <v>0.41</v>
      </c>
      <c r="AP170" s="127"/>
      <c r="AQ170" s="128">
        <f t="shared" ref="AQ170:AR170" si="314">BC170/(1-AI170)</f>
        <v>0.1222707424</v>
      </c>
      <c r="AR170" s="139">
        <f t="shared" si="314"/>
        <v>0.1109864636</v>
      </c>
      <c r="AS170" s="126">
        <f t="shared" si="221"/>
        <v>0.3666666667</v>
      </c>
      <c r="AT170" s="126">
        <f t="shared" si="222"/>
        <v>0.3444444444</v>
      </c>
      <c r="AU170" s="129"/>
      <c r="AV170" s="39" t="s">
        <v>597</v>
      </c>
      <c r="AW170" s="214"/>
      <c r="AX170" s="214"/>
      <c r="AY170" s="214"/>
      <c r="AZ170" s="214"/>
      <c r="BA170" s="227">
        <f>0.105*7.2</f>
        <v>0.756</v>
      </c>
      <c r="BB170" s="130">
        <f t="shared" si="310"/>
        <v>0.756</v>
      </c>
      <c r="BC170" s="131">
        <f t="shared" si="311"/>
        <v>0.1100436681</v>
      </c>
      <c r="BD170" s="132">
        <f t="shared" si="249"/>
        <v>0.09988781723</v>
      </c>
      <c r="BE170" s="173" t="s">
        <v>758</v>
      </c>
      <c r="BF170" s="134"/>
      <c r="BG170" s="49"/>
      <c r="BH170" s="212">
        <f t="shared" si="22"/>
        <v>0.5643379504</v>
      </c>
      <c r="BI170" s="212">
        <f t="shared" si="23"/>
        <v>0.3386027703</v>
      </c>
      <c r="BJ170" s="212">
        <f t="shared" si="24"/>
        <v>0.2821689752</v>
      </c>
      <c r="BK170" s="212">
        <f t="shared" si="25"/>
        <v>0.2257351802</v>
      </c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</row>
    <row r="171" ht="14.25" customHeight="1">
      <c r="A171" s="105" t="s">
        <v>84</v>
      </c>
      <c r="B171" s="103" t="s">
        <v>85</v>
      </c>
      <c r="C171" s="103" t="s">
        <v>120</v>
      </c>
      <c r="D171" s="105" t="s">
        <v>86</v>
      </c>
      <c r="E171" s="105" t="s">
        <v>566</v>
      </c>
      <c r="F171" s="105" t="s">
        <v>709</v>
      </c>
      <c r="G171" s="106" t="s">
        <v>577</v>
      </c>
      <c r="H171" s="110"/>
      <c r="I171" s="107"/>
      <c r="J171" s="220" t="s">
        <v>759</v>
      </c>
      <c r="K171" s="220" t="str">
        <f>_xlfn.XLOOKUP(J171,[1]Sheet1!$A:$A,[1]Sheet1!$B:$B,"")</f>
        <v>#ERROR!</v>
      </c>
      <c r="L171" s="105" t="s">
        <v>760</v>
      </c>
      <c r="M171" s="105" t="s">
        <v>761</v>
      </c>
      <c r="N171" s="110"/>
      <c r="O171" s="104" t="s">
        <v>95</v>
      </c>
      <c r="P171" s="110"/>
      <c r="Q171" s="103" t="s">
        <v>713</v>
      </c>
      <c r="R171" s="110" t="s">
        <v>507</v>
      </c>
      <c r="S171" s="110">
        <v>60000.0</v>
      </c>
      <c r="T171" s="111" t="e">
        <v>#N/A</v>
      </c>
      <c r="U171" s="110">
        <v>8.536699099E9</v>
      </c>
      <c r="V171" s="112">
        <v>0.023</v>
      </c>
      <c r="W171" s="113">
        <v>30.0</v>
      </c>
      <c r="X171" s="113">
        <v>45.0</v>
      </c>
      <c r="Y171" s="113">
        <v>55.0</v>
      </c>
      <c r="Z171" s="113" t="s">
        <v>596</v>
      </c>
      <c r="AA171" s="114">
        <f t="shared" si="243"/>
        <v>0.3</v>
      </c>
      <c r="AB171" s="115"/>
      <c r="AC171" s="212">
        <f t="shared" si="216"/>
        <v>0.2615174896</v>
      </c>
      <c r="AD171" s="213">
        <f t="shared" si="244"/>
        <v>0.2812016017</v>
      </c>
      <c r="AE171" s="212"/>
      <c r="AF171" s="212" t="str">
        <f t="shared" si="94"/>
        <v>#REF!</v>
      </c>
      <c r="AG171" s="210" t="str">
        <f t="shared" si="95"/>
        <v>#REF!</v>
      </c>
      <c r="AH171" s="120" t="str">
        <f t="shared" si="96"/>
        <v>#REF!</v>
      </c>
      <c r="AI171" s="121">
        <f t="shared" si="237"/>
        <v>0.1</v>
      </c>
      <c r="AJ171" s="121">
        <v>0.1</v>
      </c>
      <c r="AK171" s="122">
        <v>0.41000000000000003</v>
      </c>
      <c r="AL171" s="123">
        <f t="shared" si="11"/>
        <v>0.1072221707</v>
      </c>
      <c r="AM171" s="122" t="s">
        <v>10</v>
      </c>
      <c r="AN171" s="125">
        <f t="shared" si="295"/>
        <v>0.2615174896</v>
      </c>
      <c r="AO171" s="112">
        <f t="shared" si="219"/>
        <v>0.41</v>
      </c>
      <c r="AP171" s="127"/>
      <c r="AQ171" s="128">
        <f t="shared" ref="AQ171:AR171" si="315">BC171/(1-AI171)</f>
        <v>0.19</v>
      </c>
      <c r="AR171" s="139">
        <f t="shared" si="315"/>
        <v>0.1714392432</v>
      </c>
      <c r="AS171" s="126">
        <f t="shared" si="221"/>
        <v>0.3666666667</v>
      </c>
      <c r="AT171" s="126">
        <f t="shared" si="222"/>
        <v>0.3444444444</v>
      </c>
      <c r="AU171" s="129">
        <v>0.16</v>
      </c>
      <c r="AV171" s="39" t="s">
        <v>597</v>
      </c>
      <c r="AW171" s="214"/>
      <c r="AX171" s="214"/>
      <c r="AY171" s="214"/>
      <c r="AZ171" s="214"/>
      <c r="BA171" s="227"/>
      <c r="BB171" s="130"/>
      <c r="BC171" s="229">
        <v>0.171</v>
      </c>
      <c r="BD171" s="132">
        <f t="shared" si="249"/>
        <v>0.1542953188</v>
      </c>
      <c r="BE171" s="173" t="s">
        <v>762</v>
      </c>
      <c r="BF171" s="134"/>
      <c r="BG171" s="49"/>
      <c r="BH171" s="212">
        <f t="shared" si="22"/>
        <v>0.8717249652</v>
      </c>
      <c r="BI171" s="212">
        <f t="shared" si="23"/>
        <v>0.5230349791</v>
      </c>
      <c r="BJ171" s="212">
        <f t="shared" si="24"/>
        <v>0.4358624826</v>
      </c>
      <c r="BK171" s="212">
        <f t="shared" si="25"/>
        <v>0.3486899861</v>
      </c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</row>
    <row r="172" ht="14.25" customHeight="1">
      <c r="A172" s="105" t="s">
        <v>84</v>
      </c>
      <c r="B172" s="103" t="s">
        <v>85</v>
      </c>
      <c r="C172" s="103" t="s">
        <v>120</v>
      </c>
      <c r="D172" s="105" t="s">
        <v>86</v>
      </c>
      <c r="E172" s="105" t="s">
        <v>566</v>
      </c>
      <c r="F172" s="105" t="s">
        <v>709</v>
      </c>
      <c r="G172" s="106" t="s">
        <v>577</v>
      </c>
      <c r="H172" s="110"/>
      <c r="I172" s="107"/>
      <c r="J172" s="220" t="s">
        <v>763</v>
      </c>
      <c r="K172" s="220" t="str">
        <f>_xlfn.XLOOKUP(J172,[1]Sheet1!$A:$A,[1]Sheet1!$B:$B,"")</f>
        <v>#ERROR!</v>
      </c>
      <c r="L172" s="105" t="s">
        <v>764</v>
      </c>
      <c r="M172" s="105" t="s">
        <v>765</v>
      </c>
      <c r="N172" s="110"/>
      <c r="O172" s="104" t="s">
        <v>95</v>
      </c>
      <c r="P172" s="110"/>
      <c r="Q172" s="211" t="s">
        <v>766</v>
      </c>
      <c r="R172" s="110" t="s">
        <v>507</v>
      </c>
      <c r="S172" s="110">
        <v>60000.0</v>
      </c>
      <c r="T172" s="111" t="e">
        <v>#N/A</v>
      </c>
      <c r="U172" s="110">
        <v>8.536699099E9</v>
      </c>
      <c r="V172" s="112">
        <v>0.023</v>
      </c>
      <c r="W172" s="113">
        <v>30.0</v>
      </c>
      <c r="X172" s="113">
        <v>45.0</v>
      </c>
      <c r="Y172" s="113">
        <v>55.0</v>
      </c>
      <c r="Z172" s="113" t="s">
        <v>596</v>
      </c>
      <c r="AA172" s="114">
        <f t="shared" si="243"/>
        <v>0.2077683291</v>
      </c>
      <c r="AB172" s="115"/>
      <c r="AC172" s="212">
        <f t="shared" si="216"/>
        <v>0.1819853109</v>
      </c>
      <c r="AD172" s="213">
        <f t="shared" si="244"/>
        <v>0.1956831301</v>
      </c>
      <c r="AE172" s="212"/>
      <c r="AF172" s="212" t="str">
        <f t="shared" si="94"/>
        <v>#REF!</v>
      </c>
      <c r="AG172" s="210" t="str">
        <f t="shared" si="95"/>
        <v>#REF!</v>
      </c>
      <c r="AH172" s="120" t="str">
        <f t="shared" si="96"/>
        <v>#REF!</v>
      </c>
      <c r="AI172" s="121">
        <f t="shared" si="237"/>
        <v>0.1</v>
      </c>
      <c r="AJ172" s="121">
        <v>0.1</v>
      </c>
      <c r="AK172" s="122">
        <v>0.41000000000000003</v>
      </c>
      <c r="AL172" s="123">
        <f t="shared" si="11"/>
        <v>0.07461397749</v>
      </c>
      <c r="AM172" s="122" t="s">
        <v>10</v>
      </c>
      <c r="AN172" s="125">
        <f t="shared" si="295"/>
        <v>0.1819853109</v>
      </c>
      <c r="AO172" s="112">
        <f t="shared" si="219"/>
        <v>0.41</v>
      </c>
      <c r="AP172" s="127"/>
      <c r="AQ172" s="128">
        <f t="shared" ref="AQ172:AR172" si="316">BC172/(1-AI172)</f>
        <v>0.1315866084</v>
      </c>
      <c r="AR172" s="139">
        <f t="shared" si="316"/>
        <v>0.1193014816</v>
      </c>
      <c r="AS172" s="126">
        <f t="shared" si="221"/>
        <v>0.3666666667</v>
      </c>
      <c r="AT172" s="126">
        <f t="shared" si="222"/>
        <v>0.3444444444</v>
      </c>
      <c r="AU172" s="129"/>
      <c r="AV172" s="39" t="s">
        <v>597</v>
      </c>
      <c r="AW172" s="214"/>
      <c r="AX172" s="214"/>
      <c r="AY172" s="214"/>
      <c r="AZ172" s="214"/>
      <c r="BA172" s="227">
        <f>0.113*7.2</f>
        <v>0.8136</v>
      </c>
      <c r="BB172" s="130">
        <f>AZ172+BA172</f>
        <v>0.8136</v>
      </c>
      <c r="BC172" s="131">
        <f>(AZ172+BA172)/$F$5</f>
        <v>0.1184279476</v>
      </c>
      <c r="BD172" s="132">
        <f t="shared" si="249"/>
        <v>0.1073713335</v>
      </c>
      <c r="BE172" s="173" t="s">
        <v>767</v>
      </c>
      <c r="BF172" s="134"/>
      <c r="BG172" s="49"/>
      <c r="BH172" s="224">
        <f t="shared" si="22"/>
        <v>0.6066177032</v>
      </c>
      <c r="BI172" s="224">
        <f t="shared" si="23"/>
        <v>0.3639706219</v>
      </c>
      <c r="BJ172" s="224">
        <f t="shared" si="24"/>
        <v>0.3033088516</v>
      </c>
      <c r="BK172" s="224">
        <f t="shared" si="25"/>
        <v>0.2426470813</v>
      </c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  <c r="BX172" s="49"/>
      <c r="BY172" s="49"/>
      <c r="BZ172" s="49"/>
      <c r="CA172" s="49"/>
      <c r="CB172" s="49"/>
      <c r="CC172" s="49"/>
      <c r="CD172" s="49"/>
      <c r="CE172" s="49"/>
      <c r="CF172" s="49"/>
    </row>
    <row r="173" ht="14.25" customHeight="1">
      <c r="A173" s="105" t="s">
        <v>84</v>
      </c>
      <c r="B173" s="103" t="s">
        <v>85</v>
      </c>
      <c r="C173" s="103" t="s">
        <v>120</v>
      </c>
      <c r="D173" s="105" t="s">
        <v>86</v>
      </c>
      <c r="E173" s="105" t="s">
        <v>566</v>
      </c>
      <c r="F173" s="105" t="s">
        <v>709</v>
      </c>
      <c r="G173" s="106" t="s">
        <v>577</v>
      </c>
      <c r="H173" s="110"/>
      <c r="I173" s="107"/>
      <c r="J173" s="220" t="s">
        <v>768</v>
      </c>
      <c r="K173" s="220" t="s">
        <v>769</v>
      </c>
      <c r="L173" s="105" t="s">
        <v>770</v>
      </c>
      <c r="M173" s="105" t="s">
        <v>771</v>
      </c>
      <c r="N173" s="110"/>
      <c r="O173" s="104" t="s">
        <v>95</v>
      </c>
      <c r="P173" s="110"/>
      <c r="Q173" s="211" t="s">
        <v>766</v>
      </c>
      <c r="R173" s="110" t="s">
        <v>507</v>
      </c>
      <c r="S173" s="110">
        <v>60000.0</v>
      </c>
      <c r="T173" s="111" t="e">
        <v>#N/A</v>
      </c>
      <c r="U173" s="110">
        <v>8.536699099E9</v>
      </c>
      <c r="V173" s="112">
        <v>0.023</v>
      </c>
      <c r="W173" s="113">
        <v>30.0</v>
      </c>
      <c r="X173" s="113">
        <v>45.0</v>
      </c>
      <c r="Y173" s="113">
        <v>55.0</v>
      </c>
      <c r="Z173" s="113" t="s">
        <v>596</v>
      </c>
      <c r="AA173" s="114">
        <f t="shared" si="243"/>
        <v>0.3087719298</v>
      </c>
      <c r="AB173" s="115"/>
      <c r="AC173" s="212">
        <f t="shared" si="216"/>
        <v>0.2690816016</v>
      </c>
      <c r="AD173" s="213">
        <f t="shared" si="244"/>
        <v>0.2893350555</v>
      </c>
      <c r="AE173" s="212"/>
      <c r="AF173" s="212" t="str">
        <f t="shared" si="94"/>
        <v>#REF!</v>
      </c>
      <c r="AG173" s="210" t="str">
        <f t="shared" si="95"/>
        <v>#REF!</v>
      </c>
      <c r="AH173" s="120" t="str">
        <f t="shared" si="96"/>
        <v>#REF!</v>
      </c>
      <c r="AI173" s="121">
        <f t="shared" si="237"/>
        <v>0.1</v>
      </c>
      <c r="AJ173" s="121">
        <v>0.1</v>
      </c>
      <c r="AK173" s="122">
        <v>0.41000000000000003</v>
      </c>
      <c r="AL173" s="123">
        <f t="shared" si="11"/>
        <v>0.1103234566</v>
      </c>
      <c r="AM173" s="122" t="s">
        <v>10</v>
      </c>
      <c r="AN173" s="125">
        <f t="shared" si="295"/>
        <v>0.2690816016</v>
      </c>
      <c r="AO173" s="112">
        <f t="shared" si="219"/>
        <v>0.41</v>
      </c>
      <c r="AP173" s="127"/>
      <c r="AQ173" s="128">
        <f t="shared" ref="AQ173:AR173" si="317">BC173/(1-AI173)</f>
        <v>0.1955555556</v>
      </c>
      <c r="AR173" s="139">
        <f t="shared" si="317"/>
        <v>0.1763979388</v>
      </c>
      <c r="AS173" s="126">
        <f t="shared" si="221"/>
        <v>0.3666666667</v>
      </c>
      <c r="AT173" s="126">
        <f t="shared" si="222"/>
        <v>0.3444444444</v>
      </c>
      <c r="AU173" s="129">
        <v>0.16</v>
      </c>
      <c r="AV173" s="39" t="s">
        <v>597</v>
      </c>
      <c r="AW173" s="214"/>
      <c r="AX173" s="214"/>
      <c r="AY173" s="214"/>
      <c r="AZ173" s="214"/>
      <c r="BA173" s="227"/>
      <c r="BB173" s="130"/>
      <c r="BC173" s="229">
        <v>0.176</v>
      </c>
      <c r="BD173" s="132">
        <f t="shared" si="249"/>
        <v>0.1587581449</v>
      </c>
      <c r="BE173" s="238" t="s">
        <v>772</v>
      </c>
      <c r="BF173" s="134"/>
      <c r="BG173" s="49"/>
      <c r="BH173" s="224">
        <f t="shared" si="22"/>
        <v>0.8969386719</v>
      </c>
      <c r="BI173" s="224">
        <f t="shared" si="23"/>
        <v>0.5381632031</v>
      </c>
      <c r="BJ173" s="224">
        <f t="shared" si="24"/>
        <v>0.448469336</v>
      </c>
      <c r="BK173" s="224">
        <f t="shared" si="25"/>
        <v>0.3587754688</v>
      </c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</row>
    <row r="174" ht="14.25" customHeight="1">
      <c r="A174" s="105" t="s">
        <v>84</v>
      </c>
      <c r="B174" s="103" t="s">
        <v>85</v>
      </c>
      <c r="C174" s="103" t="s">
        <v>120</v>
      </c>
      <c r="D174" s="105" t="s">
        <v>86</v>
      </c>
      <c r="E174" s="105" t="s">
        <v>566</v>
      </c>
      <c r="F174" s="105" t="s">
        <v>709</v>
      </c>
      <c r="G174" s="106" t="s">
        <v>568</v>
      </c>
      <c r="H174" s="110"/>
      <c r="I174" s="107"/>
      <c r="J174" s="220" t="s">
        <v>773</v>
      </c>
      <c r="K174" s="220" t="str">
        <f>_xlfn.XLOOKUP(J174,[1]Sheet1!$A:$A,[1]Sheet1!$B:$B,"")</f>
        <v>#ERROR!</v>
      </c>
      <c r="L174" s="105" t="s">
        <v>774</v>
      </c>
      <c r="M174" s="105" t="s">
        <v>775</v>
      </c>
      <c r="N174" s="110"/>
      <c r="O174" s="104" t="s">
        <v>95</v>
      </c>
      <c r="P174" s="110"/>
      <c r="Q174" s="211" t="s">
        <v>766</v>
      </c>
      <c r="R174" s="110" t="s">
        <v>507</v>
      </c>
      <c r="S174" s="110">
        <v>60000.0</v>
      </c>
      <c r="T174" s="111" t="e">
        <v>#N/A</v>
      </c>
      <c r="U174" s="110">
        <v>8.536699099E9</v>
      </c>
      <c r="V174" s="112">
        <v>0.023</v>
      </c>
      <c r="W174" s="113">
        <v>30.0</v>
      </c>
      <c r="X174" s="113">
        <v>45.0</v>
      </c>
      <c r="Y174" s="113">
        <v>55.0</v>
      </c>
      <c r="Z174" s="113" t="s">
        <v>596</v>
      </c>
      <c r="AA174" s="114">
        <f t="shared" si="243"/>
        <v>0.1342220179</v>
      </c>
      <c r="AB174" s="115"/>
      <c r="AC174" s="212">
        <f t="shared" si="216"/>
        <v>0.1185656819</v>
      </c>
      <c r="AD174" s="213">
        <f t="shared" si="244"/>
        <v>0.1274899805</v>
      </c>
      <c r="AE174" s="212"/>
      <c r="AF174" s="212" t="str">
        <f t="shared" si="94"/>
        <v>#REF!</v>
      </c>
      <c r="AG174" s="210" t="str">
        <f t="shared" si="95"/>
        <v>#REF!</v>
      </c>
      <c r="AH174" s="120" t="str">
        <f t="shared" si="96"/>
        <v>#REF!</v>
      </c>
      <c r="AI174" s="121">
        <f t="shared" si="237"/>
        <v>0.1</v>
      </c>
      <c r="AJ174" s="121">
        <v>0.1</v>
      </c>
      <c r="AK174" s="122">
        <v>0.41000000000000003</v>
      </c>
      <c r="AL174" s="123">
        <f t="shared" si="11"/>
        <v>0.04861192956</v>
      </c>
      <c r="AM174" s="122" t="s">
        <v>10</v>
      </c>
      <c r="AN174" s="125">
        <f t="shared" si="295"/>
        <v>0.1185656819</v>
      </c>
      <c r="AO174" s="112">
        <f t="shared" si="219"/>
        <v>0.41</v>
      </c>
      <c r="AP174" s="127"/>
      <c r="AQ174" s="128">
        <f t="shared" ref="AQ174:AR174" si="318">BC174/(1-AI174)</f>
        <v>0.08500727802</v>
      </c>
      <c r="AR174" s="139">
        <f t="shared" si="318"/>
        <v>0.07772639144</v>
      </c>
      <c r="AS174" s="126">
        <f t="shared" si="221"/>
        <v>0.3666666667</v>
      </c>
      <c r="AT174" s="126">
        <f t="shared" si="222"/>
        <v>0.3444444444</v>
      </c>
      <c r="AU174" s="129"/>
      <c r="AV174" s="39" t="s">
        <v>597</v>
      </c>
      <c r="AW174" s="214"/>
      <c r="AX174" s="214"/>
      <c r="AY174" s="214"/>
      <c r="AZ174" s="214"/>
      <c r="BA174" s="227">
        <f>0.073*7.2</f>
        <v>0.5256</v>
      </c>
      <c r="BB174" s="130">
        <f>AZ174+BA174</f>
        <v>0.5256</v>
      </c>
      <c r="BC174" s="131">
        <f>(AZ174+BA174)/$F$5</f>
        <v>0.07650655022</v>
      </c>
      <c r="BD174" s="132">
        <f t="shared" si="249"/>
        <v>0.06995375229</v>
      </c>
      <c r="BE174" s="173" t="s">
        <v>776</v>
      </c>
      <c r="BF174" s="134"/>
      <c r="BG174" s="49"/>
      <c r="BH174" s="224">
        <f t="shared" si="22"/>
        <v>0.3952189395</v>
      </c>
      <c r="BI174" s="224">
        <f t="shared" si="23"/>
        <v>0.2371313637</v>
      </c>
      <c r="BJ174" s="224">
        <f t="shared" si="24"/>
        <v>0.1976094698</v>
      </c>
      <c r="BK174" s="224">
        <f t="shared" si="25"/>
        <v>0.1580875758</v>
      </c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9"/>
      <c r="CC174" s="49"/>
      <c r="CD174" s="49"/>
      <c r="CE174" s="49"/>
      <c r="CF174" s="49"/>
    </row>
    <row r="175" ht="14.25" customHeight="1">
      <c r="A175" s="105" t="s">
        <v>84</v>
      </c>
      <c r="B175" s="103" t="s">
        <v>85</v>
      </c>
      <c r="C175" s="103" t="s">
        <v>120</v>
      </c>
      <c r="D175" s="105" t="s">
        <v>86</v>
      </c>
      <c r="E175" s="105" t="s">
        <v>566</v>
      </c>
      <c r="F175" s="105" t="s">
        <v>709</v>
      </c>
      <c r="G175" s="106" t="s">
        <v>568</v>
      </c>
      <c r="H175" s="110"/>
      <c r="I175" s="107"/>
      <c r="J175" s="220" t="s">
        <v>777</v>
      </c>
      <c r="K175" s="220" t="s">
        <v>778</v>
      </c>
      <c r="L175" s="105" t="s">
        <v>779</v>
      </c>
      <c r="M175" s="105" t="s">
        <v>780</v>
      </c>
      <c r="N175" s="110"/>
      <c r="O175" s="104" t="s">
        <v>95</v>
      </c>
      <c r="P175" s="110"/>
      <c r="Q175" s="211" t="s">
        <v>766</v>
      </c>
      <c r="R175" s="110" t="s">
        <v>507</v>
      </c>
      <c r="S175" s="110">
        <v>60000.0</v>
      </c>
      <c r="T175" s="111" t="e">
        <v>#N/A</v>
      </c>
      <c r="U175" s="110">
        <v>8.536699099E9</v>
      </c>
      <c r="V175" s="112">
        <v>0.023</v>
      </c>
      <c r="W175" s="113">
        <v>30.0</v>
      </c>
      <c r="X175" s="113">
        <v>45.0</v>
      </c>
      <c r="Y175" s="113">
        <v>55.0</v>
      </c>
      <c r="Z175" s="113" t="s">
        <v>596</v>
      </c>
      <c r="AA175" s="114">
        <f t="shared" si="243"/>
        <v>0.1368421053</v>
      </c>
      <c r="AB175" s="115"/>
      <c r="AC175" s="212">
        <f t="shared" si="216"/>
        <v>0.1208250061</v>
      </c>
      <c r="AD175" s="213">
        <f t="shared" si="244"/>
        <v>0.1299193614</v>
      </c>
      <c r="AE175" s="212"/>
      <c r="AF175" s="212" t="str">
        <f t="shared" si="94"/>
        <v>#REF!</v>
      </c>
      <c r="AG175" s="210" t="str">
        <f t="shared" si="95"/>
        <v>#REF!</v>
      </c>
      <c r="AH175" s="120" t="str">
        <f t="shared" si="96"/>
        <v>#REF!</v>
      </c>
      <c r="AI175" s="121">
        <f t="shared" si="237"/>
        <v>0.1</v>
      </c>
      <c r="AJ175" s="121">
        <v>0.1</v>
      </c>
      <c r="AK175" s="122">
        <v>0.41000000000000003</v>
      </c>
      <c r="AL175" s="123">
        <f t="shared" si="11"/>
        <v>0.04953825252</v>
      </c>
      <c r="AM175" s="122" t="s">
        <v>10</v>
      </c>
      <c r="AN175" s="125">
        <f t="shared" si="295"/>
        <v>0.1208250061</v>
      </c>
      <c r="AO175" s="112">
        <f t="shared" si="219"/>
        <v>0.41</v>
      </c>
      <c r="AP175" s="127"/>
      <c r="AQ175" s="128">
        <f t="shared" ref="AQ175:AR175" si="319">BC175/(1-AI175)</f>
        <v>0.08666666667</v>
      </c>
      <c r="AR175" s="139">
        <f t="shared" si="319"/>
        <v>0.07920750403</v>
      </c>
      <c r="AS175" s="126">
        <f t="shared" si="221"/>
        <v>0.3666666667</v>
      </c>
      <c r="AT175" s="126">
        <f t="shared" si="222"/>
        <v>0.3444444444</v>
      </c>
      <c r="AU175" s="129"/>
      <c r="AV175" s="39" t="s">
        <v>597</v>
      </c>
      <c r="AW175" s="214"/>
      <c r="AX175" s="214"/>
      <c r="AY175" s="214"/>
      <c r="AZ175" s="214"/>
      <c r="BA175" s="227"/>
      <c r="BB175" s="130"/>
      <c r="BC175" s="229">
        <v>0.078</v>
      </c>
      <c r="BD175" s="132">
        <f t="shared" si="249"/>
        <v>0.07128675362</v>
      </c>
      <c r="BE175" s="173" t="s">
        <v>781</v>
      </c>
      <c r="BF175" s="134"/>
      <c r="BG175" s="49"/>
      <c r="BH175" s="212"/>
      <c r="BI175" s="212"/>
      <c r="BJ175" s="212"/>
      <c r="BK175" s="212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9"/>
      <c r="CC175" s="49"/>
      <c r="CD175" s="49"/>
      <c r="CE175" s="49"/>
      <c r="CF175" s="49"/>
    </row>
    <row r="176" ht="14.25" customHeight="1">
      <c r="A176" s="105" t="s">
        <v>84</v>
      </c>
      <c r="B176" s="103" t="s">
        <v>85</v>
      </c>
      <c r="C176" s="103" t="s">
        <v>120</v>
      </c>
      <c r="D176" s="105" t="s">
        <v>86</v>
      </c>
      <c r="E176" s="105" t="s">
        <v>566</v>
      </c>
      <c r="F176" s="105" t="s">
        <v>709</v>
      </c>
      <c r="G176" s="106"/>
      <c r="H176" s="110"/>
      <c r="I176" s="107"/>
      <c r="J176" s="220" t="s">
        <v>782</v>
      </c>
      <c r="K176" s="220" t="str">
        <f>_xlfn.XLOOKUP(J176,[1]Sheet1!$A:$A,[1]Sheet1!$B:$B,"")</f>
        <v>#ERROR!</v>
      </c>
      <c r="L176" s="105" t="s">
        <v>783</v>
      </c>
      <c r="M176" s="105" t="s">
        <v>784</v>
      </c>
      <c r="N176" s="110"/>
      <c r="O176" s="104" t="s">
        <v>95</v>
      </c>
      <c r="P176" s="110"/>
      <c r="Q176" s="103" t="s">
        <v>713</v>
      </c>
      <c r="R176" s="110" t="s">
        <v>507</v>
      </c>
      <c r="S176" s="110">
        <v>60000.0</v>
      </c>
      <c r="T176" s="111" t="e">
        <v>#N/A</v>
      </c>
      <c r="U176" s="110">
        <v>8.536699099E9</v>
      </c>
      <c r="V176" s="112">
        <v>0.023</v>
      </c>
      <c r="W176" s="113">
        <v>30.0</v>
      </c>
      <c r="X176" s="113">
        <v>45.0</v>
      </c>
      <c r="Y176" s="113">
        <v>55.0</v>
      </c>
      <c r="Z176" s="113" t="s">
        <v>596</v>
      </c>
      <c r="AA176" s="114">
        <f t="shared" si="243"/>
        <v>0.0793107518</v>
      </c>
      <c r="AB176" s="115"/>
      <c r="AC176" s="212">
        <f t="shared" si="216"/>
        <v>0.07143326534</v>
      </c>
      <c r="AD176" s="213">
        <f t="shared" si="244"/>
        <v>0.07680996273</v>
      </c>
      <c r="AE176" s="212"/>
      <c r="AF176" s="212" t="str">
        <f t="shared" si="94"/>
        <v>#REF!</v>
      </c>
      <c r="AG176" s="210" t="str">
        <f t="shared" si="95"/>
        <v>#REF!</v>
      </c>
      <c r="AH176" s="120" t="str">
        <f t="shared" si="96"/>
        <v>#REF!</v>
      </c>
      <c r="AI176" s="121">
        <f t="shared" si="237"/>
        <v>0.1</v>
      </c>
      <c r="AJ176" s="121">
        <v>0.1</v>
      </c>
      <c r="AK176" s="122">
        <v>0.61</v>
      </c>
      <c r="AL176" s="123">
        <f t="shared" si="11"/>
        <v>0.04357429186</v>
      </c>
      <c r="AM176" s="122" t="s">
        <v>10</v>
      </c>
      <c r="AN176" s="125">
        <f t="shared" si="295"/>
        <v>0.07143326534</v>
      </c>
      <c r="AO176" s="112">
        <f t="shared" si="219"/>
        <v>0.61</v>
      </c>
      <c r="AP176" s="127"/>
      <c r="AQ176" s="128">
        <f t="shared" ref="AQ176:AR176" si="320">BC176/(1-AI176)</f>
        <v>0.0326055313</v>
      </c>
      <c r="AR176" s="139">
        <f t="shared" si="320"/>
        <v>0.03095441498</v>
      </c>
      <c r="AS176" s="126">
        <f t="shared" si="221"/>
        <v>0.5888888889</v>
      </c>
      <c r="AT176" s="126">
        <f t="shared" si="222"/>
        <v>0.5666666667</v>
      </c>
      <c r="AU176" s="129"/>
      <c r="AV176" s="39" t="s">
        <v>597</v>
      </c>
      <c r="AW176" s="214"/>
      <c r="AX176" s="214"/>
      <c r="AY176" s="214"/>
      <c r="AZ176" s="214"/>
      <c r="BA176" s="214">
        <f>0.028*7.2</f>
        <v>0.2016</v>
      </c>
      <c r="BB176" s="130">
        <f t="shared" ref="BB176:BB212" si="322">AZ176+BA176</f>
        <v>0.2016</v>
      </c>
      <c r="BC176" s="131">
        <f t="shared" ref="BC176:BC212" si="323">(AZ176+BA176)/$F$5</f>
        <v>0.02934497817</v>
      </c>
      <c r="BD176" s="132">
        <f t="shared" si="249"/>
        <v>0.02785897348</v>
      </c>
      <c r="BE176" s="173" t="s">
        <v>785</v>
      </c>
      <c r="BF176" s="134"/>
      <c r="BG176" s="49"/>
      <c r="BH176" s="224">
        <f t="shared" ref="BH176:BH302" si="324">AC176/0.3</f>
        <v>0.2381108845</v>
      </c>
      <c r="BI176" s="224">
        <f t="shared" ref="BI176:BI302" si="325">BH176*0.6</f>
        <v>0.1428665307</v>
      </c>
      <c r="BJ176" s="224">
        <f t="shared" ref="BJ176:BJ302" si="326">BH176*0.5</f>
        <v>0.1190554422</v>
      </c>
      <c r="BK176" s="224">
        <f t="shared" ref="BK176:BK302" si="327">BH176*0.4</f>
        <v>0.09524435379</v>
      </c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  <c r="BX176" s="49"/>
      <c r="BY176" s="49"/>
      <c r="BZ176" s="49"/>
      <c r="CA176" s="49"/>
      <c r="CB176" s="49"/>
      <c r="CC176" s="49"/>
      <c r="CD176" s="49"/>
      <c r="CE176" s="49"/>
      <c r="CF176" s="49"/>
    </row>
    <row r="177" ht="14.25" customHeight="1">
      <c r="A177" s="105" t="s">
        <v>84</v>
      </c>
      <c r="B177" s="103" t="s">
        <v>85</v>
      </c>
      <c r="C177" s="103" t="s">
        <v>120</v>
      </c>
      <c r="D177" s="105" t="s">
        <v>86</v>
      </c>
      <c r="E177" s="105" t="s">
        <v>566</v>
      </c>
      <c r="F177" s="105" t="s">
        <v>709</v>
      </c>
      <c r="G177" s="106"/>
      <c r="H177" s="110"/>
      <c r="I177" s="107"/>
      <c r="J177" s="220" t="s">
        <v>786</v>
      </c>
      <c r="K177" s="220" t="str">
        <f>_xlfn.XLOOKUP(J177,[1]Sheet1!$A:$A,[1]Sheet1!$B:$B,"")</f>
        <v>#ERROR!</v>
      </c>
      <c r="L177" s="105" t="s">
        <v>739</v>
      </c>
      <c r="M177" s="105" t="s">
        <v>740</v>
      </c>
      <c r="N177" s="110"/>
      <c r="O177" s="104" t="s">
        <v>95</v>
      </c>
      <c r="P177" s="110"/>
      <c r="Q177" s="103" t="s">
        <v>554</v>
      </c>
      <c r="R177" s="110" t="s">
        <v>787</v>
      </c>
      <c r="S177" s="110">
        <v>10.0</v>
      </c>
      <c r="T177" s="111" t="e">
        <v>#N/A</v>
      </c>
      <c r="U177" s="110">
        <v>8.2032E9</v>
      </c>
      <c r="V177" s="112">
        <v>0.017</v>
      </c>
      <c r="W177" s="113">
        <v>30.0</v>
      </c>
      <c r="X177" s="113">
        <v>45.0</v>
      </c>
      <c r="Y177" s="113">
        <v>55.0</v>
      </c>
      <c r="Z177" s="113" t="s">
        <v>699</v>
      </c>
      <c r="AA177" s="114">
        <f t="shared" si="243"/>
        <v>51.12365534</v>
      </c>
      <c r="AB177" s="115"/>
      <c r="AC177" s="212">
        <f t="shared" si="216"/>
        <v>56.15006284</v>
      </c>
      <c r="AD177" s="213">
        <f t="shared" si="244"/>
        <v>60.37641165</v>
      </c>
      <c r="AE177" s="212"/>
      <c r="AF177" s="212" t="str">
        <f t="shared" si="94"/>
        <v>#REF!</v>
      </c>
      <c r="AG177" s="210" t="str">
        <f t="shared" si="95"/>
        <v>#REF!</v>
      </c>
      <c r="AH177" s="120" t="str">
        <f t="shared" si="96"/>
        <v>#REF!</v>
      </c>
      <c r="AI177" s="121">
        <f t="shared" si="237"/>
        <v>0.1</v>
      </c>
      <c r="AJ177" s="121">
        <v>0.1</v>
      </c>
      <c r="AK177" s="122">
        <v>0.16</v>
      </c>
      <c r="AL177" s="123">
        <f t="shared" si="11"/>
        <v>8.984010054</v>
      </c>
      <c r="AM177" s="122" t="s">
        <v>10</v>
      </c>
      <c r="AN177" s="125">
        <f t="shared" si="295"/>
        <v>56.15006284</v>
      </c>
      <c r="AO177" s="112">
        <f t="shared" si="219"/>
        <v>0.16</v>
      </c>
      <c r="AP177" s="127"/>
      <c r="AQ177" s="128">
        <f t="shared" ref="AQ177:AR177" si="321">BC177/(1-AI177)</f>
        <v>46.57933042</v>
      </c>
      <c r="AR177" s="139">
        <f t="shared" si="321"/>
        <v>52.40672531</v>
      </c>
      <c r="AS177" s="126">
        <f t="shared" si="221"/>
        <v>0.08888888889</v>
      </c>
      <c r="AT177" s="126">
        <f t="shared" si="222"/>
        <v>0.06666666667</v>
      </c>
      <c r="AU177" s="129"/>
      <c r="AV177" s="39" t="s">
        <v>597</v>
      </c>
      <c r="AW177" s="214"/>
      <c r="AX177" s="214"/>
      <c r="AY177" s="214"/>
      <c r="AZ177" s="214"/>
      <c r="BA177" s="214">
        <f>40*7.2</f>
        <v>288</v>
      </c>
      <c r="BB177" s="130">
        <f t="shared" si="322"/>
        <v>288</v>
      </c>
      <c r="BC177" s="131">
        <f t="shared" si="323"/>
        <v>41.92139738</v>
      </c>
      <c r="BD177" s="132">
        <f t="shared" si="249"/>
        <v>47.16605278</v>
      </c>
      <c r="BE177" s="135"/>
      <c r="BF177" s="134"/>
      <c r="BG177" s="49"/>
      <c r="BH177" s="224">
        <f t="shared" si="324"/>
        <v>187.1668761</v>
      </c>
      <c r="BI177" s="224">
        <f t="shared" si="325"/>
        <v>112.3001257</v>
      </c>
      <c r="BJ177" s="224">
        <f t="shared" si="326"/>
        <v>93.58343806</v>
      </c>
      <c r="BK177" s="224">
        <f t="shared" si="327"/>
        <v>74.86675045</v>
      </c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</row>
    <row r="178" ht="14.25" customHeight="1">
      <c r="A178" s="105" t="s">
        <v>84</v>
      </c>
      <c r="B178" s="103" t="s">
        <v>85</v>
      </c>
      <c r="C178" s="103" t="s">
        <v>85</v>
      </c>
      <c r="D178" s="105" t="s">
        <v>86</v>
      </c>
      <c r="E178" s="105" t="s">
        <v>788</v>
      </c>
      <c r="F178" s="105" t="s">
        <v>789</v>
      </c>
      <c r="G178" s="106" t="s">
        <v>790</v>
      </c>
      <c r="H178" s="110">
        <v>26.0</v>
      </c>
      <c r="I178" s="107"/>
      <c r="J178" s="220" t="s">
        <v>791</v>
      </c>
      <c r="K178" s="220" t="str">
        <f>_xlfn.XLOOKUP(J178,[1]Sheet1!$A:$A,[1]Sheet1!$B:$B,"")</f>
        <v>#ERROR!</v>
      </c>
      <c r="L178" s="105" t="s">
        <v>792</v>
      </c>
      <c r="M178" s="105" t="s">
        <v>793</v>
      </c>
      <c r="N178" s="110"/>
      <c r="O178" s="104" t="s">
        <v>95</v>
      </c>
      <c r="P178" s="110"/>
      <c r="Q178" s="103" t="s">
        <v>794</v>
      </c>
      <c r="R178" s="110" t="s">
        <v>795</v>
      </c>
      <c r="S178" s="110">
        <v>4800.0</v>
      </c>
      <c r="T178" s="111" t="e">
        <v>#N/A</v>
      </c>
      <c r="U178" s="106" t="s">
        <v>796</v>
      </c>
      <c r="V178" s="112">
        <v>0.0</v>
      </c>
      <c r="W178" s="113">
        <v>50.0</v>
      </c>
      <c r="X178" s="113">
        <v>45.0</v>
      </c>
      <c r="Y178" s="113">
        <v>55.0</v>
      </c>
      <c r="Z178" s="113" t="s">
        <v>99</v>
      </c>
      <c r="AA178" s="114">
        <f t="shared" si="243"/>
        <v>0.5084616984</v>
      </c>
      <c r="AB178" s="115"/>
      <c r="AC178" s="239">
        <f t="shared" si="216"/>
        <v>0.4581707159</v>
      </c>
      <c r="AD178" s="240">
        <f t="shared" si="244"/>
        <v>0.4926566837</v>
      </c>
      <c r="AE178" s="239"/>
      <c r="AF178" s="239" t="str">
        <f t="shared" si="94"/>
        <v>#REF!</v>
      </c>
      <c r="AG178" s="210" t="str">
        <f t="shared" si="95"/>
        <v>#REF!</v>
      </c>
      <c r="AH178" s="120" t="str">
        <f t="shared" si="96"/>
        <v>#REF!</v>
      </c>
      <c r="AI178" s="121">
        <f t="shared" si="237"/>
        <v>0.1</v>
      </c>
      <c r="AJ178" s="121">
        <v>0.1</v>
      </c>
      <c r="AK178" s="122">
        <v>0.252</v>
      </c>
      <c r="AL178" s="123">
        <f t="shared" si="11"/>
        <v>0.1154590204</v>
      </c>
      <c r="AM178" s="122" t="s">
        <v>10</v>
      </c>
      <c r="AN178" s="125">
        <f t="shared" si="295"/>
        <v>0.4581707159</v>
      </c>
      <c r="AO178" s="112">
        <f t="shared" si="219"/>
        <v>0.252</v>
      </c>
      <c r="AP178" s="127"/>
      <c r="AQ178" s="241">
        <f t="shared" ref="AQ178:AR178" si="328">BC178/(1-AI178)</f>
        <v>0.4112890183</v>
      </c>
      <c r="AR178" s="242">
        <f t="shared" si="328"/>
        <v>0.3807907727</v>
      </c>
      <c r="AS178" s="126">
        <f t="shared" si="221"/>
        <v>0.1911111111</v>
      </c>
      <c r="AT178" s="126">
        <f t="shared" si="222"/>
        <v>0.1688888889</v>
      </c>
      <c r="AU178" s="129"/>
      <c r="AV178" s="39" t="s">
        <v>797</v>
      </c>
      <c r="AW178" s="243">
        <v>0.006</v>
      </c>
      <c r="AX178" s="243">
        <v>2.302</v>
      </c>
      <c r="AY178" s="214"/>
      <c r="AZ178" s="243">
        <v>0.16</v>
      </c>
      <c r="BA178" s="244">
        <f t="shared" ref="BA178:BA212" si="330">($F$2-70000)/2000*AW178+AX178</f>
        <v>2.383</v>
      </c>
      <c r="BB178" s="244">
        <f t="shared" si="322"/>
        <v>2.543</v>
      </c>
      <c r="BC178" s="245">
        <f t="shared" si="323"/>
        <v>0.3701601164</v>
      </c>
      <c r="BD178" s="132">
        <f t="shared" si="249"/>
        <v>0.3427116955</v>
      </c>
      <c r="BE178" s="135" t="s">
        <v>798</v>
      </c>
      <c r="BF178" s="134" t="s">
        <v>576</v>
      </c>
      <c r="BG178" s="49"/>
      <c r="BH178" s="246">
        <f t="shared" si="324"/>
        <v>1.52723572</v>
      </c>
      <c r="BI178" s="246">
        <f t="shared" si="325"/>
        <v>0.9163414317</v>
      </c>
      <c r="BJ178" s="246">
        <f t="shared" si="326"/>
        <v>0.7636178598</v>
      </c>
      <c r="BK178" s="246">
        <f t="shared" si="327"/>
        <v>0.6108942878</v>
      </c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</row>
    <row r="179" ht="14.25" customHeight="1">
      <c r="A179" s="105" t="s">
        <v>84</v>
      </c>
      <c r="B179" s="103" t="s">
        <v>85</v>
      </c>
      <c r="C179" s="103" t="s">
        <v>85</v>
      </c>
      <c r="D179" s="105" t="s">
        <v>86</v>
      </c>
      <c r="E179" s="105" t="s">
        <v>788</v>
      </c>
      <c r="F179" s="105" t="s">
        <v>789</v>
      </c>
      <c r="G179" s="106" t="s">
        <v>790</v>
      </c>
      <c r="H179" s="110">
        <v>26.0</v>
      </c>
      <c r="I179" s="107"/>
      <c r="J179" s="220" t="s">
        <v>799</v>
      </c>
      <c r="K179" s="220" t="str">
        <f>_xlfn.XLOOKUP(J179,[1]Sheet1!$A:$A,[1]Sheet1!$B:$B,"")</f>
        <v>#ERROR!</v>
      </c>
      <c r="L179" s="105" t="s">
        <v>800</v>
      </c>
      <c r="M179" s="105" t="s">
        <v>801</v>
      </c>
      <c r="N179" s="110"/>
      <c r="O179" s="104" t="s">
        <v>95</v>
      </c>
      <c r="P179" s="110"/>
      <c r="Q179" s="103" t="s">
        <v>794</v>
      </c>
      <c r="R179" s="110" t="s">
        <v>795</v>
      </c>
      <c r="S179" s="110">
        <v>4800.0</v>
      </c>
      <c r="T179" s="111" t="e">
        <v>#N/A</v>
      </c>
      <c r="U179" s="106" t="s">
        <v>796</v>
      </c>
      <c r="V179" s="112">
        <v>0.0</v>
      </c>
      <c r="W179" s="113">
        <v>50.0</v>
      </c>
      <c r="X179" s="113">
        <v>45.0</v>
      </c>
      <c r="Y179" s="113">
        <v>55.0</v>
      </c>
      <c r="Z179" s="113" t="s">
        <v>99</v>
      </c>
      <c r="AA179" s="114">
        <f t="shared" si="243"/>
        <v>0.5773429627</v>
      </c>
      <c r="AB179" s="115"/>
      <c r="AC179" s="239">
        <f t="shared" si="216"/>
        <v>0.51646595</v>
      </c>
      <c r="AD179" s="240">
        <f t="shared" si="244"/>
        <v>0.5553397312</v>
      </c>
      <c r="AE179" s="239"/>
      <c r="AF179" s="239" t="str">
        <f t="shared" si="94"/>
        <v>#REF!</v>
      </c>
      <c r="AG179" s="210" t="str">
        <f t="shared" si="95"/>
        <v>#REF!</v>
      </c>
      <c r="AH179" s="120" t="str">
        <f t="shared" si="96"/>
        <v>#REF!</v>
      </c>
      <c r="AI179" s="121">
        <f t="shared" si="237"/>
        <v>0.1</v>
      </c>
      <c r="AJ179" s="121">
        <v>0.1</v>
      </c>
      <c r="AK179" s="122">
        <v>0.252</v>
      </c>
      <c r="AL179" s="123">
        <f t="shared" si="11"/>
        <v>0.1301494194</v>
      </c>
      <c r="AM179" s="122" t="s">
        <v>10</v>
      </c>
      <c r="AN179" s="125">
        <f t="shared" si="295"/>
        <v>0.51646595</v>
      </c>
      <c r="AO179" s="112">
        <f t="shared" si="219"/>
        <v>0.252</v>
      </c>
      <c r="AP179" s="127"/>
      <c r="AQ179" s="241">
        <f t="shared" ref="AQ179:AR179" si="329">BC179/(1-AI179)</f>
        <v>0.4670063076</v>
      </c>
      <c r="AR179" s="242">
        <f t="shared" si="329"/>
        <v>0.4292405896</v>
      </c>
      <c r="AS179" s="126">
        <f t="shared" si="221"/>
        <v>0.1911111111</v>
      </c>
      <c r="AT179" s="126">
        <f t="shared" si="222"/>
        <v>0.1688888889</v>
      </c>
      <c r="AU179" s="129"/>
      <c r="AV179" s="39" t="s">
        <v>797</v>
      </c>
      <c r="AW179" s="243">
        <v>0.009</v>
      </c>
      <c r="AX179" s="243">
        <v>2.606</v>
      </c>
      <c r="AY179" s="214"/>
      <c r="AZ179" s="243">
        <v>0.16</v>
      </c>
      <c r="BA179" s="244">
        <f t="shared" si="330"/>
        <v>2.7275</v>
      </c>
      <c r="BB179" s="244">
        <f t="shared" si="322"/>
        <v>2.8875</v>
      </c>
      <c r="BC179" s="245">
        <f t="shared" si="323"/>
        <v>0.4203056769</v>
      </c>
      <c r="BD179" s="132">
        <f t="shared" si="249"/>
        <v>0.3863165306</v>
      </c>
      <c r="BE179" s="135" t="s">
        <v>798</v>
      </c>
      <c r="BF179" s="134" t="s">
        <v>576</v>
      </c>
      <c r="BG179" s="49"/>
      <c r="BH179" s="246">
        <f t="shared" si="324"/>
        <v>1.721553167</v>
      </c>
      <c r="BI179" s="246">
        <f t="shared" si="325"/>
        <v>1.0329319</v>
      </c>
      <c r="BJ179" s="246">
        <f t="shared" si="326"/>
        <v>0.8607765833</v>
      </c>
      <c r="BK179" s="246">
        <f t="shared" si="327"/>
        <v>0.6886212667</v>
      </c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</row>
    <row r="180" ht="14.25" customHeight="1">
      <c r="A180" s="105" t="s">
        <v>84</v>
      </c>
      <c r="B180" s="103" t="s">
        <v>85</v>
      </c>
      <c r="C180" s="103" t="s">
        <v>85</v>
      </c>
      <c r="D180" s="105" t="s">
        <v>86</v>
      </c>
      <c r="E180" s="105" t="s">
        <v>788</v>
      </c>
      <c r="F180" s="105" t="s">
        <v>789</v>
      </c>
      <c r="G180" s="106" t="s">
        <v>790</v>
      </c>
      <c r="H180" s="110">
        <v>26.0</v>
      </c>
      <c r="I180" s="107"/>
      <c r="J180" s="220" t="s">
        <v>802</v>
      </c>
      <c r="K180" s="220" t="str">
        <f>_xlfn.XLOOKUP(J180,[1]Sheet1!$A:$A,[1]Sheet1!$B:$B,"")</f>
        <v>#ERROR!</v>
      </c>
      <c r="L180" s="105" t="s">
        <v>803</v>
      </c>
      <c r="M180" s="105" t="s">
        <v>804</v>
      </c>
      <c r="N180" s="110"/>
      <c r="O180" s="104" t="s">
        <v>95</v>
      </c>
      <c r="P180" s="110"/>
      <c r="Q180" s="103" t="s">
        <v>794</v>
      </c>
      <c r="R180" s="110" t="s">
        <v>795</v>
      </c>
      <c r="S180" s="110">
        <v>3200.0</v>
      </c>
      <c r="T180" s="111" t="e">
        <v>#N/A</v>
      </c>
      <c r="U180" s="106" t="s">
        <v>796</v>
      </c>
      <c r="V180" s="112">
        <v>0.0</v>
      </c>
      <c r="W180" s="113">
        <v>50.0</v>
      </c>
      <c r="X180" s="113">
        <v>45.0</v>
      </c>
      <c r="Y180" s="113">
        <v>55.0</v>
      </c>
      <c r="Z180" s="113" t="s">
        <v>99</v>
      </c>
      <c r="AA180" s="114">
        <f t="shared" si="243"/>
        <v>0.7505958379</v>
      </c>
      <c r="AB180" s="115"/>
      <c r="AC180" s="239">
        <f t="shared" si="216"/>
        <v>0.6770184492</v>
      </c>
      <c r="AD180" s="240">
        <f t="shared" si="244"/>
        <v>0.7279768271</v>
      </c>
      <c r="AE180" s="239"/>
      <c r="AF180" s="239" t="str">
        <f t="shared" si="94"/>
        <v>#REF!</v>
      </c>
      <c r="AG180" s="210" t="str">
        <f t="shared" si="95"/>
        <v>#REF!</v>
      </c>
      <c r="AH180" s="120" t="str">
        <f t="shared" si="96"/>
        <v>#REF!</v>
      </c>
      <c r="AI180" s="121">
        <f t="shared" si="237"/>
        <v>0.1</v>
      </c>
      <c r="AJ180" s="121">
        <v>0.1</v>
      </c>
      <c r="AK180" s="122">
        <v>0.252</v>
      </c>
      <c r="AL180" s="123">
        <f t="shared" si="11"/>
        <v>0.1706086492</v>
      </c>
      <c r="AM180" s="122" t="s">
        <v>10</v>
      </c>
      <c r="AN180" s="125">
        <f t="shared" si="295"/>
        <v>0.6770184492</v>
      </c>
      <c r="AO180" s="112">
        <f t="shared" si="219"/>
        <v>0.252</v>
      </c>
      <c r="AP180" s="127"/>
      <c r="AQ180" s="241">
        <f t="shared" ref="AQ180:AR180" si="331">BC180/(1-AI180)</f>
        <v>0.6071486333</v>
      </c>
      <c r="AR180" s="242">
        <f t="shared" si="331"/>
        <v>0.5626775556</v>
      </c>
      <c r="AS180" s="126">
        <f t="shared" si="221"/>
        <v>0.1911111111</v>
      </c>
      <c r="AT180" s="126">
        <f t="shared" si="222"/>
        <v>0.1688888889</v>
      </c>
      <c r="AU180" s="129"/>
      <c r="AV180" s="39" t="s">
        <v>797</v>
      </c>
      <c r="AW180" s="243">
        <v>0.018</v>
      </c>
      <c r="AX180" s="243">
        <v>3.351</v>
      </c>
      <c r="AY180" s="214"/>
      <c r="AZ180" s="243">
        <v>0.16</v>
      </c>
      <c r="BA180" s="244">
        <f t="shared" si="330"/>
        <v>3.594</v>
      </c>
      <c r="BB180" s="244">
        <f t="shared" si="322"/>
        <v>3.754</v>
      </c>
      <c r="BC180" s="245">
        <f t="shared" si="323"/>
        <v>0.54643377</v>
      </c>
      <c r="BD180" s="132">
        <f t="shared" si="249"/>
        <v>0.5064098</v>
      </c>
      <c r="BE180" s="135" t="s">
        <v>798</v>
      </c>
      <c r="BF180" s="134" t="s">
        <v>576</v>
      </c>
      <c r="BG180" s="49"/>
      <c r="BH180" s="246">
        <f t="shared" si="324"/>
        <v>2.256728164</v>
      </c>
      <c r="BI180" s="246">
        <f t="shared" si="325"/>
        <v>1.354036898</v>
      </c>
      <c r="BJ180" s="246">
        <f t="shared" si="326"/>
        <v>1.128364082</v>
      </c>
      <c r="BK180" s="246">
        <f t="shared" si="327"/>
        <v>0.9026912656</v>
      </c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</row>
    <row r="181" ht="14.25" customHeight="1">
      <c r="A181" s="105" t="s">
        <v>84</v>
      </c>
      <c r="B181" s="103" t="s">
        <v>85</v>
      </c>
      <c r="C181" s="103" t="s">
        <v>85</v>
      </c>
      <c r="D181" s="105" t="s">
        <v>86</v>
      </c>
      <c r="E181" s="105" t="s">
        <v>788</v>
      </c>
      <c r="F181" s="105" t="s">
        <v>789</v>
      </c>
      <c r="G181" s="106" t="s">
        <v>790</v>
      </c>
      <c r="H181" s="110">
        <v>26.0</v>
      </c>
      <c r="I181" s="107"/>
      <c r="J181" s="220" t="s">
        <v>805</v>
      </c>
      <c r="K181" s="220" t="str">
        <f>_xlfn.XLOOKUP(J181,[1]Sheet1!$A:$A,[1]Sheet1!$B:$B,"")</f>
        <v>#ERROR!</v>
      </c>
      <c r="L181" s="105" t="s">
        <v>806</v>
      </c>
      <c r="M181" s="105" t="s">
        <v>807</v>
      </c>
      <c r="N181" s="110"/>
      <c r="O181" s="104" t="s">
        <v>95</v>
      </c>
      <c r="P181" s="110"/>
      <c r="Q181" s="103" t="s">
        <v>794</v>
      </c>
      <c r="R181" s="110" t="s">
        <v>795</v>
      </c>
      <c r="S181" s="110">
        <v>2240.0</v>
      </c>
      <c r="T181" s="111" t="e">
        <v>#N/A</v>
      </c>
      <c r="U181" s="106" t="s">
        <v>796</v>
      </c>
      <c r="V181" s="112">
        <v>0.0</v>
      </c>
      <c r="W181" s="113">
        <v>50.0</v>
      </c>
      <c r="X181" s="113">
        <v>45.0</v>
      </c>
      <c r="Y181" s="113">
        <v>55.0</v>
      </c>
      <c r="Z181" s="113" t="s">
        <v>99</v>
      </c>
      <c r="AA181" s="114">
        <f t="shared" si="243"/>
        <v>1.088903818</v>
      </c>
      <c r="AB181" s="115"/>
      <c r="AC181" s="239">
        <f t="shared" si="216"/>
        <v>0.9812383926</v>
      </c>
      <c r="AD181" s="240">
        <f t="shared" si="244"/>
        <v>1.055095046</v>
      </c>
      <c r="AE181" s="239"/>
      <c r="AF181" s="239" t="str">
        <f t="shared" si="94"/>
        <v>#REF!</v>
      </c>
      <c r="AG181" s="210" t="str">
        <f t="shared" si="95"/>
        <v>#REF!</v>
      </c>
      <c r="AH181" s="120" t="str">
        <f t="shared" si="96"/>
        <v>#REF!</v>
      </c>
      <c r="AI181" s="121">
        <f t="shared" si="237"/>
        <v>0.1</v>
      </c>
      <c r="AJ181" s="121">
        <v>0.1</v>
      </c>
      <c r="AK181" s="122">
        <v>0.252</v>
      </c>
      <c r="AL181" s="123">
        <f t="shared" si="11"/>
        <v>0.2472720749</v>
      </c>
      <c r="AM181" s="122" t="s">
        <v>10</v>
      </c>
      <c r="AN181" s="125">
        <f t="shared" si="295"/>
        <v>0.9812383926</v>
      </c>
      <c r="AO181" s="112">
        <f t="shared" si="219"/>
        <v>0.252</v>
      </c>
      <c r="AP181" s="127"/>
      <c r="AQ181" s="241">
        <f t="shared" ref="AQ181:AR181" si="332">BC181/(1-AI181)</f>
        <v>0.8808021996</v>
      </c>
      <c r="AR181" s="242">
        <f t="shared" si="332"/>
        <v>0.8155181308</v>
      </c>
      <c r="AS181" s="126">
        <f t="shared" si="221"/>
        <v>0.1911111111</v>
      </c>
      <c r="AT181" s="126">
        <f t="shared" si="222"/>
        <v>0.1688888889</v>
      </c>
      <c r="AU181" s="129"/>
      <c r="AV181" s="39" t="s">
        <v>797</v>
      </c>
      <c r="AW181" s="243">
        <v>0.036</v>
      </c>
      <c r="AX181" s="243">
        <v>4.8</v>
      </c>
      <c r="AY181" s="214"/>
      <c r="AZ181" s="243">
        <v>0.16</v>
      </c>
      <c r="BA181" s="244">
        <f t="shared" si="330"/>
        <v>5.286</v>
      </c>
      <c r="BB181" s="244">
        <f t="shared" si="322"/>
        <v>5.446</v>
      </c>
      <c r="BC181" s="245">
        <f t="shared" si="323"/>
        <v>0.7927219796</v>
      </c>
      <c r="BD181" s="132">
        <f t="shared" si="249"/>
        <v>0.7339663177</v>
      </c>
      <c r="BE181" s="135" t="s">
        <v>798</v>
      </c>
      <c r="BF181" s="134" t="s">
        <v>576</v>
      </c>
      <c r="BG181" s="49"/>
      <c r="BH181" s="246">
        <f t="shared" si="324"/>
        <v>3.270794642</v>
      </c>
      <c r="BI181" s="246">
        <f t="shared" si="325"/>
        <v>1.962476785</v>
      </c>
      <c r="BJ181" s="246">
        <f t="shared" si="326"/>
        <v>1.635397321</v>
      </c>
      <c r="BK181" s="246">
        <f t="shared" si="327"/>
        <v>1.308317857</v>
      </c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</row>
    <row r="182" ht="14.25" customHeight="1">
      <c r="A182" s="105" t="s">
        <v>84</v>
      </c>
      <c r="B182" s="103" t="s">
        <v>85</v>
      </c>
      <c r="C182" s="103" t="s">
        <v>85</v>
      </c>
      <c r="D182" s="105" t="s">
        <v>86</v>
      </c>
      <c r="E182" s="105" t="s">
        <v>788</v>
      </c>
      <c r="F182" s="105" t="s">
        <v>789</v>
      </c>
      <c r="G182" s="106" t="s">
        <v>790</v>
      </c>
      <c r="H182" s="110">
        <v>26.0</v>
      </c>
      <c r="I182" s="107"/>
      <c r="J182" s="220" t="s">
        <v>808</v>
      </c>
      <c r="K182" s="220" t="str">
        <f>_xlfn.XLOOKUP(J182,[1]Sheet1!$A:$A,[1]Sheet1!$B:$B,"")</f>
        <v>#ERROR!</v>
      </c>
      <c r="L182" s="105" t="s">
        <v>809</v>
      </c>
      <c r="M182" s="105" t="s">
        <v>810</v>
      </c>
      <c r="N182" s="110"/>
      <c r="O182" s="104" t="s">
        <v>95</v>
      </c>
      <c r="P182" s="110"/>
      <c r="Q182" s="103" t="s">
        <v>794</v>
      </c>
      <c r="R182" s="110" t="s">
        <v>795</v>
      </c>
      <c r="S182" s="110">
        <v>1600.0</v>
      </c>
      <c r="T182" s="111" t="e">
        <v>#N/A</v>
      </c>
      <c r="U182" s="106" t="s">
        <v>796</v>
      </c>
      <c r="V182" s="112">
        <v>0.0</v>
      </c>
      <c r="W182" s="113">
        <v>50.0</v>
      </c>
      <c r="X182" s="113">
        <v>45.0</v>
      </c>
      <c r="Y182" s="113">
        <v>55.0</v>
      </c>
      <c r="Z182" s="113" t="s">
        <v>99</v>
      </c>
      <c r="AA182" s="114">
        <f t="shared" si="243"/>
        <v>1.434409841</v>
      </c>
      <c r="AB182" s="115"/>
      <c r="AC182" s="239">
        <f t="shared" si="216"/>
        <v>1.297518442</v>
      </c>
      <c r="AD182" s="240">
        <f t="shared" si="244"/>
        <v>1.395181121</v>
      </c>
      <c r="AE182" s="239"/>
      <c r="AF182" s="239" t="str">
        <f t="shared" si="94"/>
        <v>#REF!</v>
      </c>
      <c r="AG182" s="210" t="str">
        <f t="shared" si="95"/>
        <v>#REF!</v>
      </c>
      <c r="AH182" s="120" t="str">
        <f t="shared" si="96"/>
        <v>#REF!</v>
      </c>
      <c r="AI182" s="121">
        <f t="shared" si="237"/>
        <v>0.1</v>
      </c>
      <c r="AJ182" s="121">
        <v>0.1</v>
      </c>
      <c r="AK182" s="122">
        <v>0.252</v>
      </c>
      <c r="AL182" s="123">
        <f t="shared" si="11"/>
        <v>0.3269746474</v>
      </c>
      <c r="AM182" s="122" t="s">
        <v>10</v>
      </c>
      <c r="AN182" s="125">
        <f t="shared" si="295"/>
        <v>1.297518442</v>
      </c>
      <c r="AO182" s="112">
        <f t="shared" si="219"/>
        <v>0.252</v>
      </c>
      <c r="AP182" s="127"/>
      <c r="AQ182" s="241">
        <f t="shared" ref="AQ182:AR182" si="333">BC182/(1-AI182)</f>
        <v>1.160278182</v>
      </c>
      <c r="AR182" s="242">
        <f t="shared" si="333"/>
        <v>1.078381994</v>
      </c>
      <c r="AS182" s="126">
        <f t="shared" si="221"/>
        <v>0.1911111111</v>
      </c>
      <c r="AT182" s="126">
        <f t="shared" si="222"/>
        <v>0.1688888889</v>
      </c>
      <c r="AU182" s="129"/>
      <c r="AV182" s="39" t="s">
        <v>797</v>
      </c>
      <c r="AW182" s="243">
        <v>0.054</v>
      </c>
      <c r="AX182" s="243">
        <v>6.285</v>
      </c>
      <c r="AY182" s="214"/>
      <c r="AZ182" s="243">
        <v>0.16</v>
      </c>
      <c r="BA182" s="244">
        <f t="shared" si="330"/>
        <v>7.014</v>
      </c>
      <c r="BB182" s="244">
        <f t="shared" si="322"/>
        <v>7.174</v>
      </c>
      <c r="BC182" s="245">
        <f t="shared" si="323"/>
        <v>1.044250364</v>
      </c>
      <c r="BD182" s="132">
        <f t="shared" si="249"/>
        <v>0.9705437947</v>
      </c>
      <c r="BE182" s="135" t="s">
        <v>798</v>
      </c>
      <c r="BF182" s="134" t="s">
        <v>576</v>
      </c>
      <c r="BG182" s="49"/>
      <c r="BH182" s="246">
        <f t="shared" si="324"/>
        <v>4.325061474</v>
      </c>
      <c r="BI182" s="246">
        <f t="shared" si="325"/>
        <v>2.595036884</v>
      </c>
      <c r="BJ182" s="246">
        <f t="shared" si="326"/>
        <v>2.162530737</v>
      </c>
      <c r="BK182" s="246">
        <f t="shared" si="327"/>
        <v>1.730024589</v>
      </c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</row>
    <row r="183" ht="14.25" customHeight="1">
      <c r="A183" s="105" t="s">
        <v>84</v>
      </c>
      <c r="B183" s="103" t="s">
        <v>85</v>
      </c>
      <c r="C183" s="103" t="s">
        <v>85</v>
      </c>
      <c r="D183" s="105" t="s">
        <v>86</v>
      </c>
      <c r="E183" s="105" t="s">
        <v>788</v>
      </c>
      <c r="F183" s="105" t="s">
        <v>789</v>
      </c>
      <c r="G183" s="106" t="s">
        <v>790</v>
      </c>
      <c r="H183" s="110">
        <v>26.0</v>
      </c>
      <c r="I183" s="107"/>
      <c r="J183" s="220" t="s">
        <v>811</v>
      </c>
      <c r="K183" s="220" t="str">
        <f>_xlfn.XLOOKUP(J183,[1]Sheet1!$A:$A,[1]Sheet1!$B:$B,"")</f>
        <v>#ERROR!</v>
      </c>
      <c r="L183" s="105" t="s">
        <v>812</v>
      </c>
      <c r="M183" s="105" t="s">
        <v>813</v>
      </c>
      <c r="N183" s="110"/>
      <c r="O183" s="104" t="s">
        <v>95</v>
      </c>
      <c r="P183" s="110"/>
      <c r="Q183" s="103" t="s">
        <v>794</v>
      </c>
      <c r="R183" s="110" t="s">
        <v>795</v>
      </c>
      <c r="S183" s="110">
        <v>960.0</v>
      </c>
      <c r="T183" s="111" t="e">
        <v>#N/A</v>
      </c>
      <c r="U183" s="106" t="s">
        <v>796</v>
      </c>
      <c r="V183" s="112">
        <v>0.0</v>
      </c>
      <c r="W183" s="113">
        <v>50.0</v>
      </c>
      <c r="X183" s="113">
        <v>45.0</v>
      </c>
      <c r="Y183" s="113">
        <v>55.0</v>
      </c>
      <c r="Z183" s="113" t="s">
        <v>99</v>
      </c>
      <c r="AA183" s="114">
        <f t="shared" si="243"/>
        <v>2.135519139</v>
      </c>
      <c r="AB183" s="115"/>
      <c r="AC183" s="239">
        <f t="shared" si="216"/>
        <v>1.946581725</v>
      </c>
      <c r="AD183" s="240">
        <f t="shared" si="244"/>
        <v>2.093098629</v>
      </c>
      <c r="AE183" s="239"/>
      <c r="AF183" s="239" t="str">
        <f t="shared" si="94"/>
        <v>#REF!</v>
      </c>
      <c r="AG183" s="210" t="str">
        <f t="shared" si="95"/>
        <v>#REF!</v>
      </c>
      <c r="AH183" s="120" t="str">
        <f t="shared" si="96"/>
        <v>#REF!</v>
      </c>
      <c r="AI183" s="121">
        <f t="shared" si="237"/>
        <v>0.1</v>
      </c>
      <c r="AJ183" s="121">
        <v>0.1</v>
      </c>
      <c r="AK183" s="122">
        <v>0.252</v>
      </c>
      <c r="AL183" s="123">
        <f t="shared" si="11"/>
        <v>0.4905385947</v>
      </c>
      <c r="AM183" s="122" t="s">
        <v>10</v>
      </c>
      <c r="AN183" s="125">
        <f t="shared" si="295"/>
        <v>1.946581725</v>
      </c>
      <c r="AO183" s="112">
        <f t="shared" si="219"/>
        <v>0.252</v>
      </c>
      <c r="AP183" s="127"/>
      <c r="AQ183" s="241">
        <f t="shared" ref="AQ183:AR183" si="334">BC183/(1-AI183)</f>
        <v>1.727397703</v>
      </c>
      <c r="AR183" s="242">
        <f t="shared" si="334"/>
        <v>1.6178257</v>
      </c>
      <c r="AS183" s="126">
        <f t="shared" si="221"/>
        <v>0.1911111111</v>
      </c>
      <c r="AT183" s="126">
        <f t="shared" si="222"/>
        <v>0.1688888889</v>
      </c>
      <c r="AU183" s="129"/>
      <c r="AV183" s="39" t="s">
        <v>797</v>
      </c>
      <c r="AW183" s="243">
        <v>0.089</v>
      </c>
      <c r="AX183" s="243">
        <v>9.319</v>
      </c>
      <c r="AY183" s="214"/>
      <c r="AZ183" s="243">
        <v>0.16</v>
      </c>
      <c r="BA183" s="244">
        <f t="shared" si="330"/>
        <v>10.5205</v>
      </c>
      <c r="BB183" s="244">
        <f t="shared" si="322"/>
        <v>10.6805</v>
      </c>
      <c r="BC183" s="245">
        <f t="shared" si="323"/>
        <v>1.554657933</v>
      </c>
      <c r="BD183" s="132">
        <f t="shared" si="249"/>
        <v>1.45604313</v>
      </c>
      <c r="BE183" s="135" t="s">
        <v>798</v>
      </c>
      <c r="BF183" s="134" t="s">
        <v>576</v>
      </c>
      <c r="BG183" s="49"/>
      <c r="BH183" s="246">
        <f t="shared" si="324"/>
        <v>6.488605749</v>
      </c>
      <c r="BI183" s="246">
        <f t="shared" si="325"/>
        <v>3.89316345</v>
      </c>
      <c r="BJ183" s="246">
        <f t="shared" si="326"/>
        <v>3.244302875</v>
      </c>
      <c r="BK183" s="246">
        <f t="shared" si="327"/>
        <v>2.5954423</v>
      </c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</row>
    <row r="184" ht="14.25" customHeight="1">
      <c r="A184" s="105" t="s">
        <v>84</v>
      </c>
      <c r="B184" s="103" t="s">
        <v>85</v>
      </c>
      <c r="C184" s="103" t="s">
        <v>85</v>
      </c>
      <c r="D184" s="105" t="s">
        <v>86</v>
      </c>
      <c r="E184" s="105" t="s">
        <v>788</v>
      </c>
      <c r="F184" s="105" t="s">
        <v>789</v>
      </c>
      <c r="G184" s="106" t="s">
        <v>790</v>
      </c>
      <c r="H184" s="110">
        <v>26.0</v>
      </c>
      <c r="I184" s="107"/>
      <c r="J184" s="220" t="s">
        <v>814</v>
      </c>
      <c r="K184" s="220" t="str">
        <f>_xlfn.XLOOKUP(J184,[1]Sheet1!$A:$A,[1]Sheet1!$B:$B,"")</f>
        <v>#ERROR!</v>
      </c>
      <c r="L184" s="105" t="s">
        <v>815</v>
      </c>
      <c r="M184" s="105" t="s">
        <v>816</v>
      </c>
      <c r="N184" s="110"/>
      <c r="O184" s="104" t="s">
        <v>95</v>
      </c>
      <c r="P184" s="110"/>
      <c r="Q184" s="103" t="s">
        <v>794</v>
      </c>
      <c r="R184" s="110" t="s">
        <v>795</v>
      </c>
      <c r="S184" s="110">
        <v>640.0</v>
      </c>
      <c r="T184" s="111" t="e">
        <v>#N/A</v>
      </c>
      <c r="U184" s="106" t="s">
        <v>796</v>
      </c>
      <c r="V184" s="112">
        <v>0.0</v>
      </c>
      <c r="W184" s="113">
        <v>50.0</v>
      </c>
      <c r="X184" s="113">
        <v>45.0</v>
      </c>
      <c r="Y184" s="113">
        <v>55.0</v>
      </c>
      <c r="Z184" s="113" t="s">
        <v>99</v>
      </c>
      <c r="AA184" s="114">
        <f t="shared" si="243"/>
        <v>3.796967225</v>
      </c>
      <c r="AB184" s="115"/>
      <c r="AC184" s="239">
        <f t="shared" si="216"/>
        <v>3.422319972</v>
      </c>
      <c r="AD184" s="240">
        <f t="shared" si="244"/>
        <v>3.679913948</v>
      </c>
      <c r="AE184" s="239"/>
      <c r="AF184" s="239" t="str">
        <f t="shared" si="94"/>
        <v>#REF!</v>
      </c>
      <c r="AG184" s="210" t="str">
        <f t="shared" si="95"/>
        <v>#REF!</v>
      </c>
      <c r="AH184" s="120" t="str">
        <f t="shared" si="96"/>
        <v>#REF!</v>
      </c>
      <c r="AI184" s="121">
        <f t="shared" si="237"/>
        <v>0.1</v>
      </c>
      <c r="AJ184" s="121">
        <v>0.1</v>
      </c>
      <c r="AK184" s="122">
        <v>0.252</v>
      </c>
      <c r="AL184" s="123">
        <f t="shared" si="11"/>
        <v>0.8624246329</v>
      </c>
      <c r="AM184" s="122" t="s">
        <v>10</v>
      </c>
      <c r="AN184" s="125">
        <f t="shared" si="295"/>
        <v>3.422319972</v>
      </c>
      <c r="AO184" s="112">
        <f t="shared" si="219"/>
        <v>0.252</v>
      </c>
      <c r="AP184" s="127"/>
      <c r="AQ184" s="241">
        <f t="shared" ref="AQ184:AR184" si="335">BC184/(1-AI184)</f>
        <v>3.0713246</v>
      </c>
      <c r="AR184" s="242">
        <f t="shared" si="335"/>
        <v>2.844328154</v>
      </c>
      <c r="AS184" s="126">
        <f t="shared" si="221"/>
        <v>0.1911111111</v>
      </c>
      <c r="AT184" s="126">
        <f t="shared" si="222"/>
        <v>0.1688888889</v>
      </c>
      <c r="AU184" s="129"/>
      <c r="AV184" s="39" t="s">
        <v>797</v>
      </c>
      <c r="AW184" s="243">
        <v>0.178</v>
      </c>
      <c r="AX184" s="243">
        <v>16.427</v>
      </c>
      <c r="AY184" s="214"/>
      <c r="AZ184" s="243">
        <v>0.16</v>
      </c>
      <c r="BA184" s="244">
        <f t="shared" si="330"/>
        <v>18.83</v>
      </c>
      <c r="BB184" s="244">
        <f t="shared" si="322"/>
        <v>18.99</v>
      </c>
      <c r="BC184" s="245">
        <f t="shared" si="323"/>
        <v>2.76419214</v>
      </c>
      <c r="BD184" s="132">
        <f t="shared" si="249"/>
        <v>2.559895339</v>
      </c>
      <c r="BE184" s="135" t="s">
        <v>798</v>
      </c>
      <c r="BF184" s="134" t="s">
        <v>576</v>
      </c>
      <c r="BG184" s="49"/>
      <c r="BH184" s="246">
        <f t="shared" si="324"/>
        <v>11.40773324</v>
      </c>
      <c r="BI184" s="246">
        <f t="shared" si="325"/>
        <v>6.844639944</v>
      </c>
      <c r="BJ184" s="246">
        <f t="shared" si="326"/>
        <v>5.70386662</v>
      </c>
      <c r="BK184" s="246">
        <f t="shared" si="327"/>
        <v>4.563093296</v>
      </c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</row>
    <row r="185" ht="14.25" customHeight="1">
      <c r="A185" s="105" t="s">
        <v>84</v>
      </c>
      <c r="B185" s="103" t="s">
        <v>85</v>
      </c>
      <c r="C185" s="103" t="s">
        <v>85</v>
      </c>
      <c r="D185" s="105" t="s">
        <v>86</v>
      </c>
      <c r="E185" s="105" t="s">
        <v>788</v>
      </c>
      <c r="F185" s="105" t="s">
        <v>817</v>
      </c>
      <c r="G185" s="106" t="s">
        <v>581</v>
      </c>
      <c r="H185" s="110">
        <v>24.0</v>
      </c>
      <c r="I185" s="107"/>
      <c r="J185" s="220" t="s">
        <v>818</v>
      </c>
      <c r="K185" s="220" t="str">
        <f>_xlfn.XLOOKUP(J185,[1]Sheet1!$A:$A,[1]Sheet1!$B:$B,"")</f>
        <v>#ERROR!</v>
      </c>
      <c r="L185" s="105" t="s">
        <v>819</v>
      </c>
      <c r="M185" s="105" t="s">
        <v>820</v>
      </c>
      <c r="N185" s="110"/>
      <c r="O185" s="104" t="s">
        <v>95</v>
      </c>
      <c r="P185" s="110"/>
      <c r="Q185" s="103" t="s">
        <v>794</v>
      </c>
      <c r="R185" s="110" t="s">
        <v>795</v>
      </c>
      <c r="S185" s="110">
        <v>4800.0</v>
      </c>
      <c r="T185" s="111" t="e">
        <v>#N/A</v>
      </c>
      <c r="U185" s="106" t="s">
        <v>796</v>
      </c>
      <c r="V185" s="112">
        <v>0.0</v>
      </c>
      <c r="W185" s="113">
        <v>50.0</v>
      </c>
      <c r="X185" s="113">
        <v>45.0</v>
      </c>
      <c r="Y185" s="113">
        <v>55.0</v>
      </c>
      <c r="Z185" s="113" t="s">
        <v>99</v>
      </c>
      <c r="AA185" s="114">
        <f t="shared" si="243"/>
        <v>0.4264839964</v>
      </c>
      <c r="AB185" s="115"/>
      <c r="AC185" s="239">
        <f t="shared" si="216"/>
        <v>0.3887917725</v>
      </c>
      <c r="AD185" s="240">
        <f t="shared" si="244"/>
        <v>0.4180556693</v>
      </c>
      <c r="AE185" s="239"/>
      <c r="AF185" s="239" t="str">
        <f t="shared" si="94"/>
        <v>#REF!</v>
      </c>
      <c r="AG185" s="210" t="str">
        <f t="shared" si="95"/>
        <v>#REF!</v>
      </c>
      <c r="AH185" s="120" t="str">
        <f t="shared" si="96"/>
        <v>#REF!</v>
      </c>
      <c r="AI185" s="121">
        <f t="shared" si="237"/>
        <v>0.1</v>
      </c>
      <c r="AJ185" s="121">
        <v>0.1</v>
      </c>
      <c r="AK185" s="122">
        <v>0.252</v>
      </c>
      <c r="AL185" s="123">
        <f t="shared" si="11"/>
        <v>0.09797552666</v>
      </c>
      <c r="AM185" s="122" t="s">
        <v>10</v>
      </c>
      <c r="AN185" s="125">
        <f t="shared" si="295"/>
        <v>0.3887917725</v>
      </c>
      <c r="AO185" s="112">
        <f t="shared" si="219"/>
        <v>0.252</v>
      </c>
      <c r="AP185" s="127"/>
      <c r="AQ185" s="241">
        <f t="shared" ref="AQ185:AR185" si="336">BC185/(1-AI185)</f>
        <v>0.3449781659</v>
      </c>
      <c r="AR185" s="242">
        <f t="shared" si="336"/>
        <v>0.323129162</v>
      </c>
      <c r="AS185" s="126">
        <f t="shared" si="221"/>
        <v>0.1911111111</v>
      </c>
      <c r="AT185" s="126">
        <f t="shared" si="222"/>
        <v>0.1688888889</v>
      </c>
      <c r="AU185" s="129"/>
      <c r="AV185" s="39" t="s">
        <v>797</v>
      </c>
      <c r="AW185" s="243">
        <v>0.006</v>
      </c>
      <c r="AX185" s="243">
        <v>1.892</v>
      </c>
      <c r="AY185" s="214"/>
      <c r="AZ185" s="243">
        <v>0.16</v>
      </c>
      <c r="BA185" s="244">
        <f t="shared" si="330"/>
        <v>1.973</v>
      </c>
      <c r="BB185" s="244">
        <f t="shared" si="322"/>
        <v>2.133</v>
      </c>
      <c r="BC185" s="245">
        <f t="shared" si="323"/>
        <v>0.3104803493</v>
      </c>
      <c r="BD185" s="132">
        <f t="shared" si="249"/>
        <v>0.2908162458</v>
      </c>
      <c r="BE185" s="135" t="s">
        <v>821</v>
      </c>
      <c r="BF185" s="134" t="s">
        <v>576</v>
      </c>
      <c r="BG185" s="49"/>
      <c r="BH185" s="246">
        <f t="shared" si="324"/>
        <v>1.295972575</v>
      </c>
      <c r="BI185" s="246">
        <f t="shared" si="325"/>
        <v>0.7775835449</v>
      </c>
      <c r="BJ185" s="246">
        <f t="shared" si="326"/>
        <v>0.6479862874</v>
      </c>
      <c r="BK185" s="246">
        <f t="shared" si="327"/>
        <v>0.51838903</v>
      </c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</row>
    <row r="186" ht="14.25" customHeight="1">
      <c r="A186" s="105" t="s">
        <v>84</v>
      </c>
      <c r="B186" s="103" t="s">
        <v>85</v>
      </c>
      <c r="C186" s="103" t="s">
        <v>85</v>
      </c>
      <c r="D186" s="105" t="s">
        <v>86</v>
      </c>
      <c r="E186" s="105" t="s">
        <v>788</v>
      </c>
      <c r="F186" s="105" t="s">
        <v>817</v>
      </c>
      <c r="G186" s="106" t="s">
        <v>581</v>
      </c>
      <c r="H186" s="110">
        <v>24.0</v>
      </c>
      <c r="I186" s="107"/>
      <c r="J186" s="220" t="s">
        <v>822</v>
      </c>
      <c r="K186" s="220" t="str">
        <f>_xlfn.XLOOKUP(J186,[1]Sheet1!$A:$A,[1]Sheet1!$B:$B,"")</f>
        <v>#ERROR!</v>
      </c>
      <c r="L186" s="105" t="s">
        <v>823</v>
      </c>
      <c r="M186" s="105" t="s">
        <v>824</v>
      </c>
      <c r="N186" s="110"/>
      <c r="O186" s="104" t="s">
        <v>95</v>
      </c>
      <c r="P186" s="110"/>
      <c r="Q186" s="103" t="s">
        <v>794</v>
      </c>
      <c r="R186" s="110" t="s">
        <v>795</v>
      </c>
      <c r="S186" s="110">
        <v>4800.0</v>
      </c>
      <c r="T186" s="111" t="e">
        <v>#N/A</v>
      </c>
      <c r="U186" s="106" t="s">
        <v>796</v>
      </c>
      <c r="V186" s="112">
        <v>0.0</v>
      </c>
      <c r="W186" s="113">
        <v>50.0</v>
      </c>
      <c r="X186" s="113">
        <v>45.0</v>
      </c>
      <c r="Y186" s="113">
        <v>55.0</v>
      </c>
      <c r="Z186" s="113" t="s">
        <v>99</v>
      </c>
      <c r="AA186" s="114">
        <f t="shared" si="243"/>
        <v>0.4869675448</v>
      </c>
      <c r="AB186" s="115"/>
      <c r="AC186" s="239">
        <f t="shared" si="216"/>
        <v>0.4399798953</v>
      </c>
      <c r="AD186" s="240">
        <f t="shared" si="244"/>
        <v>0.4730966617</v>
      </c>
      <c r="AE186" s="239"/>
      <c r="AF186" s="239" t="str">
        <f t="shared" si="94"/>
        <v>#REF!</v>
      </c>
      <c r="AG186" s="210" t="str">
        <f t="shared" si="95"/>
        <v>#REF!</v>
      </c>
      <c r="AH186" s="120" t="str">
        <f t="shared" si="96"/>
        <v>#REF!</v>
      </c>
      <c r="AI186" s="121">
        <f t="shared" si="237"/>
        <v>0.1</v>
      </c>
      <c r="AJ186" s="121">
        <v>0.1</v>
      </c>
      <c r="AK186" s="122">
        <v>0.252</v>
      </c>
      <c r="AL186" s="123">
        <f t="shared" si="11"/>
        <v>0.1108749336</v>
      </c>
      <c r="AM186" s="122" t="s">
        <v>10</v>
      </c>
      <c r="AN186" s="125">
        <f t="shared" si="295"/>
        <v>0.4399798953</v>
      </c>
      <c r="AO186" s="112">
        <f t="shared" si="219"/>
        <v>0.252</v>
      </c>
      <c r="AP186" s="127"/>
      <c r="AQ186" s="241">
        <f t="shared" ref="AQ186:AR186" si="337">BC186/(1-AI186)</f>
        <v>0.3939026363</v>
      </c>
      <c r="AR186" s="242">
        <f t="shared" si="337"/>
        <v>0.3656721797</v>
      </c>
      <c r="AS186" s="126">
        <f t="shared" si="221"/>
        <v>0.1911111111</v>
      </c>
      <c r="AT186" s="126">
        <f t="shared" si="222"/>
        <v>0.1688888889</v>
      </c>
      <c r="AU186" s="129"/>
      <c r="AV186" s="39" t="s">
        <v>797</v>
      </c>
      <c r="AW186" s="243">
        <v>0.009</v>
      </c>
      <c r="AX186" s="243">
        <v>2.154</v>
      </c>
      <c r="AY186" s="214"/>
      <c r="AZ186" s="243">
        <v>0.16</v>
      </c>
      <c r="BA186" s="244">
        <f t="shared" si="330"/>
        <v>2.2755</v>
      </c>
      <c r="BB186" s="244">
        <f t="shared" si="322"/>
        <v>2.4355</v>
      </c>
      <c r="BC186" s="245">
        <f t="shared" si="323"/>
        <v>0.3545123726</v>
      </c>
      <c r="BD186" s="132">
        <f t="shared" si="249"/>
        <v>0.3291049617</v>
      </c>
      <c r="BE186" s="135" t="s">
        <v>821</v>
      </c>
      <c r="BF186" s="134" t="s">
        <v>576</v>
      </c>
      <c r="BG186" s="49"/>
      <c r="BH186" s="246">
        <f t="shared" si="324"/>
        <v>1.466599651</v>
      </c>
      <c r="BI186" s="246">
        <f t="shared" si="325"/>
        <v>0.8799597907</v>
      </c>
      <c r="BJ186" s="246">
        <f t="shared" si="326"/>
        <v>0.7332998256</v>
      </c>
      <c r="BK186" s="246">
        <f t="shared" si="327"/>
        <v>0.5866398604</v>
      </c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</row>
    <row r="187" ht="14.25" customHeight="1">
      <c r="A187" s="105" t="s">
        <v>84</v>
      </c>
      <c r="B187" s="103" t="s">
        <v>85</v>
      </c>
      <c r="C187" s="103" t="s">
        <v>85</v>
      </c>
      <c r="D187" s="105" t="s">
        <v>86</v>
      </c>
      <c r="E187" s="105" t="s">
        <v>788</v>
      </c>
      <c r="F187" s="105" t="s">
        <v>817</v>
      </c>
      <c r="G187" s="106" t="s">
        <v>581</v>
      </c>
      <c r="H187" s="110">
        <v>24.0</v>
      </c>
      <c r="I187" s="107"/>
      <c r="J187" s="220" t="s">
        <v>825</v>
      </c>
      <c r="K187" s="220" t="str">
        <f>_xlfn.XLOOKUP(J187,[1]Sheet1!$A:$A,[1]Sheet1!$B:$B,"")</f>
        <v>#ERROR!</v>
      </c>
      <c r="L187" s="105" t="s">
        <v>826</v>
      </c>
      <c r="M187" s="105" t="s">
        <v>827</v>
      </c>
      <c r="N187" s="110"/>
      <c r="O187" s="104" t="s">
        <v>95</v>
      </c>
      <c r="P187" s="110"/>
      <c r="Q187" s="103" t="s">
        <v>794</v>
      </c>
      <c r="R187" s="110" t="s">
        <v>795</v>
      </c>
      <c r="S187" s="110">
        <v>3200.0</v>
      </c>
      <c r="T187" s="111" t="e">
        <v>#N/A</v>
      </c>
      <c r="U187" s="106" t="s">
        <v>796</v>
      </c>
      <c r="V187" s="112">
        <v>0.0</v>
      </c>
      <c r="W187" s="113">
        <v>50.0</v>
      </c>
      <c r="X187" s="113">
        <v>45.0</v>
      </c>
      <c r="Y187" s="113">
        <v>55.0</v>
      </c>
      <c r="Z187" s="113" t="s">
        <v>99</v>
      </c>
      <c r="AA187" s="114">
        <f t="shared" si="243"/>
        <v>0.6390261849</v>
      </c>
      <c r="AB187" s="115"/>
      <c r="AC187" s="239">
        <f t="shared" si="216"/>
        <v>0.5825953994</v>
      </c>
      <c r="AD187" s="240">
        <f t="shared" si="244"/>
        <v>0.6264466661</v>
      </c>
      <c r="AE187" s="239"/>
      <c r="AF187" s="239" t="str">
        <f t="shared" si="94"/>
        <v>#REF!</v>
      </c>
      <c r="AG187" s="210" t="str">
        <f t="shared" si="95"/>
        <v>#REF!</v>
      </c>
      <c r="AH187" s="120" t="str">
        <f t="shared" si="96"/>
        <v>#REF!</v>
      </c>
      <c r="AI187" s="121">
        <f t="shared" si="237"/>
        <v>0.1</v>
      </c>
      <c r="AJ187" s="121">
        <v>0.1</v>
      </c>
      <c r="AK187" s="122">
        <v>0.252</v>
      </c>
      <c r="AL187" s="123">
        <f t="shared" si="11"/>
        <v>0.1468140407</v>
      </c>
      <c r="AM187" s="122" t="s">
        <v>10</v>
      </c>
      <c r="AN187" s="125">
        <f t="shared" si="295"/>
        <v>0.5825953994</v>
      </c>
      <c r="AO187" s="112">
        <f t="shared" si="219"/>
        <v>0.252</v>
      </c>
      <c r="AP187" s="127"/>
      <c r="AQ187" s="241">
        <f t="shared" ref="AQ187:AR187" si="338">BC187/(1-AI187)</f>
        <v>0.5169011807</v>
      </c>
      <c r="AR187" s="242">
        <f t="shared" si="338"/>
        <v>0.4842015097</v>
      </c>
      <c r="AS187" s="126">
        <f t="shared" si="221"/>
        <v>0.1911111111</v>
      </c>
      <c r="AT187" s="126">
        <f t="shared" si="222"/>
        <v>0.1688888889</v>
      </c>
      <c r="AU187" s="129"/>
      <c r="AV187" s="39" t="s">
        <v>797</v>
      </c>
      <c r="AW187" s="243">
        <v>0.018</v>
      </c>
      <c r="AX187" s="243">
        <v>2.793</v>
      </c>
      <c r="AY187" s="214"/>
      <c r="AZ187" s="243">
        <v>0.16</v>
      </c>
      <c r="BA187" s="244">
        <f t="shared" si="330"/>
        <v>3.036</v>
      </c>
      <c r="BB187" s="244">
        <f t="shared" si="322"/>
        <v>3.196</v>
      </c>
      <c r="BC187" s="245">
        <f t="shared" si="323"/>
        <v>0.4652110626</v>
      </c>
      <c r="BD187" s="132">
        <f t="shared" si="249"/>
        <v>0.4357813588</v>
      </c>
      <c r="BE187" s="135" t="s">
        <v>821</v>
      </c>
      <c r="BF187" s="134" t="s">
        <v>576</v>
      </c>
      <c r="BG187" s="49"/>
      <c r="BH187" s="246">
        <f t="shared" si="324"/>
        <v>1.941984665</v>
      </c>
      <c r="BI187" s="246">
        <f t="shared" si="325"/>
        <v>1.165190799</v>
      </c>
      <c r="BJ187" s="246">
        <f t="shared" si="326"/>
        <v>0.9709923324</v>
      </c>
      <c r="BK187" s="246">
        <f t="shared" si="327"/>
        <v>0.7767938659</v>
      </c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</row>
    <row r="188" ht="14.25" customHeight="1">
      <c r="A188" s="105" t="s">
        <v>84</v>
      </c>
      <c r="B188" s="103" t="s">
        <v>85</v>
      </c>
      <c r="C188" s="103" t="s">
        <v>85</v>
      </c>
      <c r="D188" s="105" t="s">
        <v>86</v>
      </c>
      <c r="E188" s="105" t="s">
        <v>788</v>
      </c>
      <c r="F188" s="105" t="s">
        <v>817</v>
      </c>
      <c r="G188" s="106" t="s">
        <v>581</v>
      </c>
      <c r="H188" s="110">
        <v>24.0</v>
      </c>
      <c r="I188" s="107"/>
      <c r="J188" s="220" t="s">
        <v>828</v>
      </c>
      <c r="K188" s="220" t="str">
        <f>_xlfn.XLOOKUP(J188,[1]Sheet1!$A:$A,[1]Sheet1!$B:$B,"")</f>
        <v>#ERROR!</v>
      </c>
      <c r="L188" s="105" t="s">
        <v>829</v>
      </c>
      <c r="M188" s="105" t="s">
        <v>830</v>
      </c>
      <c r="N188" s="110"/>
      <c r="O188" s="104" t="s">
        <v>95</v>
      </c>
      <c r="P188" s="110"/>
      <c r="Q188" s="103" t="s">
        <v>794</v>
      </c>
      <c r="R188" s="110" t="s">
        <v>795</v>
      </c>
      <c r="S188" s="110">
        <v>2240.0</v>
      </c>
      <c r="T188" s="111" t="e">
        <v>#N/A</v>
      </c>
      <c r="U188" s="106" t="s">
        <v>796</v>
      </c>
      <c r="V188" s="112">
        <v>0.0</v>
      </c>
      <c r="W188" s="113">
        <v>50.0</v>
      </c>
      <c r="X188" s="113">
        <v>45.0</v>
      </c>
      <c r="Y188" s="113">
        <v>55.0</v>
      </c>
      <c r="Z188" s="113" t="s">
        <v>99</v>
      </c>
      <c r="AA188" s="114">
        <f t="shared" si="243"/>
        <v>0.9330462114</v>
      </c>
      <c r="AB188" s="115"/>
      <c r="AC188" s="239">
        <f t="shared" si="216"/>
        <v>0.8493337917</v>
      </c>
      <c r="AD188" s="240">
        <f t="shared" si="244"/>
        <v>0.9132621416</v>
      </c>
      <c r="AE188" s="239"/>
      <c r="AF188" s="239" t="str">
        <f t="shared" si="94"/>
        <v>#REF!</v>
      </c>
      <c r="AG188" s="210" t="str">
        <f t="shared" si="95"/>
        <v>#REF!</v>
      </c>
      <c r="AH188" s="120" t="str">
        <f t="shared" si="96"/>
        <v>#REF!</v>
      </c>
      <c r="AI188" s="121">
        <f t="shared" si="237"/>
        <v>0.1</v>
      </c>
      <c r="AJ188" s="121">
        <v>0.1</v>
      </c>
      <c r="AK188" s="122">
        <v>0.252</v>
      </c>
      <c r="AL188" s="123">
        <f t="shared" si="11"/>
        <v>0.2140321155</v>
      </c>
      <c r="AM188" s="122" t="s">
        <v>10</v>
      </c>
      <c r="AN188" s="125">
        <f t="shared" si="295"/>
        <v>0.8493337917</v>
      </c>
      <c r="AO188" s="112">
        <f t="shared" si="219"/>
        <v>0.252</v>
      </c>
      <c r="AP188" s="127"/>
      <c r="AQ188" s="241">
        <f t="shared" ref="AQ188:AR188" si="339">BC188/(1-AI188)</f>
        <v>0.7547307132</v>
      </c>
      <c r="AR188" s="242">
        <f t="shared" si="339"/>
        <v>0.7058907513</v>
      </c>
      <c r="AS188" s="126">
        <f t="shared" si="221"/>
        <v>0.1911111111</v>
      </c>
      <c r="AT188" s="126">
        <f t="shared" si="222"/>
        <v>0.1688888889</v>
      </c>
      <c r="AU188" s="129"/>
      <c r="AV188" s="39" t="s">
        <v>797</v>
      </c>
      <c r="AW188" s="243">
        <v>0.035</v>
      </c>
      <c r="AX188" s="243">
        <v>4.034</v>
      </c>
      <c r="AY188" s="214"/>
      <c r="AZ188" s="243">
        <v>0.16</v>
      </c>
      <c r="BA188" s="244">
        <f t="shared" si="330"/>
        <v>4.5065</v>
      </c>
      <c r="BB188" s="244">
        <f t="shared" si="322"/>
        <v>4.6665</v>
      </c>
      <c r="BC188" s="245">
        <f t="shared" si="323"/>
        <v>0.6792576419</v>
      </c>
      <c r="BD188" s="132">
        <f t="shared" si="249"/>
        <v>0.6353016762</v>
      </c>
      <c r="BE188" s="135" t="s">
        <v>821</v>
      </c>
      <c r="BF188" s="134" t="s">
        <v>576</v>
      </c>
      <c r="BG188" s="49"/>
      <c r="BH188" s="246">
        <f t="shared" si="324"/>
        <v>2.831112639</v>
      </c>
      <c r="BI188" s="246">
        <f t="shared" si="325"/>
        <v>1.698667583</v>
      </c>
      <c r="BJ188" s="246">
        <f t="shared" si="326"/>
        <v>1.41555632</v>
      </c>
      <c r="BK188" s="246">
        <f t="shared" si="327"/>
        <v>1.132445056</v>
      </c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</row>
    <row r="189" ht="14.25" customHeight="1">
      <c r="A189" s="105" t="s">
        <v>84</v>
      </c>
      <c r="B189" s="103" t="s">
        <v>85</v>
      </c>
      <c r="C189" s="103" t="s">
        <v>85</v>
      </c>
      <c r="D189" s="105" t="s">
        <v>86</v>
      </c>
      <c r="E189" s="105" t="s">
        <v>788</v>
      </c>
      <c r="F189" s="105" t="s">
        <v>817</v>
      </c>
      <c r="G189" s="106" t="s">
        <v>581</v>
      </c>
      <c r="H189" s="110">
        <v>24.0</v>
      </c>
      <c r="I189" s="107"/>
      <c r="J189" s="220" t="s">
        <v>831</v>
      </c>
      <c r="K189" s="220" t="str">
        <f>_xlfn.XLOOKUP(J189,[1]Sheet1!$A:$A,[1]Sheet1!$B:$B,"")</f>
        <v>#ERROR!</v>
      </c>
      <c r="L189" s="105" t="s">
        <v>832</v>
      </c>
      <c r="M189" s="105" t="s">
        <v>833</v>
      </c>
      <c r="N189" s="110"/>
      <c r="O189" s="104" t="s">
        <v>95</v>
      </c>
      <c r="P189" s="110"/>
      <c r="Q189" s="103" t="s">
        <v>794</v>
      </c>
      <c r="R189" s="110" t="s">
        <v>795</v>
      </c>
      <c r="S189" s="110">
        <v>1600.0</v>
      </c>
      <c r="T189" s="111" t="e">
        <v>#N/A</v>
      </c>
      <c r="U189" s="106" t="s">
        <v>796</v>
      </c>
      <c r="V189" s="112">
        <v>0.0</v>
      </c>
      <c r="W189" s="113">
        <v>50.0</v>
      </c>
      <c r="X189" s="113">
        <v>45.0</v>
      </c>
      <c r="Y189" s="113">
        <v>55.0</v>
      </c>
      <c r="Z189" s="113" t="s">
        <v>99</v>
      </c>
      <c r="AA189" s="114">
        <f t="shared" si="243"/>
        <v>1.236363709</v>
      </c>
      <c r="AB189" s="115"/>
      <c r="AC189" s="239">
        <f t="shared" si="216"/>
        <v>1.129909068</v>
      </c>
      <c r="AD189" s="240">
        <f t="shared" si="244"/>
        <v>1.214955987</v>
      </c>
      <c r="AE189" s="239"/>
      <c r="AF189" s="239" t="str">
        <f t="shared" si="94"/>
        <v>#REF!</v>
      </c>
      <c r="AG189" s="210" t="str">
        <f t="shared" si="95"/>
        <v>#REF!</v>
      </c>
      <c r="AH189" s="120" t="str">
        <f t="shared" si="96"/>
        <v>#REF!</v>
      </c>
      <c r="AI189" s="121">
        <f t="shared" si="237"/>
        <v>0.1</v>
      </c>
      <c r="AJ189" s="121">
        <v>0.1</v>
      </c>
      <c r="AK189" s="122">
        <v>0.252</v>
      </c>
      <c r="AL189" s="123">
        <f t="shared" si="11"/>
        <v>0.2847370851</v>
      </c>
      <c r="AM189" s="122" t="s">
        <v>10</v>
      </c>
      <c r="AN189" s="125">
        <f t="shared" si="295"/>
        <v>1.129909068</v>
      </c>
      <c r="AO189" s="112">
        <f t="shared" si="219"/>
        <v>0.252</v>
      </c>
      <c r="AP189" s="127"/>
      <c r="AQ189" s="241">
        <f t="shared" ref="AQ189:AR189" si="340">BC189/(1-AI189)</f>
        <v>1.000080867</v>
      </c>
      <c r="AR189" s="242">
        <f t="shared" si="340"/>
        <v>0.9390799809</v>
      </c>
      <c r="AS189" s="126">
        <f t="shared" si="221"/>
        <v>0.1911111111</v>
      </c>
      <c r="AT189" s="126">
        <f t="shared" si="222"/>
        <v>0.1688888889</v>
      </c>
      <c r="AU189" s="129"/>
      <c r="AV189" s="39" t="s">
        <v>797</v>
      </c>
      <c r="AW189" s="243">
        <v>0.053</v>
      </c>
      <c r="AX189" s="243">
        <v>5.308</v>
      </c>
      <c r="AY189" s="214"/>
      <c r="AZ189" s="243">
        <v>0.16</v>
      </c>
      <c r="BA189" s="244">
        <f t="shared" si="330"/>
        <v>6.0235</v>
      </c>
      <c r="BB189" s="244">
        <f t="shared" si="322"/>
        <v>6.1835</v>
      </c>
      <c r="BC189" s="245">
        <f t="shared" si="323"/>
        <v>0.9000727802</v>
      </c>
      <c r="BD189" s="132">
        <f t="shared" si="249"/>
        <v>0.8451719828</v>
      </c>
      <c r="BE189" s="135" t="s">
        <v>821</v>
      </c>
      <c r="BF189" s="134" t="s">
        <v>576</v>
      </c>
      <c r="BG189" s="49"/>
      <c r="BH189" s="246">
        <f t="shared" si="324"/>
        <v>3.76636356</v>
      </c>
      <c r="BI189" s="246">
        <f t="shared" si="325"/>
        <v>2.259818136</v>
      </c>
      <c r="BJ189" s="246">
        <f t="shared" si="326"/>
        <v>1.88318178</v>
      </c>
      <c r="BK189" s="246">
        <f t="shared" si="327"/>
        <v>1.506545424</v>
      </c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</row>
    <row r="190" ht="14.25" customHeight="1">
      <c r="A190" s="105" t="s">
        <v>84</v>
      </c>
      <c r="B190" s="103" t="s">
        <v>85</v>
      </c>
      <c r="C190" s="103" t="s">
        <v>85</v>
      </c>
      <c r="D190" s="105" t="s">
        <v>86</v>
      </c>
      <c r="E190" s="105" t="s">
        <v>788</v>
      </c>
      <c r="F190" s="105" t="s">
        <v>817</v>
      </c>
      <c r="G190" s="106" t="s">
        <v>581</v>
      </c>
      <c r="H190" s="110">
        <v>24.0</v>
      </c>
      <c r="I190" s="107"/>
      <c r="J190" s="220" t="s">
        <v>834</v>
      </c>
      <c r="K190" s="220" t="str">
        <f>_xlfn.XLOOKUP(J190,[1]Sheet1!$A:$A,[1]Sheet1!$B:$B,"")</f>
        <v>#ERROR!</v>
      </c>
      <c r="L190" s="105" t="s">
        <v>835</v>
      </c>
      <c r="M190" s="105" t="s">
        <v>836</v>
      </c>
      <c r="N190" s="110"/>
      <c r="O190" s="104" t="s">
        <v>95</v>
      </c>
      <c r="P190" s="110"/>
      <c r="Q190" s="103" t="s">
        <v>794</v>
      </c>
      <c r="R190" s="110" t="s">
        <v>795</v>
      </c>
      <c r="S190" s="110">
        <v>960.0</v>
      </c>
      <c r="T190" s="111" t="e">
        <v>#N/A</v>
      </c>
      <c r="U190" s="106" t="s">
        <v>796</v>
      </c>
      <c r="V190" s="112">
        <v>0.0</v>
      </c>
      <c r="W190" s="113">
        <v>50.0</v>
      </c>
      <c r="X190" s="113">
        <v>45.0</v>
      </c>
      <c r="Y190" s="113">
        <v>55.0</v>
      </c>
      <c r="Z190" s="113" t="s">
        <v>99</v>
      </c>
      <c r="AA190" s="114">
        <f t="shared" si="243"/>
        <v>1.852296175</v>
      </c>
      <c r="AB190" s="115"/>
      <c r="AC190" s="239">
        <f t="shared" si="216"/>
        <v>1.706885936</v>
      </c>
      <c r="AD190" s="240">
        <f t="shared" si="244"/>
        <v>1.835361222</v>
      </c>
      <c r="AE190" s="239"/>
      <c r="AF190" s="239" t="str">
        <f t="shared" si="94"/>
        <v>#REF!</v>
      </c>
      <c r="AG190" s="210" t="str">
        <f t="shared" si="95"/>
        <v>#REF!</v>
      </c>
      <c r="AH190" s="120" t="str">
        <f t="shared" si="96"/>
        <v>#REF!</v>
      </c>
      <c r="AI190" s="121">
        <f t="shared" si="237"/>
        <v>0.1</v>
      </c>
      <c r="AJ190" s="121">
        <v>0.1</v>
      </c>
      <c r="AK190" s="122">
        <v>0.252</v>
      </c>
      <c r="AL190" s="123">
        <f t="shared" si="11"/>
        <v>0.4301352559</v>
      </c>
      <c r="AM190" s="122" t="s">
        <v>10</v>
      </c>
      <c r="AN190" s="125">
        <f t="shared" si="295"/>
        <v>1.706885936</v>
      </c>
      <c r="AO190" s="112">
        <f t="shared" si="219"/>
        <v>0.252</v>
      </c>
      <c r="AP190" s="127"/>
      <c r="AQ190" s="241">
        <f t="shared" ref="AQ190:AR190" si="341">BC190/(1-AI190)</f>
        <v>1.498301795</v>
      </c>
      <c r="AR190" s="242">
        <f t="shared" si="341"/>
        <v>1.418611867</v>
      </c>
      <c r="AS190" s="126">
        <f t="shared" si="221"/>
        <v>0.1911111111</v>
      </c>
      <c r="AT190" s="126">
        <f t="shared" si="222"/>
        <v>0.1688888889</v>
      </c>
      <c r="AU190" s="129"/>
      <c r="AV190" s="39" t="s">
        <v>797</v>
      </c>
      <c r="AW190" s="243">
        <v>0.088</v>
      </c>
      <c r="AX190" s="243">
        <v>7.916</v>
      </c>
      <c r="AY190" s="214"/>
      <c r="AZ190" s="243">
        <v>0.16</v>
      </c>
      <c r="BA190" s="244">
        <f t="shared" si="330"/>
        <v>9.104</v>
      </c>
      <c r="BB190" s="244">
        <f t="shared" si="322"/>
        <v>9.264</v>
      </c>
      <c r="BC190" s="245">
        <f t="shared" si="323"/>
        <v>1.348471616</v>
      </c>
      <c r="BD190" s="132">
        <f t="shared" si="249"/>
        <v>1.27675068</v>
      </c>
      <c r="BE190" s="135" t="s">
        <v>821</v>
      </c>
      <c r="BF190" s="134" t="s">
        <v>576</v>
      </c>
      <c r="BG190" s="49"/>
      <c r="BH190" s="246">
        <f t="shared" si="324"/>
        <v>5.689619788</v>
      </c>
      <c r="BI190" s="246">
        <f t="shared" si="325"/>
        <v>3.413771873</v>
      </c>
      <c r="BJ190" s="246">
        <f t="shared" si="326"/>
        <v>2.844809894</v>
      </c>
      <c r="BK190" s="246">
        <f t="shared" si="327"/>
        <v>2.275847915</v>
      </c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</row>
    <row r="191" ht="14.25" customHeight="1">
      <c r="A191" s="105" t="s">
        <v>84</v>
      </c>
      <c r="B191" s="103" t="s">
        <v>85</v>
      </c>
      <c r="C191" s="103" t="s">
        <v>85</v>
      </c>
      <c r="D191" s="105" t="s">
        <v>86</v>
      </c>
      <c r="E191" s="105" t="s">
        <v>788</v>
      </c>
      <c r="F191" s="105" t="s">
        <v>817</v>
      </c>
      <c r="G191" s="106" t="s">
        <v>581</v>
      </c>
      <c r="H191" s="110">
        <v>24.0</v>
      </c>
      <c r="I191" s="107"/>
      <c r="J191" s="220" t="s">
        <v>837</v>
      </c>
      <c r="K191" s="220" t="str">
        <f>_xlfn.XLOOKUP(J191,[1]Sheet1!$A:$A,[1]Sheet1!$B:$B,"")</f>
        <v>#ERROR!</v>
      </c>
      <c r="L191" s="105" t="s">
        <v>838</v>
      </c>
      <c r="M191" s="105" t="s">
        <v>839</v>
      </c>
      <c r="N191" s="110"/>
      <c r="O191" s="104" t="s">
        <v>95</v>
      </c>
      <c r="P191" s="110"/>
      <c r="Q191" s="103" t="s">
        <v>794</v>
      </c>
      <c r="R191" s="110" t="s">
        <v>795</v>
      </c>
      <c r="S191" s="110">
        <v>640.0</v>
      </c>
      <c r="T191" s="111" t="e">
        <v>#N/A</v>
      </c>
      <c r="U191" s="106" t="s">
        <v>796</v>
      </c>
      <c r="V191" s="112">
        <v>0.0</v>
      </c>
      <c r="W191" s="113">
        <v>50.0</v>
      </c>
      <c r="X191" s="113">
        <v>45.0</v>
      </c>
      <c r="Y191" s="113">
        <v>55.0</v>
      </c>
      <c r="Z191" s="113" t="s">
        <v>99</v>
      </c>
      <c r="AA191" s="114">
        <f t="shared" si="243"/>
        <v>3.302701665</v>
      </c>
      <c r="AB191" s="115"/>
      <c r="AC191" s="239">
        <f t="shared" si="216"/>
        <v>3.004015708</v>
      </c>
      <c r="AD191" s="240">
        <f t="shared" si="244"/>
        <v>3.230124417</v>
      </c>
      <c r="AE191" s="239"/>
      <c r="AF191" s="239" t="str">
        <f t="shared" si="94"/>
        <v>#REF!</v>
      </c>
      <c r="AG191" s="210" t="str">
        <f t="shared" si="95"/>
        <v>#REF!</v>
      </c>
      <c r="AH191" s="120" t="str">
        <f t="shared" si="96"/>
        <v>#REF!</v>
      </c>
      <c r="AI191" s="121">
        <f t="shared" si="237"/>
        <v>0.1</v>
      </c>
      <c r="AJ191" s="121">
        <v>0.1</v>
      </c>
      <c r="AK191" s="122">
        <v>0.252</v>
      </c>
      <c r="AL191" s="123">
        <f t="shared" si="11"/>
        <v>0.7570119585</v>
      </c>
      <c r="AM191" s="122" t="s">
        <v>10</v>
      </c>
      <c r="AN191" s="125">
        <f t="shared" si="295"/>
        <v>3.004015708</v>
      </c>
      <c r="AO191" s="112">
        <f t="shared" si="219"/>
        <v>0.252</v>
      </c>
      <c r="AP191" s="127"/>
      <c r="AQ191" s="241">
        <f t="shared" ref="AQ191:AR191" si="342">BC191/(1-AI191)</f>
        <v>2.67151868</v>
      </c>
      <c r="AR191" s="242">
        <f t="shared" si="342"/>
        <v>2.496670833</v>
      </c>
      <c r="AS191" s="126">
        <f t="shared" si="221"/>
        <v>0.1911111111</v>
      </c>
      <c r="AT191" s="126">
        <f t="shared" si="222"/>
        <v>0.1688888889</v>
      </c>
      <c r="AU191" s="129"/>
      <c r="AV191" s="39" t="s">
        <v>797</v>
      </c>
      <c r="AW191" s="243">
        <v>0.176</v>
      </c>
      <c r="AX191" s="243">
        <v>13.982</v>
      </c>
      <c r="AY191" s="214"/>
      <c r="AZ191" s="243">
        <v>0.16</v>
      </c>
      <c r="BA191" s="244">
        <f t="shared" si="330"/>
        <v>16.358</v>
      </c>
      <c r="BB191" s="244">
        <f t="shared" si="322"/>
        <v>16.518</v>
      </c>
      <c r="BC191" s="245">
        <f t="shared" si="323"/>
        <v>2.404366812</v>
      </c>
      <c r="BD191" s="132">
        <f t="shared" si="249"/>
        <v>2.24700375</v>
      </c>
      <c r="BE191" s="135" t="s">
        <v>821</v>
      </c>
      <c r="BF191" s="134" t="s">
        <v>576</v>
      </c>
      <c r="BG191" s="49"/>
      <c r="BH191" s="246">
        <f t="shared" si="324"/>
        <v>10.01338569</v>
      </c>
      <c r="BI191" s="246">
        <f t="shared" si="325"/>
        <v>6.008031416</v>
      </c>
      <c r="BJ191" s="246">
        <f t="shared" si="326"/>
        <v>5.006692847</v>
      </c>
      <c r="BK191" s="246">
        <f t="shared" si="327"/>
        <v>4.005354278</v>
      </c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</row>
    <row r="192" ht="14.25" customHeight="1">
      <c r="A192" s="103" t="s">
        <v>84</v>
      </c>
      <c r="B192" s="103" t="s">
        <v>120</v>
      </c>
      <c r="C192" s="103" t="s">
        <v>120</v>
      </c>
      <c r="D192" s="103" t="s">
        <v>86</v>
      </c>
      <c r="E192" s="104" t="s">
        <v>788</v>
      </c>
      <c r="F192" s="105" t="s">
        <v>840</v>
      </c>
      <c r="G192" s="106" t="s">
        <v>577</v>
      </c>
      <c r="H192" s="110">
        <v>26.0</v>
      </c>
      <c r="I192" s="107"/>
      <c r="J192" s="220" t="s">
        <v>841</v>
      </c>
      <c r="K192" s="220" t="str">
        <f>_xlfn.XLOOKUP(J192,[1]Sheet1!$A:$A,[1]Sheet1!$B:$B,"")</f>
        <v>#ERROR!</v>
      </c>
      <c r="L192" s="105" t="s">
        <v>842</v>
      </c>
      <c r="M192" s="105" t="s">
        <v>843</v>
      </c>
      <c r="N192" s="110"/>
      <c r="O192" s="104" t="s">
        <v>95</v>
      </c>
      <c r="P192" s="110"/>
      <c r="Q192" s="103" t="s">
        <v>794</v>
      </c>
      <c r="R192" s="110" t="s">
        <v>795</v>
      </c>
      <c r="S192" s="110">
        <v>4800.0</v>
      </c>
      <c r="T192" s="111">
        <v>4.897108882159E12</v>
      </c>
      <c r="U192" s="106" t="s">
        <v>796</v>
      </c>
      <c r="V192" s="112">
        <v>0.0</v>
      </c>
      <c r="W192" s="113">
        <v>50.0</v>
      </c>
      <c r="X192" s="113">
        <v>45.0</v>
      </c>
      <c r="Y192" s="113">
        <v>55.0</v>
      </c>
      <c r="Z192" s="113" t="s">
        <v>99</v>
      </c>
      <c r="AA192" s="114">
        <f t="shared" si="243"/>
        <v>0.5732610396</v>
      </c>
      <c r="AB192" s="115"/>
      <c r="AC192" s="239">
        <f t="shared" si="216"/>
        <v>0.5121013644</v>
      </c>
      <c r="AD192" s="240">
        <f t="shared" si="244"/>
        <v>0.5506466284</v>
      </c>
      <c r="AE192" s="239"/>
      <c r="AF192" s="239" t="str">
        <f t="shared" si="94"/>
        <v>#REF!</v>
      </c>
      <c r="AG192" s="210" t="str">
        <f t="shared" si="95"/>
        <v>#REF!</v>
      </c>
      <c r="AH192" s="120" t="str">
        <f t="shared" si="96"/>
        <v>#REF!</v>
      </c>
      <c r="AI192" s="121">
        <f t="shared" si="237"/>
        <v>0.1</v>
      </c>
      <c r="AJ192" s="121">
        <v>0.1</v>
      </c>
      <c r="AK192" s="122">
        <v>0.202</v>
      </c>
      <c r="AL192" s="123">
        <f t="shared" si="11"/>
        <v>0.1034444756</v>
      </c>
      <c r="AM192" s="122" t="s">
        <v>10</v>
      </c>
      <c r="AN192" s="125">
        <f t="shared" si="295"/>
        <v>0.5121013644</v>
      </c>
      <c r="AO192" s="112">
        <f t="shared" si="219"/>
        <v>0.202</v>
      </c>
      <c r="AP192" s="127"/>
      <c r="AQ192" s="241">
        <f t="shared" ref="AQ192:AR192" si="343">BC192/(1-AI192)</f>
        <v>0.4955523209</v>
      </c>
      <c r="AR192" s="242">
        <f t="shared" si="343"/>
        <v>0.4540632098</v>
      </c>
      <c r="AS192" s="126">
        <f t="shared" si="221"/>
        <v>0.1355555556</v>
      </c>
      <c r="AT192" s="126">
        <f t="shared" si="222"/>
        <v>0.1133333333</v>
      </c>
      <c r="AU192" s="129"/>
      <c r="AV192" s="39" t="s">
        <v>797</v>
      </c>
      <c r="AW192" s="243">
        <v>0.006</v>
      </c>
      <c r="AX192" s="243">
        <v>2.823</v>
      </c>
      <c r="AY192" s="247"/>
      <c r="AZ192" s="243">
        <v>0.16</v>
      </c>
      <c r="BA192" s="244">
        <f t="shared" si="330"/>
        <v>2.904</v>
      </c>
      <c r="BB192" s="244">
        <f t="shared" si="322"/>
        <v>3.064</v>
      </c>
      <c r="BC192" s="245">
        <f t="shared" si="323"/>
        <v>0.4459970888</v>
      </c>
      <c r="BD192" s="132">
        <f t="shared" si="249"/>
        <v>0.4086568888</v>
      </c>
      <c r="BE192" s="135" t="s">
        <v>844</v>
      </c>
      <c r="BF192" s="134" t="s">
        <v>576</v>
      </c>
      <c r="BG192" s="49"/>
      <c r="BH192" s="246">
        <f t="shared" si="324"/>
        <v>1.707004548</v>
      </c>
      <c r="BI192" s="246">
        <f t="shared" si="325"/>
        <v>1.024202729</v>
      </c>
      <c r="BJ192" s="246">
        <f t="shared" si="326"/>
        <v>0.853502274</v>
      </c>
      <c r="BK192" s="246">
        <f t="shared" si="327"/>
        <v>0.6828018192</v>
      </c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</row>
    <row r="193" ht="14.25" customHeight="1">
      <c r="A193" s="103" t="s">
        <v>84</v>
      </c>
      <c r="B193" s="103" t="s">
        <v>120</v>
      </c>
      <c r="C193" s="103" t="s">
        <v>120</v>
      </c>
      <c r="D193" s="103" t="s">
        <v>86</v>
      </c>
      <c r="E193" s="104" t="s">
        <v>788</v>
      </c>
      <c r="F193" s="105" t="s">
        <v>840</v>
      </c>
      <c r="G193" s="106" t="s">
        <v>577</v>
      </c>
      <c r="H193" s="110">
        <v>26.0</v>
      </c>
      <c r="I193" s="107"/>
      <c r="J193" s="220" t="s">
        <v>845</v>
      </c>
      <c r="K193" s="220" t="str">
        <f>_xlfn.XLOOKUP(J193,[1]Sheet1!$A:$A,[1]Sheet1!$B:$B,"")</f>
        <v>#ERROR!</v>
      </c>
      <c r="L193" s="105" t="s">
        <v>846</v>
      </c>
      <c r="M193" s="105" t="s">
        <v>847</v>
      </c>
      <c r="N193" s="110"/>
      <c r="O193" s="104" t="s">
        <v>95</v>
      </c>
      <c r="P193" s="110"/>
      <c r="Q193" s="103" t="s">
        <v>794</v>
      </c>
      <c r="R193" s="110" t="s">
        <v>795</v>
      </c>
      <c r="S193" s="110">
        <v>4800.0</v>
      </c>
      <c r="T193" s="111" t="s">
        <v>848</v>
      </c>
      <c r="U193" s="106" t="s">
        <v>796</v>
      </c>
      <c r="V193" s="112">
        <v>0.0</v>
      </c>
      <c r="W193" s="113">
        <v>50.0</v>
      </c>
      <c r="X193" s="113">
        <v>45.0</v>
      </c>
      <c r="Y193" s="113">
        <v>55.0</v>
      </c>
      <c r="Z193" s="113" t="s">
        <v>99</v>
      </c>
      <c r="AA193" s="114">
        <f t="shared" si="243"/>
        <v>0.6420186871</v>
      </c>
      <c r="AB193" s="115"/>
      <c r="AC193" s="239">
        <f t="shared" si="216"/>
        <v>0.5703921455</v>
      </c>
      <c r="AD193" s="240">
        <f t="shared" si="244"/>
        <v>0.6133248876</v>
      </c>
      <c r="AE193" s="239"/>
      <c r="AF193" s="239" t="str">
        <f t="shared" si="94"/>
        <v>#REF!</v>
      </c>
      <c r="AG193" s="210" t="str">
        <f t="shared" si="95"/>
        <v>#REF!</v>
      </c>
      <c r="AH193" s="120" t="str">
        <f t="shared" si="96"/>
        <v>#REF!</v>
      </c>
      <c r="AI193" s="121">
        <f t="shared" si="237"/>
        <v>0.1</v>
      </c>
      <c r="AJ193" s="121">
        <v>0.1</v>
      </c>
      <c r="AK193" s="122">
        <v>0.202</v>
      </c>
      <c r="AL193" s="123">
        <f t="shared" si="11"/>
        <v>0.1152192134</v>
      </c>
      <c r="AM193" s="122" t="s">
        <v>10</v>
      </c>
      <c r="AN193" s="125">
        <f t="shared" si="295"/>
        <v>0.5703921455</v>
      </c>
      <c r="AO193" s="112">
        <f t="shared" si="219"/>
        <v>0.202</v>
      </c>
      <c r="AP193" s="127"/>
      <c r="AQ193" s="241">
        <f t="shared" ref="AQ193:AR193" si="344">BC193/(1-AI193)</f>
        <v>0.5549894873</v>
      </c>
      <c r="AR193" s="242">
        <f t="shared" si="344"/>
        <v>0.5057477023</v>
      </c>
      <c r="AS193" s="126">
        <f t="shared" si="221"/>
        <v>0.1355555556</v>
      </c>
      <c r="AT193" s="126">
        <f t="shared" si="222"/>
        <v>0.1133333333</v>
      </c>
      <c r="AU193" s="129"/>
      <c r="AV193" s="39" t="s">
        <v>797</v>
      </c>
      <c r="AW193" s="243">
        <v>0.009</v>
      </c>
      <c r="AX193" s="243">
        <v>3.15</v>
      </c>
      <c r="AY193" s="247"/>
      <c r="AZ193" s="243">
        <v>0.16</v>
      </c>
      <c r="BA193" s="244">
        <f t="shared" si="330"/>
        <v>3.2715</v>
      </c>
      <c r="BB193" s="244">
        <f t="shared" si="322"/>
        <v>3.4315</v>
      </c>
      <c r="BC193" s="245">
        <f t="shared" si="323"/>
        <v>0.4994905386</v>
      </c>
      <c r="BD193" s="132">
        <f t="shared" si="249"/>
        <v>0.4551729321</v>
      </c>
      <c r="BE193" s="135" t="s">
        <v>844</v>
      </c>
      <c r="BF193" s="134" t="s">
        <v>576</v>
      </c>
      <c r="BG193" s="49"/>
      <c r="BH193" s="246">
        <f t="shared" si="324"/>
        <v>1.901307152</v>
      </c>
      <c r="BI193" s="246">
        <f t="shared" si="325"/>
        <v>1.140784291</v>
      </c>
      <c r="BJ193" s="246">
        <f t="shared" si="326"/>
        <v>0.9506535758</v>
      </c>
      <c r="BK193" s="246">
        <f t="shared" si="327"/>
        <v>0.7605228606</v>
      </c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</row>
    <row r="194" ht="14.25" customHeight="1">
      <c r="A194" s="103" t="s">
        <v>84</v>
      </c>
      <c r="B194" s="103" t="s">
        <v>120</v>
      </c>
      <c r="C194" s="103" t="s">
        <v>120</v>
      </c>
      <c r="D194" s="103" t="s">
        <v>86</v>
      </c>
      <c r="E194" s="104" t="s">
        <v>788</v>
      </c>
      <c r="F194" s="105" t="s">
        <v>840</v>
      </c>
      <c r="G194" s="106" t="s">
        <v>577</v>
      </c>
      <c r="H194" s="110">
        <v>26.0</v>
      </c>
      <c r="I194" s="107"/>
      <c r="J194" s="220" t="s">
        <v>849</v>
      </c>
      <c r="K194" s="220" t="str">
        <f>_xlfn.XLOOKUP(J194,[1]Sheet1!$A:$A,[1]Sheet1!$B:$B,"")</f>
        <v>#ERROR!</v>
      </c>
      <c r="L194" s="105" t="s">
        <v>850</v>
      </c>
      <c r="M194" s="105" t="s">
        <v>851</v>
      </c>
      <c r="N194" s="110"/>
      <c r="O194" s="104" t="s">
        <v>95</v>
      </c>
      <c r="P194" s="110"/>
      <c r="Q194" s="103" t="s">
        <v>794</v>
      </c>
      <c r="R194" s="110" t="s">
        <v>795</v>
      </c>
      <c r="S194" s="110">
        <v>3200.0</v>
      </c>
      <c r="T194" s="111" t="s">
        <v>852</v>
      </c>
      <c r="U194" s="106" t="s">
        <v>796</v>
      </c>
      <c r="V194" s="112">
        <v>0.0</v>
      </c>
      <c r="W194" s="113">
        <v>50.0</v>
      </c>
      <c r="X194" s="113">
        <v>45.0</v>
      </c>
      <c r="Y194" s="113">
        <v>55.0</v>
      </c>
      <c r="Z194" s="113" t="s">
        <v>99</v>
      </c>
      <c r="AA194" s="114">
        <f t="shared" si="243"/>
        <v>0.8276175615</v>
      </c>
      <c r="AB194" s="115"/>
      <c r="AC194" s="239">
        <f t="shared" si="216"/>
        <v>0.7407910678</v>
      </c>
      <c r="AD194" s="240">
        <f t="shared" si="244"/>
        <v>0.7965495352</v>
      </c>
      <c r="AE194" s="239"/>
      <c r="AF194" s="239" t="str">
        <f t="shared" si="94"/>
        <v>#REF!</v>
      </c>
      <c r="AG194" s="210" t="str">
        <f t="shared" si="95"/>
        <v>#REF!</v>
      </c>
      <c r="AH194" s="120" t="str">
        <f t="shared" si="96"/>
        <v>#REF!</v>
      </c>
      <c r="AI194" s="121">
        <f t="shared" si="237"/>
        <v>0.1</v>
      </c>
      <c r="AJ194" s="121">
        <v>0.1</v>
      </c>
      <c r="AK194" s="122">
        <v>0.202</v>
      </c>
      <c r="AL194" s="123">
        <f t="shared" si="11"/>
        <v>0.1496397957</v>
      </c>
      <c r="AM194" s="122" t="s">
        <v>10</v>
      </c>
      <c r="AN194" s="125">
        <f t="shared" si="295"/>
        <v>0.7407910678</v>
      </c>
      <c r="AO194" s="112">
        <f t="shared" si="219"/>
        <v>0.202</v>
      </c>
      <c r="AP194" s="127"/>
      <c r="AQ194" s="241">
        <f t="shared" ref="AQ194:AR194" si="345">BC194/(1-AI194)</f>
        <v>0.7154294032</v>
      </c>
      <c r="AR194" s="242">
        <f t="shared" si="345"/>
        <v>0.6568347467</v>
      </c>
      <c r="AS194" s="126">
        <f t="shared" si="221"/>
        <v>0.1355555556</v>
      </c>
      <c r="AT194" s="126">
        <f t="shared" si="222"/>
        <v>0.1133333333</v>
      </c>
      <c r="AU194" s="129"/>
      <c r="AV194" s="39" t="s">
        <v>797</v>
      </c>
      <c r="AW194" s="243">
        <v>0.019</v>
      </c>
      <c r="AX194" s="243">
        <v>4.007</v>
      </c>
      <c r="AY194" s="247"/>
      <c r="AZ194" s="243">
        <v>0.16</v>
      </c>
      <c r="BA194" s="244">
        <f t="shared" si="330"/>
        <v>4.2635</v>
      </c>
      <c r="BB194" s="244">
        <f t="shared" si="322"/>
        <v>4.4235</v>
      </c>
      <c r="BC194" s="245">
        <f t="shared" si="323"/>
        <v>0.6438864629</v>
      </c>
      <c r="BD194" s="132">
        <f t="shared" si="249"/>
        <v>0.5911512721</v>
      </c>
      <c r="BE194" s="135" t="s">
        <v>844</v>
      </c>
      <c r="BF194" s="134" t="s">
        <v>576</v>
      </c>
      <c r="BG194" s="49"/>
      <c r="BH194" s="246">
        <f t="shared" si="324"/>
        <v>2.469303559</v>
      </c>
      <c r="BI194" s="246">
        <f t="shared" si="325"/>
        <v>1.481582136</v>
      </c>
      <c r="BJ194" s="246">
        <f t="shared" si="326"/>
        <v>1.23465178</v>
      </c>
      <c r="BK194" s="246">
        <f t="shared" si="327"/>
        <v>0.9877214237</v>
      </c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</row>
    <row r="195" ht="14.25" customHeight="1">
      <c r="A195" s="103" t="s">
        <v>84</v>
      </c>
      <c r="B195" s="103" t="s">
        <v>120</v>
      </c>
      <c r="C195" s="103" t="s">
        <v>120</v>
      </c>
      <c r="D195" s="103" t="s">
        <v>86</v>
      </c>
      <c r="E195" s="104" t="s">
        <v>788</v>
      </c>
      <c r="F195" s="105" t="s">
        <v>840</v>
      </c>
      <c r="G195" s="106" t="s">
        <v>577</v>
      </c>
      <c r="H195" s="110">
        <v>26.0</v>
      </c>
      <c r="I195" s="107"/>
      <c r="J195" s="220" t="s">
        <v>853</v>
      </c>
      <c r="K195" s="220" t="str">
        <f>_xlfn.XLOOKUP(J195,[1]Sheet1!$A:$A,[1]Sheet1!$B:$B,"")</f>
        <v>#ERROR!</v>
      </c>
      <c r="L195" s="105" t="s">
        <v>854</v>
      </c>
      <c r="M195" s="105" t="s">
        <v>855</v>
      </c>
      <c r="N195" s="110"/>
      <c r="O195" s="104" t="s">
        <v>95</v>
      </c>
      <c r="P195" s="110"/>
      <c r="Q195" s="103" t="s">
        <v>794</v>
      </c>
      <c r="R195" s="110" t="s">
        <v>795</v>
      </c>
      <c r="S195" s="110">
        <v>2240.0</v>
      </c>
      <c r="T195" s="111" t="s">
        <v>856</v>
      </c>
      <c r="U195" s="106" t="s">
        <v>796</v>
      </c>
      <c r="V195" s="112">
        <v>0.0</v>
      </c>
      <c r="W195" s="113">
        <v>50.0</v>
      </c>
      <c r="X195" s="113">
        <v>45.0</v>
      </c>
      <c r="Y195" s="113">
        <v>55.0</v>
      </c>
      <c r="Z195" s="113" t="s">
        <v>99</v>
      </c>
      <c r="AA195" s="114">
        <f t="shared" si="243"/>
        <v>1.185344424</v>
      </c>
      <c r="AB195" s="115"/>
      <c r="AC195" s="239">
        <f t="shared" si="216"/>
        <v>1.060844773</v>
      </c>
      <c r="AD195" s="240">
        <f t="shared" si="244"/>
        <v>1.140693304</v>
      </c>
      <c r="AE195" s="239"/>
      <c r="AF195" s="239" t="str">
        <f t="shared" si="94"/>
        <v>#REF!</v>
      </c>
      <c r="AG195" s="210" t="str">
        <f t="shared" si="95"/>
        <v>#REF!</v>
      </c>
      <c r="AH195" s="120" t="str">
        <f t="shared" si="96"/>
        <v>#REF!</v>
      </c>
      <c r="AI195" s="121">
        <f t="shared" si="237"/>
        <v>0.1</v>
      </c>
      <c r="AJ195" s="121">
        <v>0.1</v>
      </c>
      <c r="AK195" s="122">
        <v>0.202</v>
      </c>
      <c r="AL195" s="123">
        <f t="shared" si="11"/>
        <v>0.2142906441</v>
      </c>
      <c r="AM195" s="122" t="s">
        <v>10</v>
      </c>
      <c r="AN195" s="125">
        <f t="shared" si="295"/>
        <v>1.060844773</v>
      </c>
      <c r="AO195" s="112">
        <f t="shared" si="219"/>
        <v>0.202</v>
      </c>
      <c r="AP195" s="127"/>
      <c r="AQ195" s="241">
        <f t="shared" ref="AQ195:AR195" si="346">BC195/(1-AI195)</f>
        <v>1.024664402</v>
      </c>
      <c r="AR195" s="242">
        <f t="shared" si="346"/>
        <v>0.9406156984</v>
      </c>
      <c r="AS195" s="126">
        <f t="shared" si="221"/>
        <v>0.1355555556</v>
      </c>
      <c r="AT195" s="126">
        <f t="shared" si="222"/>
        <v>0.1133333333</v>
      </c>
      <c r="AU195" s="129"/>
      <c r="AV195" s="39" t="s">
        <v>797</v>
      </c>
      <c r="AW195" s="243">
        <v>0.037</v>
      </c>
      <c r="AX195" s="243">
        <v>5.676</v>
      </c>
      <c r="AY195" s="247"/>
      <c r="AZ195" s="243">
        <v>0.16</v>
      </c>
      <c r="BA195" s="244">
        <f t="shared" si="330"/>
        <v>6.1755</v>
      </c>
      <c r="BB195" s="244">
        <f t="shared" si="322"/>
        <v>6.3355</v>
      </c>
      <c r="BC195" s="245">
        <f t="shared" si="323"/>
        <v>0.9221979622</v>
      </c>
      <c r="BD195" s="132">
        <f t="shared" si="249"/>
        <v>0.8465541286</v>
      </c>
      <c r="BE195" s="135" t="s">
        <v>844</v>
      </c>
      <c r="BF195" s="134" t="s">
        <v>576</v>
      </c>
      <c r="BG195" s="49"/>
      <c r="BH195" s="246">
        <f t="shared" si="324"/>
        <v>3.536149242</v>
      </c>
      <c r="BI195" s="246">
        <f t="shared" si="325"/>
        <v>2.121689545</v>
      </c>
      <c r="BJ195" s="246">
        <f t="shared" si="326"/>
        <v>1.768074621</v>
      </c>
      <c r="BK195" s="246">
        <f t="shared" si="327"/>
        <v>1.414459697</v>
      </c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</row>
    <row r="196" ht="14.25" customHeight="1">
      <c r="A196" s="103" t="s">
        <v>84</v>
      </c>
      <c r="B196" s="103" t="s">
        <v>120</v>
      </c>
      <c r="C196" s="103" t="s">
        <v>120</v>
      </c>
      <c r="D196" s="103" t="s">
        <v>86</v>
      </c>
      <c r="E196" s="104" t="s">
        <v>788</v>
      </c>
      <c r="F196" s="105" t="s">
        <v>840</v>
      </c>
      <c r="G196" s="106" t="s">
        <v>577</v>
      </c>
      <c r="H196" s="110">
        <v>26.0</v>
      </c>
      <c r="I196" s="107"/>
      <c r="J196" s="220" t="s">
        <v>857</v>
      </c>
      <c r="K196" s="220" t="str">
        <f>_xlfn.XLOOKUP(J196,[1]Sheet1!$A:$A,[1]Sheet1!$B:$B,"")</f>
        <v>#ERROR!</v>
      </c>
      <c r="L196" s="105" t="s">
        <v>858</v>
      </c>
      <c r="M196" s="105" t="s">
        <v>859</v>
      </c>
      <c r="N196" s="110"/>
      <c r="O196" s="104" t="s">
        <v>95</v>
      </c>
      <c r="P196" s="110"/>
      <c r="Q196" s="103" t="s">
        <v>794</v>
      </c>
      <c r="R196" s="110" t="s">
        <v>795</v>
      </c>
      <c r="S196" s="110">
        <v>1600.0</v>
      </c>
      <c r="T196" s="111" t="s">
        <v>860</v>
      </c>
      <c r="U196" s="106" t="s">
        <v>796</v>
      </c>
      <c r="V196" s="112">
        <v>0.0</v>
      </c>
      <c r="W196" s="113">
        <v>50.0</v>
      </c>
      <c r="X196" s="113">
        <v>45.0</v>
      </c>
      <c r="Y196" s="113">
        <v>55.0</v>
      </c>
      <c r="Z196" s="113" t="s">
        <v>99</v>
      </c>
      <c r="AA196" s="114">
        <f t="shared" si="243"/>
        <v>1.550368017</v>
      </c>
      <c r="AB196" s="115"/>
      <c r="AC196" s="239">
        <f t="shared" si="216"/>
        <v>1.392678781</v>
      </c>
      <c r="AD196" s="240">
        <f t="shared" si="244"/>
        <v>1.497504066</v>
      </c>
      <c r="AE196" s="239"/>
      <c r="AF196" s="239" t="str">
        <f t="shared" si="94"/>
        <v>#REF!</v>
      </c>
      <c r="AG196" s="210" t="str">
        <f t="shared" si="95"/>
        <v>#REF!</v>
      </c>
      <c r="AH196" s="120" t="str">
        <f t="shared" si="96"/>
        <v>#REF!</v>
      </c>
      <c r="AI196" s="121">
        <f t="shared" si="237"/>
        <v>0.1</v>
      </c>
      <c r="AJ196" s="121">
        <v>0.1</v>
      </c>
      <c r="AK196" s="122">
        <v>0.202</v>
      </c>
      <c r="AL196" s="123">
        <f t="shared" si="11"/>
        <v>0.2813211138</v>
      </c>
      <c r="AM196" s="122" t="s">
        <v>10</v>
      </c>
      <c r="AN196" s="125">
        <f t="shared" si="295"/>
        <v>1.392678781</v>
      </c>
      <c r="AO196" s="112">
        <f t="shared" si="219"/>
        <v>0.202</v>
      </c>
      <c r="AP196" s="127"/>
      <c r="AQ196" s="241">
        <f t="shared" ref="AQ196:AR196" si="347">BC196/(1-AI196)</f>
        <v>1.340207019</v>
      </c>
      <c r="AR196" s="242">
        <f t="shared" si="347"/>
        <v>1.234841852</v>
      </c>
      <c r="AS196" s="126">
        <f t="shared" si="221"/>
        <v>0.1355555556</v>
      </c>
      <c r="AT196" s="126">
        <f t="shared" si="222"/>
        <v>0.1133333333</v>
      </c>
      <c r="AU196" s="129"/>
      <c r="AV196" s="39" t="s">
        <v>797</v>
      </c>
      <c r="AW196" s="243">
        <v>0.055</v>
      </c>
      <c r="AX196" s="243">
        <v>7.384</v>
      </c>
      <c r="AY196" s="247"/>
      <c r="AZ196" s="243">
        <v>0.16</v>
      </c>
      <c r="BA196" s="244">
        <f t="shared" si="330"/>
        <v>8.1265</v>
      </c>
      <c r="BB196" s="244">
        <f t="shared" si="322"/>
        <v>8.2865</v>
      </c>
      <c r="BC196" s="245">
        <f t="shared" si="323"/>
        <v>1.206186317</v>
      </c>
      <c r="BD196" s="132">
        <f t="shared" si="249"/>
        <v>1.111357667</v>
      </c>
      <c r="BE196" s="135" t="s">
        <v>844</v>
      </c>
      <c r="BF196" s="134" t="s">
        <v>576</v>
      </c>
      <c r="BG196" s="49"/>
      <c r="BH196" s="246">
        <f t="shared" si="324"/>
        <v>4.642262603</v>
      </c>
      <c r="BI196" s="246">
        <f t="shared" si="325"/>
        <v>2.785357562</v>
      </c>
      <c r="BJ196" s="246">
        <f t="shared" si="326"/>
        <v>2.321131302</v>
      </c>
      <c r="BK196" s="246">
        <f t="shared" si="327"/>
        <v>1.856905041</v>
      </c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</row>
    <row r="197" ht="14.25" customHeight="1">
      <c r="A197" s="103" t="s">
        <v>84</v>
      </c>
      <c r="B197" s="103" t="s">
        <v>120</v>
      </c>
      <c r="C197" s="103" t="s">
        <v>120</v>
      </c>
      <c r="D197" s="103" t="s">
        <v>86</v>
      </c>
      <c r="E197" s="104" t="s">
        <v>788</v>
      </c>
      <c r="F197" s="105" t="s">
        <v>840</v>
      </c>
      <c r="G197" s="106" t="s">
        <v>577</v>
      </c>
      <c r="H197" s="110">
        <v>26.0</v>
      </c>
      <c r="I197" s="107"/>
      <c r="J197" s="220" t="s">
        <v>861</v>
      </c>
      <c r="K197" s="220" t="str">
        <f>_xlfn.XLOOKUP(J197,[1]Sheet1!$A:$A,[1]Sheet1!$B:$B,"")</f>
        <v>#ERROR!</v>
      </c>
      <c r="L197" s="105" t="s">
        <v>862</v>
      </c>
      <c r="M197" s="105" t="s">
        <v>863</v>
      </c>
      <c r="N197" s="110"/>
      <c r="O197" s="104" t="s">
        <v>95</v>
      </c>
      <c r="P197" s="110"/>
      <c r="Q197" s="103" t="s">
        <v>794</v>
      </c>
      <c r="R197" s="110" t="s">
        <v>795</v>
      </c>
      <c r="S197" s="110">
        <v>960.0</v>
      </c>
      <c r="T197" s="111" t="s">
        <v>864</v>
      </c>
      <c r="U197" s="106" t="s">
        <v>796</v>
      </c>
      <c r="V197" s="112">
        <v>0.0</v>
      </c>
      <c r="W197" s="113">
        <v>50.0</v>
      </c>
      <c r="X197" s="113">
        <v>45.0</v>
      </c>
      <c r="Y197" s="113">
        <v>55.0</v>
      </c>
      <c r="Z197" s="113" t="s">
        <v>99</v>
      </c>
      <c r="AA197" s="114">
        <f t="shared" si="243"/>
        <v>2.297066715</v>
      </c>
      <c r="AB197" s="115"/>
      <c r="AC197" s="239">
        <f t="shared" si="216"/>
        <v>2.077922601</v>
      </c>
      <c r="AD197" s="240">
        <f t="shared" si="244"/>
        <v>2.234325377</v>
      </c>
      <c r="AE197" s="239"/>
      <c r="AF197" s="239" t="str">
        <f t="shared" si="94"/>
        <v>#REF!</v>
      </c>
      <c r="AG197" s="210" t="str">
        <f t="shared" si="95"/>
        <v>#REF!</v>
      </c>
      <c r="AH197" s="120" t="str">
        <f t="shared" si="96"/>
        <v>#REF!</v>
      </c>
      <c r="AI197" s="121">
        <f t="shared" si="237"/>
        <v>0.1</v>
      </c>
      <c r="AJ197" s="121">
        <v>0.1</v>
      </c>
      <c r="AK197" s="122">
        <v>0.202</v>
      </c>
      <c r="AL197" s="123">
        <f t="shared" si="11"/>
        <v>0.4197403653</v>
      </c>
      <c r="AM197" s="122" t="s">
        <v>10</v>
      </c>
      <c r="AN197" s="125">
        <f t="shared" si="295"/>
        <v>2.077922601</v>
      </c>
      <c r="AO197" s="112">
        <f t="shared" si="219"/>
        <v>0.202</v>
      </c>
      <c r="AP197" s="127"/>
      <c r="AQ197" s="241">
        <f t="shared" ref="AQ197:AR197" si="348">BC197/(1-AI197)</f>
        <v>1.98568656</v>
      </c>
      <c r="AR197" s="242">
        <f t="shared" si="348"/>
        <v>1.842424706</v>
      </c>
      <c r="AS197" s="126">
        <f t="shared" si="221"/>
        <v>0.1355555556</v>
      </c>
      <c r="AT197" s="126">
        <f t="shared" si="222"/>
        <v>0.1133333333</v>
      </c>
      <c r="AU197" s="129"/>
      <c r="AV197" s="39" t="s">
        <v>797</v>
      </c>
      <c r="AW197" s="243">
        <v>0.091</v>
      </c>
      <c r="AX197" s="243">
        <v>10.889</v>
      </c>
      <c r="AY197" s="247"/>
      <c r="AZ197" s="243">
        <v>0.16</v>
      </c>
      <c r="BA197" s="244">
        <f t="shared" si="330"/>
        <v>12.1175</v>
      </c>
      <c r="BB197" s="244">
        <f t="shared" si="322"/>
        <v>12.2775</v>
      </c>
      <c r="BC197" s="245">
        <f t="shared" si="323"/>
        <v>1.787117904</v>
      </c>
      <c r="BD197" s="132">
        <f t="shared" si="249"/>
        <v>1.658182235</v>
      </c>
      <c r="BE197" s="135" t="s">
        <v>844</v>
      </c>
      <c r="BF197" s="134" t="s">
        <v>576</v>
      </c>
      <c r="BG197" s="40"/>
      <c r="BH197" s="246">
        <f t="shared" si="324"/>
        <v>6.926408669</v>
      </c>
      <c r="BI197" s="246">
        <f t="shared" si="325"/>
        <v>4.155845201</v>
      </c>
      <c r="BJ197" s="246">
        <f t="shared" si="326"/>
        <v>3.463204334</v>
      </c>
      <c r="BK197" s="246">
        <f t="shared" si="327"/>
        <v>2.770563468</v>
      </c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</row>
    <row r="198" ht="14.25" customHeight="1">
      <c r="A198" s="103" t="s">
        <v>84</v>
      </c>
      <c r="B198" s="103" t="s">
        <v>120</v>
      </c>
      <c r="C198" s="103" t="s">
        <v>120</v>
      </c>
      <c r="D198" s="103" t="s">
        <v>86</v>
      </c>
      <c r="E198" s="104" t="s">
        <v>788</v>
      </c>
      <c r="F198" s="105" t="s">
        <v>840</v>
      </c>
      <c r="G198" s="106" t="s">
        <v>577</v>
      </c>
      <c r="H198" s="110">
        <v>26.0</v>
      </c>
      <c r="I198" s="107"/>
      <c r="J198" s="220" t="s">
        <v>865</v>
      </c>
      <c r="K198" s="220" t="str">
        <f>_xlfn.XLOOKUP(J198,[1]Sheet1!$A:$A,[1]Sheet1!$B:$B,"")</f>
        <v>#ERROR!</v>
      </c>
      <c r="L198" s="105" t="s">
        <v>866</v>
      </c>
      <c r="M198" s="105" t="s">
        <v>867</v>
      </c>
      <c r="N198" s="110"/>
      <c r="O198" s="104" t="s">
        <v>95</v>
      </c>
      <c r="P198" s="110"/>
      <c r="Q198" s="103" t="s">
        <v>794</v>
      </c>
      <c r="R198" s="110" t="s">
        <v>795</v>
      </c>
      <c r="S198" s="110">
        <v>640.0</v>
      </c>
      <c r="T198" s="111" t="s">
        <v>868</v>
      </c>
      <c r="U198" s="106" t="s">
        <v>796</v>
      </c>
      <c r="V198" s="112">
        <v>0.0</v>
      </c>
      <c r="W198" s="113">
        <v>50.0</v>
      </c>
      <c r="X198" s="113">
        <v>45.0</v>
      </c>
      <c r="Y198" s="113">
        <v>55.0</v>
      </c>
      <c r="Z198" s="113" t="s">
        <v>99</v>
      </c>
      <c r="AA198" s="114">
        <f t="shared" si="243"/>
        <v>4.061097952</v>
      </c>
      <c r="AB198" s="115"/>
      <c r="AC198" s="239">
        <f t="shared" si="216"/>
        <v>3.638685525</v>
      </c>
      <c r="AD198" s="240">
        <f t="shared" si="244"/>
        <v>3.912565081</v>
      </c>
      <c r="AE198" s="239"/>
      <c r="AF198" s="239" t="str">
        <f t="shared" si="94"/>
        <v>#REF!</v>
      </c>
      <c r="AG198" s="210" t="str">
        <f t="shared" si="95"/>
        <v>#REF!</v>
      </c>
      <c r="AH198" s="120" t="str">
        <f t="shared" si="96"/>
        <v>#REF!</v>
      </c>
      <c r="AI198" s="121">
        <f t="shared" si="237"/>
        <v>0.1</v>
      </c>
      <c r="AJ198" s="121">
        <v>0.1</v>
      </c>
      <c r="AK198" s="122">
        <v>0.202</v>
      </c>
      <c r="AL198" s="123">
        <f t="shared" si="11"/>
        <v>0.7350144761</v>
      </c>
      <c r="AM198" s="122" t="s">
        <v>10</v>
      </c>
      <c r="AN198" s="125">
        <f t="shared" si="295"/>
        <v>3.638685525</v>
      </c>
      <c r="AO198" s="112">
        <f t="shared" si="219"/>
        <v>0.202</v>
      </c>
      <c r="AP198" s="127"/>
      <c r="AQ198" s="241">
        <f t="shared" ref="AQ198:AR198" si="349">BC198/(1-AI198)</f>
        <v>3.510593563</v>
      </c>
      <c r="AR198" s="242">
        <f t="shared" si="349"/>
        <v>3.226301166</v>
      </c>
      <c r="AS198" s="126">
        <f t="shared" si="221"/>
        <v>0.1355555556</v>
      </c>
      <c r="AT198" s="126">
        <f t="shared" si="222"/>
        <v>0.1133333333</v>
      </c>
      <c r="AU198" s="129"/>
      <c r="AV198" s="39" t="s">
        <v>797</v>
      </c>
      <c r="AW198" s="243">
        <v>0.182</v>
      </c>
      <c r="AX198" s="243">
        <v>19.089</v>
      </c>
      <c r="AY198" s="247"/>
      <c r="AZ198" s="243">
        <v>0.16</v>
      </c>
      <c r="BA198" s="244">
        <f t="shared" si="330"/>
        <v>21.546</v>
      </c>
      <c r="BB198" s="244">
        <f t="shared" si="322"/>
        <v>21.706</v>
      </c>
      <c r="BC198" s="245">
        <f t="shared" si="323"/>
        <v>3.159534207</v>
      </c>
      <c r="BD198" s="132">
        <f t="shared" si="249"/>
        <v>2.903671049</v>
      </c>
      <c r="BE198" s="135" t="s">
        <v>844</v>
      </c>
      <c r="BF198" s="134" t="s">
        <v>576</v>
      </c>
      <c r="BG198" s="40"/>
      <c r="BH198" s="246">
        <f t="shared" si="324"/>
        <v>12.12895175</v>
      </c>
      <c r="BI198" s="246">
        <f t="shared" si="325"/>
        <v>7.277371051</v>
      </c>
      <c r="BJ198" s="246">
        <f t="shared" si="326"/>
        <v>6.064475876</v>
      </c>
      <c r="BK198" s="246">
        <f t="shared" si="327"/>
        <v>4.851580701</v>
      </c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</row>
    <row r="199" ht="14.25" customHeight="1">
      <c r="A199" s="103" t="s">
        <v>84</v>
      </c>
      <c r="B199" s="103" t="s">
        <v>120</v>
      </c>
      <c r="C199" s="103" t="s">
        <v>120</v>
      </c>
      <c r="D199" s="103" t="s">
        <v>86</v>
      </c>
      <c r="E199" s="104" t="s">
        <v>788</v>
      </c>
      <c r="F199" s="105" t="s">
        <v>840</v>
      </c>
      <c r="G199" s="106" t="s">
        <v>577</v>
      </c>
      <c r="H199" s="110">
        <v>26.0</v>
      </c>
      <c r="I199" s="107"/>
      <c r="J199" s="220" t="s">
        <v>869</v>
      </c>
      <c r="K199" s="220" t="str">
        <f>_xlfn.XLOOKUP(J199,[1]Sheet1!$A:$A,[1]Sheet1!$B:$B,"")</f>
        <v>#ERROR!</v>
      </c>
      <c r="L199" s="105" t="s">
        <v>870</v>
      </c>
      <c r="M199" s="105" t="s">
        <v>871</v>
      </c>
      <c r="N199" s="110"/>
      <c r="O199" s="104" t="s">
        <v>95</v>
      </c>
      <c r="P199" s="110"/>
      <c r="Q199" s="103" t="s">
        <v>794</v>
      </c>
      <c r="R199" s="110" t="s">
        <v>795</v>
      </c>
      <c r="S199" s="110">
        <v>4800.0</v>
      </c>
      <c r="T199" s="111" t="e">
        <v>#N/A</v>
      </c>
      <c r="U199" s="106" t="s">
        <v>796</v>
      </c>
      <c r="V199" s="112">
        <v>0.0</v>
      </c>
      <c r="W199" s="113">
        <v>50.0</v>
      </c>
      <c r="X199" s="113">
        <v>45.0</v>
      </c>
      <c r="Y199" s="113">
        <v>55.0</v>
      </c>
      <c r="Z199" s="113" t="s">
        <v>99</v>
      </c>
      <c r="AA199" s="114">
        <f t="shared" si="243"/>
        <v>0.5910751115</v>
      </c>
      <c r="AB199" s="115"/>
      <c r="AC199" s="239">
        <f t="shared" si="216"/>
        <v>0.52754361</v>
      </c>
      <c r="AD199" s="240">
        <f t="shared" si="244"/>
        <v>0.5672511935</v>
      </c>
      <c r="AE199" s="239"/>
      <c r="AF199" s="239" t="str">
        <f t="shared" si="94"/>
        <v>#REF!</v>
      </c>
      <c r="AG199" s="210" t="str">
        <f t="shared" si="95"/>
        <v>#REF!</v>
      </c>
      <c r="AH199" s="120" t="str">
        <f t="shared" si="96"/>
        <v>#REF!</v>
      </c>
      <c r="AI199" s="121">
        <f t="shared" si="237"/>
        <v>0.1</v>
      </c>
      <c r="AJ199" s="121">
        <v>0.1</v>
      </c>
      <c r="AK199" s="122">
        <v>0.222</v>
      </c>
      <c r="AL199" s="123">
        <f t="shared" si="11"/>
        <v>0.1171146814</v>
      </c>
      <c r="AM199" s="122" t="s">
        <v>10</v>
      </c>
      <c r="AN199" s="125">
        <f t="shared" si="295"/>
        <v>0.52754361</v>
      </c>
      <c r="AO199" s="112">
        <f t="shared" si="219"/>
        <v>0.222</v>
      </c>
      <c r="AP199" s="127"/>
      <c r="AQ199" s="241">
        <f t="shared" ref="AQ199:AR199" si="350">BC199/(1-AI199)</f>
        <v>0.4978165939</v>
      </c>
      <c r="AR199" s="242">
        <f t="shared" si="350"/>
        <v>0.4560321428</v>
      </c>
      <c r="AS199" s="126">
        <f t="shared" si="221"/>
        <v>0.1577777778</v>
      </c>
      <c r="AT199" s="126">
        <f t="shared" si="222"/>
        <v>0.1355555556</v>
      </c>
      <c r="AU199" s="129"/>
      <c r="AV199" s="39" t="s">
        <v>797</v>
      </c>
      <c r="AW199" s="243">
        <v>0.006</v>
      </c>
      <c r="AX199" s="243">
        <v>2.837</v>
      </c>
      <c r="AY199" s="247"/>
      <c r="AZ199" s="243">
        <v>0.16</v>
      </c>
      <c r="BA199" s="244">
        <f t="shared" si="330"/>
        <v>2.918</v>
      </c>
      <c r="BB199" s="244">
        <f t="shared" si="322"/>
        <v>3.078</v>
      </c>
      <c r="BC199" s="245">
        <f t="shared" si="323"/>
        <v>0.4480349345</v>
      </c>
      <c r="BD199" s="132">
        <f t="shared" si="249"/>
        <v>0.4104289285</v>
      </c>
      <c r="BE199" s="135" t="s">
        <v>844</v>
      </c>
      <c r="BF199" s="134" t="s">
        <v>576</v>
      </c>
      <c r="BG199" s="40"/>
      <c r="BH199" s="246">
        <f t="shared" si="324"/>
        <v>1.7584787</v>
      </c>
      <c r="BI199" s="246">
        <f t="shared" si="325"/>
        <v>1.05508722</v>
      </c>
      <c r="BJ199" s="246">
        <f t="shared" si="326"/>
        <v>0.8792393499</v>
      </c>
      <c r="BK199" s="246">
        <f t="shared" si="327"/>
        <v>0.7033914799</v>
      </c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</row>
    <row r="200" ht="14.25" customHeight="1">
      <c r="A200" s="103" t="s">
        <v>84</v>
      </c>
      <c r="B200" s="103" t="s">
        <v>120</v>
      </c>
      <c r="C200" s="103" t="s">
        <v>120</v>
      </c>
      <c r="D200" s="103" t="s">
        <v>86</v>
      </c>
      <c r="E200" s="104" t="s">
        <v>788</v>
      </c>
      <c r="F200" s="105" t="s">
        <v>840</v>
      </c>
      <c r="G200" s="106" t="s">
        <v>577</v>
      </c>
      <c r="H200" s="110">
        <v>26.0</v>
      </c>
      <c r="I200" s="107"/>
      <c r="J200" s="220" t="s">
        <v>872</v>
      </c>
      <c r="K200" s="220" t="str">
        <f>_xlfn.XLOOKUP(J200,[1]Sheet1!$A:$A,[1]Sheet1!$B:$B,"")</f>
        <v>#ERROR!</v>
      </c>
      <c r="L200" s="105" t="s">
        <v>873</v>
      </c>
      <c r="M200" s="105" t="s">
        <v>874</v>
      </c>
      <c r="N200" s="110"/>
      <c r="O200" s="104" t="s">
        <v>95</v>
      </c>
      <c r="P200" s="110"/>
      <c r="Q200" s="103" t="s">
        <v>794</v>
      </c>
      <c r="R200" s="110" t="s">
        <v>795</v>
      </c>
      <c r="S200" s="110">
        <v>4800.0</v>
      </c>
      <c r="T200" s="111" t="e">
        <v>#N/A</v>
      </c>
      <c r="U200" s="106" t="s">
        <v>796</v>
      </c>
      <c r="V200" s="112">
        <v>0.0</v>
      </c>
      <c r="W200" s="113">
        <v>50.0</v>
      </c>
      <c r="X200" s="113">
        <v>45.0</v>
      </c>
      <c r="Y200" s="113">
        <v>55.0</v>
      </c>
      <c r="Z200" s="113" t="s">
        <v>99</v>
      </c>
      <c r="AA200" s="114">
        <f t="shared" si="243"/>
        <v>0.6633752348</v>
      </c>
      <c r="AB200" s="115"/>
      <c r="AC200" s="239">
        <f t="shared" si="216"/>
        <v>0.5887970954</v>
      </c>
      <c r="AD200" s="240">
        <f t="shared" si="244"/>
        <v>0.6331151564</v>
      </c>
      <c r="AE200" s="239"/>
      <c r="AF200" s="239" t="str">
        <f t="shared" si="94"/>
        <v>#REF!</v>
      </c>
      <c r="AG200" s="210" t="str">
        <f t="shared" si="95"/>
        <v>#REF!</v>
      </c>
      <c r="AH200" s="120" t="str">
        <f t="shared" si="96"/>
        <v>#REF!</v>
      </c>
      <c r="AI200" s="121">
        <f t="shared" si="237"/>
        <v>0.1</v>
      </c>
      <c r="AJ200" s="121">
        <v>0.1</v>
      </c>
      <c r="AK200" s="122">
        <v>0.222</v>
      </c>
      <c r="AL200" s="123">
        <f t="shared" si="11"/>
        <v>0.1307129552</v>
      </c>
      <c r="AM200" s="122" t="s">
        <v>10</v>
      </c>
      <c r="AN200" s="125">
        <f t="shared" si="295"/>
        <v>0.5887970954</v>
      </c>
      <c r="AO200" s="112">
        <f t="shared" si="219"/>
        <v>0.222</v>
      </c>
      <c r="AP200" s="127"/>
      <c r="AQ200" s="241">
        <f t="shared" ref="AQ200:AR200" si="351">BC200/(1-AI200)</f>
        <v>0.5587093644</v>
      </c>
      <c r="AR200" s="242">
        <f t="shared" si="351"/>
        <v>0.508982378</v>
      </c>
      <c r="AS200" s="126">
        <f t="shared" si="221"/>
        <v>0.1577777778</v>
      </c>
      <c r="AT200" s="126">
        <f t="shared" si="222"/>
        <v>0.1355555556</v>
      </c>
      <c r="AU200" s="129"/>
      <c r="AV200" s="39" t="s">
        <v>797</v>
      </c>
      <c r="AW200" s="243">
        <v>0.009</v>
      </c>
      <c r="AX200" s="243">
        <v>3.173</v>
      </c>
      <c r="AY200" s="247"/>
      <c r="AZ200" s="243">
        <v>0.16</v>
      </c>
      <c r="BA200" s="244">
        <f t="shared" si="330"/>
        <v>3.2945</v>
      </c>
      <c r="BB200" s="244">
        <f t="shared" si="322"/>
        <v>3.4545</v>
      </c>
      <c r="BC200" s="245">
        <f t="shared" si="323"/>
        <v>0.5028384279</v>
      </c>
      <c r="BD200" s="132">
        <f t="shared" si="249"/>
        <v>0.4580841402</v>
      </c>
      <c r="BE200" s="135" t="s">
        <v>844</v>
      </c>
      <c r="BF200" s="134" t="s">
        <v>576</v>
      </c>
      <c r="BG200" s="40"/>
      <c r="BH200" s="246">
        <f t="shared" si="324"/>
        <v>1.962656985</v>
      </c>
      <c r="BI200" s="246">
        <f t="shared" si="325"/>
        <v>1.177594191</v>
      </c>
      <c r="BJ200" s="246">
        <f t="shared" si="326"/>
        <v>0.9813284924</v>
      </c>
      <c r="BK200" s="246">
        <f t="shared" si="327"/>
        <v>0.7850627939</v>
      </c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</row>
    <row r="201" ht="14.25" customHeight="1">
      <c r="A201" s="103" t="s">
        <v>84</v>
      </c>
      <c r="B201" s="103" t="s">
        <v>120</v>
      </c>
      <c r="C201" s="103" t="s">
        <v>120</v>
      </c>
      <c r="D201" s="103" t="s">
        <v>86</v>
      </c>
      <c r="E201" s="104" t="s">
        <v>788</v>
      </c>
      <c r="F201" s="105" t="s">
        <v>840</v>
      </c>
      <c r="G201" s="106" t="s">
        <v>577</v>
      </c>
      <c r="H201" s="110">
        <v>26.0</v>
      </c>
      <c r="I201" s="107"/>
      <c r="J201" s="220" t="s">
        <v>875</v>
      </c>
      <c r="K201" s="220" t="str">
        <f>_xlfn.XLOOKUP(J201,[1]Sheet1!$A:$A,[1]Sheet1!$B:$B,"")</f>
        <v>#ERROR!</v>
      </c>
      <c r="L201" s="105" t="s">
        <v>876</v>
      </c>
      <c r="M201" s="105" t="s">
        <v>877</v>
      </c>
      <c r="N201" s="110"/>
      <c r="O201" s="104" t="s">
        <v>95</v>
      </c>
      <c r="P201" s="110"/>
      <c r="Q201" s="103" t="s">
        <v>794</v>
      </c>
      <c r="R201" s="110" t="s">
        <v>795</v>
      </c>
      <c r="S201" s="110">
        <v>3200.0</v>
      </c>
      <c r="T201" s="111" t="e">
        <v>#N/A</v>
      </c>
      <c r="U201" s="106" t="s">
        <v>796</v>
      </c>
      <c r="V201" s="112">
        <v>0.0</v>
      </c>
      <c r="W201" s="113">
        <v>50.0</v>
      </c>
      <c r="X201" s="113">
        <v>45.0</v>
      </c>
      <c r="Y201" s="113">
        <v>55.0</v>
      </c>
      <c r="Z201" s="113" t="s">
        <v>99</v>
      </c>
      <c r="AA201" s="114">
        <f t="shared" si="243"/>
        <v>0.8580958855</v>
      </c>
      <c r="AB201" s="115"/>
      <c r="AC201" s="239">
        <f t="shared" si="216"/>
        <v>0.7671556737</v>
      </c>
      <c r="AD201" s="240">
        <f t="shared" si="244"/>
        <v>0.8248985738</v>
      </c>
      <c r="AE201" s="239"/>
      <c r="AF201" s="239" t="str">
        <f t="shared" si="94"/>
        <v>#REF!</v>
      </c>
      <c r="AG201" s="210" t="str">
        <f t="shared" si="95"/>
        <v>#REF!</v>
      </c>
      <c r="AH201" s="120" t="str">
        <f t="shared" si="96"/>
        <v>#REF!</v>
      </c>
      <c r="AI201" s="121">
        <f t="shared" si="237"/>
        <v>0.1</v>
      </c>
      <c r="AJ201" s="121">
        <v>0.1</v>
      </c>
      <c r="AK201" s="122">
        <v>0.222</v>
      </c>
      <c r="AL201" s="123">
        <f t="shared" si="11"/>
        <v>0.1703085596</v>
      </c>
      <c r="AM201" s="122" t="s">
        <v>10</v>
      </c>
      <c r="AN201" s="125">
        <f t="shared" si="295"/>
        <v>0.7671556737</v>
      </c>
      <c r="AO201" s="112">
        <f t="shared" si="219"/>
        <v>0.222</v>
      </c>
      <c r="AP201" s="127"/>
      <c r="AQ201" s="241">
        <f t="shared" ref="AQ201:AR201" si="352">BC201/(1-AI201)</f>
        <v>0.7227074236</v>
      </c>
      <c r="AR201" s="242">
        <f t="shared" si="352"/>
        <v>0.6631634601</v>
      </c>
      <c r="AS201" s="126">
        <f t="shared" si="221"/>
        <v>0.1577777778</v>
      </c>
      <c r="AT201" s="126">
        <f t="shared" si="222"/>
        <v>0.1355555556</v>
      </c>
      <c r="AU201" s="129"/>
      <c r="AV201" s="39" t="s">
        <v>797</v>
      </c>
      <c r="AW201" s="243">
        <v>0.019</v>
      </c>
      <c r="AX201" s="243">
        <v>4.052</v>
      </c>
      <c r="AY201" s="247"/>
      <c r="AZ201" s="243">
        <v>0.16</v>
      </c>
      <c r="BA201" s="244">
        <f t="shared" si="330"/>
        <v>4.3085</v>
      </c>
      <c r="BB201" s="244">
        <f t="shared" si="322"/>
        <v>4.4685</v>
      </c>
      <c r="BC201" s="245">
        <f t="shared" si="323"/>
        <v>0.6504366812</v>
      </c>
      <c r="BD201" s="132">
        <f t="shared" si="249"/>
        <v>0.5968471141</v>
      </c>
      <c r="BE201" s="135" t="s">
        <v>844</v>
      </c>
      <c r="BF201" s="134" t="s">
        <v>576</v>
      </c>
      <c r="BG201" s="49"/>
      <c r="BH201" s="246">
        <f t="shared" si="324"/>
        <v>2.557185579</v>
      </c>
      <c r="BI201" s="246">
        <f t="shared" si="325"/>
        <v>1.534311347</v>
      </c>
      <c r="BJ201" s="246">
        <f t="shared" si="326"/>
        <v>1.278592789</v>
      </c>
      <c r="BK201" s="246">
        <f t="shared" si="327"/>
        <v>1.022874232</v>
      </c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</row>
    <row r="202" ht="14.25" customHeight="1">
      <c r="A202" s="103" t="s">
        <v>84</v>
      </c>
      <c r="B202" s="103" t="s">
        <v>120</v>
      </c>
      <c r="C202" s="103" t="s">
        <v>120</v>
      </c>
      <c r="D202" s="103" t="s">
        <v>86</v>
      </c>
      <c r="E202" s="104" t="s">
        <v>788</v>
      </c>
      <c r="F202" s="105" t="s">
        <v>840</v>
      </c>
      <c r="G202" s="106" t="s">
        <v>577</v>
      </c>
      <c r="H202" s="110">
        <v>26.0</v>
      </c>
      <c r="I202" s="107"/>
      <c r="J202" s="220" t="s">
        <v>878</v>
      </c>
      <c r="K202" s="220" t="str">
        <f>_xlfn.XLOOKUP(J202,[1]Sheet1!$A:$A,[1]Sheet1!$B:$B,"")</f>
        <v>#ERROR!</v>
      </c>
      <c r="L202" s="105" t="s">
        <v>879</v>
      </c>
      <c r="M202" s="105" t="s">
        <v>880</v>
      </c>
      <c r="N202" s="110"/>
      <c r="O202" s="104" t="s">
        <v>95</v>
      </c>
      <c r="P202" s="110"/>
      <c r="Q202" s="103" t="s">
        <v>794</v>
      </c>
      <c r="R202" s="110" t="s">
        <v>795</v>
      </c>
      <c r="S202" s="110">
        <v>2240.0</v>
      </c>
      <c r="T202" s="111" t="e">
        <v>#N/A</v>
      </c>
      <c r="U202" s="106" t="s">
        <v>796</v>
      </c>
      <c r="V202" s="112">
        <v>0.0</v>
      </c>
      <c r="W202" s="113">
        <v>50.0</v>
      </c>
      <c r="X202" s="113">
        <v>45.0</v>
      </c>
      <c r="Y202" s="113">
        <v>55.0</v>
      </c>
      <c r="Z202" s="113" t="s">
        <v>99</v>
      </c>
      <c r="AA202" s="114">
        <f t="shared" si="243"/>
        <v>1.233710869</v>
      </c>
      <c r="AB202" s="115"/>
      <c r="AC202" s="239">
        <f t="shared" si="216"/>
        <v>1.102595422</v>
      </c>
      <c r="AD202" s="240">
        <f t="shared" si="244"/>
        <v>1.185586475</v>
      </c>
      <c r="AE202" s="239"/>
      <c r="AF202" s="239" t="str">
        <f t="shared" si="94"/>
        <v>#REF!</v>
      </c>
      <c r="AG202" s="210" t="str">
        <f t="shared" si="95"/>
        <v>#REF!</v>
      </c>
      <c r="AH202" s="120" t="str">
        <f t="shared" si="96"/>
        <v>#REF!</v>
      </c>
      <c r="AI202" s="121">
        <f t="shared" si="237"/>
        <v>0.1</v>
      </c>
      <c r="AJ202" s="121">
        <v>0.1</v>
      </c>
      <c r="AK202" s="122">
        <v>0.222</v>
      </c>
      <c r="AL202" s="123">
        <f t="shared" si="11"/>
        <v>0.2447761837</v>
      </c>
      <c r="AM202" s="122" t="s">
        <v>10</v>
      </c>
      <c r="AN202" s="125">
        <f t="shared" si="295"/>
        <v>1.102595422</v>
      </c>
      <c r="AO202" s="112">
        <f t="shared" si="219"/>
        <v>0.222</v>
      </c>
      <c r="AP202" s="127"/>
      <c r="AQ202" s="241">
        <f t="shared" ref="AQ202:AR202" si="353">BC202/(1-AI202)</f>
        <v>1.039058709</v>
      </c>
      <c r="AR202" s="242">
        <f t="shared" si="353"/>
        <v>0.9531324871</v>
      </c>
      <c r="AS202" s="126">
        <f t="shared" si="221"/>
        <v>0.1577777778</v>
      </c>
      <c r="AT202" s="126">
        <f t="shared" si="222"/>
        <v>0.1355555556</v>
      </c>
      <c r="AU202" s="129"/>
      <c r="AV202" s="39" t="s">
        <v>797</v>
      </c>
      <c r="AW202" s="243">
        <v>0.037</v>
      </c>
      <c r="AX202" s="243">
        <v>5.765</v>
      </c>
      <c r="AY202" s="247"/>
      <c r="AZ202" s="243">
        <v>0.16</v>
      </c>
      <c r="BA202" s="244">
        <f t="shared" si="330"/>
        <v>6.2645</v>
      </c>
      <c r="BB202" s="244">
        <f t="shared" si="322"/>
        <v>6.4245</v>
      </c>
      <c r="BC202" s="245">
        <f t="shared" si="323"/>
        <v>0.9351528384</v>
      </c>
      <c r="BD202" s="132">
        <f t="shared" si="249"/>
        <v>0.8578192384</v>
      </c>
      <c r="BE202" s="135" t="s">
        <v>844</v>
      </c>
      <c r="BF202" s="134" t="s">
        <v>576</v>
      </c>
      <c r="BG202" s="49"/>
      <c r="BH202" s="246">
        <f t="shared" si="324"/>
        <v>3.675318074</v>
      </c>
      <c r="BI202" s="246">
        <f t="shared" si="325"/>
        <v>2.205190844</v>
      </c>
      <c r="BJ202" s="246">
        <f t="shared" si="326"/>
        <v>1.837659037</v>
      </c>
      <c r="BK202" s="246">
        <f t="shared" si="327"/>
        <v>1.470127229</v>
      </c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</row>
    <row r="203" ht="14.25" customHeight="1">
      <c r="A203" s="103" t="s">
        <v>84</v>
      </c>
      <c r="B203" s="103" t="s">
        <v>120</v>
      </c>
      <c r="C203" s="103" t="s">
        <v>120</v>
      </c>
      <c r="D203" s="103" t="s">
        <v>86</v>
      </c>
      <c r="E203" s="104" t="s">
        <v>788</v>
      </c>
      <c r="F203" s="105" t="s">
        <v>840</v>
      </c>
      <c r="G203" s="106" t="s">
        <v>577</v>
      </c>
      <c r="H203" s="110">
        <v>26.0</v>
      </c>
      <c r="I203" s="107"/>
      <c r="J203" s="220" t="s">
        <v>881</v>
      </c>
      <c r="K203" s="220" t="str">
        <f>_xlfn.XLOOKUP(J203,[1]Sheet1!$A:$A,[1]Sheet1!$B:$B,"")</f>
        <v>#ERROR!</v>
      </c>
      <c r="L203" s="105" t="s">
        <v>882</v>
      </c>
      <c r="M203" s="105" t="s">
        <v>883</v>
      </c>
      <c r="N203" s="110"/>
      <c r="O203" s="104" t="s">
        <v>95</v>
      </c>
      <c r="P203" s="110"/>
      <c r="Q203" s="103" t="s">
        <v>794</v>
      </c>
      <c r="R203" s="110" t="s">
        <v>795</v>
      </c>
      <c r="S203" s="110">
        <v>1600.0</v>
      </c>
      <c r="T203" s="111" t="e">
        <v>#N/A</v>
      </c>
      <c r="U203" s="106" t="s">
        <v>796</v>
      </c>
      <c r="V203" s="112">
        <v>0.0</v>
      </c>
      <c r="W203" s="113">
        <v>50.0</v>
      </c>
      <c r="X203" s="113">
        <v>45.0</v>
      </c>
      <c r="Y203" s="113">
        <v>55.0</v>
      </c>
      <c r="Z203" s="113" t="s">
        <v>99</v>
      </c>
      <c r="AA203" s="114">
        <f t="shared" si="243"/>
        <v>1.61700714</v>
      </c>
      <c r="AB203" s="115"/>
      <c r="AC203" s="239">
        <f t="shared" si="216"/>
        <v>1.450281001</v>
      </c>
      <c r="AD203" s="240">
        <f t="shared" si="244"/>
        <v>1.559441937</v>
      </c>
      <c r="AE203" s="239"/>
      <c r="AF203" s="239" t="str">
        <f t="shared" si="94"/>
        <v>#REF!</v>
      </c>
      <c r="AG203" s="210" t="str">
        <f t="shared" si="95"/>
        <v>#REF!</v>
      </c>
      <c r="AH203" s="120" t="str">
        <f t="shared" si="96"/>
        <v>#REF!</v>
      </c>
      <c r="AI203" s="121">
        <f t="shared" si="237"/>
        <v>0.1</v>
      </c>
      <c r="AJ203" s="121">
        <v>0.1</v>
      </c>
      <c r="AK203" s="122">
        <v>0.222</v>
      </c>
      <c r="AL203" s="123">
        <f t="shared" si="11"/>
        <v>0.3219623823</v>
      </c>
      <c r="AM203" s="122" t="s">
        <v>10</v>
      </c>
      <c r="AN203" s="125">
        <f t="shared" si="295"/>
        <v>1.450281001</v>
      </c>
      <c r="AO203" s="112">
        <f t="shared" si="219"/>
        <v>0.222</v>
      </c>
      <c r="AP203" s="127"/>
      <c r="AQ203" s="241">
        <f t="shared" ref="AQ203:AR203" si="354">BC203/(1-AI203)</f>
        <v>1.361879347</v>
      </c>
      <c r="AR203" s="242">
        <f t="shared" si="354"/>
        <v>1.253687355</v>
      </c>
      <c r="AS203" s="126">
        <f t="shared" si="221"/>
        <v>0.1577777778</v>
      </c>
      <c r="AT203" s="126">
        <f t="shared" si="222"/>
        <v>0.1355555556</v>
      </c>
      <c r="AU203" s="129"/>
      <c r="AV203" s="39" t="s">
        <v>797</v>
      </c>
      <c r="AW203" s="243">
        <v>0.055</v>
      </c>
      <c r="AX203" s="243">
        <v>7.518</v>
      </c>
      <c r="AY203" s="247"/>
      <c r="AZ203" s="243">
        <v>0.16</v>
      </c>
      <c r="BA203" s="244">
        <f t="shared" si="330"/>
        <v>8.2605</v>
      </c>
      <c r="BB203" s="244">
        <f t="shared" si="322"/>
        <v>8.4205</v>
      </c>
      <c r="BC203" s="245">
        <f t="shared" si="323"/>
        <v>1.225691412</v>
      </c>
      <c r="BD203" s="132">
        <f t="shared" si="249"/>
        <v>1.128318619</v>
      </c>
      <c r="BE203" s="135" t="s">
        <v>844</v>
      </c>
      <c r="BF203" s="134" t="s">
        <v>576</v>
      </c>
      <c r="BG203" s="49"/>
      <c r="BH203" s="246">
        <f t="shared" si="324"/>
        <v>4.834270005</v>
      </c>
      <c r="BI203" s="246">
        <f t="shared" si="325"/>
        <v>2.900562003</v>
      </c>
      <c r="BJ203" s="246">
        <f t="shared" si="326"/>
        <v>2.417135002</v>
      </c>
      <c r="BK203" s="246">
        <f t="shared" si="327"/>
        <v>1.933708002</v>
      </c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</row>
    <row r="204" ht="14.25" customHeight="1">
      <c r="A204" s="103" t="s">
        <v>84</v>
      </c>
      <c r="B204" s="103" t="s">
        <v>120</v>
      </c>
      <c r="C204" s="103" t="s">
        <v>120</v>
      </c>
      <c r="D204" s="103" t="s">
        <v>86</v>
      </c>
      <c r="E204" s="104" t="s">
        <v>788</v>
      </c>
      <c r="F204" s="105" t="s">
        <v>840</v>
      </c>
      <c r="G204" s="106" t="s">
        <v>577</v>
      </c>
      <c r="H204" s="110">
        <v>26.0</v>
      </c>
      <c r="I204" s="107"/>
      <c r="J204" s="220" t="s">
        <v>884</v>
      </c>
      <c r="K204" s="220" t="str">
        <f>_xlfn.XLOOKUP(J204,[1]Sheet1!$A:$A,[1]Sheet1!$B:$B,"")</f>
        <v>#ERROR!</v>
      </c>
      <c r="L204" s="105" t="s">
        <v>885</v>
      </c>
      <c r="M204" s="105" t="s">
        <v>886</v>
      </c>
      <c r="N204" s="110"/>
      <c r="O204" s="104" t="s">
        <v>95</v>
      </c>
      <c r="P204" s="110"/>
      <c r="Q204" s="103" t="s">
        <v>794</v>
      </c>
      <c r="R204" s="110" t="s">
        <v>795</v>
      </c>
      <c r="S204" s="110">
        <v>960.0</v>
      </c>
      <c r="T204" s="111" t="e">
        <v>#N/A</v>
      </c>
      <c r="U204" s="106" t="s">
        <v>796</v>
      </c>
      <c r="V204" s="112">
        <v>0.0</v>
      </c>
      <c r="W204" s="113">
        <v>50.0</v>
      </c>
      <c r="X204" s="113">
        <v>45.0</v>
      </c>
      <c r="Y204" s="113">
        <v>55.0</v>
      </c>
      <c r="Z204" s="113" t="s">
        <v>99</v>
      </c>
      <c r="AA204" s="114">
        <f t="shared" si="243"/>
        <v>2.400690548</v>
      </c>
      <c r="AB204" s="115"/>
      <c r="AC204" s="239">
        <f t="shared" si="216"/>
        <v>2.167782611</v>
      </c>
      <c r="AD204" s="240">
        <f t="shared" si="244"/>
        <v>2.330949044</v>
      </c>
      <c r="AE204" s="239"/>
      <c r="AF204" s="239" t="str">
        <f t="shared" si="94"/>
        <v>#REF!</v>
      </c>
      <c r="AG204" s="210" t="str">
        <f t="shared" si="95"/>
        <v>#REF!</v>
      </c>
      <c r="AH204" s="120" t="str">
        <f t="shared" si="96"/>
        <v>#REF!</v>
      </c>
      <c r="AI204" s="121">
        <f t="shared" si="237"/>
        <v>0.1</v>
      </c>
      <c r="AJ204" s="121">
        <v>0.1</v>
      </c>
      <c r="AK204" s="122">
        <v>0.222</v>
      </c>
      <c r="AL204" s="123">
        <f t="shared" si="11"/>
        <v>0.4812477396</v>
      </c>
      <c r="AM204" s="122" t="s">
        <v>10</v>
      </c>
      <c r="AN204" s="125">
        <f t="shared" si="295"/>
        <v>2.167782611</v>
      </c>
      <c r="AO204" s="112">
        <f t="shared" si="219"/>
        <v>0.222</v>
      </c>
      <c r="AP204" s="127"/>
      <c r="AQ204" s="241">
        <f t="shared" ref="AQ204:AR204" si="355">BC204/(1-AI204)</f>
        <v>2.021914928</v>
      </c>
      <c r="AR204" s="242">
        <f t="shared" si="355"/>
        <v>1.873927635</v>
      </c>
      <c r="AS204" s="126">
        <f t="shared" si="221"/>
        <v>0.1577777778</v>
      </c>
      <c r="AT204" s="126">
        <f t="shared" si="222"/>
        <v>0.1355555556</v>
      </c>
      <c r="AU204" s="129"/>
      <c r="AV204" s="39" t="s">
        <v>797</v>
      </c>
      <c r="AW204" s="243">
        <v>0.091</v>
      </c>
      <c r="AX204" s="243">
        <v>11.113</v>
      </c>
      <c r="AY204" s="247"/>
      <c r="AZ204" s="243">
        <v>0.16</v>
      </c>
      <c r="BA204" s="244">
        <f t="shared" si="330"/>
        <v>12.3415</v>
      </c>
      <c r="BB204" s="244">
        <f t="shared" si="322"/>
        <v>12.5015</v>
      </c>
      <c r="BC204" s="245">
        <f t="shared" si="323"/>
        <v>1.819723435</v>
      </c>
      <c r="BD204" s="132">
        <f t="shared" si="249"/>
        <v>1.686534871</v>
      </c>
      <c r="BE204" s="135" t="s">
        <v>844</v>
      </c>
      <c r="BF204" s="134" t="s">
        <v>576</v>
      </c>
      <c r="BG204" s="49"/>
      <c r="BH204" s="246">
        <f t="shared" si="324"/>
        <v>7.225942036</v>
      </c>
      <c r="BI204" s="246">
        <f t="shared" si="325"/>
        <v>4.335565222</v>
      </c>
      <c r="BJ204" s="246">
        <f t="shared" si="326"/>
        <v>3.612971018</v>
      </c>
      <c r="BK204" s="246">
        <f t="shared" si="327"/>
        <v>2.890376814</v>
      </c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</row>
    <row r="205" ht="14.25" customHeight="1">
      <c r="A205" s="103" t="s">
        <v>84</v>
      </c>
      <c r="B205" s="103" t="s">
        <v>120</v>
      </c>
      <c r="C205" s="103" t="s">
        <v>120</v>
      </c>
      <c r="D205" s="103" t="s">
        <v>86</v>
      </c>
      <c r="E205" s="104" t="s">
        <v>788</v>
      </c>
      <c r="F205" s="105" t="s">
        <v>840</v>
      </c>
      <c r="G205" s="106" t="s">
        <v>577</v>
      </c>
      <c r="H205" s="110">
        <v>26.0</v>
      </c>
      <c r="I205" s="107"/>
      <c r="J205" s="220" t="s">
        <v>887</v>
      </c>
      <c r="K205" s="220" t="str">
        <f>_xlfn.XLOOKUP(J205,[1]Sheet1!$A:$A,[1]Sheet1!$B:$B,"")</f>
        <v>#ERROR!</v>
      </c>
      <c r="L205" s="105" t="s">
        <v>888</v>
      </c>
      <c r="M205" s="105" t="s">
        <v>889</v>
      </c>
      <c r="N205" s="110"/>
      <c r="O205" s="104" t="s">
        <v>95</v>
      </c>
      <c r="P205" s="110"/>
      <c r="Q205" s="103" t="s">
        <v>794</v>
      </c>
      <c r="R205" s="110" t="s">
        <v>795</v>
      </c>
      <c r="S205" s="110">
        <v>640.0</v>
      </c>
      <c r="T205" s="111" t="e">
        <v>#N/A</v>
      </c>
      <c r="U205" s="106" t="s">
        <v>796</v>
      </c>
      <c r="V205" s="112">
        <v>0.0</v>
      </c>
      <c r="W205" s="113">
        <v>50.0</v>
      </c>
      <c r="X205" s="113">
        <v>45.0</v>
      </c>
      <c r="Y205" s="113">
        <v>55.0</v>
      </c>
      <c r="Z205" s="113" t="s">
        <v>99</v>
      </c>
      <c r="AA205" s="114">
        <f t="shared" si="243"/>
        <v>4.253897293</v>
      </c>
      <c r="AB205" s="115"/>
      <c r="AC205" s="239">
        <f t="shared" si="216"/>
        <v>3.804785569</v>
      </c>
      <c r="AD205" s="240">
        <f t="shared" si="244"/>
        <v>4.091167278</v>
      </c>
      <c r="AE205" s="239"/>
      <c r="AF205" s="239" t="str">
        <f t="shared" si="94"/>
        <v>#REF!</v>
      </c>
      <c r="AG205" s="210" t="str">
        <f t="shared" si="95"/>
        <v>#REF!</v>
      </c>
      <c r="AH205" s="120" t="str">
        <f t="shared" si="96"/>
        <v>#REF!</v>
      </c>
      <c r="AI205" s="121">
        <f t="shared" si="237"/>
        <v>0.1</v>
      </c>
      <c r="AJ205" s="121">
        <v>0.1</v>
      </c>
      <c r="AK205" s="122">
        <v>0.222</v>
      </c>
      <c r="AL205" s="123">
        <f t="shared" si="11"/>
        <v>0.8446623963</v>
      </c>
      <c r="AM205" s="122" t="s">
        <v>10</v>
      </c>
      <c r="AN205" s="125">
        <f t="shared" si="295"/>
        <v>3.804785569</v>
      </c>
      <c r="AO205" s="112">
        <f t="shared" si="219"/>
        <v>0.222</v>
      </c>
      <c r="AP205" s="127"/>
      <c r="AQ205" s="241">
        <f t="shared" ref="AQ205:AR205" si="356">BC205/(1-AI205)</f>
        <v>3.582726832</v>
      </c>
      <c r="AR205" s="242">
        <f t="shared" si="356"/>
        <v>3.289025747</v>
      </c>
      <c r="AS205" s="126">
        <f t="shared" si="221"/>
        <v>0.1577777778</v>
      </c>
      <c r="AT205" s="126">
        <f t="shared" si="222"/>
        <v>0.1355555556</v>
      </c>
      <c r="AU205" s="129"/>
      <c r="AV205" s="39" t="s">
        <v>797</v>
      </c>
      <c r="AW205" s="243">
        <v>0.182</v>
      </c>
      <c r="AX205" s="243">
        <v>19.535</v>
      </c>
      <c r="AY205" s="247"/>
      <c r="AZ205" s="243">
        <v>0.16</v>
      </c>
      <c r="BA205" s="244">
        <f t="shared" si="330"/>
        <v>21.992</v>
      </c>
      <c r="BB205" s="244">
        <f t="shared" si="322"/>
        <v>22.152</v>
      </c>
      <c r="BC205" s="245">
        <f t="shared" si="323"/>
        <v>3.224454148</v>
      </c>
      <c r="BD205" s="132">
        <f t="shared" si="249"/>
        <v>2.960123173</v>
      </c>
      <c r="BE205" s="135" t="s">
        <v>844</v>
      </c>
      <c r="BF205" s="134" t="s">
        <v>576</v>
      </c>
      <c r="BG205" s="49"/>
      <c r="BH205" s="246">
        <f t="shared" si="324"/>
        <v>12.68261856</v>
      </c>
      <c r="BI205" s="246">
        <f t="shared" si="325"/>
        <v>7.609571138</v>
      </c>
      <c r="BJ205" s="246">
        <f t="shared" si="326"/>
        <v>6.341309281</v>
      </c>
      <c r="BK205" s="246">
        <f t="shared" si="327"/>
        <v>5.073047425</v>
      </c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</row>
    <row r="206" ht="14.25" customHeight="1">
      <c r="A206" s="105" t="s">
        <v>84</v>
      </c>
      <c r="B206" s="103" t="s">
        <v>85</v>
      </c>
      <c r="C206" s="103" t="s">
        <v>120</v>
      </c>
      <c r="D206" s="105" t="s">
        <v>86</v>
      </c>
      <c r="E206" s="104" t="s">
        <v>788</v>
      </c>
      <c r="F206" s="105" t="s">
        <v>890</v>
      </c>
      <c r="G206" s="106" t="s">
        <v>581</v>
      </c>
      <c r="H206" s="110">
        <v>24.0</v>
      </c>
      <c r="I206" s="107"/>
      <c r="J206" s="220" t="s">
        <v>891</v>
      </c>
      <c r="K206" s="220" t="str">
        <f>_xlfn.XLOOKUP(J206,[1]Sheet1!$A:$A,[1]Sheet1!$B:$B,"")</f>
        <v>#ERROR!</v>
      </c>
      <c r="L206" s="105" t="s">
        <v>892</v>
      </c>
      <c r="M206" s="105" t="s">
        <v>893</v>
      </c>
      <c r="N206" s="110"/>
      <c r="O206" s="104" t="s">
        <v>95</v>
      </c>
      <c r="P206" s="110"/>
      <c r="Q206" s="103" t="s">
        <v>794</v>
      </c>
      <c r="R206" s="110" t="s">
        <v>795</v>
      </c>
      <c r="S206" s="110">
        <v>4800.0</v>
      </c>
      <c r="T206" s="111" t="s">
        <v>894</v>
      </c>
      <c r="U206" s="110" t="s">
        <v>796</v>
      </c>
      <c r="V206" s="112">
        <v>0.0</v>
      </c>
      <c r="W206" s="113">
        <v>50.0</v>
      </c>
      <c r="X206" s="113">
        <v>45.0</v>
      </c>
      <c r="Y206" s="113">
        <v>55.0</v>
      </c>
      <c r="Z206" s="113" t="s">
        <v>99</v>
      </c>
      <c r="AA206" s="114">
        <f t="shared" si="243"/>
        <v>0.4674407644</v>
      </c>
      <c r="AB206" s="115"/>
      <c r="AC206" s="239">
        <f t="shared" si="216"/>
        <v>0.424163724</v>
      </c>
      <c r="AD206" s="240">
        <f t="shared" si="244"/>
        <v>0.4560900258</v>
      </c>
      <c r="AE206" s="239"/>
      <c r="AF206" s="239" t="str">
        <f t="shared" si="94"/>
        <v>#REF!</v>
      </c>
      <c r="AG206" s="210" t="str">
        <f t="shared" si="95"/>
        <v>#REF!</v>
      </c>
      <c r="AH206" s="120" t="str">
        <f t="shared" si="96"/>
        <v>#REF!</v>
      </c>
      <c r="AI206" s="121">
        <f t="shared" si="237"/>
        <v>0.1</v>
      </c>
      <c r="AJ206" s="121">
        <v>0.1</v>
      </c>
      <c r="AK206" s="122">
        <v>0.28200000000000003</v>
      </c>
      <c r="AL206" s="123">
        <f t="shared" si="11"/>
        <v>0.1196141702</v>
      </c>
      <c r="AM206" s="122" t="s">
        <v>10</v>
      </c>
      <c r="AN206" s="125">
        <f t="shared" si="295"/>
        <v>0.424163724</v>
      </c>
      <c r="AO206" s="112">
        <f t="shared" si="219"/>
        <v>0.282</v>
      </c>
      <c r="AP206" s="127"/>
      <c r="AQ206" s="241">
        <f t="shared" ref="AQ206:AR206" si="357">BC206/(1-AI206)</f>
        <v>0.3625262817</v>
      </c>
      <c r="AR206" s="242">
        <f t="shared" si="357"/>
        <v>0.3383883931</v>
      </c>
      <c r="AS206" s="126">
        <f t="shared" si="221"/>
        <v>0.2244444444</v>
      </c>
      <c r="AT206" s="126">
        <f t="shared" si="222"/>
        <v>0.2022222222</v>
      </c>
      <c r="AU206" s="129"/>
      <c r="AV206" s="39" t="s">
        <v>797</v>
      </c>
      <c r="AW206" s="243">
        <v>0.007</v>
      </c>
      <c r="AX206" s="243">
        <v>1.987</v>
      </c>
      <c r="AY206" s="214"/>
      <c r="AZ206" s="243">
        <v>0.16</v>
      </c>
      <c r="BA206" s="244">
        <f t="shared" si="330"/>
        <v>2.0815</v>
      </c>
      <c r="BB206" s="244">
        <f t="shared" si="322"/>
        <v>2.2415</v>
      </c>
      <c r="BC206" s="245">
        <f t="shared" si="323"/>
        <v>0.3262736536</v>
      </c>
      <c r="BD206" s="132">
        <f t="shared" si="249"/>
        <v>0.3045495538</v>
      </c>
      <c r="BE206" s="135" t="s">
        <v>895</v>
      </c>
      <c r="BF206" s="134" t="s">
        <v>576</v>
      </c>
      <c r="BG206" s="49"/>
      <c r="BH206" s="246">
        <f t="shared" si="324"/>
        <v>1.41387908</v>
      </c>
      <c r="BI206" s="246">
        <f t="shared" si="325"/>
        <v>0.848327448</v>
      </c>
      <c r="BJ206" s="246">
        <f t="shared" si="326"/>
        <v>0.70693954</v>
      </c>
      <c r="BK206" s="246">
        <f t="shared" si="327"/>
        <v>0.565551632</v>
      </c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</row>
    <row r="207" ht="14.25" customHeight="1">
      <c r="A207" s="105" t="s">
        <v>84</v>
      </c>
      <c r="B207" s="103" t="s">
        <v>85</v>
      </c>
      <c r="C207" s="103" t="s">
        <v>120</v>
      </c>
      <c r="D207" s="105" t="s">
        <v>86</v>
      </c>
      <c r="E207" s="105" t="s">
        <v>788</v>
      </c>
      <c r="F207" s="105" t="s">
        <v>890</v>
      </c>
      <c r="G207" s="106" t="s">
        <v>581</v>
      </c>
      <c r="H207" s="110">
        <v>24.0</v>
      </c>
      <c r="I207" s="107"/>
      <c r="J207" s="220" t="s">
        <v>896</v>
      </c>
      <c r="K207" s="220" t="str">
        <f>_xlfn.XLOOKUP(J207,[1]Sheet1!$A:$A,[1]Sheet1!$B:$B,"")</f>
        <v>#ERROR!</v>
      </c>
      <c r="L207" s="105" t="s">
        <v>897</v>
      </c>
      <c r="M207" s="105" t="s">
        <v>898</v>
      </c>
      <c r="N207" s="110"/>
      <c r="O207" s="104" t="s">
        <v>95</v>
      </c>
      <c r="P207" s="110"/>
      <c r="Q207" s="103" t="s">
        <v>794</v>
      </c>
      <c r="R207" s="110" t="s">
        <v>795</v>
      </c>
      <c r="S207" s="110">
        <v>4800.0</v>
      </c>
      <c r="T207" s="111" t="s">
        <v>899</v>
      </c>
      <c r="U207" s="110" t="s">
        <v>796</v>
      </c>
      <c r="V207" s="112">
        <v>0.0</v>
      </c>
      <c r="W207" s="113">
        <v>50.0</v>
      </c>
      <c r="X207" s="113">
        <v>45.0</v>
      </c>
      <c r="Y207" s="113">
        <v>55.0</v>
      </c>
      <c r="Z207" s="113" t="s">
        <v>99</v>
      </c>
      <c r="AA207" s="114">
        <f t="shared" si="243"/>
        <v>0.532609285</v>
      </c>
      <c r="AB207" s="115"/>
      <c r="AC207" s="239">
        <f t="shared" si="216"/>
        <v>0.4792534992</v>
      </c>
      <c r="AD207" s="240">
        <f t="shared" si="244"/>
        <v>0.5153263432</v>
      </c>
      <c r="AE207" s="239"/>
      <c r="AF207" s="239" t="str">
        <f t="shared" si="94"/>
        <v>#REF!</v>
      </c>
      <c r="AG207" s="210" t="str">
        <f t="shared" si="95"/>
        <v>#REF!</v>
      </c>
      <c r="AH207" s="120" t="str">
        <f t="shared" si="96"/>
        <v>#REF!</v>
      </c>
      <c r="AI207" s="121">
        <f t="shared" si="237"/>
        <v>0.1</v>
      </c>
      <c r="AJ207" s="121">
        <v>0.1</v>
      </c>
      <c r="AK207" s="122">
        <v>0.28200000000000003</v>
      </c>
      <c r="AL207" s="123">
        <f t="shared" si="11"/>
        <v>0.1351494868</v>
      </c>
      <c r="AM207" s="122" t="s">
        <v>10</v>
      </c>
      <c r="AN207" s="125">
        <f t="shared" si="295"/>
        <v>0.4792534992</v>
      </c>
      <c r="AO207" s="112">
        <f t="shared" si="219"/>
        <v>0.282</v>
      </c>
      <c r="AP207" s="127"/>
      <c r="AQ207" s="241">
        <f t="shared" ref="AQ207:AR207" si="358">BC207/(1-AI207)</f>
        <v>0.4130680899</v>
      </c>
      <c r="AR207" s="242">
        <f t="shared" si="358"/>
        <v>0.3823377916</v>
      </c>
      <c r="AS207" s="126">
        <f t="shared" si="221"/>
        <v>0.2244444444</v>
      </c>
      <c r="AT207" s="126">
        <f t="shared" si="222"/>
        <v>0.2022222222</v>
      </c>
      <c r="AU207" s="129"/>
      <c r="AV207" s="39" t="s">
        <v>797</v>
      </c>
      <c r="AW207" s="243">
        <v>0.012</v>
      </c>
      <c r="AX207" s="243">
        <v>2.232</v>
      </c>
      <c r="AY207" s="214"/>
      <c r="AZ207" s="243">
        <v>0.16</v>
      </c>
      <c r="BA207" s="244">
        <f t="shared" si="330"/>
        <v>2.394</v>
      </c>
      <c r="BB207" s="244">
        <f t="shared" si="322"/>
        <v>2.554</v>
      </c>
      <c r="BC207" s="245">
        <f t="shared" si="323"/>
        <v>0.3717612809</v>
      </c>
      <c r="BD207" s="132">
        <f t="shared" si="249"/>
        <v>0.3441040124</v>
      </c>
      <c r="BE207" s="135" t="s">
        <v>895</v>
      </c>
      <c r="BF207" s="134" t="s">
        <v>576</v>
      </c>
      <c r="BG207" s="49"/>
      <c r="BH207" s="246">
        <f t="shared" si="324"/>
        <v>1.597511664</v>
      </c>
      <c r="BI207" s="246">
        <f t="shared" si="325"/>
        <v>0.9585069983</v>
      </c>
      <c r="BJ207" s="246">
        <f t="shared" si="326"/>
        <v>0.798755832</v>
      </c>
      <c r="BK207" s="246">
        <f t="shared" si="327"/>
        <v>0.6390046656</v>
      </c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</row>
    <row r="208" ht="14.25" customHeight="1">
      <c r="A208" s="105" t="s">
        <v>84</v>
      </c>
      <c r="B208" s="103" t="s">
        <v>85</v>
      </c>
      <c r="C208" s="103" t="s">
        <v>120</v>
      </c>
      <c r="D208" s="105" t="s">
        <v>86</v>
      </c>
      <c r="E208" s="105" t="s">
        <v>788</v>
      </c>
      <c r="F208" s="105" t="s">
        <v>890</v>
      </c>
      <c r="G208" s="106" t="s">
        <v>581</v>
      </c>
      <c r="H208" s="110">
        <v>24.0</v>
      </c>
      <c r="I208" s="107"/>
      <c r="J208" s="220" t="s">
        <v>900</v>
      </c>
      <c r="K208" s="220" t="str">
        <f>_xlfn.XLOOKUP(J208,[1]Sheet1!$A:$A,[1]Sheet1!$B:$B,"")</f>
        <v>#ERROR!</v>
      </c>
      <c r="L208" s="105" t="s">
        <v>901</v>
      </c>
      <c r="M208" s="105" t="s">
        <v>902</v>
      </c>
      <c r="N208" s="110"/>
      <c r="O208" s="104" t="s">
        <v>95</v>
      </c>
      <c r="P208" s="110"/>
      <c r="Q208" s="103" t="s">
        <v>794</v>
      </c>
      <c r="R208" s="110" t="s">
        <v>795</v>
      </c>
      <c r="S208" s="110">
        <v>3200.0</v>
      </c>
      <c r="T208" s="111" t="s">
        <v>903</v>
      </c>
      <c r="U208" s="110" t="s">
        <v>796</v>
      </c>
      <c r="V208" s="112">
        <v>0.0</v>
      </c>
      <c r="W208" s="113">
        <v>50.0</v>
      </c>
      <c r="X208" s="113">
        <v>45.0</v>
      </c>
      <c r="Y208" s="113">
        <v>55.0</v>
      </c>
      <c r="Z208" s="113" t="s">
        <v>99</v>
      </c>
      <c r="AA208" s="114">
        <f t="shared" si="243"/>
        <v>0.710701818</v>
      </c>
      <c r="AB208" s="115"/>
      <c r="AC208" s="239">
        <f t="shared" si="216"/>
        <v>0.6443107291</v>
      </c>
      <c r="AD208" s="240">
        <f t="shared" si="244"/>
        <v>0.6928072356</v>
      </c>
      <c r="AE208" s="239"/>
      <c r="AF208" s="239" t="str">
        <f t="shared" si="94"/>
        <v>#REF!</v>
      </c>
      <c r="AG208" s="210" t="str">
        <f t="shared" si="95"/>
        <v>#REF!</v>
      </c>
      <c r="AH208" s="120" t="str">
        <f t="shared" si="96"/>
        <v>#REF!</v>
      </c>
      <c r="AI208" s="121">
        <f t="shared" si="237"/>
        <v>0.1</v>
      </c>
      <c r="AJ208" s="121">
        <v>0.1</v>
      </c>
      <c r="AK208" s="122">
        <v>0.28200000000000003</v>
      </c>
      <c r="AL208" s="123">
        <f t="shared" si="11"/>
        <v>0.1816956256</v>
      </c>
      <c r="AM208" s="122" t="s">
        <v>10</v>
      </c>
      <c r="AN208" s="125">
        <f t="shared" si="295"/>
        <v>0.6443107291</v>
      </c>
      <c r="AO208" s="112">
        <f t="shared" si="219"/>
        <v>0.282</v>
      </c>
      <c r="AP208" s="127"/>
      <c r="AQ208" s="241">
        <f t="shared" ref="AQ208:AR208" si="359">BC208/(1-AI208)</f>
        <v>0.5511887433</v>
      </c>
      <c r="AR208" s="242">
        <f t="shared" si="359"/>
        <v>0.5140167816</v>
      </c>
      <c r="AS208" s="126">
        <f t="shared" si="221"/>
        <v>0.2244444444</v>
      </c>
      <c r="AT208" s="126">
        <f t="shared" si="222"/>
        <v>0.2022222222</v>
      </c>
      <c r="AU208" s="129"/>
      <c r="AV208" s="39" t="s">
        <v>797</v>
      </c>
      <c r="AW208" s="243">
        <v>0.024</v>
      </c>
      <c r="AX208" s="243">
        <v>2.924</v>
      </c>
      <c r="AY208" s="214"/>
      <c r="AZ208" s="243">
        <v>0.16</v>
      </c>
      <c r="BA208" s="244">
        <f t="shared" si="330"/>
        <v>3.248</v>
      </c>
      <c r="BB208" s="244">
        <f t="shared" si="322"/>
        <v>3.408</v>
      </c>
      <c r="BC208" s="245">
        <f t="shared" si="323"/>
        <v>0.496069869</v>
      </c>
      <c r="BD208" s="132">
        <f t="shared" si="249"/>
        <v>0.4626151035</v>
      </c>
      <c r="BE208" s="135" t="s">
        <v>895</v>
      </c>
      <c r="BF208" s="134" t="s">
        <v>576</v>
      </c>
      <c r="BG208" s="49"/>
      <c r="BH208" s="246">
        <f t="shared" si="324"/>
        <v>2.14770243</v>
      </c>
      <c r="BI208" s="246">
        <f t="shared" si="325"/>
        <v>1.288621458</v>
      </c>
      <c r="BJ208" s="246">
        <f t="shared" si="326"/>
        <v>1.073851215</v>
      </c>
      <c r="BK208" s="246">
        <f t="shared" si="327"/>
        <v>0.8590809721</v>
      </c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</row>
    <row r="209" ht="14.25" customHeight="1">
      <c r="A209" s="105" t="s">
        <v>84</v>
      </c>
      <c r="B209" s="103" t="s">
        <v>85</v>
      </c>
      <c r="C209" s="103" t="s">
        <v>120</v>
      </c>
      <c r="D209" s="105" t="s">
        <v>86</v>
      </c>
      <c r="E209" s="105" t="s">
        <v>788</v>
      </c>
      <c r="F209" s="105" t="s">
        <v>890</v>
      </c>
      <c r="G209" s="106" t="s">
        <v>581</v>
      </c>
      <c r="H209" s="110">
        <v>24.0</v>
      </c>
      <c r="I209" s="107"/>
      <c r="J209" s="220" t="s">
        <v>904</v>
      </c>
      <c r="K209" s="220" t="str">
        <f>_xlfn.XLOOKUP(J209,[1]Sheet1!$A:$A,[1]Sheet1!$B:$B,"")</f>
        <v>#ERROR!</v>
      </c>
      <c r="L209" s="105" t="s">
        <v>905</v>
      </c>
      <c r="M209" s="105" t="s">
        <v>906</v>
      </c>
      <c r="N209" s="110"/>
      <c r="O209" s="104" t="s">
        <v>95</v>
      </c>
      <c r="P209" s="110"/>
      <c r="Q209" s="103" t="s">
        <v>794</v>
      </c>
      <c r="R209" s="110" t="s">
        <v>795</v>
      </c>
      <c r="S209" s="110">
        <v>2240.0</v>
      </c>
      <c r="T209" s="111" t="s">
        <v>907</v>
      </c>
      <c r="U209" s="110" t="s">
        <v>796</v>
      </c>
      <c r="V209" s="112">
        <v>0.0</v>
      </c>
      <c r="W209" s="113">
        <v>50.0</v>
      </c>
      <c r="X209" s="113">
        <v>45.0</v>
      </c>
      <c r="Y209" s="113">
        <v>55.0</v>
      </c>
      <c r="Z209" s="113" t="s">
        <v>99</v>
      </c>
      <c r="AA209" s="114">
        <f t="shared" si="243"/>
        <v>1.054270259</v>
      </c>
      <c r="AB209" s="115"/>
      <c r="AC209" s="239">
        <f t="shared" si="216"/>
        <v>0.9533970282</v>
      </c>
      <c r="AD209" s="240">
        <f t="shared" si="244"/>
        <v>1.025158095</v>
      </c>
      <c r="AE209" s="239"/>
      <c r="AF209" s="239" t="str">
        <f t="shared" si="94"/>
        <v>#REF!</v>
      </c>
      <c r="AG209" s="210" t="str">
        <f t="shared" si="95"/>
        <v>#REF!</v>
      </c>
      <c r="AH209" s="120" t="str">
        <f t="shared" si="96"/>
        <v>#REF!</v>
      </c>
      <c r="AI209" s="121">
        <f t="shared" si="237"/>
        <v>0.1</v>
      </c>
      <c r="AJ209" s="121">
        <v>0.1</v>
      </c>
      <c r="AK209" s="122">
        <v>0.28200000000000003</v>
      </c>
      <c r="AL209" s="123">
        <f t="shared" si="11"/>
        <v>0.268857962</v>
      </c>
      <c r="AM209" s="122" t="s">
        <v>10</v>
      </c>
      <c r="AN209" s="125">
        <f t="shared" si="295"/>
        <v>0.9533970282</v>
      </c>
      <c r="AO209" s="112">
        <f t="shared" si="219"/>
        <v>0.282</v>
      </c>
      <c r="AP209" s="127"/>
      <c r="AQ209" s="241">
        <f t="shared" ref="AQ209:AR209" si="360">BC209/(1-AI209)</f>
        <v>0.8176451561</v>
      </c>
      <c r="AR209" s="242">
        <f t="shared" si="360"/>
        <v>0.7605989625</v>
      </c>
      <c r="AS209" s="126">
        <f t="shared" si="221"/>
        <v>0.2244444444</v>
      </c>
      <c r="AT209" s="126">
        <f t="shared" si="222"/>
        <v>0.2022222222</v>
      </c>
      <c r="AU209" s="129"/>
      <c r="AV209" s="39" t="s">
        <v>797</v>
      </c>
      <c r="AW209" s="243">
        <v>0.047</v>
      </c>
      <c r="AX209" s="243">
        <v>4.261</v>
      </c>
      <c r="AY209" s="214"/>
      <c r="AZ209" s="243">
        <v>0.16</v>
      </c>
      <c r="BA209" s="244">
        <f t="shared" si="330"/>
        <v>4.8955</v>
      </c>
      <c r="BB209" s="244">
        <f t="shared" si="322"/>
        <v>5.0555</v>
      </c>
      <c r="BC209" s="245">
        <f t="shared" si="323"/>
        <v>0.7358806405</v>
      </c>
      <c r="BD209" s="132">
        <f t="shared" si="249"/>
        <v>0.6845390662</v>
      </c>
      <c r="BE209" s="135" t="s">
        <v>895</v>
      </c>
      <c r="BF209" s="134" t="s">
        <v>576</v>
      </c>
      <c r="BG209" s="49"/>
      <c r="BH209" s="246">
        <f t="shared" si="324"/>
        <v>3.177990094</v>
      </c>
      <c r="BI209" s="246">
        <f t="shared" si="325"/>
        <v>1.906794056</v>
      </c>
      <c r="BJ209" s="246">
        <f t="shared" si="326"/>
        <v>1.588995047</v>
      </c>
      <c r="BK209" s="246">
        <f t="shared" si="327"/>
        <v>1.271196038</v>
      </c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</row>
    <row r="210" ht="14.25" customHeight="1">
      <c r="A210" s="105" t="s">
        <v>84</v>
      </c>
      <c r="B210" s="103" t="s">
        <v>85</v>
      </c>
      <c r="C210" s="103" t="s">
        <v>120</v>
      </c>
      <c r="D210" s="105" t="s">
        <v>86</v>
      </c>
      <c r="E210" s="105" t="s">
        <v>788</v>
      </c>
      <c r="F210" s="105" t="s">
        <v>890</v>
      </c>
      <c r="G210" s="106" t="s">
        <v>581</v>
      </c>
      <c r="H210" s="110">
        <v>24.0</v>
      </c>
      <c r="I210" s="107"/>
      <c r="J210" s="220" t="s">
        <v>908</v>
      </c>
      <c r="K210" s="220" t="str">
        <f>_xlfn.XLOOKUP(J210,[1]Sheet1!$A:$A,[1]Sheet1!$B:$B,"")</f>
        <v>#ERROR!</v>
      </c>
      <c r="L210" s="105" t="s">
        <v>909</v>
      </c>
      <c r="M210" s="105" t="s">
        <v>910</v>
      </c>
      <c r="N210" s="110"/>
      <c r="O210" s="104" t="s">
        <v>95</v>
      </c>
      <c r="P210" s="110"/>
      <c r="Q210" s="103" t="s">
        <v>794</v>
      </c>
      <c r="R210" s="110" t="s">
        <v>795</v>
      </c>
      <c r="S210" s="110">
        <v>1600.0</v>
      </c>
      <c r="T210" s="111" t="s">
        <v>911</v>
      </c>
      <c r="U210" s="110" t="s">
        <v>796</v>
      </c>
      <c r="V210" s="112">
        <v>0.0</v>
      </c>
      <c r="W210" s="113">
        <v>50.0</v>
      </c>
      <c r="X210" s="113">
        <v>45.0</v>
      </c>
      <c r="Y210" s="113">
        <v>55.0</v>
      </c>
      <c r="Z210" s="113" t="s">
        <v>99</v>
      </c>
      <c r="AA210" s="114">
        <f t="shared" si="243"/>
        <v>1.398881395</v>
      </c>
      <c r="AB210" s="115"/>
      <c r="AC210" s="239">
        <f t="shared" si="216"/>
        <v>1.269582432</v>
      </c>
      <c r="AD210" s="240">
        <f t="shared" si="244"/>
        <v>1.3651424</v>
      </c>
      <c r="AE210" s="239"/>
      <c r="AF210" s="239" t="str">
        <f t="shared" si="94"/>
        <v>#REF!</v>
      </c>
      <c r="AG210" s="210" t="str">
        <f t="shared" si="95"/>
        <v>#REF!</v>
      </c>
      <c r="AH210" s="120" t="str">
        <f t="shared" si="96"/>
        <v>#REF!</v>
      </c>
      <c r="AI210" s="121">
        <f t="shared" si="237"/>
        <v>0.1</v>
      </c>
      <c r="AJ210" s="121">
        <v>0.1</v>
      </c>
      <c r="AK210" s="122">
        <v>0.28200000000000003</v>
      </c>
      <c r="AL210" s="123">
        <f t="shared" si="11"/>
        <v>0.3580222458</v>
      </c>
      <c r="AM210" s="122" t="s">
        <v>10</v>
      </c>
      <c r="AN210" s="125">
        <f t="shared" si="295"/>
        <v>1.269582432</v>
      </c>
      <c r="AO210" s="112">
        <f t="shared" si="219"/>
        <v>0.282</v>
      </c>
      <c r="AP210" s="127"/>
      <c r="AQ210" s="241">
        <f t="shared" ref="AQ210:AR210" si="361">BC210/(1-AI210)</f>
        <v>1.084910238</v>
      </c>
      <c r="AR210" s="242">
        <f t="shared" si="361"/>
        <v>1.012844651</v>
      </c>
      <c r="AS210" s="126">
        <f t="shared" si="221"/>
        <v>0.2244444444</v>
      </c>
      <c r="AT210" s="126">
        <f t="shared" si="222"/>
        <v>0.2022222222</v>
      </c>
      <c r="AU210" s="129"/>
      <c r="AV210" s="39" t="s">
        <v>797</v>
      </c>
      <c r="AW210" s="243">
        <v>0.07</v>
      </c>
      <c r="AX210" s="243">
        <v>5.603</v>
      </c>
      <c r="AY210" s="214"/>
      <c r="AZ210" s="243">
        <v>0.16</v>
      </c>
      <c r="BA210" s="244">
        <f t="shared" si="330"/>
        <v>6.548</v>
      </c>
      <c r="BB210" s="244">
        <f t="shared" si="322"/>
        <v>6.708</v>
      </c>
      <c r="BC210" s="245">
        <f t="shared" si="323"/>
        <v>0.976419214</v>
      </c>
      <c r="BD210" s="132">
        <f t="shared" si="249"/>
        <v>0.9115601861</v>
      </c>
      <c r="BE210" s="135" t="s">
        <v>895</v>
      </c>
      <c r="BF210" s="134" t="s">
        <v>576</v>
      </c>
      <c r="BG210" s="49"/>
      <c r="BH210" s="246">
        <f t="shared" si="324"/>
        <v>4.231941439</v>
      </c>
      <c r="BI210" s="246">
        <f t="shared" si="325"/>
        <v>2.539164864</v>
      </c>
      <c r="BJ210" s="246">
        <f t="shared" si="326"/>
        <v>2.11597072</v>
      </c>
      <c r="BK210" s="246">
        <f t="shared" si="327"/>
        <v>1.692776576</v>
      </c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</row>
    <row r="211" ht="14.25" customHeight="1">
      <c r="A211" s="105" t="s">
        <v>84</v>
      </c>
      <c r="B211" s="103" t="s">
        <v>85</v>
      </c>
      <c r="C211" s="103" t="s">
        <v>120</v>
      </c>
      <c r="D211" s="105" t="s">
        <v>86</v>
      </c>
      <c r="E211" s="105" t="s">
        <v>788</v>
      </c>
      <c r="F211" s="105" t="s">
        <v>890</v>
      </c>
      <c r="G211" s="106" t="s">
        <v>581</v>
      </c>
      <c r="H211" s="110">
        <v>24.0</v>
      </c>
      <c r="I211" s="107"/>
      <c r="J211" s="220" t="s">
        <v>912</v>
      </c>
      <c r="K211" s="220" t="str">
        <f>_xlfn.XLOOKUP(J211,[1]Sheet1!$A:$A,[1]Sheet1!$B:$B,"")</f>
        <v>#ERROR!</v>
      </c>
      <c r="L211" s="105" t="s">
        <v>913</v>
      </c>
      <c r="M211" s="105" t="s">
        <v>914</v>
      </c>
      <c r="N211" s="110"/>
      <c r="O211" s="104" t="s">
        <v>95</v>
      </c>
      <c r="P211" s="110"/>
      <c r="Q211" s="103" t="s">
        <v>794</v>
      </c>
      <c r="R211" s="110" t="s">
        <v>795</v>
      </c>
      <c r="S211" s="110">
        <v>960.0</v>
      </c>
      <c r="T211" s="111" t="s">
        <v>915</v>
      </c>
      <c r="U211" s="110" t="s">
        <v>796</v>
      </c>
      <c r="V211" s="112">
        <v>0.0</v>
      </c>
      <c r="W211" s="113">
        <v>50.0</v>
      </c>
      <c r="X211" s="113">
        <v>45.0</v>
      </c>
      <c r="Y211" s="113">
        <v>55.0</v>
      </c>
      <c r="Z211" s="113" t="s">
        <v>99</v>
      </c>
      <c r="AA211" s="114">
        <f t="shared" si="243"/>
        <v>2.09634097</v>
      </c>
      <c r="AB211" s="115"/>
      <c r="AC211" s="239">
        <f t="shared" si="216"/>
        <v>1.917206811</v>
      </c>
      <c r="AD211" s="240">
        <f t="shared" si="244"/>
        <v>2.0615127</v>
      </c>
      <c r="AE211" s="239"/>
      <c r="AF211" s="239" t="str">
        <f t="shared" si="94"/>
        <v>#REF!</v>
      </c>
      <c r="AG211" s="210" t="str">
        <f t="shared" si="95"/>
        <v>#REF!</v>
      </c>
      <c r="AH211" s="120" t="str">
        <f t="shared" si="96"/>
        <v>#REF!</v>
      </c>
      <c r="AI211" s="121">
        <f t="shared" si="237"/>
        <v>0.1</v>
      </c>
      <c r="AJ211" s="121">
        <v>0.1</v>
      </c>
      <c r="AK211" s="122">
        <v>0.28200000000000003</v>
      </c>
      <c r="AL211" s="123">
        <f t="shared" si="11"/>
        <v>0.5406523207</v>
      </c>
      <c r="AM211" s="122" t="s">
        <v>10</v>
      </c>
      <c r="AN211" s="125">
        <f t="shared" si="295"/>
        <v>1.917206811</v>
      </c>
      <c r="AO211" s="112">
        <f t="shared" si="219"/>
        <v>0.282</v>
      </c>
      <c r="AP211" s="127"/>
      <c r="AQ211" s="241">
        <f t="shared" ref="AQ211:AR211" si="362">BC211/(1-AI211)</f>
        <v>1.625828886</v>
      </c>
      <c r="AR211" s="242">
        <f t="shared" si="362"/>
        <v>1.529504989</v>
      </c>
      <c r="AS211" s="126">
        <f t="shared" si="221"/>
        <v>0.2244444444</v>
      </c>
      <c r="AT211" s="126">
        <f t="shared" si="222"/>
        <v>0.2022222222</v>
      </c>
      <c r="AU211" s="129"/>
      <c r="AV211" s="39" t="s">
        <v>797</v>
      </c>
      <c r="AW211" s="243">
        <v>0.117</v>
      </c>
      <c r="AX211" s="243">
        <v>8.313</v>
      </c>
      <c r="AY211" s="214"/>
      <c r="AZ211" s="243">
        <v>0.16</v>
      </c>
      <c r="BA211" s="244">
        <f t="shared" si="330"/>
        <v>9.8925</v>
      </c>
      <c r="BB211" s="244">
        <f t="shared" si="322"/>
        <v>10.0525</v>
      </c>
      <c r="BC211" s="245">
        <f t="shared" si="323"/>
        <v>1.463245997</v>
      </c>
      <c r="BD211" s="132">
        <f t="shared" si="249"/>
        <v>1.37655449</v>
      </c>
      <c r="BE211" s="135" t="s">
        <v>895</v>
      </c>
      <c r="BF211" s="134" t="s">
        <v>576</v>
      </c>
      <c r="BG211" s="49"/>
      <c r="BH211" s="246">
        <f t="shared" si="324"/>
        <v>6.39068937</v>
      </c>
      <c r="BI211" s="246">
        <f t="shared" si="325"/>
        <v>3.834413622</v>
      </c>
      <c r="BJ211" s="246">
        <f t="shared" si="326"/>
        <v>3.195344685</v>
      </c>
      <c r="BK211" s="246">
        <f t="shared" si="327"/>
        <v>2.556275748</v>
      </c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</row>
    <row r="212" ht="14.25" customHeight="1">
      <c r="A212" s="105" t="s">
        <v>84</v>
      </c>
      <c r="B212" s="103" t="s">
        <v>85</v>
      </c>
      <c r="C212" s="103" t="s">
        <v>120</v>
      </c>
      <c r="D212" s="105" t="s">
        <v>86</v>
      </c>
      <c r="E212" s="105" t="s">
        <v>788</v>
      </c>
      <c r="F212" s="105" t="s">
        <v>890</v>
      </c>
      <c r="G212" s="106" t="s">
        <v>581</v>
      </c>
      <c r="H212" s="110">
        <v>24.0</v>
      </c>
      <c r="I212" s="107"/>
      <c r="J212" s="220" t="s">
        <v>916</v>
      </c>
      <c r="K212" s="220" t="str">
        <f>_xlfn.XLOOKUP(J212,[1]Sheet1!$A:$A,[1]Sheet1!$B:$B,"")</f>
        <v>#ERROR!</v>
      </c>
      <c r="L212" s="105" t="s">
        <v>917</v>
      </c>
      <c r="M212" s="105" t="s">
        <v>918</v>
      </c>
      <c r="N212" s="110"/>
      <c r="O212" s="104" t="s">
        <v>95</v>
      </c>
      <c r="P212" s="110"/>
      <c r="Q212" s="103" t="s">
        <v>794</v>
      </c>
      <c r="R212" s="110" t="s">
        <v>795</v>
      </c>
      <c r="S212" s="110">
        <v>640.0</v>
      </c>
      <c r="T212" s="111" t="s">
        <v>919</v>
      </c>
      <c r="U212" s="110" t="s">
        <v>796</v>
      </c>
      <c r="V212" s="112">
        <v>0.0</v>
      </c>
      <c r="W212" s="113">
        <v>50.0</v>
      </c>
      <c r="X212" s="113">
        <v>45.0</v>
      </c>
      <c r="Y212" s="113">
        <v>55.0</v>
      </c>
      <c r="Z212" s="113" t="s">
        <v>99</v>
      </c>
      <c r="AA212" s="114">
        <f t="shared" si="243"/>
        <v>3.777375992</v>
      </c>
      <c r="AB212" s="115"/>
      <c r="AC212" s="239">
        <f t="shared" si="216"/>
        <v>3.410798041</v>
      </c>
      <c r="AD212" s="240">
        <f t="shared" si="244"/>
        <v>3.667524775</v>
      </c>
      <c r="AE212" s="239"/>
      <c r="AF212" s="239" t="str">
        <f t="shared" si="94"/>
        <v>#REF!</v>
      </c>
      <c r="AG212" s="210" t="str">
        <f t="shared" si="95"/>
        <v>#REF!</v>
      </c>
      <c r="AH212" s="120" t="str">
        <f t="shared" si="96"/>
        <v>#REF!</v>
      </c>
      <c r="AI212" s="121">
        <f t="shared" si="237"/>
        <v>0.1</v>
      </c>
      <c r="AJ212" s="121">
        <v>0.1</v>
      </c>
      <c r="AK212" s="122">
        <v>0.28200000000000003</v>
      </c>
      <c r="AL212" s="123">
        <f t="shared" si="11"/>
        <v>0.9618450476</v>
      </c>
      <c r="AM212" s="122" t="s">
        <v>10</v>
      </c>
      <c r="AN212" s="125">
        <f t="shared" si="295"/>
        <v>3.410798041</v>
      </c>
      <c r="AO212" s="112">
        <f t="shared" si="219"/>
        <v>0.282</v>
      </c>
      <c r="AP212" s="127"/>
      <c r="AQ212" s="241">
        <f t="shared" ref="AQ212:AR212" si="363">BC212/(1-AI212)</f>
        <v>2.929564936</v>
      </c>
      <c r="AR212" s="242">
        <f t="shared" si="363"/>
        <v>2.721058882</v>
      </c>
      <c r="AS212" s="126">
        <f t="shared" si="221"/>
        <v>0.2244444444</v>
      </c>
      <c r="AT212" s="126">
        <f t="shared" si="222"/>
        <v>0.2022222222</v>
      </c>
      <c r="AU212" s="129"/>
      <c r="AV212" s="39" t="s">
        <v>797</v>
      </c>
      <c r="AW212" s="243">
        <v>0.233</v>
      </c>
      <c r="AX212" s="243">
        <v>14.808</v>
      </c>
      <c r="AY212" s="214"/>
      <c r="AZ212" s="243">
        <v>0.16</v>
      </c>
      <c r="BA212" s="244">
        <f t="shared" si="330"/>
        <v>17.9535</v>
      </c>
      <c r="BB212" s="244">
        <f t="shared" si="322"/>
        <v>18.1135</v>
      </c>
      <c r="BC212" s="245">
        <f t="shared" si="323"/>
        <v>2.636608443</v>
      </c>
      <c r="BD212" s="132">
        <f t="shared" si="249"/>
        <v>2.448952993</v>
      </c>
      <c r="BE212" s="135" t="s">
        <v>895</v>
      </c>
      <c r="BF212" s="134" t="s">
        <v>576</v>
      </c>
      <c r="BG212" s="49"/>
      <c r="BH212" s="246">
        <f t="shared" si="324"/>
        <v>11.3693268</v>
      </c>
      <c r="BI212" s="246">
        <f t="shared" si="325"/>
        <v>6.821596082</v>
      </c>
      <c r="BJ212" s="246">
        <f t="shared" si="326"/>
        <v>5.684663402</v>
      </c>
      <c r="BK212" s="246">
        <f t="shared" si="327"/>
        <v>4.547730721</v>
      </c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</row>
    <row r="213" ht="14.25" customHeight="1">
      <c r="A213" s="105" t="s">
        <v>84</v>
      </c>
      <c r="B213" s="103" t="s">
        <v>85</v>
      </c>
      <c r="C213" s="103" t="s">
        <v>120</v>
      </c>
      <c r="D213" s="105" t="s">
        <v>86</v>
      </c>
      <c r="E213" s="105" t="s">
        <v>788</v>
      </c>
      <c r="F213" s="105" t="s">
        <v>890</v>
      </c>
      <c r="G213" s="106" t="s">
        <v>581</v>
      </c>
      <c r="H213" s="110">
        <v>24.0</v>
      </c>
      <c r="I213" s="107"/>
      <c r="J213" s="220" t="s">
        <v>920</v>
      </c>
      <c r="K213" s="220" t="s">
        <v>921</v>
      </c>
      <c r="L213" s="105" t="s">
        <v>922</v>
      </c>
      <c r="M213" s="105" t="s">
        <v>923</v>
      </c>
      <c r="N213" s="110"/>
      <c r="O213" s="104" t="s">
        <v>95</v>
      </c>
      <c r="P213" s="110"/>
      <c r="Q213" s="103" t="s">
        <v>794</v>
      </c>
      <c r="R213" s="110" t="s">
        <v>795</v>
      </c>
      <c r="S213" s="110"/>
      <c r="T213" s="111"/>
      <c r="U213" s="110" t="s">
        <v>796</v>
      </c>
      <c r="V213" s="112">
        <v>0.0</v>
      </c>
      <c r="W213" s="113">
        <v>50.0</v>
      </c>
      <c r="X213" s="113">
        <v>45.0</v>
      </c>
      <c r="Y213" s="113">
        <v>55.0</v>
      </c>
      <c r="Z213" s="113" t="s">
        <v>99</v>
      </c>
      <c r="AA213" s="114">
        <f t="shared" si="243"/>
        <v>0</v>
      </c>
      <c r="AB213" s="115"/>
      <c r="AC213" s="239"/>
      <c r="AD213" s="240">
        <f t="shared" si="244"/>
        <v>0</v>
      </c>
      <c r="AE213" s="239"/>
      <c r="AF213" s="239" t="str">
        <f t="shared" si="94"/>
        <v>#REF!</v>
      </c>
      <c r="AG213" s="210" t="str">
        <f t="shared" si="95"/>
        <v>#REF!</v>
      </c>
      <c r="AH213" s="120" t="str">
        <f t="shared" si="96"/>
        <v>#REF!</v>
      </c>
      <c r="AI213" s="121">
        <f t="shared" si="237"/>
        <v>0.1</v>
      </c>
      <c r="AJ213" s="121">
        <v>0.1</v>
      </c>
      <c r="AK213" s="122">
        <v>0.28200000000000003</v>
      </c>
      <c r="AL213" s="123">
        <f t="shared" si="11"/>
        <v>0</v>
      </c>
      <c r="AM213" s="122" t="s">
        <v>10</v>
      </c>
      <c r="AN213" s="125"/>
      <c r="AO213" s="112"/>
      <c r="AP213" s="127"/>
      <c r="AQ213" s="241"/>
      <c r="AR213" s="242"/>
      <c r="AS213" s="126"/>
      <c r="AT213" s="126"/>
      <c r="AU213" s="129"/>
      <c r="AV213" s="39" t="s">
        <v>797</v>
      </c>
      <c r="AW213" s="243"/>
      <c r="AX213" s="243"/>
      <c r="AY213" s="214"/>
      <c r="AZ213" s="243"/>
      <c r="BA213" s="244"/>
      <c r="BB213" s="244"/>
      <c r="BC213" s="245"/>
      <c r="BD213" s="132"/>
      <c r="BE213" s="135" t="s">
        <v>895</v>
      </c>
      <c r="BF213" s="134" t="s">
        <v>576</v>
      </c>
      <c r="BG213" s="49"/>
      <c r="BH213" s="246">
        <f t="shared" si="324"/>
        <v>0</v>
      </c>
      <c r="BI213" s="246">
        <f t="shared" si="325"/>
        <v>0</v>
      </c>
      <c r="BJ213" s="246">
        <f t="shared" si="326"/>
        <v>0</v>
      </c>
      <c r="BK213" s="246">
        <f t="shared" si="327"/>
        <v>0</v>
      </c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</row>
    <row r="214" ht="14.25" customHeight="1">
      <c r="A214" s="105" t="s">
        <v>84</v>
      </c>
      <c r="B214" s="103" t="s">
        <v>85</v>
      </c>
      <c r="C214" s="103" t="s">
        <v>120</v>
      </c>
      <c r="D214" s="105" t="s">
        <v>86</v>
      </c>
      <c r="E214" s="105" t="s">
        <v>788</v>
      </c>
      <c r="F214" s="105" t="s">
        <v>890</v>
      </c>
      <c r="G214" s="106" t="s">
        <v>581</v>
      </c>
      <c r="H214" s="110">
        <v>24.0</v>
      </c>
      <c r="I214" s="107"/>
      <c r="J214" s="220" t="s">
        <v>924</v>
      </c>
      <c r="K214" s="220" t="s">
        <v>925</v>
      </c>
      <c r="L214" s="105" t="s">
        <v>926</v>
      </c>
      <c r="M214" s="105" t="s">
        <v>927</v>
      </c>
      <c r="N214" s="110"/>
      <c r="O214" s="104" t="s">
        <v>95</v>
      </c>
      <c r="P214" s="110"/>
      <c r="Q214" s="103" t="s">
        <v>794</v>
      </c>
      <c r="R214" s="110" t="s">
        <v>795</v>
      </c>
      <c r="S214" s="110"/>
      <c r="T214" s="111"/>
      <c r="U214" s="110" t="s">
        <v>796</v>
      </c>
      <c r="V214" s="112">
        <v>0.0</v>
      </c>
      <c r="W214" s="113">
        <v>50.0</v>
      </c>
      <c r="X214" s="113">
        <v>45.0</v>
      </c>
      <c r="Y214" s="113">
        <v>55.0</v>
      </c>
      <c r="Z214" s="113" t="s">
        <v>99</v>
      </c>
      <c r="AA214" s="114">
        <f t="shared" si="243"/>
        <v>0</v>
      </c>
      <c r="AB214" s="115"/>
      <c r="AC214" s="239"/>
      <c r="AD214" s="240">
        <f t="shared" si="244"/>
        <v>0</v>
      </c>
      <c r="AE214" s="239"/>
      <c r="AF214" s="239" t="str">
        <f t="shared" si="94"/>
        <v>#REF!</v>
      </c>
      <c r="AG214" s="210" t="str">
        <f t="shared" si="95"/>
        <v>#REF!</v>
      </c>
      <c r="AH214" s="120" t="str">
        <f t="shared" si="96"/>
        <v>#REF!</v>
      </c>
      <c r="AI214" s="121">
        <f t="shared" si="237"/>
        <v>0.1</v>
      </c>
      <c r="AJ214" s="121">
        <v>0.1</v>
      </c>
      <c r="AK214" s="122">
        <v>0.28200000000000003</v>
      </c>
      <c r="AL214" s="123">
        <f t="shared" si="11"/>
        <v>0</v>
      </c>
      <c r="AM214" s="122" t="s">
        <v>10</v>
      </c>
      <c r="AN214" s="125"/>
      <c r="AO214" s="112"/>
      <c r="AP214" s="127"/>
      <c r="AQ214" s="241"/>
      <c r="AR214" s="242"/>
      <c r="AS214" s="126"/>
      <c r="AT214" s="126"/>
      <c r="AU214" s="129"/>
      <c r="AV214" s="39" t="s">
        <v>797</v>
      </c>
      <c r="AW214" s="243"/>
      <c r="AX214" s="243"/>
      <c r="AY214" s="214"/>
      <c r="AZ214" s="243"/>
      <c r="BA214" s="244"/>
      <c r="BB214" s="244"/>
      <c r="BC214" s="245"/>
      <c r="BD214" s="132"/>
      <c r="BE214" s="135" t="s">
        <v>895</v>
      </c>
      <c r="BF214" s="134" t="s">
        <v>576</v>
      </c>
      <c r="BG214" s="49"/>
      <c r="BH214" s="246">
        <f t="shared" si="324"/>
        <v>0</v>
      </c>
      <c r="BI214" s="246">
        <f t="shared" si="325"/>
        <v>0</v>
      </c>
      <c r="BJ214" s="246">
        <f t="shared" si="326"/>
        <v>0</v>
      </c>
      <c r="BK214" s="246">
        <f t="shared" si="327"/>
        <v>0</v>
      </c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</row>
    <row r="215" ht="14.25" customHeight="1">
      <c r="A215" s="105" t="s">
        <v>84</v>
      </c>
      <c r="B215" s="103" t="s">
        <v>85</v>
      </c>
      <c r="C215" s="103" t="s">
        <v>85</v>
      </c>
      <c r="D215" s="105" t="s">
        <v>86</v>
      </c>
      <c r="E215" s="105" t="s">
        <v>788</v>
      </c>
      <c r="F215" s="105" t="s">
        <v>890</v>
      </c>
      <c r="G215" s="106" t="s">
        <v>581</v>
      </c>
      <c r="H215" s="110">
        <v>28.0</v>
      </c>
      <c r="I215" s="107"/>
      <c r="J215" s="220" t="s">
        <v>928</v>
      </c>
      <c r="K215" s="220" t="str">
        <f>_xlfn.XLOOKUP(J215,[1]Sheet1!$A:$A,[1]Sheet1!$B:$B,"")</f>
        <v>#ERROR!</v>
      </c>
      <c r="L215" s="105" t="s">
        <v>929</v>
      </c>
      <c r="M215" s="105" t="s">
        <v>930</v>
      </c>
      <c r="N215" s="110" t="s">
        <v>931</v>
      </c>
      <c r="O215" s="104" t="s">
        <v>95</v>
      </c>
      <c r="P215" s="110"/>
      <c r="Q215" s="103" t="s">
        <v>794</v>
      </c>
      <c r="R215" s="110" t="s">
        <v>795</v>
      </c>
      <c r="S215" s="110">
        <v>4800.0</v>
      </c>
      <c r="T215" s="111" t="e">
        <v>#N/A</v>
      </c>
      <c r="U215" s="106" t="s">
        <v>796</v>
      </c>
      <c r="V215" s="112">
        <v>0.0</v>
      </c>
      <c r="W215" s="113">
        <v>50.0</v>
      </c>
      <c r="X215" s="113">
        <v>45.0</v>
      </c>
      <c r="Y215" s="113">
        <v>55.0</v>
      </c>
      <c r="Z215" s="113" t="s">
        <v>99</v>
      </c>
      <c r="AA215" s="114">
        <f t="shared" si="243"/>
        <v>0.5161168434</v>
      </c>
      <c r="AB215" s="115"/>
      <c r="AC215" s="239">
        <f t="shared" ref="AC215:AC263" si="365">BD215/(1-AK215)</f>
        <v>0.4657849173</v>
      </c>
      <c r="AD215" s="240">
        <f t="shared" si="244"/>
        <v>0.5008439971</v>
      </c>
      <c r="AE215" s="239"/>
      <c r="AF215" s="239" t="str">
        <f t="shared" si="94"/>
        <v>#REF!</v>
      </c>
      <c r="AG215" s="210" t="str">
        <f t="shared" si="95"/>
        <v>#REF!</v>
      </c>
      <c r="AH215" s="120" t="str">
        <f t="shared" si="96"/>
        <v>#REF!</v>
      </c>
      <c r="AI215" s="121">
        <f t="shared" si="237"/>
        <v>0.1</v>
      </c>
      <c r="AJ215" s="121">
        <v>0.1</v>
      </c>
      <c r="AK215" s="122">
        <v>0.302</v>
      </c>
      <c r="AL215" s="123">
        <f t="shared" si="11"/>
        <v>0.140667045</v>
      </c>
      <c r="AM215" s="122" t="s">
        <v>10</v>
      </c>
      <c r="AN215" s="125">
        <f t="shared" ref="AN215:AN263" si="366">AC215</f>
        <v>0.4657849173</v>
      </c>
      <c r="AO215" s="112">
        <f t="shared" ref="AO215:AO246" si="367">1-(BD215/AN215)</f>
        <v>0.302</v>
      </c>
      <c r="AP215" s="127"/>
      <c r="AQ215" s="241">
        <f t="shared" ref="AQ215:AR215" si="364">BC215/(1-AI215)</f>
        <v>0.388808022</v>
      </c>
      <c r="AR215" s="242">
        <f t="shared" si="364"/>
        <v>0.3612420803</v>
      </c>
      <c r="AS215" s="126">
        <f t="shared" ref="AS215:AS263" si="369">1-(AQ215/AA215)</f>
        <v>0.2466666667</v>
      </c>
      <c r="AT215" s="126">
        <f t="shared" ref="AT215:AT263" si="370">1-(AR215/AC215)</f>
        <v>0.2244444444</v>
      </c>
      <c r="AU215" s="129"/>
      <c r="AV215" s="39" t="s">
        <v>932</v>
      </c>
      <c r="AW215" s="243">
        <v>0.004</v>
      </c>
      <c r="AX215" s="243">
        <v>2.19</v>
      </c>
      <c r="AY215" s="214"/>
      <c r="AZ215" s="243">
        <v>0.16</v>
      </c>
      <c r="BA215" s="244">
        <f t="shared" ref="BA215:BA246" si="371">($F$2-70000)/2000*AW215+AX215</f>
        <v>2.244</v>
      </c>
      <c r="BB215" s="244">
        <f t="shared" ref="BB215:BB247" si="372">AZ215+BA215</f>
        <v>2.404</v>
      </c>
      <c r="BC215" s="245">
        <f t="shared" ref="BC215:BC247" si="373">(AZ215+BA215)/$F$5</f>
        <v>0.3499272198</v>
      </c>
      <c r="BD215" s="132">
        <f t="shared" ref="BD215:BD247" si="374">(BC215/$F$6)+(($F$9+$G$9)/40/S215)+BC215*V215</f>
        <v>0.3251178723</v>
      </c>
      <c r="BE215" s="135" t="s">
        <v>933</v>
      </c>
      <c r="BF215" s="134" t="s">
        <v>576</v>
      </c>
      <c r="BG215" s="49"/>
      <c r="BH215" s="246">
        <f t="shared" si="324"/>
        <v>1.552616391</v>
      </c>
      <c r="BI215" s="246">
        <f t="shared" si="325"/>
        <v>0.9315698346</v>
      </c>
      <c r="BJ215" s="246">
        <f t="shared" si="326"/>
        <v>0.7763081955</v>
      </c>
      <c r="BK215" s="246">
        <f t="shared" si="327"/>
        <v>0.6210465564</v>
      </c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</row>
    <row r="216" ht="14.25" customHeight="1">
      <c r="A216" s="105" t="s">
        <v>84</v>
      </c>
      <c r="B216" s="103" t="s">
        <v>85</v>
      </c>
      <c r="C216" s="103" t="s">
        <v>85</v>
      </c>
      <c r="D216" s="105" t="s">
        <v>86</v>
      </c>
      <c r="E216" s="105" t="s">
        <v>788</v>
      </c>
      <c r="F216" s="105" t="s">
        <v>890</v>
      </c>
      <c r="G216" s="106" t="s">
        <v>581</v>
      </c>
      <c r="H216" s="110">
        <v>28.0</v>
      </c>
      <c r="I216" s="107"/>
      <c r="J216" s="220" t="s">
        <v>934</v>
      </c>
      <c r="K216" s="220" t="str">
        <f>_xlfn.XLOOKUP(J216,[1]Sheet1!$A:$A,[1]Sheet1!$B:$B,"")</f>
        <v>#ERROR!</v>
      </c>
      <c r="L216" s="105" t="s">
        <v>935</v>
      </c>
      <c r="M216" s="105" t="s">
        <v>936</v>
      </c>
      <c r="N216" s="110" t="s">
        <v>931</v>
      </c>
      <c r="O216" s="104" t="s">
        <v>95</v>
      </c>
      <c r="P216" s="110"/>
      <c r="Q216" s="103" t="s">
        <v>794</v>
      </c>
      <c r="R216" s="110" t="s">
        <v>795</v>
      </c>
      <c r="S216" s="110">
        <v>4800.0</v>
      </c>
      <c r="T216" s="111" t="e">
        <v>#N/A</v>
      </c>
      <c r="U216" s="106" t="s">
        <v>796</v>
      </c>
      <c r="V216" s="112">
        <v>0.0</v>
      </c>
      <c r="W216" s="113">
        <v>50.0</v>
      </c>
      <c r="X216" s="113">
        <v>45.0</v>
      </c>
      <c r="Y216" s="113">
        <v>55.0</v>
      </c>
      <c r="Z216" s="113" t="s">
        <v>99</v>
      </c>
      <c r="AA216" s="114">
        <f t="shared" si="243"/>
        <v>0.5776257766</v>
      </c>
      <c r="AB216" s="115"/>
      <c r="AC216" s="239">
        <f t="shared" si="365"/>
        <v>0.5177383953</v>
      </c>
      <c r="AD216" s="240">
        <f t="shared" si="244"/>
        <v>0.5567079519</v>
      </c>
      <c r="AE216" s="239"/>
      <c r="AF216" s="239" t="str">
        <f t="shared" si="94"/>
        <v>#REF!</v>
      </c>
      <c r="AG216" s="210" t="str">
        <f t="shared" si="95"/>
        <v>#REF!</v>
      </c>
      <c r="AH216" s="120" t="str">
        <f t="shared" si="96"/>
        <v>#REF!</v>
      </c>
      <c r="AI216" s="121">
        <f t="shared" si="237"/>
        <v>0.1</v>
      </c>
      <c r="AJ216" s="121">
        <v>0.1</v>
      </c>
      <c r="AK216" s="122">
        <v>0.302</v>
      </c>
      <c r="AL216" s="123">
        <f t="shared" si="11"/>
        <v>0.1563569954</v>
      </c>
      <c r="AM216" s="122" t="s">
        <v>10</v>
      </c>
      <c r="AN216" s="125">
        <f t="shared" si="366"/>
        <v>0.5177383953</v>
      </c>
      <c r="AO216" s="112">
        <f t="shared" si="367"/>
        <v>0.302</v>
      </c>
      <c r="AP216" s="127"/>
      <c r="AQ216" s="241">
        <f t="shared" ref="AQ216:AR216" si="368">BC216/(1-AI216)</f>
        <v>0.4351447517</v>
      </c>
      <c r="AR216" s="242">
        <f t="shared" si="368"/>
        <v>0.4015348888</v>
      </c>
      <c r="AS216" s="126">
        <f t="shared" si="369"/>
        <v>0.2466666667</v>
      </c>
      <c r="AT216" s="126">
        <f t="shared" si="370"/>
        <v>0.2244444444</v>
      </c>
      <c r="AU216" s="129"/>
      <c r="AV216" s="39" t="s">
        <v>932</v>
      </c>
      <c r="AW216" s="243">
        <v>0.007</v>
      </c>
      <c r="AX216" s="243">
        <v>2.436</v>
      </c>
      <c r="AY216" s="214"/>
      <c r="AZ216" s="243">
        <v>0.16</v>
      </c>
      <c r="BA216" s="244">
        <f t="shared" si="371"/>
        <v>2.5305</v>
      </c>
      <c r="BB216" s="244">
        <f t="shared" si="372"/>
        <v>2.6905</v>
      </c>
      <c r="BC216" s="245">
        <f t="shared" si="373"/>
        <v>0.3916302766</v>
      </c>
      <c r="BD216" s="132">
        <f t="shared" si="374"/>
        <v>0.3613813999</v>
      </c>
      <c r="BE216" s="135" t="s">
        <v>933</v>
      </c>
      <c r="BF216" s="134" t="s">
        <v>576</v>
      </c>
      <c r="BG216" s="49"/>
      <c r="BH216" s="246">
        <f t="shared" si="324"/>
        <v>1.725794651</v>
      </c>
      <c r="BI216" s="246">
        <f t="shared" si="325"/>
        <v>1.035476791</v>
      </c>
      <c r="BJ216" s="246">
        <f t="shared" si="326"/>
        <v>0.8628973255</v>
      </c>
      <c r="BK216" s="246">
        <f t="shared" si="327"/>
        <v>0.6903178604</v>
      </c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</row>
    <row r="217" ht="14.25" customHeight="1">
      <c r="A217" s="105" t="s">
        <v>84</v>
      </c>
      <c r="B217" s="103" t="s">
        <v>85</v>
      </c>
      <c r="C217" s="103" t="s">
        <v>85</v>
      </c>
      <c r="D217" s="105" t="s">
        <v>86</v>
      </c>
      <c r="E217" s="105" t="s">
        <v>788</v>
      </c>
      <c r="F217" s="105" t="s">
        <v>890</v>
      </c>
      <c r="G217" s="106" t="s">
        <v>581</v>
      </c>
      <c r="H217" s="110">
        <v>28.0</v>
      </c>
      <c r="I217" s="107"/>
      <c r="J217" s="220" t="s">
        <v>937</v>
      </c>
      <c r="K217" s="220" t="str">
        <f>_xlfn.XLOOKUP(J217,[1]Sheet1!$A:$A,[1]Sheet1!$B:$B,"")</f>
        <v>#ERROR!</v>
      </c>
      <c r="L217" s="105" t="s">
        <v>938</v>
      </c>
      <c r="M217" s="105" t="s">
        <v>939</v>
      </c>
      <c r="N217" s="110" t="s">
        <v>931</v>
      </c>
      <c r="O217" s="104" t="s">
        <v>95</v>
      </c>
      <c r="P217" s="110"/>
      <c r="Q217" s="103" t="s">
        <v>794</v>
      </c>
      <c r="R217" s="110" t="s">
        <v>795</v>
      </c>
      <c r="S217" s="110">
        <v>3200.0</v>
      </c>
      <c r="T217" s="111" t="e">
        <v>#N/A</v>
      </c>
      <c r="U217" s="106" t="s">
        <v>796</v>
      </c>
      <c r="V217" s="112">
        <v>0.0</v>
      </c>
      <c r="W217" s="113">
        <v>50.0</v>
      </c>
      <c r="X217" s="113">
        <v>45.0</v>
      </c>
      <c r="Y217" s="113">
        <v>55.0</v>
      </c>
      <c r="Z217" s="113" t="s">
        <v>99</v>
      </c>
      <c r="AA217" s="114">
        <f t="shared" si="243"/>
        <v>0.72586982</v>
      </c>
      <c r="AB217" s="115"/>
      <c r="AC217" s="239">
        <f t="shared" si="365"/>
        <v>0.6578762153</v>
      </c>
      <c r="AD217" s="240">
        <f t="shared" si="244"/>
        <v>0.7073937799</v>
      </c>
      <c r="AE217" s="239"/>
      <c r="AF217" s="239" t="str">
        <f t="shared" si="94"/>
        <v>#REF!</v>
      </c>
      <c r="AG217" s="210" t="str">
        <f t="shared" si="95"/>
        <v>#REF!</v>
      </c>
      <c r="AH217" s="120" t="str">
        <f t="shared" si="96"/>
        <v>#REF!</v>
      </c>
      <c r="AI217" s="121">
        <f t="shared" si="237"/>
        <v>0.1</v>
      </c>
      <c r="AJ217" s="121">
        <v>0.1</v>
      </c>
      <c r="AK217" s="122">
        <v>0.302</v>
      </c>
      <c r="AL217" s="123">
        <f t="shared" si="11"/>
        <v>0.198678617</v>
      </c>
      <c r="AM217" s="122" t="s">
        <v>10</v>
      </c>
      <c r="AN217" s="125">
        <f t="shared" si="366"/>
        <v>0.6578762153</v>
      </c>
      <c r="AO217" s="112">
        <f t="shared" si="367"/>
        <v>0.302</v>
      </c>
      <c r="AP217" s="127"/>
      <c r="AQ217" s="241">
        <f t="shared" ref="AQ217:AR217" si="375">BC217/(1-AI217)</f>
        <v>0.5468219311</v>
      </c>
      <c r="AR217" s="242">
        <f t="shared" si="375"/>
        <v>0.5102195536</v>
      </c>
      <c r="AS217" s="126">
        <f t="shared" si="369"/>
        <v>0.2466666667</v>
      </c>
      <c r="AT217" s="126">
        <f t="shared" si="370"/>
        <v>0.2244444444</v>
      </c>
      <c r="AU217" s="129"/>
      <c r="AV217" s="39" t="s">
        <v>932</v>
      </c>
      <c r="AW217" s="243">
        <v>0.014</v>
      </c>
      <c r="AX217" s="243">
        <v>3.032</v>
      </c>
      <c r="AY217" s="214"/>
      <c r="AZ217" s="243">
        <v>0.16</v>
      </c>
      <c r="BA217" s="244">
        <f t="shared" si="371"/>
        <v>3.221</v>
      </c>
      <c r="BB217" s="244">
        <f t="shared" si="372"/>
        <v>3.381</v>
      </c>
      <c r="BC217" s="245">
        <f t="shared" si="373"/>
        <v>0.492139738</v>
      </c>
      <c r="BD217" s="132">
        <f t="shared" si="374"/>
        <v>0.4591975983</v>
      </c>
      <c r="BE217" s="135" t="s">
        <v>933</v>
      </c>
      <c r="BF217" s="134" t="s">
        <v>576</v>
      </c>
      <c r="BG217" s="49"/>
      <c r="BH217" s="246">
        <f t="shared" si="324"/>
        <v>2.192920718</v>
      </c>
      <c r="BI217" s="246">
        <f t="shared" si="325"/>
        <v>1.315752431</v>
      </c>
      <c r="BJ217" s="246">
        <f t="shared" si="326"/>
        <v>1.096460359</v>
      </c>
      <c r="BK217" s="246">
        <f t="shared" si="327"/>
        <v>0.877168287</v>
      </c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</row>
    <row r="218" ht="14.25" customHeight="1">
      <c r="A218" s="105" t="s">
        <v>84</v>
      </c>
      <c r="B218" s="103" t="s">
        <v>85</v>
      </c>
      <c r="C218" s="103" t="s">
        <v>85</v>
      </c>
      <c r="D218" s="105" t="s">
        <v>86</v>
      </c>
      <c r="E218" s="105" t="s">
        <v>788</v>
      </c>
      <c r="F218" s="105" t="s">
        <v>890</v>
      </c>
      <c r="G218" s="106" t="s">
        <v>581</v>
      </c>
      <c r="H218" s="110">
        <v>28.0</v>
      </c>
      <c r="I218" s="107"/>
      <c r="J218" s="220" t="s">
        <v>940</v>
      </c>
      <c r="K218" s="220" t="str">
        <f>_xlfn.XLOOKUP(J218,[1]Sheet1!$A:$A,[1]Sheet1!$B:$B,"")</f>
        <v>#ERROR!</v>
      </c>
      <c r="L218" s="105" t="s">
        <v>941</v>
      </c>
      <c r="M218" s="105" t="s">
        <v>942</v>
      </c>
      <c r="N218" s="110" t="s">
        <v>931</v>
      </c>
      <c r="O218" s="104" t="s">
        <v>95</v>
      </c>
      <c r="P218" s="110"/>
      <c r="Q218" s="103" t="s">
        <v>794</v>
      </c>
      <c r="R218" s="110" t="s">
        <v>795</v>
      </c>
      <c r="S218" s="110">
        <v>2240.0</v>
      </c>
      <c r="T218" s="111" t="e">
        <v>#N/A</v>
      </c>
      <c r="U218" s="106" t="s">
        <v>796</v>
      </c>
      <c r="V218" s="112">
        <v>0.0</v>
      </c>
      <c r="W218" s="113">
        <v>50.0</v>
      </c>
      <c r="X218" s="113">
        <v>45.0</v>
      </c>
      <c r="Y218" s="113">
        <v>55.0</v>
      </c>
      <c r="Z218" s="113" t="s">
        <v>99</v>
      </c>
      <c r="AA218" s="114">
        <f t="shared" si="243"/>
        <v>1.032126341</v>
      </c>
      <c r="AB218" s="115"/>
      <c r="AC218" s="239">
        <f t="shared" si="365"/>
        <v>0.9357430486</v>
      </c>
      <c r="AD218" s="240">
        <f t="shared" si="244"/>
        <v>1.006175321</v>
      </c>
      <c r="AE218" s="239"/>
      <c r="AF218" s="239" t="str">
        <f t="shared" si="94"/>
        <v>#REF!</v>
      </c>
      <c r="AG218" s="210" t="str">
        <f t="shared" si="95"/>
        <v>#REF!</v>
      </c>
      <c r="AH218" s="120" t="str">
        <f t="shared" si="96"/>
        <v>#REF!</v>
      </c>
      <c r="AI218" s="121">
        <f t="shared" si="237"/>
        <v>0.1</v>
      </c>
      <c r="AJ218" s="121">
        <v>0.1</v>
      </c>
      <c r="AK218" s="122">
        <v>0.302</v>
      </c>
      <c r="AL218" s="123">
        <f t="shared" si="11"/>
        <v>0.2825944007</v>
      </c>
      <c r="AM218" s="122" t="s">
        <v>10</v>
      </c>
      <c r="AN218" s="125">
        <f t="shared" si="366"/>
        <v>0.9357430486</v>
      </c>
      <c r="AO218" s="112">
        <f t="shared" si="367"/>
        <v>0.302</v>
      </c>
      <c r="AP218" s="127"/>
      <c r="AQ218" s="241">
        <f t="shared" ref="AQ218:AR218" si="376">BC218/(1-AI218)</f>
        <v>0.7775351771</v>
      </c>
      <c r="AR218" s="242">
        <f t="shared" si="376"/>
        <v>0.7257207199</v>
      </c>
      <c r="AS218" s="126">
        <f t="shared" si="369"/>
        <v>0.2466666667</v>
      </c>
      <c r="AT218" s="126">
        <f t="shared" si="370"/>
        <v>0.2244444444</v>
      </c>
      <c r="AU218" s="129"/>
      <c r="AV218" s="39" t="s">
        <v>932</v>
      </c>
      <c r="AW218" s="243">
        <v>0.027</v>
      </c>
      <c r="AX218" s="243">
        <v>4.283</v>
      </c>
      <c r="AY218" s="214"/>
      <c r="AZ218" s="243">
        <v>0.16</v>
      </c>
      <c r="BA218" s="244">
        <f t="shared" si="371"/>
        <v>4.6475</v>
      </c>
      <c r="BB218" s="244">
        <f t="shared" si="372"/>
        <v>4.8075</v>
      </c>
      <c r="BC218" s="245">
        <f t="shared" si="373"/>
        <v>0.6997816594</v>
      </c>
      <c r="BD218" s="132">
        <f t="shared" si="374"/>
        <v>0.6531486479</v>
      </c>
      <c r="BE218" s="135" t="s">
        <v>933</v>
      </c>
      <c r="BF218" s="134" t="s">
        <v>576</v>
      </c>
      <c r="BG218" s="49"/>
      <c r="BH218" s="246">
        <f t="shared" si="324"/>
        <v>3.119143495</v>
      </c>
      <c r="BI218" s="246">
        <f t="shared" si="325"/>
        <v>1.871486097</v>
      </c>
      <c r="BJ218" s="246">
        <f t="shared" si="326"/>
        <v>1.559571748</v>
      </c>
      <c r="BK218" s="246">
        <f t="shared" si="327"/>
        <v>1.247657398</v>
      </c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</row>
    <row r="219" ht="14.25" customHeight="1">
      <c r="A219" s="105" t="s">
        <v>84</v>
      </c>
      <c r="B219" s="103" t="s">
        <v>85</v>
      </c>
      <c r="C219" s="103" t="s">
        <v>85</v>
      </c>
      <c r="D219" s="105" t="s">
        <v>86</v>
      </c>
      <c r="E219" s="105" t="s">
        <v>788</v>
      </c>
      <c r="F219" s="105" t="s">
        <v>890</v>
      </c>
      <c r="G219" s="106" t="s">
        <v>581</v>
      </c>
      <c r="H219" s="110">
        <v>28.0</v>
      </c>
      <c r="I219" s="107"/>
      <c r="J219" s="220" t="s">
        <v>943</v>
      </c>
      <c r="K219" s="220" t="str">
        <f>_xlfn.XLOOKUP(J219,[1]Sheet1!$A:$A,[1]Sheet1!$B:$B,"")</f>
        <v>#ERROR!</v>
      </c>
      <c r="L219" s="105" t="s">
        <v>944</v>
      </c>
      <c r="M219" s="105" t="s">
        <v>945</v>
      </c>
      <c r="N219" s="110" t="s">
        <v>931</v>
      </c>
      <c r="O219" s="104" t="s">
        <v>95</v>
      </c>
      <c r="P219" s="110"/>
      <c r="Q219" s="103" t="s">
        <v>794</v>
      </c>
      <c r="R219" s="110" t="s">
        <v>795</v>
      </c>
      <c r="S219" s="110">
        <v>1600.0</v>
      </c>
      <c r="T219" s="111" t="e">
        <v>#N/A</v>
      </c>
      <c r="U219" s="106" t="s">
        <v>796</v>
      </c>
      <c r="V219" s="112">
        <v>0.0</v>
      </c>
      <c r="W219" s="113">
        <v>50.0</v>
      </c>
      <c r="X219" s="113">
        <v>45.0</v>
      </c>
      <c r="Y219" s="113">
        <v>55.0</v>
      </c>
      <c r="Z219" s="113" t="s">
        <v>99</v>
      </c>
      <c r="AA219" s="114">
        <f t="shared" si="243"/>
        <v>1.327755665</v>
      </c>
      <c r="AB219" s="115"/>
      <c r="AC219" s="239">
        <f t="shared" si="365"/>
        <v>1.211029451</v>
      </c>
      <c r="AD219" s="240">
        <f t="shared" si="244"/>
        <v>1.302182206</v>
      </c>
      <c r="AE219" s="239"/>
      <c r="AF219" s="239" t="str">
        <f t="shared" si="94"/>
        <v>#REF!</v>
      </c>
      <c r="AG219" s="210" t="str">
        <f t="shared" si="95"/>
        <v>#REF!</v>
      </c>
      <c r="AH219" s="120" t="str">
        <f t="shared" si="96"/>
        <v>#REF!</v>
      </c>
      <c r="AI219" s="121">
        <f t="shared" si="237"/>
        <v>0.1</v>
      </c>
      <c r="AJ219" s="121">
        <v>0.1</v>
      </c>
      <c r="AK219" s="122">
        <v>0.302</v>
      </c>
      <c r="AL219" s="123">
        <f t="shared" si="11"/>
        <v>0.3657308943</v>
      </c>
      <c r="AM219" s="122" t="s">
        <v>10</v>
      </c>
      <c r="AN219" s="125">
        <f t="shared" si="366"/>
        <v>1.211029451</v>
      </c>
      <c r="AO219" s="112">
        <f t="shared" si="367"/>
        <v>0.302</v>
      </c>
      <c r="AP219" s="127"/>
      <c r="AQ219" s="241">
        <f t="shared" ref="AQ219:AR219" si="377">BC219/(1-AI219)</f>
        <v>1.000242601</v>
      </c>
      <c r="AR219" s="242">
        <f t="shared" si="377"/>
        <v>0.9392206189</v>
      </c>
      <c r="AS219" s="126">
        <f t="shared" si="369"/>
        <v>0.2466666667</v>
      </c>
      <c r="AT219" s="126">
        <f t="shared" si="370"/>
        <v>0.2244444444</v>
      </c>
      <c r="AU219" s="129"/>
      <c r="AV219" s="39" t="s">
        <v>932</v>
      </c>
      <c r="AW219" s="243">
        <v>0.041</v>
      </c>
      <c r="AX219" s="243">
        <v>5.471</v>
      </c>
      <c r="AY219" s="214"/>
      <c r="AZ219" s="243">
        <v>0.16</v>
      </c>
      <c r="BA219" s="244">
        <f t="shared" si="371"/>
        <v>6.0245</v>
      </c>
      <c r="BB219" s="244">
        <f t="shared" si="372"/>
        <v>6.1845</v>
      </c>
      <c r="BC219" s="245">
        <f t="shared" si="373"/>
        <v>0.9002183406</v>
      </c>
      <c r="BD219" s="132">
        <f t="shared" si="374"/>
        <v>0.8452985571</v>
      </c>
      <c r="BE219" s="135" t="s">
        <v>933</v>
      </c>
      <c r="BF219" s="134" t="s">
        <v>576</v>
      </c>
      <c r="BG219" s="49"/>
      <c r="BH219" s="246">
        <f t="shared" si="324"/>
        <v>4.036764838</v>
      </c>
      <c r="BI219" s="246">
        <f t="shared" si="325"/>
        <v>2.422058903</v>
      </c>
      <c r="BJ219" s="246">
        <f t="shared" si="326"/>
        <v>2.018382419</v>
      </c>
      <c r="BK219" s="246">
        <f t="shared" si="327"/>
        <v>1.614705935</v>
      </c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</row>
    <row r="220" ht="14.25" customHeight="1">
      <c r="A220" s="105" t="s">
        <v>84</v>
      </c>
      <c r="B220" s="103" t="s">
        <v>85</v>
      </c>
      <c r="C220" s="103" t="s">
        <v>85</v>
      </c>
      <c r="D220" s="105" t="s">
        <v>86</v>
      </c>
      <c r="E220" s="105" t="s">
        <v>788</v>
      </c>
      <c r="F220" s="105" t="s">
        <v>890</v>
      </c>
      <c r="G220" s="106" t="s">
        <v>581</v>
      </c>
      <c r="H220" s="110">
        <v>28.0</v>
      </c>
      <c r="I220" s="107"/>
      <c r="J220" s="220" t="s">
        <v>946</v>
      </c>
      <c r="K220" s="220" t="str">
        <f>_xlfn.XLOOKUP(J220,[1]Sheet1!$A:$A,[1]Sheet1!$B:$B,"")</f>
        <v>#ERROR!</v>
      </c>
      <c r="L220" s="105" t="s">
        <v>947</v>
      </c>
      <c r="M220" s="105" t="s">
        <v>948</v>
      </c>
      <c r="N220" s="110" t="s">
        <v>931</v>
      </c>
      <c r="O220" s="104" t="s">
        <v>95</v>
      </c>
      <c r="P220" s="110"/>
      <c r="Q220" s="103" t="s">
        <v>794</v>
      </c>
      <c r="R220" s="110" t="s">
        <v>795</v>
      </c>
      <c r="S220" s="110">
        <v>960.0</v>
      </c>
      <c r="T220" s="111" t="e">
        <v>#N/A</v>
      </c>
      <c r="U220" s="106" t="s">
        <v>796</v>
      </c>
      <c r="V220" s="112">
        <v>0.0</v>
      </c>
      <c r="W220" s="113">
        <v>50.0</v>
      </c>
      <c r="X220" s="113">
        <v>45.0</v>
      </c>
      <c r="Y220" s="113">
        <v>55.0</v>
      </c>
      <c r="Z220" s="113" t="s">
        <v>99</v>
      </c>
      <c r="AA220" s="114">
        <f t="shared" si="243"/>
        <v>1.933935327</v>
      </c>
      <c r="AB220" s="115"/>
      <c r="AC220" s="239">
        <f t="shared" si="365"/>
        <v>1.782733049</v>
      </c>
      <c r="AD220" s="240">
        <f t="shared" si="244"/>
        <v>1.916917256</v>
      </c>
      <c r="AE220" s="239"/>
      <c r="AF220" s="239" t="str">
        <f t="shared" si="94"/>
        <v>#REF!</v>
      </c>
      <c r="AG220" s="210" t="str">
        <f t="shared" si="95"/>
        <v>#REF!</v>
      </c>
      <c r="AH220" s="120" t="str">
        <f t="shared" si="96"/>
        <v>#REF!</v>
      </c>
      <c r="AI220" s="121">
        <f t="shared" si="237"/>
        <v>0.1</v>
      </c>
      <c r="AJ220" s="121">
        <v>0.1</v>
      </c>
      <c r="AK220" s="122">
        <v>0.302</v>
      </c>
      <c r="AL220" s="123">
        <f t="shared" si="11"/>
        <v>0.5383853807</v>
      </c>
      <c r="AM220" s="122" t="s">
        <v>10</v>
      </c>
      <c r="AN220" s="125">
        <f t="shared" si="366"/>
        <v>1.782733049</v>
      </c>
      <c r="AO220" s="112">
        <f t="shared" si="367"/>
        <v>0.302</v>
      </c>
      <c r="AP220" s="127"/>
      <c r="AQ220" s="241">
        <f t="shared" ref="AQ220:AR220" si="378">BC220/(1-AI220)</f>
        <v>1.456897946</v>
      </c>
      <c r="AR220" s="242">
        <f t="shared" si="378"/>
        <v>1.38260852</v>
      </c>
      <c r="AS220" s="126">
        <f t="shared" si="369"/>
        <v>0.2466666667</v>
      </c>
      <c r="AT220" s="126">
        <f t="shared" si="370"/>
        <v>0.2244444444</v>
      </c>
      <c r="AU220" s="129"/>
      <c r="AV220" s="39" t="s">
        <v>932</v>
      </c>
      <c r="AW220" s="243">
        <v>0.068</v>
      </c>
      <c r="AX220" s="243">
        <v>7.93</v>
      </c>
      <c r="AY220" s="214"/>
      <c r="AZ220" s="243">
        <v>0.16</v>
      </c>
      <c r="BA220" s="244">
        <f t="shared" si="371"/>
        <v>8.848</v>
      </c>
      <c r="BB220" s="244">
        <f t="shared" si="372"/>
        <v>9.008</v>
      </c>
      <c r="BC220" s="245">
        <f t="shared" si="373"/>
        <v>1.311208151</v>
      </c>
      <c r="BD220" s="132">
        <f t="shared" si="374"/>
        <v>1.244347668</v>
      </c>
      <c r="BE220" s="135" t="s">
        <v>933</v>
      </c>
      <c r="BF220" s="134" t="s">
        <v>576</v>
      </c>
      <c r="BG220" s="49"/>
      <c r="BH220" s="246">
        <f t="shared" si="324"/>
        <v>5.942443495</v>
      </c>
      <c r="BI220" s="246">
        <f t="shared" si="325"/>
        <v>3.565466097</v>
      </c>
      <c r="BJ220" s="246">
        <f t="shared" si="326"/>
        <v>2.971221748</v>
      </c>
      <c r="BK220" s="246">
        <f t="shared" si="327"/>
        <v>2.376977398</v>
      </c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</row>
    <row r="221" ht="14.25" customHeight="1">
      <c r="A221" s="105" t="s">
        <v>84</v>
      </c>
      <c r="B221" s="103" t="s">
        <v>85</v>
      </c>
      <c r="C221" s="103" t="s">
        <v>85</v>
      </c>
      <c r="D221" s="105" t="s">
        <v>86</v>
      </c>
      <c r="E221" s="105" t="s">
        <v>788</v>
      </c>
      <c r="F221" s="105" t="s">
        <v>890</v>
      </c>
      <c r="G221" s="106" t="s">
        <v>581</v>
      </c>
      <c r="H221" s="110">
        <v>28.0</v>
      </c>
      <c r="I221" s="107"/>
      <c r="J221" s="220" t="s">
        <v>949</v>
      </c>
      <c r="K221" s="220" t="str">
        <f>_xlfn.XLOOKUP(J221,[1]Sheet1!$A:$A,[1]Sheet1!$B:$B,"")</f>
        <v>#ERROR!</v>
      </c>
      <c r="L221" s="105" t="s">
        <v>950</v>
      </c>
      <c r="M221" s="105" t="s">
        <v>951</v>
      </c>
      <c r="N221" s="110" t="s">
        <v>931</v>
      </c>
      <c r="O221" s="104" t="s">
        <v>95</v>
      </c>
      <c r="P221" s="110"/>
      <c r="Q221" s="103" t="s">
        <v>794</v>
      </c>
      <c r="R221" s="110" t="s">
        <v>795</v>
      </c>
      <c r="S221" s="110">
        <v>640.0</v>
      </c>
      <c r="T221" s="111" t="e">
        <v>#N/A</v>
      </c>
      <c r="U221" s="106" t="s">
        <v>796</v>
      </c>
      <c r="V221" s="112">
        <v>0.0</v>
      </c>
      <c r="W221" s="113">
        <v>50.0</v>
      </c>
      <c r="X221" s="113">
        <v>45.0</v>
      </c>
      <c r="Y221" s="113">
        <v>55.0</v>
      </c>
      <c r="Z221" s="113" t="s">
        <v>99</v>
      </c>
      <c r="AA221" s="114">
        <f t="shared" si="243"/>
        <v>3.334685886</v>
      </c>
      <c r="AB221" s="115"/>
      <c r="AC221" s="239">
        <f t="shared" si="365"/>
        <v>3.040493996</v>
      </c>
      <c r="AD221" s="240">
        <f t="shared" si="244"/>
        <v>3.269348383</v>
      </c>
      <c r="AE221" s="239"/>
      <c r="AF221" s="239" t="str">
        <f t="shared" si="94"/>
        <v>#REF!</v>
      </c>
      <c r="AG221" s="210" t="str">
        <f t="shared" si="95"/>
        <v>#REF!</v>
      </c>
      <c r="AH221" s="120" t="str">
        <f t="shared" si="96"/>
        <v>#REF!</v>
      </c>
      <c r="AI221" s="121">
        <f t="shared" si="237"/>
        <v>0.1</v>
      </c>
      <c r="AJ221" s="121">
        <v>0.1</v>
      </c>
      <c r="AK221" s="122">
        <v>0.302</v>
      </c>
      <c r="AL221" s="123">
        <f t="shared" si="11"/>
        <v>0.9182291868</v>
      </c>
      <c r="AM221" s="122" t="s">
        <v>10</v>
      </c>
      <c r="AN221" s="125">
        <f t="shared" si="366"/>
        <v>3.040493996</v>
      </c>
      <c r="AO221" s="112">
        <f t="shared" si="367"/>
        <v>0.302</v>
      </c>
      <c r="AP221" s="127"/>
      <c r="AQ221" s="241">
        <f t="shared" ref="AQ221:AR221" si="379">BC221/(1-AI221)</f>
        <v>2.512130034</v>
      </c>
      <c r="AR221" s="242">
        <f t="shared" si="379"/>
        <v>2.35807201</v>
      </c>
      <c r="AS221" s="126">
        <f t="shared" si="369"/>
        <v>0.2466666667</v>
      </c>
      <c r="AT221" s="126">
        <f t="shared" si="370"/>
        <v>0.2244444444</v>
      </c>
      <c r="AU221" s="129"/>
      <c r="AV221" s="39" t="s">
        <v>932</v>
      </c>
      <c r="AW221" s="243">
        <v>0.135</v>
      </c>
      <c r="AX221" s="243">
        <v>13.55</v>
      </c>
      <c r="AY221" s="214"/>
      <c r="AZ221" s="243">
        <v>0.16</v>
      </c>
      <c r="BA221" s="244">
        <f t="shared" si="371"/>
        <v>15.3725</v>
      </c>
      <c r="BB221" s="244">
        <f t="shared" si="372"/>
        <v>15.5325</v>
      </c>
      <c r="BC221" s="245">
        <f t="shared" si="373"/>
        <v>2.260917031</v>
      </c>
      <c r="BD221" s="132">
        <f t="shared" si="374"/>
        <v>2.122264809</v>
      </c>
      <c r="BE221" s="135" t="s">
        <v>933</v>
      </c>
      <c r="BF221" s="134" t="s">
        <v>576</v>
      </c>
      <c r="BG221" s="49"/>
      <c r="BH221" s="246">
        <f t="shared" si="324"/>
        <v>10.13497999</v>
      </c>
      <c r="BI221" s="246">
        <f t="shared" si="325"/>
        <v>6.080987992</v>
      </c>
      <c r="BJ221" s="246">
        <f t="shared" si="326"/>
        <v>5.067489993</v>
      </c>
      <c r="BK221" s="246">
        <f t="shared" si="327"/>
        <v>4.053991995</v>
      </c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</row>
    <row r="222" ht="14.25" customHeight="1">
      <c r="A222" s="105" t="s">
        <v>84</v>
      </c>
      <c r="B222" s="103" t="s">
        <v>85</v>
      </c>
      <c r="C222" s="103" t="s">
        <v>120</v>
      </c>
      <c r="D222" s="105" t="s">
        <v>86</v>
      </c>
      <c r="E222" s="105" t="s">
        <v>788</v>
      </c>
      <c r="F222" s="105" t="s">
        <v>890</v>
      </c>
      <c r="G222" s="106" t="s">
        <v>581</v>
      </c>
      <c r="H222" s="110">
        <v>24.0</v>
      </c>
      <c r="I222" s="107"/>
      <c r="J222" s="220" t="s">
        <v>952</v>
      </c>
      <c r="K222" s="220" t="str">
        <f>_xlfn.XLOOKUP(J222,[1]Sheet1!$A:$A,[1]Sheet1!$B:$B,"")</f>
        <v>#ERROR!</v>
      </c>
      <c r="L222" s="105" t="s">
        <v>953</v>
      </c>
      <c r="M222" s="105" t="s">
        <v>954</v>
      </c>
      <c r="N222" s="110"/>
      <c r="O222" s="104" t="s">
        <v>95</v>
      </c>
      <c r="P222" s="110"/>
      <c r="Q222" s="103" t="s">
        <v>794</v>
      </c>
      <c r="R222" s="110" t="s">
        <v>795</v>
      </c>
      <c r="S222" s="110">
        <v>4800.0</v>
      </c>
      <c r="T222" s="111"/>
      <c r="U222" s="110" t="s">
        <v>796</v>
      </c>
      <c r="V222" s="112">
        <v>0.0</v>
      </c>
      <c r="W222" s="113">
        <v>50.0</v>
      </c>
      <c r="X222" s="113">
        <v>45.0</v>
      </c>
      <c r="Y222" s="113">
        <v>55.0</v>
      </c>
      <c r="Z222" s="113" t="s">
        <v>99</v>
      </c>
      <c r="AA222" s="114">
        <f t="shared" si="243"/>
        <v>0.4812295775</v>
      </c>
      <c r="AB222" s="115"/>
      <c r="AC222" s="239">
        <f t="shared" si="365"/>
        <v>0.4363174124</v>
      </c>
      <c r="AD222" s="240">
        <f t="shared" si="244"/>
        <v>0.4691585079</v>
      </c>
      <c r="AE222" s="239"/>
      <c r="AF222" s="239" t="str">
        <f t="shared" si="94"/>
        <v>#REF!</v>
      </c>
      <c r="AG222" s="210" t="str">
        <f t="shared" si="95"/>
        <v>#REF!</v>
      </c>
      <c r="AH222" s="120" t="str">
        <f t="shared" si="96"/>
        <v>#REF!</v>
      </c>
      <c r="AI222" s="121">
        <f t="shared" si="237"/>
        <v>0.1</v>
      </c>
      <c r="AJ222" s="121">
        <v>0.1</v>
      </c>
      <c r="AK222" s="122">
        <v>0.302</v>
      </c>
      <c r="AL222" s="123">
        <f t="shared" si="11"/>
        <v>0.1317678585</v>
      </c>
      <c r="AM222" s="122" t="s">
        <v>10</v>
      </c>
      <c r="AN222" s="125">
        <f t="shared" si="366"/>
        <v>0.4363174124</v>
      </c>
      <c r="AO222" s="112">
        <f t="shared" si="367"/>
        <v>0.302</v>
      </c>
      <c r="AP222" s="127"/>
      <c r="AQ222" s="241">
        <f t="shared" ref="AQ222:AR222" si="380">BC222/(1-AI222)</f>
        <v>0.3625262817</v>
      </c>
      <c r="AR222" s="242">
        <f t="shared" si="380"/>
        <v>0.3383883931</v>
      </c>
      <c r="AS222" s="126">
        <f t="shared" si="369"/>
        <v>0.2466666667</v>
      </c>
      <c r="AT222" s="126">
        <f t="shared" si="370"/>
        <v>0.2244444444</v>
      </c>
      <c r="AU222" s="129"/>
      <c r="AV222" s="39" t="s">
        <v>932</v>
      </c>
      <c r="AW222" s="243">
        <v>0.007</v>
      </c>
      <c r="AX222" s="243">
        <v>1.987</v>
      </c>
      <c r="AY222" s="214"/>
      <c r="AZ222" s="243">
        <v>0.16</v>
      </c>
      <c r="BA222" s="244">
        <f t="shared" si="371"/>
        <v>2.0815</v>
      </c>
      <c r="BB222" s="244">
        <f t="shared" si="372"/>
        <v>2.2415</v>
      </c>
      <c r="BC222" s="245">
        <f t="shared" si="373"/>
        <v>0.3262736536</v>
      </c>
      <c r="BD222" s="132">
        <f t="shared" si="374"/>
        <v>0.3045495538</v>
      </c>
      <c r="BE222" s="135" t="s">
        <v>895</v>
      </c>
      <c r="BF222" s="134" t="s">
        <v>576</v>
      </c>
      <c r="BG222" s="49"/>
      <c r="BH222" s="246">
        <f t="shared" si="324"/>
        <v>1.454391375</v>
      </c>
      <c r="BI222" s="246">
        <f t="shared" si="325"/>
        <v>0.8726348247</v>
      </c>
      <c r="BJ222" s="246">
        <f t="shared" si="326"/>
        <v>0.7271956873</v>
      </c>
      <c r="BK222" s="246">
        <f t="shared" si="327"/>
        <v>0.5817565498</v>
      </c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</row>
    <row r="223" ht="14.25" customHeight="1">
      <c r="A223" s="105" t="s">
        <v>84</v>
      </c>
      <c r="B223" s="103" t="s">
        <v>85</v>
      </c>
      <c r="C223" s="103" t="s">
        <v>120</v>
      </c>
      <c r="D223" s="105" t="s">
        <v>86</v>
      </c>
      <c r="E223" s="105" t="s">
        <v>788</v>
      </c>
      <c r="F223" s="105" t="s">
        <v>890</v>
      </c>
      <c r="G223" s="106" t="s">
        <v>581</v>
      </c>
      <c r="H223" s="110">
        <v>24.0</v>
      </c>
      <c r="I223" s="107"/>
      <c r="J223" s="220" t="s">
        <v>955</v>
      </c>
      <c r="K223" s="220" t="str">
        <f>_xlfn.XLOOKUP(J223,[1]Sheet1!$A:$A,[1]Sheet1!$B:$B,"")</f>
        <v>#ERROR!</v>
      </c>
      <c r="L223" s="105" t="s">
        <v>956</v>
      </c>
      <c r="M223" s="105" t="s">
        <v>957</v>
      </c>
      <c r="N223" s="110"/>
      <c r="O223" s="104" t="s">
        <v>95</v>
      </c>
      <c r="P223" s="110"/>
      <c r="Q223" s="103" t="s">
        <v>794</v>
      </c>
      <c r="R223" s="110" t="s">
        <v>795</v>
      </c>
      <c r="S223" s="110">
        <v>4800.0</v>
      </c>
      <c r="T223" s="111"/>
      <c r="U223" s="110" t="s">
        <v>796</v>
      </c>
      <c r="V223" s="112">
        <v>0.0</v>
      </c>
      <c r="W223" s="113">
        <v>50.0</v>
      </c>
      <c r="X223" s="113">
        <v>45.0</v>
      </c>
      <c r="Y223" s="113">
        <v>55.0</v>
      </c>
      <c r="Z223" s="113" t="s">
        <v>99</v>
      </c>
      <c r="AA223" s="114">
        <f t="shared" si="243"/>
        <v>0.5483204734</v>
      </c>
      <c r="AB223" s="115"/>
      <c r="AC223" s="239">
        <f t="shared" si="365"/>
        <v>0.4929856911</v>
      </c>
      <c r="AD223" s="240">
        <f t="shared" si="244"/>
        <v>0.530092141</v>
      </c>
      <c r="AE223" s="239"/>
      <c r="AF223" s="239" t="str">
        <f t="shared" si="94"/>
        <v>#REF!</v>
      </c>
      <c r="AG223" s="210" t="str">
        <f t="shared" si="95"/>
        <v>#REF!</v>
      </c>
      <c r="AH223" s="120" t="str">
        <f t="shared" si="96"/>
        <v>#REF!</v>
      </c>
      <c r="AI223" s="121">
        <f t="shared" si="237"/>
        <v>0.1</v>
      </c>
      <c r="AJ223" s="121">
        <v>0.1</v>
      </c>
      <c r="AK223" s="122">
        <v>0.302</v>
      </c>
      <c r="AL223" s="123">
        <f t="shared" si="11"/>
        <v>0.1488816787</v>
      </c>
      <c r="AM223" s="122" t="s">
        <v>10</v>
      </c>
      <c r="AN223" s="125">
        <f t="shared" si="366"/>
        <v>0.4929856911</v>
      </c>
      <c r="AO223" s="112">
        <f t="shared" si="367"/>
        <v>0.302</v>
      </c>
      <c r="AP223" s="127"/>
      <c r="AQ223" s="241">
        <f t="shared" ref="AQ223:AR223" si="381">BC223/(1-AI223)</f>
        <v>0.4130680899</v>
      </c>
      <c r="AR223" s="242">
        <f t="shared" si="381"/>
        <v>0.3823377916</v>
      </c>
      <c r="AS223" s="126">
        <f t="shared" si="369"/>
        <v>0.2466666667</v>
      </c>
      <c r="AT223" s="126">
        <f t="shared" si="370"/>
        <v>0.2244444444</v>
      </c>
      <c r="AU223" s="129"/>
      <c r="AV223" s="39" t="s">
        <v>932</v>
      </c>
      <c r="AW223" s="243">
        <v>0.012</v>
      </c>
      <c r="AX223" s="243">
        <v>2.232</v>
      </c>
      <c r="AY223" s="214"/>
      <c r="AZ223" s="243">
        <v>0.16</v>
      </c>
      <c r="BA223" s="244">
        <f t="shared" si="371"/>
        <v>2.394</v>
      </c>
      <c r="BB223" s="244">
        <f t="shared" si="372"/>
        <v>2.554</v>
      </c>
      <c r="BC223" s="245">
        <f t="shared" si="373"/>
        <v>0.3717612809</v>
      </c>
      <c r="BD223" s="132">
        <f t="shared" si="374"/>
        <v>0.3441040124</v>
      </c>
      <c r="BE223" s="135" t="s">
        <v>895</v>
      </c>
      <c r="BF223" s="134" t="s">
        <v>576</v>
      </c>
      <c r="BG223" s="49"/>
      <c r="BH223" s="246">
        <f t="shared" si="324"/>
        <v>1.643285637</v>
      </c>
      <c r="BI223" s="246">
        <f t="shared" si="325"/>
        <v>0.9859713822</v>
      </c>
      <c r="BJ223" s="246">
        <f t="shared" si="326"/>
        <v>0.8216428185</v>
      </c>
      <c r="BK223" s="246">
        <f t="shared" si="327"/>
        <v>0.6573142548</v>
      </c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</row>
    <row r="224" ht="14.25" customHeight="1">
      <c r="A224" s="105" t="s">
        <v>84</v>
      </c>
      <c r="B224" s="103" t="s">
        <v>85</v>
      </c>
      <c r="C224" s="103" t="s">
        <v>120</v>
      </c>
      <c r="D224" s="105" t="s">
        <v>86</v>
      </c>
      <c r="E224" s="105" t="s">
        <v>788</v>
      </c>
      <c r="F224" s="105" t="s">
        <v>890</v>
      </c>
      <c r="G224" s="106" t="s">
        <v>581</v>
      </c>
      <c r="H224" s="110">
        <v>24.0</v>
      </c>
      <c r="I224" s="107"/>
      <c r="J224" s="220" t="s">
        <v>958</v>
      </c>
      <c r="K224" s="220" t="str">
        <f>_xlfn.XLOOKUP(J224,[1]Sheet1!$A:$A,[1]Sheet1!$B:$B,"")</f>
        <v>#ERROR!</v>
      </c>
      <c r="L224" s="105" t="s">
        <v>959</v>
      </c>
      <c r="M224" s="105" t="s">
        <v>960</v>
      </c>
      <c r="N224" s="110"/>
      <c r="O224" s="104" t="s">
        <v>95</v>
      </c>
      <c r="P224" s="110"/>
      <c r="Q224" s="103" t="s">
        <v>794</v>
      </c>
      <c r="R224" s="110" t="s">
        <v>795</v>
      </c>
      <c r="S224" s="110">
        <v>3200.0</v>
      </c>
      <c r="T224" s="111"/>
      <c r="U224" s="110" t="s">
        <v>796</v>
      </c>
      <c r="V224" s="112">
        <v>0.0</v>
      </c>
      <c r="W224" s="113">
        <v>50.0</v>
      </c>
      <c r="X224" s="113">
        <v>45.0</v>
      </c>
      <c r="Y224" s="113">
        <v>55.0</v>
      </c>
      <c r="Z224" s="113" t="s">
        <v>99</v>
      </c>
      <c r="AA224" s="114">
        <f t="shared" si="243"/>
        <v>0.7316664734</v>
      </c>
      <c r="AB224" s="115"/>
      <c r="AC224" s="239">
        <f t="shared" si="365"/>
        <v>0.6627723545</v>
      </c>
      <c r="AD224" s="240">
        <f t="shared" si="244"/>
        <v>0.7126584458</v>
      </c>
      <c r="AE224" s="239"/>
      <c r="AF224" s="239" t="str">
        <f t="shared" si="94"/>
        <v>#REF!</v>
      </c>
      <c r="AG224" s="210" t="str">
        <f t="shared" si="95"/>
        <v>#REF!</v>
      </c>
      <c r="AH224" s="120" t="str">
        <f t="shared" si="96"/>
        <v>#REF!</v>
      </c>
      <c r="AI224" s="121">
        <f t="shared" si="237"/>
        <v>0.1</v>
      </c>
      <c r="AJ224" s="121">
        <v>0.1</v>
      </c>
      <c r="AK224" s="122">
        <v>0.302</v>
      </c>
      <c r="AL224" s="123">
        <f t="shared" si="11"/>
        <v>0.2001572511</v>
      </c>
      <c r="AM224" s="122" t="s">
        <v>10</v>
      </c>
      <c r="AN224" s="125">
        <f t="shared" si="366"/>
        <v>0.6627723545</v>
      </c>
      <c r="AO224" s="112">
        <f t="shared" si="367"/>
        <v>0.302</v>
      </c>
      <c r="AP224" s="127"/>
      <c r="AQ224" s="241">
        <f t="shared" ref="AQ224:AR224" si="382">BC224/(1-AI224)</f>
        <v>0.5511887433</v>
      </c>
      <c r="AR224" s="242">
        <f t="shared" si="382"/>
        <v>0.5140167816</v>
      </c>
      <c r="AS224" s="126">
        <f t="shared" si="369"/>
        <v>0.2466666667</v>
      </c>
      <c r="AT224" s="126">
        <f t="shared" si="370"/>
        <v>0.2244444444</v>
      </c>
      <c r="AU224" s="129"/>
      <c r="AV224" s="39" t="s">
        <v>932</v>
      </c>
      <c r="AW224" s="243">
        <v>0.024</v>
      </c>
      <c r="AX224" s="243">
        <v>2.924</v>
      </c>
      <c r="AY224" s="214"/>
      <c r="AZ224" s="243">
        <v>0.16</v>
      </c>
      <c r="BA224" s="244">
        <f t="shared" si="371"/>
        <v>3.248</v>
      </c>
      <c r="BB224" s="244">
        <f t="shared" si="372"/>
        <v>3.408</v>
      </c>
      <c r="BC224" s="245">
        <f t="shared" si="373"/>
        <v>0.496069869</v>
      </c>
      <c r="BD224" s="132">
        <f t="shared" si="374"/>
        <v>0.4626151035</v>
      </c>
      <c r="BE224" s="135" t="s">
        <v>895</v>
      </c>
      <c r="BF224" s="134" t="s">
        <v>576</v>
      </c>
      <c r="BG224" s="49"/>
      <c r="BH224" s="246">
        <f t="shared" si="324"/>
        <v>2.209241182</v>
      </c>
      <c r="BI224" s="246">
        <f t="shared" si="325"/>
        <v>1.325544709</v>
      </c>
      <c r="BJ224" s="246">
        <f t="shared" si="326"/>
        <v>1.104620591</v>
      </c>
      <c r="BK224" s="246">
        <f t="shared" si="327"/>
        <v>0.8836964727</v>
      </c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</row>
    <row r="225" ht="14.25" customHeight="1">
      <c r="A225" s="105" t="s">
        <v>84</v>
      </c>
      <c r="B225" s="103" t="s">
        <v>85</v>
      </c>
      <c r="C225" s="103" t="s">
        <v>120</v>
      </c>
      <c r="D225" s="105" t="s">
        <v>86</v>
      </c>
      <c r="E225" s="105" t="s">
        <v>788</v>
      </c>
      <c r="F225" s="105" t="s">
        <v>890</v>
      </c>
      <c r="G225" s="106" t="s">
        <v>581</v>
      </c>
      <c r="H225" s="110">
        <v>24.0</v>
      </c>
      <c r="I225" s="107"/>
      <c r="J225" s="220" t="s">
        <v>961</v>
      </c>
      <c r="K225" s="220" t="str">
        <f>_xlfn.XLOOKUP(J225,[1]Sheet1!$A:$A,[1]Sheet1!$B:$B,"")</f>
        <v>#ERROR!</v>
      </c>
      <c r="L225" s="105" t="s">
        <v>962</v>
      </c>
      <c r="M225" s="105" t="s">
        <v>963</v>
      </c>
      <c r="N225" s="110"/>
      <c r="O225" s="104" t="s">
        <v>95</v>
      </c>
      <c r="P225" s="110"/>
      <c r="Q225" s="103" t="s">
        <v>794</v>
      </c>
      <c r="R225" s="110" t="s">
        <v>795</v>
      </c>
      <c r="S225" s="110">
        <v>2240.0</v>
      </c>
      <c r="T225" s="111"/>
      <c r="U225" s="110" t="s">
        <v>796</v>
      </c>
      <c r="V225" s="112">
        <v>0.0</v>
      </c>
      <c r="W225" s="113">
        <v>50.0</v>
      </c>
      <c r="X225" s="113">
        <v>45.0</v>
      </c>
      <c r="Y225" s="113">
        <v>55.0</v>
      </c>
      <c r="Z225" s="113" t="s">
        <v>99</v>
      </c>
      <c r="AA225" s="114">
        <f t="shared" si="243"/>
        <v>1.085369676</v>
      </c>
      <c r="AB225" s="115"/>
      <c r="AC225" s="239">
        <f t="shared" si="365"/>
        <v>0.9807149946</v>
      </c>
      <c r="AD225" s="240">
        <f t="shared" si="244"/>
        <v>1.054532252</v>
      </c>
      <c r="AE225" s="239"/>
      <c r="AF225" s="239" t="str">
        <f t="shared" si="94"/>
        <v>#REF!</v>
      </c>
      <c r="AG225" s="210" t="str">
        <f t="shared" si="95"/>
        <v>#REF!</v>
      </c>
      <c r="AH225" s="120" t="str">
        <f t="shared" si="96"/>
        <v>#REF!</v>
      </c>
      <c r="AI225" s="121">
        <f t="shared" si="237"/>
        <v>0.1</v>
      </c>
      <c r="AJ225" s="121">
        <v>0.1</v>
      </c>
      <c r="AK225" s="122">
        <v>0.302</v>
      </c>
      <c r="AL225" s="123">
        <f t="shared" si="11"/>
        <v>0.2961759284</v>
      </c>
      <c r="AM225" s="122" t="s">
        <v>10</v>
      </c>
      <c r="AN225" s="125">
        <f t="shared" si="366"/>
        <v>0.9807149946</v>
      </c>
      <c r="AO225" s="112">
        <f t="shared" si="367"/>
        <v>0.302</v>
      </c>
      <c r="AP225" s="127"/>
      <c r="AQ225" s="241">
        <f t="shared" ref="AQ225:AR225" si="383">BC225/(1-AI225)</f>
        <v>0.8176451561</v>
      </c>
      <c r="AR225" s="242">
        <f t="shared" si="383"/>
        <v>0.7605989625</v>
      </c>
      <c r="AS225" s="126">
        <f t="shared" si="369"/>
        <v>0.2466666667</v>
      </c>
      <c r="AT225" s="126">
        <f t="shared" si="370"/>
        <v>0.2244444444</v>
      </c>
      <c r="AU225" s="129"/>
      <c r="AV225" s="39" t="s">
        <v>932</v>
      </c>
      <c r="AW225" s="243">
        <v>0.047</v>
      </c>
      <c r="AX225" s="243">
        <v>4.261</v>
      </c>
      <c r="AY225" s="214"/>
      <c r="AZ225" s="243">
        <v>0.16</v>
      </c>
      <c r="BA225" s="244">
        <f t="shared" si="371"/>
        <v>4.8955</v>
      </c>
      <c r="BB225" s="244">
        <f t="shared" si="372"/>
        <v>5.0555</v>
      </c>
      <c r="BC225" s="245">
        <f t="shared" si="373"/>
        <v>0.7358806405</v>
      </c>
      <c r="BD225" s="132">
        <f t="shared" si="374"/>
        <v>0.6845390662</v>
      </c>
      <c r="BE225" s="135" t="s">
        <v>895</v>
      </c>
      <c r="BF225" s="134" t="s">
        <v>576</v>
      </c>
      <c r="BG225" s="49"/>
      <c r="BH225" s="246">
        <f t="shared" si="324"/>
        <v>3.269049982</v>
      </c>
      <c r="BI225" s="246">
        <f t="shared" si="325"/>
        <v>1.961429989</v>
      </c>
      <c r="BJ225" s="246">
        <f t="shared" si="326"/>
        <v>1.634524991</v>
      </c>
      <c r="BK225" s="246">
        <f t="shared" si="327"/>
        <v>1.307619993</v>
      </c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</row>
    <row r="226" ht="14.25" customHeight="1">
      <c r="A226" s="105" t="s">
        <v>84</v>
      </c>
      <c r="B226" s="103" t="s">
        <v>85</v>
      </c>
      <c r="C226" s="103" t="s">
        <v>120</v>
      </c>
      <c r="D226" s="105" t="s">
        <v>86</v>
      </c>
      <c r="E226" s="105" t="s">
        <v>788</v>
      </c>
      <c r="F226" s="105" t="s">
        <v>890</v>
      </c>
      <c r="G226" s="106" t="s">
        <v>581</v>
      </c>
      <c r="H226" s="110">
        <v>24.0</v>
      </c>
      <c r="I226" s="107"/>
      <c r="J226" s="220" t="s">
        <v>964</v>
      </c>
      <c r="K226" s="220" t="str">
        <f>_xlfn.XLOOKUP(J226,[1]Sheet1!$A:$A,[1]Sheet1!$B:$B,"")</f>
        <v>#ERROR!</v>
      </c>
      <c r="L226" s="105" t="s">
        <v>965</v>
      </c>
      <c r="M226" s="105" t="s">
        <v>966</v>
      </c>
      <c r="N226" s="110"/>
      <c r="O226" s="104" t="s">
        <v>95</v>
      </c>
      <c r="P226" s="110"/>
      <c r="Q226" s="103" t="s">
        <v>794</v>
      </c>
      <c r="R226" s="110" t="s">
        <v>795</v>
      </c>
      <c r="S226" s="110">
        <v>1600.0</v>
      </c>
      <c r="T226" s="111"/>
      <c r="U226" s="110" t="s">
        <v>796</v>
      </c>
      <c r="V226" s="112">
        <v>0.0</v>
      </c>
      <c r="W226" s="113">
        <v>50.0</v>
      </c>
      <c r="X226" s="113">
        <v>45.0</v>
      </c>
      <c r="Y226" s="113">
        <v>55.0</v>
      </c>
      <c r="Z226" s="113" t="s">
        <v>99</v>
      </c>
      <c r="AA226" s="114">
        <f t="shared" si="243"/>
        <v>1.440146333</v>
      </c>
      <c r="AB226" s="115"/>
      <c r="AC226" s="239">
        <f t="shared" si="365"/>
        <v>1.305960152</v>
      </c>
      <c r="AD226" s="240">
        <f t="shared" si="244"/>
        <v>1.404258228</v>
      </c>
      <c r="AE226" s="239"/>
      <c r="AF226" s="239" t="str">
        <f t="shared" si="94"/>
        <v>#REF!</v>
      </c>
      <c r="AG226" s="210" t="str">
        <f t="shared" si="95"/>
        <v>#REF!</v>
      </c>
      <c r="AH226" s="120" t="str">
        <f t="shared" si="96"/>
        <v>#REF!</v>
      </c>
      <c r="AI226" s="121">
        <f t="shared" si="237"/>
        <v>0.1</v>
      </c>
      <c r="AJ226" s="121">
        <v>0.1</v>
      </c>
      <c r="AK226" s="122">
        <v>0.302</v>
      </c>
      <c r="AL226" s="123">
        <f t="shared" si="11"/>
        <v>0.3943999659</v>
      </c>
      <c r="AM226" s="122" t="s">
        <v>10</v>
      </c>
      <c r="AN226" s="125">
        <f t="shared" si="366"/>
        <v>1.305960152</v>
      </c>
      <c r="AO226" s="112">
        <f t="shared" si="367"/>
        <v>0.302</v>
      </c>
      <c r="AP226" s="127"/>
      <c r="AQ226" s="241">
        <f t="shared" ref="AQ226:AR226" si="384">BC226/(1-AI226)</f>
        <v>1.084910238</v>
      </c>
      <c r="AR226" s="242">
        <f t="shared" si="384"/>
        <v>1.012844651</v>
      </c>
      <c r="AS226" s="126">
        <f t="shared" si="369"/>
        <v>0.2466666667</v>
      </c>
      <c r="AT226" s="126">
        <f t="shared" si="370"/>
        <v>0.2244444444</v>
      </c>
      <c r="AU226" s="129"/>
      <c r="AV226" s="39" t="s">
        <v>932</v>
      </c>
      <c r="AW226" s="243">
        <v>0.07</v>
      </c>
      <c r="AX226" s="243">
        <v>5.603</v>
      </c>
      <c r="AY226" s="214"/>
      <c r="AZ226" s="243">
        <v>0.16</v>
      </c>
      <c r="BA226" s="244">
        <f t="shared" si="371"/>
        <v>6.548</v>
      </c>
      <c r="BB226" s="244">
        <f t="shared" si="372"/>
        <v>6.708</v>
      </c>
      <c r="BC226" s="245">
        <f t="shared" si="373"/>
        <v>0.976419214</v>
      </c>
      <c r="BD226" s="132">
        <f t="shared" si="374"/>
        <v>0.9115601861</v>
      </c>
      <c r="BE226" s="135" t="s">
        <v>895</v>
      </c>
      <c r="BF226" s="134" t="s">
        <v>576</v>
      </c>
      <c r="BG226" s="49"/>
      <c r="BH226" s="246">
        <f t="shared" si="324"/>
        <v>4.353200507</v>
      </c>
      <c r="BI226" s="246">
        <f t="shared" si="325"/>
        <v>2.611920304</v>
      </c>
      <c r="BJ226" s="246">
        <f t="shared" si="326"/>
        <v>2.176600253</v>
      </c>
      <c r="BK226" s="246">
        <f t="shared" si="327"/>
        <v>1.741280203</v>
      </c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</row>
    <row r="227" ht="14.25" customHeight="1">
      <c r="A227" s="105" t="s">
        <v>84</v>
      </c>
      <c r="B227" s="103" t="s">
        <v>85</v>
      </c>
      <c r="C227" s="103" t="s">
        <v>120</v>
      </c>
      <c r="D227" s="105" t="s">
        <v>86</v>
      </c>
      <c r="E227" s="105" t="s">
        <v>788</v>
      </c>
      <c r="F227" s="105" t="s">
        <v>890</v>
      </c>
      <c r="G227" s="106" t="s">
        <v>581</v>
      </c>
      <c r="H227" s="110">
        <v>24.0</v>
      </c>
      <c r="I227" s="107"/>
      <c r="J227" s="220" t="s">
        <v>967</v>
      </c>
      <c r="K227" s="220" t="str">
        <f>_xlfn.XLOOKUP(J227,[1]Sheet1!$A:$A,[1]Sheet1!$B:$B,"")</f>
        <v>#ERROR!</v>
      </c>
      <c r="L227" s="105" t="s">
        <v>968</v>
      </c>
      <c r="M227" s="105" t="s">
        <v>969</v>
      </c>
      <c r="N227" s="110"/>
      <c r="O227" s="104" t="s">
        <v>95</v>
      </c>
      <c r="P227" s="110"/>
      <c r="Q227" s="103" t="s">
        <v>794</v>
      </c>
      <c r="R227" s="110" t="s">
        <v>795</v>
      </c>
      <c r="S227" s="110">
        <v>960.0</v>
      </c>
      <c r="T227" s="111"/>
      <c r="U227" s="110" t="s">
        <v>796</v>
      </c>
      <c r="V227" s="112">
        <v>0.0</v>
      </c>
      <c r="W227" s="113">
        <v>50.0</v>
      </c>
      <c r="X227" s="113">
        <v>45.0</v>
      </c>
      <c r="Y227" s="113">
        <v>55.0</v>
      </c>
      <c r="Z227" s="113" t="s">
        <v>99</v>
      </c>
      <c r="AA227" s="114">
        <f t="shared" si="243"/>
        <v>2.158179937</v>
      </c>
      <c r="AB227" s="115"/>
      <c r="AC227" s="239">
        <f t="shared" si="365"/>
        <v>1.972141103</v>
      </c>
      <c r="AD227" s="240">
        <f t="shared" si="244"/>
        <v>2.120581832</v>
      </c>
      <c r="AE227" s="239"/>
      <c r="AF227" s="239" t="str">
        <f t="shared" si="94"/>
        <v>#REF!</v>
      </c>
      <c r="AG227" s="210" t="str">
        <f t="shared" si="95"/>
        <v>#REF!</v>
      </c>
      <c r="AH227" s="120" t="str">
        <f t="shared" si="96"/>
        <v>#REF!</v>
      </c>
      <c r="AI227" s="121">
        <f t="shared" si="237"/>
        <v>0.1</v>
      </c>
      <c r="AJ227" s="121">
        <v>0.1</v>
      </c>
      <c r="AK227" s="122">
        <v>0.302</v>
      </c>
      <c r="AL227" s="123">
        <f t="shared" si="11"/>
        <v>0.5955866132</v>
      </c>
      <c r="AM227" s="122" t="s">
        <v>10</v>
      </c>
      <c r="AN227" s="125">
        <f t="shared" si="366"/>
        <v>1.972141103</v>
      </c>
      <c r="AO227" s="112">
        <f t="shared" si="367"/>
        <v>0.302</v>
      </c>
      <c r="AP227" s="127"/>
      <c r="AQ227" s="241">
        <f t="shared" ref="AQ227:AR227" si="385">BC227/(1-AI227)</f>
        <v>1.625828886</v>
      </c>
      <c r="AR227" s="242">
        <f t="shared" si="385"/>
        <v>1.529504989</v>
      </c>
      <c r="AS227" s="126">
        <f t="shared" si="369"/>
        <v>0.2466666667</v>
      </c>
      <c r="AT227" s="126">
        <f t="shared" si="370"/>
        <v>0.2244444444</v>
      </c>
      <c r="AU227" s="129"/>
      <c r="AV227" s="39" t="s">
        <v>932</v>
      </c>
      <c r="AW227" s="243">
        <v>0.117</v>
      </c>
      <c r="AX227" s="243">
        <v>8.313</v>
      </c>
      <c r="AY227" s="214"/>
      <c r="AZ227" s="243">
        <v>0.16</v>
      </c>
      <c r="BA227" s="244">
        <f t="shared" si="371"/>
        <v>9.8925</v>
      </c>
      <c r="BB227" s="244">
        <f t="shared" si="372"/>
        <v>10.0525</v>
      </c>
      <c r="BC227" s="245">
        <f t="shared" si="373"/>
        <v>1.463245997</v>
      </c>
      <c r="BD227" s="132">
        <f t="shared" si="374"/>
        <v>1.37655449</v>
      </c>
      <c r="BE227" s="135" t="s">
        <v>895</v>
      </c>
      <c r="BF227" s="134" t="s">
        <v>576</v>
      </c>
      <c r="BG227" s="49"/>
      <c r="BH227" s="246">
        <f t="shared" si="324"/>
        <v>6.573803678</v>
      </c>
      <c r="BI227" s="246">
        <f t="shared" si="325"/>
        <v>3.944282207</v>
      </c>
      <c r="BJ227" s="246">
        <f t="shared" si="326"/>
        <v>3.286901839</v>
      </c>
      <c r="BK227" s="246">
        <f t="shared" si="327"/>
        <v>2.629521471</v>
      </c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</row>
    <row r="228" ht="14.25" customHeight="1">
      <c r="A228" s="105" t="s">
        <v>84</v>
      </c>
      <c r="B228" s="103" t="s">
        <v>85</v>
      </c>
      <c r="C228" s="103" t="s">
        <v>120</v>
      </c>
      <c r="D228" s="105" t="s">
        <v>86</v>
      </c>
      <c r="E228" s="105" t="s">
        <v>788</v>
      </c>
      <c r="F228" s="105" t="s">
        <v>890</v>
      </c>
      <c r="G228" s="106" t="s">
        <v>581</v>
      </c>
      <c r="H228" s="110">
        <v>24.0</v>
      </c>
      <c r="I228" s="107"/>
      <c r="J228" s="220" t="s">
        <v>970</v>
      </c>
      <c r="K228" s="220" t="str">
        <f>_xlfn.XLOOKUP(J228,[1]Sheet1!$A:$A,[1]Sheet1!$B:$B,"")</f>
        <v>#ERROR!</v>
      </c>
      <c r="L228" s="105" t="s">
        <v>971</v>
      </c>
      <c r="M228" s="105" t="s">
        <v>972</v>
      </c>
      <c r="N228" s="110"/>
      <c r="O228" s="104" t="s">
        <v>95</v>
      </c>
      <c r="P228" s="110"/>
      <c r="Q228" s="103" t="s">
        <v>794</v>
      </c>
      <c r="R228" s="110" t="s">
        <v>795</v>
      </c>
      <c r="S228" s="110">
        <v>640.0</v>
      </c>
      <c r="T228" s="111"/>
      <c r="U228" s="110" t="s">
        <v>796</v>
      </c>
      <c r="V228" s="112">
        <v>0.0</v>
      </c>
      <c r="W228" s="113">
        <v>50.0</v>
      </c>
      <c r="X228" s="113">
        <v>45.0</v>
      </c>
      <c r="Y228" s="113">
        <v>55.0</v>
      </c>
      <c r="Z228" s="113" t="s">
        <v>99</v>
      </c>
      <c r="AA228" s="114">
        <f t="shared" si="243"/>
        <v>3.888803013</v>
      </c>
      <c r="AB228" s="115"/>
      <c r="AC228" s="239">
        <f t="shared" si="365"/>
        <v>3.508528644</v>
      </c>
      <c r="AD228" s="240">
        <f t="shared" si="244"/>
        <v>3.772611445</v>
      </c>
      <c r="AE228" s="239"/>
      <c r="AF228" s="239" t="str">
        <f t="shared" si="94"/>
        <v>#REF!</v>
      </c>
      <c r="AG228" s="210" t="str">
        <f t="shared" si="95"/>
        <v>#REF!</v>
      </c>
      <c r="AH228" s="120" t="str">
        <f t="shared" si="96"/>
        <v>#REF!</v>
      </c>
      <c r="AI228" s="121">
        <f t="shared" si="237"/>
        <v>0.1</v>
      </c>
      <c r="AJ228" s="121">
        <v>0.1</v>
      </c>
      <c r="AK228" s="122">
        <v>0.302</v>
      </c>
      <c r="AL228" s="123">
        <f t="shared" si="11"/>
        <v>1.05957565</v>
      </c>
      <c r="AM228" s="122" t="s">
        <v>10</v>
      </c>
      <c r="AN228" s="125">
        <f t="shared" si="366"/>
        <v>3.508528644</v>
      </c>
      <c r="AO228" s="112">
        <f t="shared" si="367"/>
        <v>0.302</v>
      </c>
      <c r="AP228" s="127"/>
      <c r="AQ228" s="241">
        <f t="shared" ref="AQ228:AR228" si="386">BC228/(1-AI228)</f>
        <v>2.929564936</v>
      </c>
      <c r="AR228" s="242">
        <f t="shared" si="386"/>
        <v>2.721058882</v>
      </c>
      <c r="AS228" s="126">
        <f t="shared" si="369"/>
        <v>0.2466666667</v>
      </c>
      <c r="AT228" s="126">
        <f t="shared" si="370"/>
        <v>0.2244444444</v>
      </c>
      <c r="AU228" s="129"/>
      <c r="AV228" s="39" t="s">
        <v>932</v>
      </c>
      <c r="AW228" s="243">
        <v>0.233</v>
      </c>
      <c r="AX228" s="243">
        <v>14.808</v>
      </c>
      <c r="AY228" s="214"/>
      <c r="AZ228" s="243">
        <v>0.16</v>
      </c>
      <c r="BA228" s="244">
        <f t="shared" si="371"/>
        <v>17.9535</v>
      </c>
      <c r="BB228" s="244">
        <f t="shared" si="372"/>
        <v>18.1135</v>
      </c>
      <c r="BC228" s="245">
        <f t="shared" si="373"/>
        <v>2.636608443</v>
      </c>
      <c r="BD228" s="132">
        <f t="shared" si="374"/>
        <v>2.448952993</v>
      </c>
      <c r="BE228" s="135" t="s">
        <v>895</v>
      </c>
      <c r="BF228" s="134" t="s">
        <v>576</v>
      </c>
      <c r="BG228" s="49"/>
      <c r="BH228" s="246">
        <f t="shared" si="324"/>
        <v>11.69509548</v>
      </c>
      <c r="BI228" s="246">
        <f t="shared" si="325"/>
        <v>7.017057288</v>
      </c>
      <c r="BJ228" s="246">
        <f t="shared" si="326"/>
        <v>5.84754774</v>
      </c>
      <c r="BK228" s="246">
        <f t="shared" si="327"/>
        <v>4.678038192</v>
      </c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</row>
    <row r="229" ht="14.25" customHeight="1">
      <c r="A229" s="103" t="s">
        <v>84</v>
      </c>
      <c r="B229" s="103" t="s">
        <v>85</v>
      </c>
      <c r="C229" s="103" t="s">
        <v>85</v>
      </c>
      <c r="D229" s="103" t="s">
        <v>86</v>
      </c>
      <c r="E229" s="104" t="s">
        <v>788</v>
      </c>
      <c r="F229" s="105" t="s">
        <v>973</v>
      </c>
      <c r="G229" s="106" t="s">
        <v>577</v>
      </c>
      <c r="H229" s="110" t="s">
        <v>974</v>
      </c>
      <c r="I229" s="107"/>
      <c r="J229" s="248" t="s">
        <v>975</v>
      </c>
      <c r="K229" s="220" t="str">
        <f>_xlfn.XLOOKUP(J229,[1]Sheet1!$A:$A,[1]Sheet1!$B:$B,"")</f>
        <v>#ERROR!</v>
      </c>
      <c r="L229" s="105" t="s">
        <v>976</v>
      </c>
      <c r="M229" s="105" t="s">
        <v>977</v>
      </c>
      <c r="N229" s="110"/>
      <c r="O229" s="104" t="s">
        <v>95</v>
      </c>
      <c r="P229" s="110"/>
      <c r="Q229" s="103" t="s">
        <v>794</v>
      </c>
      <c r="R229" s="110" t="s">
        <v>795</v>
      </c>
      <c r="S229" s="110">
        <v>4800.0</v>
      </c>
      <c r="T229" s="111" t="s">
        <v>978</v>
      </c>
      <c r="U229" s="106" t="s">
        <v>796</v>
      </c>
      <c r="V229" s="112">
        <v>0.0</v>
      </c>
      <c r="W229" s="113">
        <v>50.0</v>
      </c>
      <c r="X229" s="113">
        <v>45.0</v>
      </c>
      <c r="Y229" s="113">
        <v>55.0</v>
      </c>
      <c r="Z229" s="113" t="s">
        <v>99</v>
      </c>
      <c r="AA229" s="114">
        <f t="shared" si="243"/>
        <v>0.6526224867</v>
      </c>
      <c r="AB229" s="115"/>
      <c r="AC229" s="239">
        <f t="shared" si="365"/>
        <v>0.5801761261</v>
      </c>
      <c r="AD229" s="240">
        <f t="shared" si="244"/>
        <v>0.6238452968</v>
      </c>
      <c r="AE229" s="239"/>
      <c r="AF229" s="239" t="str">
        <f t="shared" si="94"/>
        <v>#REF!</v>
      </c>
      <c r="AG229" s="210" t="str">
        <f t="shared" si="95"/>
        <v>#REF!</v>
      </c>
      <c r="AH229" s="120" t="str">
        <f t="shared" si="96"/>
        <v>#REF!</v>
      </c>
      <c r="AI229" s="121">
        <f t="shared" si="237"/>
        <v>0.1</v>
      </c>
      <c r="AJ229" s="121">
        <v>0.1</v>
      </c>
      <c r="AK229" s="122">
        <v>0.252</v>
      </c>
      <c r="AL229" s="123">
        <f t="shared" si="11"/>
        <v>0.1462043838</v>
      </c>
      <c r="AM229" s="122" t="s">
        <v>10</v>
      </c>
      <c r="AN229" s="125">
        <f t="shared" si="366"/>
        <v>0.5801761261</v>
      </c>
      <c r="AO229" s="112">
        <f t="shared" si="367"/>
        <v>0.252</v>
      </c>
      <c r="AP229" s="127"/>
      <c r="AQ229" s="241">
        <f t="shared" ref="AQ229:AR229" si="387">BC229/(1-AI229)</f>
        <v>0.5278990781</v>
      </c>
      <c r="AR229" s="242">
        <f t="shared" si="387"/>
        <v>0.4821908248</v>
      </c>
      <c r="AS229" s="126">
        <f t="shared" si="369"/>
        <v>0.1911111111</v>
      </c>
      <c r="AT229" s="126">
        <f t="shared" si="370"/>
        <v>0.1688888889</v>
      </c>
      <c r="AU229" s="129"/>
      <c r="AV229" s="39" t="s">
        <v>932</v>
      </c>
      <c r="AW229" s="249">
        <v>0.008</v>
      </c>
      <c r="AX229" s="249">
        <v>2.996</v>
      </c>
      <c r="AY229" s="247"/>
      <c r="AZ229" s="243">
        <v>0.16</v>
      </c>
      <c r="BA229" s="244">
        <f t="shared" si="371"/>
        <v>3.104</v>
      </c>
      <c r="BB229" s="244">
        <f t="shared" si="372"/>
        <v>3.264</v>
      </c>
      <c r="BC229" s="245">
        <f t="shared" si="373"/>
        <v>0.4751091703</v>
      </c>
      <c r="BD229" s="132">
        <f t="shared" si="374"/>
        <v>0.4339717423</v>
      </c>
      <c r="BE229" s="49" t="s">
        <v>979</v>
      </c>
      <c r="BF229" s="134" t="s">
        <v>576</v>
      </c>
      <c r="BG229" s="49"/>
      <c r="BH229" s="246">
        <f t="shared" si="324"/>
        <v>1.93392042</v>
      </c>
      <c r="BI229" s="246">
        <f t="shared" si="325"/>
        <v>1.160352252</v>
      </c>
      <c r="BJ229" s="246">
        <f t="shared" si="326"/>
        <v>0.9669602101</v>
      </c>
      <c r="BK229" s="246">
        <f t="shared" si="327"/>
        <v>0.7735681681</v>
      </c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</row>
    <row r="230" ht="14.25" customHeight="1">
      <c r="A230" s="103" t="s">
        <v>84</v>
      </c>
      <c r="B230" s="103" t="s">
        <v>85</v>
      </c>
      <c r="C230" s="103" t="s">
        <v>85</v>
      </c>
      <c r="D230" s="103" t="s">
        <v>86</v>
      </c>
      <c r="E230" s="104" t="s">
        <v>788</v>
      </c>
      <c r="F230" s="105" t="s">
        <v>973</v>
      </c>
      <c r="G230" s="106" t="s">
        <v>577</v>
      </c>
      <c r="H230" s="110" t="s">
        <v>974</v>
      </c>
      <c r="I230" s="107"/>
      <c r="J230" s="248" t="s">
        <v>980</v>
      </c>
      <c r="K230" s="220" t="str">
        <f>_xlfn.XLOOKUP(J230,[1]Sheet1!$A:$A,[1]Sheet1!$B:$B,"")</f>
        <v>#ERROR!</v>
      </c>
      <c r="L230" s="105" t="s">
        <v>981</v>
      </c>
      <c r="M230" s="105" t="s">
        <v>982</v>
      </c>
      <c r="N230" s="110"/>
      <c r="O230" s="104" t="s">
        <v>95</v>
      </c>
      <c r="P230" s="110"/>
      <c r="Q230" s="103" t="s">
        <v>794</v>
      </c>
      <c r="R230" s="110" t="s">
        <v>795</v>
      </c>
      <c r="S230" s="110">
        <v>4800.0</v>
      </c>
      <c r="T230" s="111" t="s">
        <v>983</v>
      </c>
      <c r="U230" s="106" t="s">
        <v>796</v>
      </c>
      <c r="V230" s="112">
        <v>0.0</v>
      </c>
      <c r="W230" s="113">
        <v>50.0</v>
      </c>
      <c r="X230" s="113">
        <v>45.0</v>
      </c>
      <c r="Y230" s="113">
        <v>55.0</v>
      </c>
      <c r="Z230" s="113" t="s">
        <v>99</v>
      </c>
      <c r="AA230" s="114">
        <f t="shared" si="243"/>
        <v>0.7460970616</v>
      </c>
      <c r="AB230" s="115"/>
      <c r="AC230" s="239">
        <f t="shared" si="365"/>
        <v>0.6592850432</v>
      </c>
      <c r="AD230" s="240">
        <f t="shared" si="244"/>
        <v>0.7089086486</v>
      </c>
      <c r="AE230" s="239"/>
      <c r="AF230" s="239" t="str">
        <f t="shared" si="94"/>
        <v>#REF!</v>
      </c>
      <c r="AG230" s="210" t="str">
        <f t="shared" si="95"/>
        <v>#REF!</v>
      </c>
      <c r="AH230" s="120" t="str">
        <f t="shared" si="96"/>
        <v>#REF!</v>
      </c>
      <c r="AI230" s="121">
        <f t="shared" si="237"/>
        <v>0.1</v>
      </c>
      <c r="AJ230" s="121">
        <v>0.1</v>
      </c>
      <c r="AK230" s="122">
        <v>0.252</v>
      </c>
      <c r="AL230" s="123">
        <f t="shared" si="11"/>
        <v>0.1661398309</v>
      </c>
      <c r="AM230" s="122" t="s">
        <v>10</v>
      </c>
      <c r="AN230" s="125">
        <f t="shared" si="366"/>
        <v>0.6592850432</v>
      </c>
      <c r="AO230" s="112">
        <f t="shared" si="367"/>
        <v>0.252</v>
      </c>
      <c r="AP230" s="127"/>
      <c r="AQ230" s="241">
        <f t="shared" ref="AQ230:AR230" si="388">BC230/(1-AI230)</f>
        <v>0.6035096232</v>
      </c>
      <c r="AR230" s="242">
        <f t="shared" si="388"/>
        <v>0.5479391248</v>
      </c>
      <c r="AS230" s="126">
        <f t="shared" si="369"/>
        <v>0.1911111111</v>
      </c>
      <c r="AT230" s="126">
        <f t="shared" si="370"/>
        <v>0.1688888889</v>
      </c>
      <c r="AU230" s="129"/>
      <c r="AV230" s="39" t="s">
        <v>932</v>
      </c>
      <c r="AW230" s="249">
        <v>0.013</v>
      </c>
      <c r="AX230" s="249">
        <v>3.396</v>
      </c>
      <c r="AY230" s="247"/>
      <c r="AZ230" s="243">
        <v>0.16</v>
      </c>
      <c r="BA230" s="244">
        <f t="shared" si="371"/>
        <v>3.5715</v>
      </c>
      <c r="BB230" s="244">
        <f t="shared" si="372"/>
        <v>3.7315</v>
      </c>
      <c r="BC230" s="245">
        <f t="shared" si="373"/>
        <v>0.5431586608</v>
      </c>
      <c r="BD230" s="132">
        <f t="shared" si="374"/>
        <v>0.4931452123</v>
      </c>
      <c r="BE230" s="49" t="s">
        <v>979</v>
      </c>
      <c r="BF230" s="134" t="s">
        <v>576</v>
      </c>
      <c r="BG230" s="49"/>
      <c r="BH230" s="246">
        <f t="shared" si="324"/>
        <v>2.197616811</v>
      </c>
      <c r="BI230" s="246">
        <f t="shared" si="325"/>
        <v>1.318570086</v>
      </c>
      <c r="BJ230" s="246">
        <f t="shared" si="326"/>
        <v>1.098808405</v>
      </c>
      <c r="BK230" s="246">
        <f t="shared" si="327"/>
        <v>0.8790467243</v>
      </c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</row>
    <row r="231" ht="14.25" customHeight="1">
      <c r="A231" s="103" t="s">
        <v>84</v>
      </c>
      <c r="B231" s="103" t="s">
        <v>85</v>
      </c>
      <c r="C231" s="103" t="s">
        <v>85</v>
      </c>
      <c r="D231" s="103" t="s">
        <v>86</v>
      </c>
      <c r="E231" s="104" t="s">
        <v>788</v>
      </c>
      <c r="F231" s="105" t="s">
        <v>973</v>
      </c>
      <c r="G231" s="106" t="s">
        <v>577</v>
      </c>
      <c r="H231" s="110" t="s">
        <v>974</v>
      </c>
      <c r="I231" s="107"/>
      <c r="J231" s="248" t="s">
        <v>984</v>
      </c>
      <c r="K231" s="220" t="str">
        <f>_xlfn.XLOOKUP(J231,[1]Sheet1!$A:$A,[1]Sheet1!$B:$B,"")</f>
        <v>#ERROR!</v>
      </c>
      <c r="L231" s="105" t="s">
        <v>985</v>
      </c>
      <c r="M231" s="105" t="s">
        <v>986</v>
      </c>
      <c r="N231" s="110"/>
      <c r="O231" s="104" t="s">
        <v>95</v>
      </c>
      <c r="P231" s="110"/>
      <c r="Q231" s="103" t="s">
        <v>794</v>
      </c>
      <c r="R231" s="110" t="s">
        <v>795</v>
      </c>
      <c r="S231" s="110">
        <v>3200.0</v>
      </c>
      <c r="T231" s="111" t="s">
        <v>987</v>
      </c>
      <c r="U231" s="106" t="s">
        <v>796</v>
      </c>
      <c r="V231" s="112">
        <v>0.0</v>
      </c>
      <c r="W231" s="113">
        <v>50.0</v>
      </c>
      <c r="X231" s="113">
        <v>45.0</v>
      </c>
      <c r="Y231" s="113">
        <v>55.0</v>
      </c>
      <c r="Z231" s="113" t="s">
        <v>99</v>
      </c>
      <c r="AA231" s="114">
        <f t="shared" si="243"/>
        <v>0.9879312827</v>
      </c>
      <c r="AB231" s="115"/>
      <c r="AC231" s="239">
        <f t="shared" si="365"/>
        <v>0.8778789512</v>
      </c>
      <c r="AD231" s="240">
        <f t="shared" si="244"/>
        <v>0.9439558615</v>
      </c>
      <c r="AE231" s="239"/>
      <c r="AF231" s="239" t="str">
        <f t="shared" si="94"/>
        <v>#REF!</v>
      </c>
      <c r="AG231" s="210" t="str">
        <f t="shared" si="95"/>
        <v>#REF!</v>
      </c>
      <c r="AH231" s="120" t="str">
        <f t="shared" si="96"/>
        <v>#REF!</v>
      </c>
      <c r="AI231" s="121">
        <f t="shared" si="237"/>
        <v>0.1</v>
      </c>
      <c r="AJ231" s="121">
        <v>0.1</v>
      </c>
      <c r="AK231" s="122">
        <v>0.252</v>
      </c>
      <c r="AL231" s="123">
        <f t="shared" si="11"/>
        <v>0.2212254957</v>
      </c>
      <c r="AM231" s="122" t="s">
        <v>10</v>
      </c>
      <c r="AN231" s="125">
        <f t="shared" si="366"/>
        <v>0.8778789512</v>
      </c>
      <c r="AO231" s="112">
        <f t="shared" si="367"/>
        <v>0.252</v>
      </c>
      <c r="AP231" s="127"/>
      <c r="AQ231" s="241">
        <f t="shared" ref="AQ231:AR231" si="389">BC231/(1-AI231)</f>
        <v>0.7991266376</v>
      </c>
      <c r="AR231" s="242">
        <f t="shared" si="389"/>
        <v>0.7296149505</v>
      </c>
      <c r="AS231" s="126">
        <f t="shared" si="369"/>
        <v>0.1911111111</v>
      </c>
      <c r="AT231" s="126">
        <f t="shared" si="370"/>
        <v>0.1688888889</v>
      </c>
      <c r="AU231" s="129"/>
      <c r="AV231" s="39" t="s">
        <v>932</v>
      </c>
      <c r="AW231" s="249">
        <v>0.026</v>
      </c>
      <c r="AX231" s="249">
        <v>4.43</v>
      </c>
      <c r="AY231" s="247"/>
      <c r="AZ231" s="243">
        <v>0.16</v>
      </c>
      <c r="BA231" s="244">
        <f t="shared" si="371"/>
        <v>4.781</v>
      </c>
      <c r="BB231" s="244">
        <f t="shared" si="372"/>
        <v>4.941</v>
      </c>
      <c r="BC231" s="245">
        <f t="shared" si="373"/>
        <v>0.7192139738</v>
      </c>
      <c r="BD231" s="132">
        <f t="shared" si="374"/>
        <v>0.6566534555</v>
      </c>
      <c r="BE231" s="49" t="s">
        <v>979</v>
      </c>
      <c r="BF231" s="134" t="s">
        <v>576</v>
      </c>
      <c r="BG231" s="49"/>
      <c r="BH231" s="246">
        <f t="shared" si="324"/>
        <v>2.926263171</v>
      </c>
      <c r="BI231" s="246">
        <f t="shared" si="325"/>
        <v>1.755757902</v>
      </c>
      <c r="BJ231" s="246">
        <f t="shared" si="326"/>
        <v>1.463131585</v>
      </c>
      <c r="BK231" s="246">
        <f t="shared" si="327"/>
        <v>1.170505268</v>
      </c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</row>
    <row r="232" ht="14.25" customHeight="1">
      <c r="A232" s="103" t="s">
        <v>84</v>
      </c>
      <c r="B232" s="103" t="s">
        <v>85</v>
      </c>
      <c r="C232" s="103" t="s">
        <v>85</v>
      </c>
      <c r="D232" s="103" t="s">
        <v>86</v>
      </c>
      <c r="E232" s="104" t="s">
        <v>788</v>
      </c>
      <c r="F232" s="105" t="s">
        <v>973</v>
      </c>
      <c r="G232" s="106" t="s">
        <v>577</v>
      </c>
      <c r="H232" s="110" t="s">
        <v>974</v>
      </c>
      <c r="I232" s="107"/>
      <c r="J232" s="248" t="s">
        <v>988</v>
      </c>
      <c r="K232" s="220" t="str">
        <f>_xlfn.XLOOKUP(J232,[1]Sheet1!$A:$A,[1]Sheet1!$B:$B,"")</f>
        <v>#ERROR!</v>
      </c>
      <c r="L232" s="105" t="s">
        <v>989</v>
      </c>
      <c r="M232" s="105" t="s">
        <v>990</v>
      </c>
      <c r="N232" s="110"/>
      <c r="O232" s="104" t="s">
        <v>95</v>
      </c>
      <c r="P232" s="110"/>
      <c r="Q232" s="103" t="s">
        <v>794</v>
      </c>
      <c r="R232" s="110" t="s">
        <v>795</v>
      </c>
      <c r="S232" s="110">
        <v>2240.0</v>
      </c>
      <c r="T232" s="111" t="s">
        <v>991</v>
      </c>
      <c r="U232" s="106" t="s">
        <v>796</v>
      </c>
      <c r="V232" s="112">
        <v>0.0</v>
      </c>
      <c r="W232" s="113">
        <v>50.0</v>
      </c>
      <c r="X232" s="113">
        <v>45.0</v>
      </c>
      <c r="Y232" s="113">
        <v>55.0</v>
      </c>
      <c r="Z232" s="113" t="s">
        <v>99</v>
      </c>
      <c r="AA232" s="114">
        <f t="shared" si="243"/>
        <v>1.461702417</v>
      </c>
      <c r="AB232" s="115"/>
      <c r="AC232" s="239">
        <f t="shared" si="365"/>
        <v>1.296743368</v>
      </c>
      <c r="AD232" s="240">
        <f t="shared" si="244"/>
        <v>1.394347708</v>
      </c>
      <c r="AE232" s="239"/>
      <c r="AF232" s="239" t="str">
        <f t="shared" si="94"/>
        <v>#REF!</v>
      </c>
      <c r="AG232" s="210" t="str">
        <f t="shared" si="95"/>
        <v>#REF!</v>
      </c>
      <c r="AH232" s="120" t="str">
        <f t="shared" si="96"/>
        <v>#REF!</v>
      </c>
      <c r="AI232" s="121">
        <f t="shared" si="237"/>
        <v>0.1</v>
      </c>
      <c r="AJ232" s="121">
        <v>0.1</v>
      </c>
      <c r="AK232" s="122">
        <v>0.252</v>
      </c>
      <c r="AL232" s="123">
        <f t="shared" si="11"/>
        <v>0.3267793288</v>
      </c>
      <c r="AM232" s="122" t="s">
        <v>10</v>
      </c>
      <c r="AN232" s="125">
        <f t="shared" si="366"/>
        <v>1.296743368</v>
      </c>
      <c r="AO232" s="112">
        <f t="shared" si="367"/>
        <v>0.252</v>
      </c>
      <c r="AP232" s="127"/>
      <c r="AQ232" s="241">
        <f t="shared" ref="AQ232:AR232" si="390">BC232/(1-AI232)</f>
        <v>1.182354844</v>
      </c>
      <c r="AR232" s="242">
        <f t="shared" si="390"/>
        <v>1.077737821</v>
      </c>
      <c r="AS232" s="126">
        <f t="shared" si="369"/>
        <v>0.1911111111</v>
      </c>
      <c r="AT232" s="126">
        <f t="shared" si="370"/>
        <v>0.1688888889</v>
      </c>
      <c r="AU232" s="129"/>
      <c r="AV232" s="39" t="s">
        <v>932</v>
      </c>
      <c r="AW232" s="249">
        <v>0.051</v>
      </c>
      <c r="AX232" s="249">
        <v>6.462</v>
      </c>
      <c r="AY232" s="247"/>
      <c r="AZ232" s="243">
        <v>0.16</v>
      </c>
      <c r="BA232" s="244">
        <f t="shared" si="371"/>
        <v>7.1505</v>
      </c>
      <c r="BB232" s="244">
        <f t="shared" si="372"/>
        <v>7.3105</v>
      </c>
      <c r="BC232" s="245">
        <f t="shared" si="373"/>
        <v>1.06411936</v>
      </c>
      <c r="BD232" s="132">
        <f t="shared" si="374"/>
        <v>0.9699640393</v>
      </c>
      <c r="BE232" s="49" t="s">
        <v>979</v>
      </c>
      <c r="BF232" s="134" t="s">
        <v>576</v>
      </c>
      <c r="BG232" s="49"/>
      <c r="BH232" s="246">
        <f t="shared" si="324"/>
        <v>4.322477894</v>
      </c>
      <c r="BI232" s="246">
        <f t="shared" si="325"/>
        <v>2.593486736</v>
      </c>
      <c r="BJ232" s="246">
        <f t="shared" si="326"/>
        <v>2.161238947</v>
      </c>
      <c r="BK232" s="246">
        <f t="shared" si="327"/>
        <v>1.728991157</v>
      </c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</row>
    <row r="233" ht="14.25" customHeight="1">
      <c r="A233" s="103" t="s">
        <v>84</v>
      </c>
      <c r="B233" s="103" t="s">
        <v>85</v>
      </c>
      <c r="C233" s="103" t="s">
        <v>85</v>
      </c>
      <c r="D233" s="103" t="s">
        <v>86</v>
      </c>
      <c r="E233" s="104" t="s">
        <v>788</v>
      </c>
      <c r="F233" s="105" t="s">
        <v>973</v>
      </c>
      <c r="G233" s="106" t="s">
        <v>577</v>
      </c>
      <c r="H233" s="110" t="s">
        <v>974</v>
      </c>
      <c r="I233" s="107"/>
      <c r="J233" s="248" t="s">
        <v>992</v>
      </c>
      <c r="K233" s="220" t="str">
        <f>_xlfn.XLOOKUP(J233,[1]Sheet1!$A:$A,[1]Sheet1!$B:$B,"")</f>
        <v>#ERROR!</v>
      </c>
      <c r="L233" s="105" t="s">
        <v>993</v>
      </c>
      <c r="M233" s="105" t="s">
        <v>994</v>
      </c>
      <c r="N233" s="110"/>
      <c r="O233" s="104" t="s">
        <v>95</v>
      </c>
      <c r="P233" s="110"/>
      <c r="Q233" s="103" t="s">
        <v>794</v>
      </c>
      <c r="R233" s="110" t="s">
        <v>795</v>
      </c>
      <c r="S233" s="110">
        <v>1600.0</v>
      </c>
      <c r="T233" s="111" t="s">
        <v>995</v>
      </c>
      <c r="U233" s="106" t="s">
        <v>796</v>
      </c>
      <c r="V233" s="112">
        <v>0.0</v>
      </c>
      <c r="W233" s="113">
        <v>50.0</v>
      </c>
      <c r="X233" s="113">
        <v>45.0</v>
      </c>
      <c r="Y233" s="113">
        <v>55.0</v>
      </c>
      <c r="Z233" s="113" t="s">
        <v>99</v>
      </c>
      <c r="AA233" s="114">
        <f t="shared" si="243"/>
        <v>1.933873986</v>
      </c>
      <c r="AB233" s="115"/>
      <c r="AC233" s="239">
        <f t="shared" si="365"/>
        <v>1.720222346</v>
      </c>
      <c r="AD233" s="240">
        <f t="shared" si="244"/>
        <v>1.849701447</v>
      </c>
      <c r="AE233" s="239"/>
      <c r="AF233" s="239" t="str">
        <f t="shared" si="94"/>
        <v>#REF!</v>
      </c>
      <c r="AG233" s="210" t="str">
        <f t="shared" si="95"/>
        <v>#REF!</v>
      </c>
      <c r="AH233" s="120" t="str">
        <f t="shared" si="96"/>
        <v>#REF!</v>
      </c>
      <c r="AI233" s="121">
        <f t="shared" si="237"/>
        <v>0.1</v>
      </c>
      <c r="AJ233" s="121">
        <v>0.1</v>
      </c>
      <c r="AK233" s="122">
        <v>0.252</v>
      </c>
      <c r="AL233" s="123">
        <f t="shared" si="11"/>
        <v>0.4334960312</v>
      </c>
      <c r="AM233" s="122" t="s">
        <v>10</v>
      </c>
      <c r="AN233" s="125">
        <f t="shared" si="366"/>
        <v>1.720222346</v>
      </c>
      <c r="AO233" s="112">
        <f t="shared" si="367"/>
        <v>0.252</v>
      </c>
      <c r="AP233" s="127"/>
      <c r="AQ233" s="241">
        <f t="shared" ref="AQ233:AR233" si="391">BC233/(1-AI233)</f>
        <v>1.56428918</v>
      </c>
      <c r="AR233" s="242">
        <f t="shared" si="391"/>
        <v>1.429695905</v>
      </c>
      <c r="AS233" s="126">
        <f t="shared" si="369"/>
        <v>0.1911111111</v>
      </c>
      <c r="AT233" s="126">
        <f t="shared" si="370"/>
        <v>0.1688888889</v>
      </c>
      <c r="AU233" s="129"/>
      <c r="AV233" s="39" t="s">
        <v>932</v>
      </c>
      <c r="AW233" s="249">
        <v>0.076</v>
      </c>
      <c r="AX233" s="249">
        <v>8.486</v>
      </c>
      <c r="AY233" s="247"/>
      <c r="AZ233" s="243">
        <v>0.16</v>
      </c>
      <c r="BA233" s="244">
        <f t="shared" si="371"/>
        <v>9.512</v>
      </c>
      <c r="BB233" s="244">
        <f t="shared" si="372"/>
        <v>9.672</v>
      </c>
      <c r="BC233" s="245">
        <f t="shared" si="373"/>
        <v>1.407860262</v>
      </c>
      <c r="BD233" s="132">
        <f t="shared" si="374"/>
        <v>1.286726315</v>
      </c>
      <c r="BE233" s="49" t="s">
        <v>979</v>
      </c>
      <c r="BF233" s="134" t="s">
        <v>576</v>
      </c>
      <c r="BG233" s="49"/>
      <c r="BH233" s="246">
        <f t="shared" si="324"/>
        <v>5.734074487</v>
      </c>
      <c r="BI233" s="246">
        <f t="shared" si="325"/>
        <v>3.440444692</v>
      </c>
      <c r="BJ233" s="246">
        <f t="shared" si="326"/>
        <v>2.867037243</v>
      </c>
      <c r="BK233" s="246">
        <f t="shared" si="327"/>
        <v>2.293629795</v>
      </c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</row>
    <row r="234" ht="14.25" customHeight="1">
      <c r="A234" s="103" t="s">
        <v>84</v>
      </c>
      <c r="B234" s="103" t="s">
        <v>85</v>
      </c>
      <c r="C234" s="103" t="s">
        <v>85</v>
      </c>
      <c r="D234" s="103" t="s">
        <v>86</v>
      </c>
      <c r="E234" s="104" t="s">
        <v>788</v>
      </c>
      <c r="F234" s="105" t="s">
        <v>973</v>
      </c>
      <c r="G234" s="106" t="s">
        <v>577</v>
      </c>
      <c r="H234" s="110" t="s">
        <v>974</v>
      </c>
      <c r="I234" s="107"/>
      <c r="J234" s="248" t="s">
        <v>996</v>
      </c>
      <c r="K234" s="220" t="str">
        <f>_xlfn.XLOOKUP(J234,[1]Sheet1!$A:$A,[1]Sheet1!$B:$B,"")</f>
        <v>#ERROR!</v>
      </c>
      <c r="L234" s="105" t="s">
        <v>997</v>
      </c>
      <c r="M234" s="105" t="s">
        <v>998</v>
      </c>
      <c r="N234" s="110"/>
      <c r="O234" s="104" t="s">
        <v>95</v>
      </c>
      <c r="P234" s="110"/>
      <c r="Q234" s="103" t="s">
        <v>794</v>
      </c>
      <c r="R234" s="110" t="s">
        <v>795</v>
      </c>
      <c r="S234" s="110">
        <v>960.0</v>
      </c>
      <c r="T234" s="111" t="s">
        <v>999</v>
      </c>
      <c r="U234" s="106" t="s">
        <v>796</v>
      </c>
      <c r="V234" s="112">
        <v>0.0</v>
      </c>
      <c r="W234" s="113">
        <v>50.0</v>
      </c>
      <c r="X234" s="113">
        <v>45.0</v>
      </c>
      <c r="Y234" s="113">
        <v>55.0</v>
      </c>
      <c r="Z234" s="113" t="s">
        <v>99</v>
      </c>
      <c r="AA234" s="114">
        <f t="shared" si="243"/>
        <v>2.892213318</v>
      </c>
      <c r="AB234" s="115"/>
      <c r="AC234" s="239">
        <f t="shared" si="365"/>
        <v>2.586983216</v>
      </c>
      <c r="AD234" s="240">
        <f t="shared" si="244"/>
        <v>2.781702382</v>
      </c>
      <c r="AE234" s="239"/>
      <c r="AF234" s="239" t="str">
        <f t="shared" si="94"/>
        <v>#REF!</v>
      </c>
      <c r="AG234" s="210" t="str">
        <f t="shared" si="95"/>
        <v>#REF!</v>
      </c>
      <c r="AH234" s="120" t="str">
        <f t="shared" si="96"/>
        <v>#REF!</v>
      </c>
      <c r="AI234" s="121">
        <f t="shared" si="237"/>
        <v>0.1</v>
      </c>
      <c r="AJ234" s="121">
        <v>0.1</v>
      </c>
      <c r="AK234" s="122">
        <v>0.252</v>
      </c>
      <c r="AL234" s="123">
        <f t="shared" si="11"/>
        <v>0.6519197704</v>
      </c>
      <c r="AM234" s="122" t="s">
        <v>10</v>
      </c>
      <c r="AN234" s="125">
        <f t="shared" si="366"/>
        <v>2.586983216</v>
      </c>
      <c r="AO234" s="112">
        <f t="shared" si="367"/>
        <v>0.252</v>
      </c>
      <c r="AP234" s="127"/>
      <c r="AQ234" s="241">
        <f t="shared" ref="AQ234:AR234" si="392">BC234/(1-AI234)</f>
        <v>2.339479217</v>
      </c>
      <c r="AR234" s="242">
        <f t="shared" si="392"/>
        <v>2.150070495</v>
      </c>
      <c r="AS234" s="126">
        <f t="shared" si="369"/>
        <v>0.1911111111</v>
      </c>
      <c r="AT234" s="126">
        <f t="shared" si="370"/>
        <v>0.1688888889</v>
      </c>
      <c r="AU234" s="129"/>
      <c r="AV234" s="39" t="s">
        <v>932</v>
      </c>
      <c r="AW234" s="249">
        <v>0.126</v>
      </c>
      <c r="AX234" s="249">
        <v>12.604</v>
      </c>
      <c r="AY234" s="247"/>
      <c r="AZ234" s="243">
        <v>0.16</v>
      </c>
      <c r="BA234" s="244">
        <f t="shared" si="371"/>
        <v>14.305</v>
      </c>
      <c r="BB234" s="244">
        <f t="shared" si="372"/>
        <v>14.465</v>
      </c>
      <c r="BC234" s="245">
        <f t="shared" si="373"/>
        <v>2.105531295</v>
      </c>
      <c r="BD234" s="132">
        <f t="shared" si="374"/>
        <v>1.935063445</v>
      </c>
      <c r="BE234" s="49" t="s">
        <v>979</v>
      </c>
      <c r="BF234" s="134" t="s">
        <v>576</v>
      </c>
      <c r="BG234" s="49"/>
      <c r="BH234" s="246">
        <f t="shared" si="324"/>
        <v>8.623277386</v>
      </c>
      <c r="BI234" s="246">
        <f t="shared" si="325"/>
        <v>5.173966431</v>
      </c>
      <c r="BJ234" s="246">
        <f t="shared" si="326"/>
        <v>4.311638693</v>
      </c>
      <c r="BK234" s="246">
        <f t="shared" si="327"/>
        <v>3.449310954</v>
      </c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</row>
    <row r="235" ht="14.25" customHeight="1">
      <c r="A235" s="103" t="s">
        <v>84</v>
      </c>
      <c r="B235" s="103" t="s">
        <v>85</v>
      </c>
      <c r="C235" s="103" t="s">
        <v>85</v>
      </c>
      <c r="D235" s="103" t="s">
        <v>86</v>
      </c>
      <c r="E235" s="104" t="s">
        <v>788</v>
      </c>
      <c r="F235" s="105" t="s">
        <v>973</v>
      </c>
      <c r="G235" s="106" t="s">
        <v>577</v>
      </c>
      <c r="H235" s="110" t="s">
        <v>974</v>
      </c>
      <c r="I235" s="107"/>
      <c r="J235" s="248" t="s">
        <v>1000</v>
      </c>
      <c r="K235" s="220" t="str">
        <f>_xlfn.XLOOKUP(J235,[1]Sheet1!$A:$A,[1]Sheet1!$B:$B,"")</f>
        <v>#ERROR!</v>
      </c>
      <c r="L235" s="105" t="s">
        <v>1001</v>
      </c>
      <c r="M235" s="105" t="s">
        <v>1002</v>
      </c>
      <c r="N235" s="110"/>
      <c r="O235" s="104" t="s">
        <v>95</v>
      </c>
      <c r="P235" s="110"/>
      <c r="Q235" s="103" t="s">
        <v>794</v>
      </c>
      <c r="R235" s="110" t="s">
        <v>795</v>
      </c>
      <c r="S235" s="250">
        <v>640.0</v>
      </c>
      <c r="T235" s="111" t="e">
        <v>#N/A</v>
      </c>
      <c r="U235" s="106" t="s">
        <v>796</v>
      </c>
      <c r="V235" s="112">
        <v>0.0</v>
      </c>
      <c r="W235" s="113">
        <v>50.0</v>
      </c>
      <c r="X235" s="113">
        <v>45.0</v>
      </c>
      <c r="Y235" s="113">
        <v>55.0</v>
      </c>
      <c r="Z235" s="113" t="s">
        <v>99</v>
      </c>
      <c r="AA235" s="114">
        <f t="shared" si="243"/>
        <v>5.211382504</v>
      </c>
      <c r="AB235" s="115"/>
      <c r="AC235" s="239">
        <f t="shared" si="365"/>
        <v>4.619360571</v>
      </c>
      <c r="AD235" s="240">
        <f t="shared" si="244"/>
        <v>4.967054377</v>
      </c>
      <c r="AE235" s="239"/>
      <c r="AF235" s="239" t="str">
        <f t="shared" si="94"/>
        <v>#REF!</v>
      </c>
      <c r="AG235" s="210" t="str">
        <f t="shared" si="95"/>
        <v>#REF!</v>
      </c>
      <c r="AH235" s="120" t="str">
        <f t="shared" si="96"/>
        <v>#REF!</v>
      </c>
      <c r="AI235" s="121">
        <f t="shared" si="237"/>
        <v>0.1</v>
      </c>
      <c r="AJ235" s="121">
        <v>0.1</v>
      </c>
      <c r="AK235" s="122">
        <v>0.252</v>
      </c>
      <c r="AL235" s="123">
        <f t="shared" si="11"/>
        <v>1.164078864</v>
      </c>
      <c r="AM235" s="122" t="s">
        <v>10</v>
      </c>
      <c r="AN235" s="125">
        <f t="shared" si="366"/>
        <v>4.619360571</v>
      </c>
      <c r="AO235" s="112">
        <f t="shared" si="367"/>
        <v>0.252</v>
      </c>
      <c r="AP235" s="127"/>
      <c r="AQ235" s="241">
        <f t="shared" ref="AQ235:AR235" si="393">BC235/(1-AI235)</f>
        <v>4.215429403</v>
      </c>
      <c r="AR235" s="242">
        <f t="shared" si="393"/>
        <v>3.839201897</v>
      </c>
      <c r="AS235" s="126">
        <f t="shared" si="369"/>
        <v>0.1911111111</v>
      </c>
      <c r="AT235" s="126">
        <f t="shared" si="370"/>
        <v>0.1688888889</v>
      </c>
      <c r="AU235" s="129"/>
      <c r="AV235" s="39" t="s">
        <v>932</v>
      </c>
      <c r="AW235" s="249">
        <v>0.252</v>
      </c>
      <c r="AX235" s="249">
        <v>22.502</v>
      </c>
      <c r="AY235" s="247"/>
      <c r="AZ235" s="243">
        <v>0.16</v>
      </c>
      <c r="BA235" s="244">
        <f t="shared" si="371"/>
        <v>25.904</v>
      </c>
      <c r="BB235" s="244">
        <f t="shared" si="372"/>
        <v>26.064</v>
      </c>
      <c r="BC235" s="245">
        <f t="shared" si="373"/>
        <v>3.793886463</v>
      </c>
      <c r="BD235" s="132">
        <f t="shared" si="374"/>
        <v>3.455281707</v>
      </c>
      <c r="BE235" s="49" t="s">
        <v>979</v>
      </c>
      <c r="BF235" s="134" t="s">
        <v>576</v>
      </c>
      <c r="BG235" s="49"/>
      <c r="BH235" s="246">
        <f t="shared" si="324"/>
        <v>15.39786857</v>
      </c>
      <c r="BI235" s="246">
        <f t="shared" si="325"/>
        <v>9.238721141</v>
      </c>
      <c r="BJ235" s="246">
        <f t="shared" si="326"/>
        <v>7.698934284</v>
      </c>
      <c r="BK235" s="246">
        <f t="shared" si="327"/>
        <v>6.159147428</v>
      </c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</row>
    <row r="236" ht="14.25" customHeight="1">
      <c r="A236" s="103" t="s">
        <v>84</v>
      </c>
      <c r="B236" s="103" t="s">
        <v>120</v>
      </c>
      <c r="C236" s="103" t="s">
        <v>120</v>
      </c>
      <c r="D236" s="103" t="s">
        <v>86</v>
      </c>
      <c r="E236" s="104" t="s">
        <v>788</v>
      </c>
      <c r="F236" s="105" t="s">
        <v>973</v>
      </c>
      <c r="G236" s="106" t="s">
        <v>577</v>
      </c>
      <c r="H236" s="110">
        <v>26.0</v>
      </c>
      <c r="I236" s="107"/>
      <c r="J236" s="220" t="s">
        <v>1003</v>
      </c>
      <c r="K236" s="220" t="str">
        <f>_xlfn.XLOOKUP(J236,[1]Sheet1!$A:$A,[1]Sheet1!$B:$B,"")</f>
        <v>#ERROR!</v>
      </c>
      <c r="L236" s="105" t="s">
        <v>976</v>
      </c>
      <c r="M236" s="105" t="s">
        <v>977</v>
      </c>
      <c r="N236" s="110"/>
      <c r="O236" s="104" t="s">
        <v>95</v>
      </c>
      <c r="P236" s="110"/>
      <c r="Q236" s="103" t="s">
        <v>794</v>
      </c>
      <c r="R236" s="251" t="s">
        <v>795</v>
      </c>
      <c r="S236" s="250">
        <v>3200.0</v>
      </c>
      <c r="T236" s="252" t="str">
        <f t="shared" ref="T236:T241" si="395">T229</f>
        <v>4897108882227</v>
      </c>
      <c r="U236" s="106" t="s">
        <v>796</v>
      </c>
      <c r="V236" s="253">
        <v>0.0</v>
      </c>
      <c r="W236" s="254">
        <v>50.0</v>
      </c>
      <c r="X236" s="254">
        <v>45.0</v>
      </c>
      <c r="Y236" s="254">
        <v>55.0</v>
      </c>
      <c r="Z236" s="254" t="s">
        <v>99</v>
      </c>
      <c r="AA236" s="114">
        <f t="shared" si="243"/>
        <v>0.5929814025</v>
      </c>
      <c r="AB236" s="255"/>
      <c r="AC236" s="256">
        <f t="shared" si="365"/>
        <v>0.5447965592</v>
      </c>
      <c r="AD236" s="240">
        <f t="shared" si="244"/>
        <v>0.5858027518</v>
      </c>
      <c r="AE236" s="256"/>
      <c r="AF236" s="256" t="str">
        <f t="shared" si="94"/>
        <v>#REF!</v>
      </c>
      <c r="AG236" s="257" t="str">
        <f t="shared" si="95"/>
        <v>#REF!</v>
      </c>
      <c r="AH236" s="120" t="str">
        <f t="shared" si="96"/>
        <v>#REF!</v>
      </c>
      <c r="AI236" s="253">
        <f t="shared" si="237"/>
        <v>0.1</v>
      </c>
      <c r="AJ236" s="253">
        <v>0.1</v>
      </c>
      <c r="AK236" s="253">
        <v>0.28200000000000003</v>
      </c>
      <c r="AL236" s="123">
        <f t="shared" si="11"/>
        <v>0.1536326297</v>
      </c>
      <c r="AM236" s="253" t="s">
        <v>10</v>
      </c>
      <c r="AN236" s="258">
        <f t="shared" si="366"/>
        <v>0.5447965592</v>
      </c>
      <c r="AO236" s="253">
        <f t="shared" si="367"/>
        <v>0.282</v>
      </c>
      <c r="AP236" s="127"/>
      <c r="AQ236" s="259">
        <f t="shared" ref="AQ236:AR236" si="394">BC236/(1-AI236)</f>
        <v>0.459890021</v>
      </c>
      <c r="AR236" s="260">
        <f t="shared" si="394"/>
        <v>0.4346265883</v>
      </c>
      <c r="AS236" s="261">
        <f t="shared" si="369"/>
        <v>0.2244444444</v>
      </c>
      <c r="AT236" s="261">
        <f t="shared" si="370"/>
        <v>0.2022222222</v>
      </c>
      <c r="AU236" s="129">
        <v>0.45</v>
      </c>
      <c r="AV236" s="39" t="s">
        <v>932</v>
      </c>
      <c r="AW236" s="249">
        <v>0.007</v>
      </c>
      <c r="AX236" s="249">
        <v>2.589</v>
      </c>
      <c r="AY236" s="247"/>
      <c r="AZ236" s="243">
        <v>0.16</v>
      </c>
      <c r="BA236" s="244">
        <f t="shared" si="371"/>
        <v>2.6835</v>
      </c>
      <c r="BB236" s="244">
        <f t="shared" si="372"/>
        <v>2.8435</v>
      </c>
      <c r="BC236" s="245">
        <f t="shared" si="373"/>
        <v>0.4139010189</v>
      </c>
      <c r="BD236" s="132">
        <f t="shared" si="374"/>
        <v>0.3911639295</v>
      </c>
      <c r="BE236" s="135" t="s">
        <v>1004</v>
      </c>
      <c r="BF236" s="134" t="s">
        <v>576</v>
      </c>
      <c r="BG236" s="49"/>
      <c r="BH236" s="246">
        <f t="shared" si="324"/>
        <v>1.815988531</v>
      </c>
      <c r="BI236" s="246">
        <f t="shared" si="325"/>
        <v>1.089593118</v>
      </c>
      <c r="BJ236" s="246">
        <f t="shared" si="326"/>
        <v>0.9079942653</v>
      </c>
      <c r="BK236" s="246">
        <f t="shared" si="327"/>
        <v>0.7263954123</v>
      </c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</row>
    <row r="237" ht="14.25" customHeight="1">
      <c r="A237" s="103" t="s">
        <v>84</v>
      </c>
      <c r="B237" s="103" t="s">
        <v>120</v>
      </c>
      <c r="C237" s="103" t="s">
        <v>120</v>
      </c>
      <c r="D237" s="103" t="s">
        <v>86</v>
      </c>
      <c r="E237" s="104" t="s">
        <v>788</v>
      </c>
      <c r="F237" s="105" t="s">
        <v>973</v>
      </c>
      <c r="G237" s="106" t="s">
        <v>577</v>
      </c>
      <c r="H237" s="110">
        <v>26.0</v>
      </c>
      <c r="I237" s="107"/>
      <c r="J237" s="220" t="s">
        <v>1005</v>
      </c>
      <c r="K237" s="220" t="str">
        <f>_xlfn.XLOOKUP(J237,[1]Sheet1!$A:$A,[1]Sheet1!$B:$B,"")</f>
        <v>#ERROR!</v>
      </c>
      <c r="L237" s="105" t="s">
        <v>981</v>
      </c>
      <c r="M237" s="105" t="s">
        <v>982</v>
      </c>
      <c r="N237" s="110"/>
      <c r="O237" s="104" t="s">
        <v>95</v>
      </c>
      <c r="P237" s="110"/>
      <c r="Q237" s="103" t="s">
        <v>794</v>
      </c>
      <c r="R237" s="251" t="s">
        <v>795</v>
      </c>
      <c r="S237" s="250">
        <v>2560.0</v>
      </c>
      <c r="T237" s="252" t="str">
        <f t="shared" si="395"/>
        <v>4897108882234</v>
      </c>
      <c r="U237" s="106" t="s">
        <v>796</v>
      </c>
      <c r="V237" s="253">
        <v>0.0</v>
      </c>
      <c r="W237" s="254">
        <v>50.0</v>
      </c>
      <c r="X237" s="254">
        <v>45.0</v>
      </c>
      <c r="Y237" s="254">
        <v>55.0</v>
      </c>
      <c r="Z237" s="254" t="s">
        <v>99</v>
      </c>
      <c r="AA237" s="114">
        <f t="shared" si="243"/>
        <v>0.6829660957</v>
      </c>
      <c r="AB237" s="255"/>
      <c r="AC237" s="256">
        <f t="shared" si="365"/>
        <v>0.63174544</v>
      </c>
      <c r="AD237" s="240">
        <f t="shared" si="244"/>
        <v>0.679296172</v>
      </c>
      <c r="AE237" s="256"/>
      <c r="AF237" s="256" t="str">
        <f t="shared" si="94"/>
        <v>#REF!</v>
      </c>
      <c r="AG237" s="257" t="str">
        <f t="shared" si="95"/>
        <v>#REF!</v>
      </c>
      <c r="AH237" s="120" t="str">
        <f t="shared" si="96"/>
        <v>#REF!</v>
      </c>
      <c r="AI237" s="253">
        <f t="shared" si="237"/>
        <v>0.1</v>
      </c>
      <c r="AJ237" s="253">
        <v>0.1</v>
      </c>
      <c r="AK237" s="253">
        <v>0.28200000000000003</v>
      </c>
      <c r="AL237" s="123">
        <f t="shared" si="11"/>
        <v>0.1781522141</v>
      </c>
      <c r="AM237" s="253" t="s">
        <v>10</v>
      </c>
      <c r="AN237" s="258">
        <f t="shared" si="366"/>
        <v>0.63174544</v>
      </c>
      <c r="AO237" s="253">
        <f t="shared" si="367"/>
        <v>0.282</v>
      </c>
      <c r="AP237" s="127"/>
      <c r="AQ237" s="259">
        <f t="shared" ref="AQ237:AR237" si="396">BC237/(1-AI237)</f>
        <v>0.5296781498</v>
      </c>
      <c r="AR237" s="260">
        <f t="shared" si="396"/>
        <v>0.5039924732</v>
      </c>
      <c r="AS237" s="261">
        <f t="shared" si="369"/>
        <v>0.2244444444</v>
      </c>
      <c r="AT237" s="261">
        <f t="shared" si="370"/>
        <v>0.2022222222</v>
      </c>
      <c r="AU237" s="129">
        <v>0.51</v>
      </c>
      <c r="AV237" s="39" t="s">
        <v>932</v>
      </c>
      <c r="AW237" s="249">
        <v>0.012</v>
      </c>
      <c r="AX237" s="249">
        <v>2.953</v>
      </c>
      <c r="AY237" s="247"/>
      <c r="AZ237" s="243">
        <v>0.16</v>
      </c>
      <c r="BA237" s="244">
        <f t="shared" si="371"/>
        <v>3.115</v>
      </c>
      <c r="BB237" s="244">
        <f t="shared" si="372"/>
        <v>3.275</v>
      </c>
      <c r="BC237" s="245">
        <f t="shared" si="373"/>
        <v>0.4767103348</v>
      </c>
      <c r="BD237" s="132">
        <f t="shared" si="374"/>
        <v>0.4535932259</v>
      </c>
      <c r="BE237" s="135" t="s">
        <v>1004</v>
      </c>
      <c r="BF237" s="134" t="s">
        <v>576</v>
      </c>
      <c r="BG237" s="49"/>
      <c r="BH237" s="246">
        <f t="shared" si="324"/>
        <v>2.105818133</v>
      </c>
      <c r="BI237" s="246">
        <f t="shared" si="325"/>
        <v>1.26349088</v>
      </c>
      <c r="BJ237" s="246">
        <f t="shared" si="326"/>
        <v>1.052909067</v>
      </c>
      <c r="BK237" s="246">
        <f t="shared" si="327"/>
        <v>0.8423272533</v>
      </c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</row>
    <row r="238" ht="14.25" customHeight="1">
      <c r="A238" s="103" t="s">
        <v>84</v>
      </c>
      <c r="B238" s="103" t="s">
        <v>120</v>
      </c>
      <c r="C238" s="103" t="s">
        <v>120</v>
      </c>
      <c r="D238" s="103" t="s">
        <v>86</v>
      </c>
      <c r="E238" s="104" t="s">
        <v>788</v>
      </c>
      <c r="F238" s="105" t="s">
        <v>973</v>
      </c>
      <c r="G238" s="106" t="s">
        <v>577</v>
      </c>
      <c r="H238" s="110">
        <v>26.0</v>
      </c>
      <c r="I238" s="107"/>
      <c r="J238" s="220" t="s">
        <v>1006</v>
      </c>
      <c r="K238" s="220" t="str">
        <f>_xlfn.XLOOKUP(J238,[1]Sheet1!$A:$A,[1]Sheet1!$B:$B,"")</f>
        <v>#ERROR!</v>
      </c>
      <c r="L238" s="105" t="s">
        <v>985</v>
      </c>
      <c r="M238" s="105" t="s">
        <v>986</v>
      </c>
      <c r="N238" s="110"/>
      <c r="O238" s="104" t="s">
        <v>95</v>
      </c>
      <c r="P238" s="110"/>
      <c r="Q238" s="103" t="s">
        <v>794</v>
      </c>
      <c r="R238" s="251" t="s">
        <v>795</v>
      </c>
      <c r="S238" s="250">
        <v>1600.0</v>
      </c>
      <c r="T238" s="252" t="str">
        <f t="shared" si="395"/>
        <v>4897108882241</v>
      </c>
      <c r="U238" s="106" t="s">
        <v>796</v>
      </c>
      <c r="V238" s="253">
        <v>0.0</v>
      </c>
      <c r="W238" s="254">
        <v>50.0</v>
      </c>
      <c r="X238" s="254">
        <v>45.0</v>
      </c>
      <c r="Y238" s="254">
        <v>55.0</v>
      </c>
      <c r="Z238" s="254" t="s">
        <v>99</v>
      </c>
      <c r="AA238" s="114">
        <f t="shared" si="243"/>
        <v>0.8538310348</v>
      </c>
      <c r="AB238" s="255"/>
      <c r="AC238" s="256">
        <f t="shared" si="365"/>
        <v>0.8079161164</v>
      </c>
      <c r="AD238" s="240">
        <f t="shared" si="244"/>
        <v>0.8687270069</v>
      </c>
      <c r="AE238" s="256"/>
      <c r="AF238" s="256" t="str">
        <f t="shared" si="94"/>
        <v>#REF!</v>
      </c>
      <c r="AG238" s="257" t="str">
        <f t="shared" si="95"/>
        <v>#REF!</v>
      </c>
      <c r="AH238" s="120" t="str">
        <f t="shared" si="96"/>
        <v>#REF!</v>
      </c>
      <c r="AI238" s="253">
        <f t="shared" si="237"/>
        <v>0.1</v>
      </c>
      <c r="AJ238" s="253">
        <v>0.1</v>
      </c>
      <c r="AK238" s="253">
        <v>0.272</v>
      </c>
      <c r="AL238" s="123">
        <f t="shared" si="11"/>
        <v>0.2197531837</v>
      </c>
      <c r="AM238" s="253" t="s">
        <v>10</v>
      </c>
      <c r="AN238" s="258">
        <f t="shared" si="366"/>
        <v>0.8079161164</v>
      </c>
      <c r="AO238" s="253">
        <f t="shared" si="367"/>
        <v>0.272</v>
      </c>
      <c r="AP238" s="127"/>
      <c r="AQ238" s="259">
        <f t="shared" ref="AQ238:AR238" si="397">BC238/(1-AI238)</f>
        <v>0.671680414</v>
      </c>
      <c r="AR238" s="260">
        <f t="shared" si="397"/>
        <v>0.6535143697</v>
      </c>
      <c r="AS238" s="261">
        <f t="shared" si="369"/>
        <v>0.2133333333</v>
      </c>
      <c r="AT238" s="261">
        <f t="shared" si="370"/>
        <v>0.1911111111</v>
      </c>
      <c r="AU238" s="129">
        <v>0.59</v>
      </c>
      <c r="AV238" s="39" t="s">
        <v>932</v>
      </c>
      <c r="AW238" s="249">
        <v>0.024</v>
      </c>
      <c r="AX238" s="249">
        <v>3.669</v>
      </c>
      <c r="AY238" s="247"/>
      <c r="AZ238" s="243">
        <v>0.16</v>
      </c>
      <c r="BA238" s="244">
        <f t="shared" si="371"/>
        <v>3.993</v>
      </c>
      <c r="BB238" s="244">
        <f t="shared" si="372"/>
        <v>4.153</v>
      </c>
      <c r="BC238" s="245">
        <f t="shared" si="373"/>
        <v>0.6045123726</v>
      </c>
      <c r="BD238" s="132">
        <f t="shared" si="374"/>
        <v>0.5881629327</v>
      </c>
      <c r="BE238" s="135" t="s">
        <v>1004</v>
      </c>
      <c r="BF238" s="134" t="s">
        <v>576</v>
      </c>
      <c r="BG238" s="49"/>
      <c r="BH238" s="246">
        <f t="shared" si="324"/>
        <v>2.693053721</v>
      </c>
      <c r="BI238" s="246">
        <f t="shared" si="325"/>
        <v>1.615832233</v>
      </c>
      <c r="BJ238" s="246">
        <f t="shared" si="326"/>
        <v>1.346526861</v>
      </c>
      <c r="BK238" s="246">
        <f t="shared" si="327"/>
        <v>1.077221489</v>
      </c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</row>
    <row r="239" ht="14.25" customHeight="1">
      <c r="A239" s="103" t="s">
        <v>84</v>
      </c>
      <c r="B239" s="103" t="s">
        <v>120</v>
      </c>
      <c r="C239" s="103" t="s">
        <v>120</v>
      </c>
      <c r="D239" s="103" t="s">
        <v>86</v>
      </c>
      <c r="E239" s="104" t="s">
        <v>788</v>
      </c>
      <c r="F239" s="105" t="s">
        <v>973</v>
      </c>
      <c r="G239" s="106" t="s">
        <v>577</v>
      </c>
      <c r="H239" s="110">
        <v>26.0</v>
      </c>
      <c r="I239" s="107"/>
      <c r="J239" s="220" t="s">
        <v>1007</v>
      </c>
      <c r="K239" s="220" t="str">
        <f>_xlfn.XLOOKUP(J239,[1]Sheet1!$A:$A,[1]Sheet1!$B:$B,"")</f>
        <v>#ERROR!</v>
      </c>
      <c r="L239" s="105" t="s">
        <v>989</v>
      </c>
      <c r="M239" s="105" t="s">
        <v>990</v>
      </c>
      <c r="N239" s="110"/>
      <c r="O239" s="104" t="s">
        <v>95</v>
      </c>
      <c r="P239" s="110"/>
      <c r="Q239" s="103" t="s">
        <v>794</v>
      </c>
      <c r="R239" s="251" t="s">
        <v>795</v>
      </c>
      <c r="S239" s="250">
        <v>1280.0</v>
      </c>
      <c r="T239" s="252" t="str">
        <f t="shared" si="395"/>
        <v>4897108882258</v>
      </c>
      <c r="U239" s="106" t="s">
        <v>796</v>
      </c>
      <c r="V239" s="253">
        <v>0.0</v>
      </c>
      <c r="W239" s="254">
        <v>50.0</v>
      </c>
      <c r="X239" s="254">
        <v>45.0</v>
      </c>
      <c r="Y239" s="254">
        <v>55.0</v>
      </c>
      <c r="Z239" s="254" t="s">
        <v>99</v>
      </c>
      <c r="AA239" s="114">
        <f t="shared" si="243"/>
        <v>1.23674948</v>
      </c>
      <c r="AB239" s="255"/>
      <c r="AC239" s="256">
        <f t="shared" si="365"/>
        <v>1.153203992</v>
      </c>
      <c r="AD239" s="240">
        <f t="shared" si="244"/>
        <v>1.240004292</v>
      </c>
      <c r="AE239" s="256"/>
      <c r="AF239" s="256" t="str">
        <f t="shared" si="94"/>
        <v>#REF!</v>
      </c>
      <c r="AG239" s="257" t="str">
        <f t="shared" si="95"/>
        <v>#REF!</v>
      </c>
      <c r="AH239" s="120" t="str">
        <f t="shared" si="96"/>
        <v>#REF!</v>
      </c>
      <c r="AI239" s="253">
        <f t="shared" si="237"/>
        <v>0.1</v>
      </c>
      <c r="AJ239" s="253">
        <v>0.1</v>
      </c>
      <c r="AK239" s="253">
        <v>0.272</v>
      </c>
      <c r="AL239" s="123">
        <f t="shared" si="11"/>
        <v>0.3136714857</v>
      </c>
      <c r="AM239" s="253" t="s">
        <v>10</v>
      </c>
      <c r="AN239" s="258">
        <f t="shared" si="366"/>
        <v>1.153203992</v>
      </c>
      <c r="AO239" s="253">
        <f t="shared" si="367"/>
        <v>0.272</v>
      </c>
      <c r="AP239" s="127"/>
      <c r="AQ239" s="259">
        <f t="shared" ref="AQ239:AR239" si="398">BC239/(1-AI239)</f>
        <v>0.9729095908</v>
      </c>
      <c r="AR239" s="260">
        <f t="shared" si="398"/>
        <v>0.9328138954</v>
      </c>
      <c r="AS239" s="261">
        <f t="shared" si="369"/>
        <v>0.2133333333</v>
      </c>
      <c r="AT239" s="261">
        <f t="shared" si="370"/>
        <v>0.1911111111</v>
      </c>
      <c r="AU239" s="129">
        <v>0.86</v>
      </c>
      <c r="AV239" s="39" t="s">
        <v>932</v>
      </c>
      <c r="AW239" s="249">
        <v>0.047</v>
      </c>
      <c r="AX239" s="249">
        <v>5.221</v>
      </c>
      <c r="AY239" s="247"/>
      <c r="AZ239" s="243">
        <v>0.16</v>
      </c>
      <c r="BA239" s="244">
        <f t="shared" si="371"/>
        <v>5.8555</v>
      </c>
      <c r="BB239" s="244">
        <f t="shared" si="372"/>
        <v>6.0155</v>
      </c>
      <c r="BC239" s="245">
        <f t="shared" si="373"/>
        <v>0.8756186317</v>
      </c>
      <c r="BD239" s="132">
        <f t="shared" si="374"/>
        <v>0.8395325059</v>
      </c>
      <c r="BE239" s="135" t="s">
        <v>1004</v>
      </c>
      <c r="BF239" s="134" t="s">
        <v>576</v>
      </c>
      <c r="BG239" s="49"/>
      <c r="BH239" s="246">
        <f t="shared" si="324"/>
        <v>3.844013305</v>
      </c>
      <c r="BI239" s="246">
        <f t="shared" si="325"/>
        <v>2.306407983</v>
      </c>
      <c r="BJ239" s="246">
        <f t="shared" si="326"/>
        <v>1.922006653</v>
      </c>
      <c r="BK239" s="246">
        <f t="shared" si="327"/>
        <v>1.537605322</v>
      </c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</row>
    <row r="240" ht="14.25" customHeight="1">
      <c r="A240" s="103" t="s">
        <v>84</v>
      </c>
      <c r="B240" s="103" t="s">
        <v>120</v>
      </c>
      <c r="C240" s="103" t="s">
        <v>120</v>
      </c>
      <c r="D240" s="103" t="s">
        <v>86</v>
      </c>
      <c r="E240" s="104" t="s">
        <v>788</v>
      </c>
      <c r="F240" s="105" t="s">
        <v>973</v>
      </c>
      <c r="G240" s="106" t="s">
        <v>577</v>
      </c>
      <c r="H240" s="110">
        <v>26.0</v>
      </c>
      <c r="I240" s="107"/>
      <c r="J240" s="220" t="s">
        <v>1008</v>
      </c>
      <c r="K240" s="220" t="str">
        <f>_xlfn.XLOOKUP(J240,[1]Sheet1!$A:$A,[1]Sheet1!$B:$B,"")</f>
        <v>#ERROR!</v>
      </c>
      <c r="L240" s="105" t="s">
        <v>993</v>
      </c>
      <c r="M240" s="105" t="s">
        <v>994</v>
      </c>
      <c r="N240" s="110"/>
      <c r="O240" s="104" t="s">
        <v>95</v>
      </c>
      <c r="P240" s="110"/>
      <c r="Q240" s="103" t="s">
        <v>794</v>
      </c>
      <c r="R240" s="251" t="s">
        <v>795</v>
      </c>
      <c r="S240" s="250">
        <v>960.0</v>
      </c>
      <c r="T240" s="252" t="str">
        <f t="shared" si="395"/>
        <v>4897108882265</v>
      </c>
      <c r="U240" s="106" t="s">
        <v>796</v>
      </c>
      <c r="V240" s="253">
        <v>0.0</v>
      </c>
      <c r="W240" s="254">
        <v>50.0</v>
      </c>
      <c r="X240" s="254">
        <v>45.0</v>
      </c>
      <c r="Y240" s="254">
        <v>55.0</v>
      </c>
      <c r="Z240" s="254" t="s">
        <v>99</v>
      </c>
      <c r="AA240" s="114">
        <f t="shared" si="243"/>
        <v>1.620387503</v>
      </c>
      <c r="AB240" s="255"/>
      <c r="AC240" s="256">
        <f t="shared" si="365"/>
        <v>1.513409005</v>
      </c>
      <c r="AD240" s="240">
        <f t="shared" si="244"/>
        <v>1.627321511</v>
      </c>
      <c r="AE240" s="256"/>
      <c r="AF240" s="256" t="str">
        <f t="shared" si="94"/>
        <v>#REF!</v>
      </c>
      <c r="AG240" s="257" t="str">
        <f t="shared" si="95"/>
        <v>#REF!</v>
      </c>
      <c r="AH240" s="120" t="str">
        <f t="shared" si="96"/>
        <v>#REF!</v>
      </c>
      <c r="AI240" s="253">
        <f t="shared" si="237"/>
        <v>0.1</v>
      </c>
      <c r="AJ240" s="253">
        <v>0.1</v>
      </c>
      <c r="AK240" s="253">
        <v>0.272</v>
      </c>
      <c r="AL240" s="123">
        <f t="shared" si="11"/>
        <v>0.4116472493</v>
      </c>
      <c r="AM240" s="253" t="s">
        <v>10</v>
      </c>
      <c r="AN240" s="258">
        <f t="shared" si="366"/>
        <v>1.513409005</v>
      </c>
      <c r="AO240" s="253">
        <f t="shared" si="367"/>
        <v>0.272</v>
      </c>
      <c r="AP240" s="127"/>
      <c r="AQ240" s="259">
        <f t="shared" ref="AQ240:AR240" si="399">BC240/(1-AI240)</f>
        <v>1.274704836</v>
      </c>
      <c r="AR240" s="260">
        <f t="shared" si="399"/>
        <v>1.224179728</v>
      </c>
      <c r="AS240" s="261">
        <f t="shared" si="369"/>
        <v>0.2133333333</v>
      </c>
      <c r="AT240" s="261">
        <f t="shared" si="370"/>
        <v>0.1911111111</v>
      </c>
      <c r="AU240" s="129">
        <v>1.12</v>
      </c>
      <c r="AV240" s="39" t="s">
        <v>932</v>
      </c>
      <c r="AW240" s="249">
        <v>0.071</v>
      </c>
      <c r="AX240" s="249">
        <v>6.763</v>
      </c>
      <c r="AY240" s="247"/>
      <c r="AZ240" s="243">
        <v>0.16</v>
      </c>
      <c r="BA240" s="244">
        <f t="shared" si="371"/>
        <v>7.7215</v>
      </c>
      <c r="BB240" s="244">
        <f t="shared" si="372"/>
        <v>7.8815</v>
      </c>
      <c r="BC240" s="245">
        <f t="shared" si="373"/>
        <v>1.147234352</v>
      </c>
      <c r="BD240" s="132">
        <f t="shared" si="374"/>
        <v>1.101761756</v>
      </c>
      <c r="BE240" s="135" t="s">
        <v>1004</v>
      </c>
      <c r="BF240" s="134" t="s">
        <v>576</v>
      </c>
      <c r="BG240" s="49"/>
      <c r="BH240" s="246">
        <f t="shared" si="324"/>
        <v>5.044696683</v>
      </c>
      <c r="BI240" s="246">
        <f t="shared" si="325"/>
        <v>3.02681801</v>
      </c>
      <c r="BJ240" s="246">
        <f t="shared" si="326"/>
        <v>2.522348342</v>
      </c>
      <c r="BK240" s="246">
        <f t="shared" si="327"/>
        <v>2.017878673</v>
      </c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</row>
    <row r="241" ht="14.25" customHeight="1">
      <c r="A241" s="103" t="s">
        <v>84</v>
      </c>
      <c r="B241" s="103" t="s">
        <v>120</v>
      </c>
      <c r="C241" s="103" t="s">
        <v>120</v>
      </c>
      <c r="D241" s="103" t="s">
        <v>86</v>
      </c>
      <c r="E241" s="104" t="s">
        <v>788</v>
      </c>
      <c r="F241" s="105" t="s">
        <v>973</v>
      </c>
      <c r="G241" s="106" t="s">
        <v>577</v>
      </c>
      <c r="H241" s="110">
        <v>26.0</v>
      </c>
      <c r="I241" s="107"/>
      <c r="J241" s="220" t="s">
        <v>1009</v>
      </c>
      <c r="K241" s="220" t="str">
        <f>_xlfn.XLOOKUP(J241,[1]Sheet1!$A:$A,[1]Sheet1!$B:$B,"")</f>
        <v>#ERROR!</v>
      </c>
      <c r="L241" s="105" t="s">
        <v>997</v>
      </c>
      <c r="M241" s="105" t="s">
        <v>998</v>
      </c>
      <c r="N241" s="110"/>
      <c r="O241" s="104" t="s">
        <v>95</v>
      </c>
      <c r="P241" s="110"/>
      <c r="Q241" s="103" t="s">
        <v>794</v>
      </c>
      <c r="R241" s="251" t="s">
        <v>795</v>
      </c>
      <c r="S241" s="250">
        <v>640.0</v>
      </c>
      <c r="T241" s="252" t="str">
        <f t="shared" si="395"/>
        <v>4897108882272</v>
      </c>
      <c r="U241" s="106" t="s">
        <v>796</v>
      </c>
      <c r="V241" s="253">
        <v>0.0</v>
      </c>
      <c r="W241" s="254">
        <v>50.0</v>
      </c>
      <c r="X241" s="254">
        <v>45.0</v>
      </c>
      <c r="Y241" s="254">
        <v>55.0</v>
      </c>
      <c r="Z241" s="254" t="s">
        <v>99</v>
      </c>
      <c r="AA241" s="114">
        <f t="shared" si="243"/>
        <v>2.450986439</v>
      </c>
      <c r="AB241" s="255"/>
      <c r="AC241" s="256">
        <f t="shared" si="365"/>
        <v>2.287369683</v>
      </c>
      <c r="AD241" s="240">
        <f t="shared" si="244"/>
        <v>2.459537294</v>
      </c>
      <c r="AE241" s="256"/>
      <c r="AF241" s="256" t="str">
        <f t="shared" si="94"/>
        <v>#REF!</v>
      </c>
      <c r="AG241" s="257" t="str">
        <f t="shared" si="95"/>
        <v>#REF!</v>
      </c>
      <c r="AH241" s="120" t="str">
        <f t="shared" si="96"/>
        <v>#REF!</v>
      </c>
      <c r="AI241" s="253">
        <f t="shared" si="237"/>
        <v>0.1</v>
      </c>
      <c r="AJ241" s="253">
        <v>0.1</v>
      </c>
      <c r="AK241" s="253">
        <v>0.272</v>
      </c>
      <c r="AL241" s="123">
        <f t="shared" si="11"/>
        <v>0.6221645539</v>
      </c>
      <c r="AM241" s="253" t="s">
        <v>10</v>
      </c>
      <c r="AN241" s="258">
        <f t="shared" si="366"/>
        <v>2.287369683</v>
      </c>
      <c r="AO241" s="253">
        <f t="shared" si="367"/>
        <v>0.272</v>
      </c>
      <c r="AP241" s="127"/>
      <c r="AQ241" s="259">
        <f t="shared" ref="AQ241:AR241" si="400">BC241/(1-AI241)</f>
        <v>1.928109332</v>
      </c>
      <c r="AR241" s="260">
        <f t="shared" si="400"/>
        <v>1.850227922</v>
      </c>
      <c r="AS241" s="261">
        <f t="shared" si="369"/>
        <v>0.2133333333</v>
      </c>
      <c r="AT241" s="261">
        <f t="shared" si="370"/>
        <v>0.1911111111</v>
      </c>
      <c r="AU241" s="129">
        <v>1.6</v>
      </c>
      <c r="AV241" s="39" t="s">
        <v>932</v>
      </c>
      <c r="AW241" s="249">
        <v>0.117</v>
      </c>
      <c r="AX241" s="249">
        <v>10.182</v>
      </c>
      <c r="AY241" s="247"/>
      <c r="AZ241" s="243">
        <v>0.16</v>
      </c>
      <c r="BA241" s="244">
        <f t="shared" si="371"/>
        <v>11.7615</v>
      </c>
      <c r="BB241" s="244">
        <f t="shared" si="372"/>
        <v>11.9215</v>
      </c>
      <c r="BC241" s="245">
        <f t="shared" si="373"/>
        <v>1.735298399</v>
      </c>
      <c r="BD241" s="132">
        <f t="shared" si="374"/>
        <v>1.665205129</v>
      </c>
      <c r="BE241" s="135" t="s">
        <v>1004</v>
      </c>
      <c r="BF241" s="134" t="s">
        <v>576</v>
      </c>
      <c r="BG241" s="49"/>
      <c r="BH241" s="246">
        <f t="shared" si="324"/>
        <v>7.624565611</v>
      </c>
      <c r="BI241" s="246">
        <f t="shared" si="325"/>
        <v>4.574739367</v>
      </c>
      <c r="BJ241" s="246">
        <f t="shared" si="326"/>
        <v>3.812282805</v>
      </c>
      <c r="BK241" s="246">
        <f t="shared" si="327"/>
        <v>3.049826244</v>
      </c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</row>
    <row r="242" ht="14.25" customHeight="1">
      <c r="A242" s="103" t="s">
        <v>84</v>
      </c>
      <c r="B242" s="103" t="s">
        <v>120</v>
      </c>
      <c r="C242" s="103" t="s">
        <v>120</v>
      </c>
      <c r="D242" s="103" t="s">
        <v>86</v>
      </c>
      <c r="E242" s="104" t="s">
        <v>788</v>
      </c>
      <c r="F242" s="105" t="s">
        <v>973</v>
      </c>
      <c r="G242" s="106" t="s">
        <v>577</v>
      </c>
      <c r="H242" s="110">
        <v>26.0</v>
      </c>
      <c r="I242" s="107"/>
      <c r="J242" s="220" t="s">
        <v>1010</v>
      </c>
      <c r="K242" s="220" t="str">
        <f>_xlfn.XLOOKUP(J242,[1]Sheet1!$A:$A,[1]Sheet1!$B:$B,"")</f>
        <v>#ERROR!</v>
      </c>
      <c r="L242" s="104" t="s">
        <v>1001</v>
      </c>
      <c r="M242" s="104" t="s">
        <v>1002</v>
      </c>
      <c r="N242" s="110"/>
      <c r="O242" s="103" t="s">
        <v>95</v>
      </c>
      <c r="P242" s="251"/>
      <c r="Q242" s="103" t="s">
        <v>794</v>
      </c>
      <c r="R242" s="110" t="s">
        <v>795</v>
      </c>
      <c r="S242" s="250">
        <v>220.0</v>
      </c>
      <c r="T242" s="262" t="s">
        <v>1011</v>
      </c>
      <c r="U242" s="106" t="s">
        <v>796</v>
      </c>
      <c r="V242" s="253">
        <v>0.0</v>
      </c>
      <c r="W242" s="254">
        <v>50.0</v>
      </c>
      <c r="X242" s="254">
        <v>45.0</v>
      </c>
      <c r="Y242" s="254">
        <v>55.0</v>
      </c>
      <c r="Z242" s="254" t="s">
        <v>99</v>
      </c>
      <c r="AA242" s="114">
        <f t="shared" si="243"/>
        <v>4.473443688</v>
      </c>
      <c r="AB242" s="255"/>
      <c r="AC242" s="256">
        <f t="shared" si="365"/>
        <v>4.422078765</v>
      </c>
      <c r="AD242" s="240">
        <f t="shared" si="244"/>
        <v>4.754923403</v>
      </c>
      <c r="AE242" s="256"/>
      <c r="AF242" s="256" t="str">
        <f t="shared" si="94"/>
        <v>#REF!</v>
      </c>
      <c r="AG242" s="257" t="str">
        <f t="shared" si="95"/>
        <v>#REF!</v>
      </c>
      <c r="AH242" s="120" t="str">
        <f t="shared" si="96"/>
        <v>#REF!</v>
      </c>
      <c r="AI242" s="253">
        <f t="shared" si="237"/>
        <v>0.1</v>
      </c>
      <c r="AJ242" s="253">
        <v>0.1</v>
      </c>
      <c r="AK242" s="253">
        <v>0.292</v>
      </c>
      <c r="AL242" s="123">
        <f t="shared" si="11"/>
        <v>1.291246999</v>
      </c>
      <c r="AM242" s="253" t="s">
        <v>10</v>
      </c>
      <c r="AN242" s="258">
        <f t="shared" si="366"/>
        <v>4.422078765</v>
      </c>
      <c r="AO242" s="253">
        <f t="shared" si="367"/>
        <v>0.292</v>
      </c>
      <c r="AP242" s="127"/>
      <c r="AQ242" s="259">
        <f t="shared" ref="AQ242:AR242" si="401">BC242/(1-AI242)</f>
        <v>3.419699175</v>
      </c>
      <c r="AR242" s="260">
        <f t="shared" si="401"/>
        <v>3.478701962</v>
      </c>
      <c r="AS242" s="261">
        <f t="shared" si="369"/>
        <v>0.2355555556</v>
      </c>
      <c r="AT242" s="261">
        <f t="shared" si="370"/>
        <v>0.2133333333</v>
      </c>
      <c r="AU242" s="129">
        <v>2.84</v>
      </c>
      <c r="AV242" s="39" t="s">
        <v>932</v>
      </c>
      <c r="AW242" s="249">
        <v>0.234</v>
      </c>
      <c r="AX242" s="249">
        <v>17.825</v>
      </c>
      <c r="AY242" s="247"/>
      <c r="AZ242" s="243">
        <v>0.16</v>
      </c>
      <c r="BA242" s="244">
        <f t="shared" si="371"/>
        <v>20.984</v>
      </c>
      <c r="BB242" s="244">
        <f t="shared" si="372"/>
        <v>21.144</v>
      </c>
      <c r="BC242" s="245">
        <f t="shared" si="373"/>
        <v>3.077729258</v>
      </c>
      <c r="BD242" s="132">
        <f t="shared" si="374"/>
        <v>3.130831766</v>
      </c>
      <c r="BE242" s="135" t="s">
        <v>1004</v>
      </c>
      <c r="BF242" s="134" t="s">
        <v>576</v>
      </c>
      <c r="BG242" s="49"/>
      <c r="BH242" s="246">
        <f t="shared" si="324"/>
        <v>14.74026255</v>
      </c>
      <c r="BI242" s="246">
        <f t="shared" si="325"/>
        <v>8.84415753</v>
      </c>
      <c r="BJ242" s="246">
        <f t="shared" si="326"/>
        <v>7.370131275</v>
      </c>
      <c r="BK242" s="246">
        <f t="shared" si="327"/>
        <v>5.89610502</v>
      </c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</row>
    <row r="243" ht="14.25" customHeight="1">
      <c r="A243" s="103" t="s">
        <v>84</v>
      </c>
      <c r="B243" s="103" t="s">
        <v>120</v>
      </c>
      <c r="C243" s="103" t="s">
        <v>120</v>
      </c>
      <c r="D243" s="103" t="s">
        <v>86</v>
      </c>
      <c r="E243" s="104" t="s">
        <v>788</v>
      </c>
      <c r="F243" s="105" t="s">
        <v>973</v>
      </c>
      <c r="G243" s="106" t="s">
        <v>577</v>
      </c>
      <c r="H243" s="110">
        <v>26.0</v>
      </c>
      <c r="I243" s="107"/>
      <c r="J243" s="220" t="s">
        <v>1012</v>
      </c>
      <c r="K243" s="220" t="str">
        <f>_xlfn.XLOOKUP(J243,[1]Sheet1!$A:$A,[1]Sheet1!$B:$B,"")</f>
        <v>#ERROR!</v>
      </c>
      <c r="L243" s="105" t="s">
        <v>1013</v>
      </c>
      <c r="M243" s="105" t="s">
        <v>1014</v>
      </c>
      <c r="N243" s="110"/>
      <c r="O243" s="104" t="s">
        <v>95</v>
      </c>
      <c r="P243" s="110"/>
      <c r="Q243" s="103" t="s">
        <v>1015</v>
      </c>
      <c r="R243" s="110" t="s">
        <v>795</v>
      </c>
      <c r="S243" s="250">
        <v>256.0</v>
      </c>
      <c r="T243" s="263" t="s">
        <v>1016</v>
      </c>
      <c r="U243" s="106" t="s">
        <v>796</v>
      </c>
      <c r="V243" s="253">
        <v>0.0</v>
      </c>
      <c r="W243" s="254">
        <v>50.0</v>
      </c>
      <c r="X243" s="254">
        <v>45.0</v>
      </c>
      <c r="Y243" s="254">
        <v>55.0</v>
      </c>
      <c r="Z243" s="254" t="s">
        <v>99</v>
      </c>
      <c r="AA243" s="114">
        <f t="shared" si="243"/>
        <v>6.936789124</v>
      </c>
      <c r="AB243" s="255"/>
      <c r="AC243" s="256">
        <f t="shared" si="365"/>
        <v>6.413325555</v>
      </c>
      <c r="AD243" s="240">
        <f t="shared" si="244"/>
        <v>6.896048984</v>
      </c>
      <c r="AE243" s="256"/>
      <c r="AF243" s="256" t="str">
        <f t="shared" si="94"/>
        <v>#REF!</v>
      </c>
      <c r="AG243" s="257" t="str">
        <f t="shared" si="95"/>
        <v>#REF!</v>
      </c>
      <c r="AH243" s="120" t="str">
        <f t="shared" si="96"/>
        <v>#REF!</v>
      </c>
      <c r="AI243" s="253">
        <f t="shared" si="237"/>
        <v>0.1</v>
      </c>
      <c r="AJ243" s="253">
        <v>0.1</v>
      </c>
      <c r="AK243" s="253">
        <v>0.292</v>
      </c>
      <c r="AL243" s="123">
        <f t="shared" si="11"/>
        <v>1.872691062</v>
      </c>
      <c r="AM243" s="253" t="s">
        <v>10</v>
      </c>
      <c r="AN243" s="258">
        <f t="shared" si="366"/>
        <v>6.413325555</v>
      </c>
      <c r="AO243" s="253">
        <f t="shared" si="367"/>
        <v>0.292</v>
      </c>
      <c r="AP243" s="127"/>
      <c r="AQ243" s="259">
        <f t="shared" ref="AQ243:AR243" si="402">BC243/(1-AI243)</f>
        <v>5.302789908</v>
      </c>
      <c r="AR243" s="260">
        <f t="shared" si="402"/>
        <v>5.045149437</v>
      </c>
      <c r="AS243" s="261">
        <f t="shared" si="369"/>
        <v>0.2355555556</v>
      </c>
      <c r="AT243" s="261">
        <f t="shared" si="370"/>
        <v>0.2133333333</v>
      </c>
      <c r="AU243" s="129">
        <v>4.34</v>
      </c>
      <c r="AV243" s="39" t="s">
        <v>932</v>
      </c>
      <c r="AW243" s="249">
        <v>0.41889999999999994</v>
      </c>
      <c r="AX243" s="249">
        <v>26.972</v>
      </c>
      <c r="AY243" s="247"/>
      <c r="AZ243" s="243">
        <v>0.16</v>
      </c>
      <c r="BA243" s="244">
        <f t="shared" si="371"/>
        <v>32.62715</v>
      </c>
      <c r="BB243" s="244">
        <f t="shared" si="372"/>
        <v>32.78715</v>
      </c>
      <c r="BC243" s="245">
        <f t="shared" si="373"/>
        <v>4.772510917</v>
      </c>
      <c r="BD243" s="132">
        <f t="shared" si="374"/>
        <v>4.540634493</v>
      </c>
      <c r="BE243" s="135" t="s">
        <v>1004</v>
      </c>
      <c r="BF243" s="134" t="s">
        <v>576</v>
      </c>
      <c r="BG243" s="49"/>
      <c r="BH243" s="246">
        <f t="shared" si="324"/>
        <v>21.37775185</v>
      </c>
      <c r="BI243" s="246">
        <f t="shared" si="325"/>
        <v>12.82665111</v>
      </c>
      <c r="BJ243" s="246">
        <f t="shared" si="326"/>
        <v>10.68887593</v>
      </c>
      <c r="BK243" s="246">
        <f t="shared" si="327"/>
        <v>8.55110074</v>
      </c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</row>
    <row r="244" ht="14.25" customHeight="1">
      <c r="A244" s="103" t="s">
        <v>84</v>
      </c>
      <c r="B244" s="103" t="s">
        <v>120</v>
      </c>
      <c r="C244" s="103" t="s">
        <v>120</v>
      </c>
      <c r="D244" s="103" t="s">
        <v>86</v>
      </c>
      <c r="E244" s="104" t="s">
        <v>788</v>
      </c>
      <c r="F244" s="105" t="s">
        <v>973</v>
      </c>
      <c r="G244" s="106" t="s">
        <v>577</v>
      </c>
      <c r="H244" s="110">
        <v>26.0</v>
      </c>
      <c r="I244" s="107"/>
      <c r="J244" s="220" t="s">
        <v>1017</v>
      </c>
      <c r="K244" s="220" t="str">
        <f>_xlfn.XLOOKUP(J244,[1]Sheet1!$A:$A,[1]Sheet1!$B:$B,"")</f>
        <v>#ERROR!</v>
      </c>
      <c r="L244" s="105" t="s">
        <v>1018</v>
      </c>
      <c r="M244" s="105" t="s">
        <v>1019</v>
      </c>
      <c r="N244" s="110"/>
      <c r="O244" s="104" t="s">
        <v>95</v>
      </c>
      <c r="P244" s="110"/>
      <c r="Q244" s="103" t="s">
        <v>1015</v>
      </c>
      <c r="R244" s="110" t="s">
        <v>795</v>
      </c>
      <c r="S244" s="250">
        <v>256.0</v>
      </c>
      <c r="T244" s="263" t="s">
        <v>1020</v>
      </c>
      <c r="U244" s="106" t="s">
        <v>796</v>
      </c>
      <c r="V244" s="253">
        <v>0.0</v>
      </c>
      <c r="W244" s="254">
        <v>50.0</v>
      </c>
      <c r="X244" s="254">
        <v>45.0</v>
      </c>
      <c r="Y244" s="254">
        <v>55.0</v>
      </c>
      <c r="Z244" s="254" t="s">
        <v>99</v>
      </c>
      <c r="AA244" s="114">
        <f t="shared" si="243"/>
        <v>9.25786407</v>
      </c>
      <c r="AB244" s="255"/>
      <c r="AC244" s="256">
        <f t="shared" si="365"/>
        <v>8.374636736</v>
      </c>
      <c r="AD244" s="240">
        <f t="shared" si="244"/>
        <v>9.004985737</v>
      </c>
      <c r="AE244" s="256"/>
      <c r="AF244" s="256" t="str">
        <f t="shared" si="94"/>
        <v>#REF!</v>
      </c>
      <c r="AG244" s="257" t="str">
        <f t="shared" si="95"/>
        <v>#REF!</v>
      </c>
      <c r="AH244" s="120" t="str">
        <f t="shared" si="96"/>
        <v>#REF!</v>
      </c>
      <c r="AI244" s="253">
        <f t="shared" si="237"/>
        <v>0.1</v>
      </c>
      <c r="AJ244" s="253">
        <v>0.1</v>
      </c>
      <c r="AK244" s="253">
        <v>0.292</v>
      </c>
      <c r="AL244" s="123">
        <f t="shared" si="11"/>
        <v>2.445393927</v>
      </c>
      <c r="AM244" s="253" t="s">
        <v>10</v>
      </c>
      <c r="AN244" s="258">
        <f t="shared" si="366"/>
        <v>8.374636736</v>
      </c>
      <c r="AO244" s="253">
        <f t="shared" si="367"/>
        <v>0.292</v>
      </c>
      <c r="AP244" s="127"/>
      <c r="AQ244" s="259">
        <f t="shared" ref="AQ244:AR244" si="403">BC244/(1-AI244)</f>
        <v>7.077122756</v>
      </c>
      <c r="AR244" s="260">
        <f t="shared" si="403"/>
        <v>6.588047566</v>
      </c>
      <c r="AS244" s="261">
        <f t="shared" si="369"/>
        <v>0.2355555556</v>
      </c>
      <c r="AT244" s="261">
        <f t="shared" si="370"/>
        <v>0.2133333333</v>
      </c>
      <c r="AU244" s="129">
        <v>5.77</v>
      </c>
      <c r="AV244" s="39" t="s">
        <v>932</v>
      </c>
      <c r="AW244" s="249">
        <v>0.5751</v>
      </c>
      <c r="AX244" s="249">
        <v>35.834</v>
      </c>
      <c r="AY244" s="247"/>
      <c r="AZ244" s="243">
        <v>0.16</v>
      </c>
      <c r="BA244" s="244">
        <f t="shared" si="371"/>
        <v>43.59785</v>
      </c>
      <c r="BB244" s="244">
        <f t="shared" si="372"/>
        <v>43.75785</v>
      </c>
      <c r="BC244" s="245">
        <f t="shared" si="373"/>
        <v>6.36941048</v>
      </c>
      <c r="BD244" s="132">
        <f t="shared" si="374"/>
        <v>5.929242809</v>
      </c>
      <c r="BE244" s="135" t="s">
        <v>1004</v>
      </c>
      <c r="BF244" s="134" t="s">
        <v>576</v>
      </c>
      <c r="BG244" s="49"/>
      <c r="BH244" s="246">
        <f t="shared" si="324"/>
        <v>27.91545579</v>
      </c>
      <c r="BI244" s="246">
        <f t="shared" si="325"/>
        <v>16.74927347</v>
      </c>
      <c r="BJ244" s="246">
        <f t="shared" si="326"/>
        <v>13.95772789</v>
      </c>
      <c r="BK244" s="246">
        <f t="shared" si="327"/>
        <v>11.16618231</v>
      </c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</row>
    <row r="245" ht="14.25" customHeight="1">
      <c r="A245" s="103" t="s">
        <v>84</v>
      </c>
      <c r="B245" s="103" t="s">
        <v>120</v>
      </c>
      <c r="C245" s="103" t="s">
        <v>120</v>
      </c>
      <c r="D245" s="103" t="s">
        <v>86</v>
      </c>
      <c r="E245" s="104" t="s">
        <v>788</v>
      </c>
      <c r="F245" s="105" t="s">
        <v>973</v>
      </c>
      <c r="G245" s="106" t="s">
        <v>577</v>
      </c>
      <c r="H245" s="110">
        <v>26.0</v>
      </c>
      <c r="I245" s="107"/>
      <c r="J245" s="220" t="s">
        <v>1021</v>
      </c>
      <c r="K245" s="220" t="str">
        <f>_xlfn.XLOOKUP(J245,[1]Sheet1!$A:$A,[1]Sheet1!$B:$B,"")</f>
        <v>#ERROR!</v>
      </c>
      <c r="L245" s="105" t="s">
        <v>1022</v>
      </c>
      <c r="M245" s="105" t="s">
        <v>1023</v>
      </c>
      <c r="N245" s="110"/>
      <c r="O245" s="104" t="s">
        <v>95</v>
      </c>
      <c r="P245" s="110"/>
      <c r="Q245" s="103" t="s">
        <v>1015</v>
      </c>
      <c r="R245" s="110" t="s">
        <v>795</v>
      </c>
      <c r="S245" s="264">
        <v>192.0</v>
      </c>
      <c r="T245" s="265"/>
      <c r="U245" s="106" t="s">
        <v>796</v>
      </c>
      <c r="V245" s="253">
        <v>0.0</v>
      </c>
      <c r="W245" s="254">
        <v>50.0</v>
      </c>
      <c r="X245" s="254">
        <v>45.0</v>
      </c>
      <c r="Y245" s="254">
        <v>55.0</v>
      </c>
      <c r="Z245" s="254" t="s">
        <v>99</v>
      </c>
      <c r="AA245" s="114">
        <f t="shared" si="243"/>
        <v>11.51613436</v>
      </c>
      <c r="AB245" s="255"/>
      <c r="AC245" s="256">
        <f t="shared" si="365"/>
        <v>10.46678798</v>
      </c>
      <c r="AD245" s="240">
        <f t="shared" si="244"/>
        <v>11.25461073</v>
      </c>
      <c r="AE245" s="256"/>
      <c r="AF245" s="256" t="str">
        <f t="shared" si="94"/>
        <v>#REF!</v>
      </c>
      <c r="AG245" s="257" t="str">
        <f t="shared" si="95"/>
        <v>#REF!</v>
      </c>
      <c r="AH245" s="120" t="str">
        <f t="shared" si="96"/>
        <v>#REF!</v>
      </c>
      <c r="AI245" s="253">
        <f t="shared" si="237"/>
        <v>0.1</v>
      </c>
      <c r="AJ245" s="253">
        <v>0.1</v>
      </c>
      <c r="AK245" s="253">
        <v>0.292</v>
      </c>
      <c r="AL245" s="123">
        <f t="shared" si="11"/>
        <v>3.056302089</v>
      </c>
      <c r="AM245" s="253" t="s">
        <v>10</v>
      </c>
      <c r="AN245" s="258">
        <f t="shared" si="366"/>
        <v>10.46678798</v>
      </c>
      <c r="AO245" s="253">
        <f t="shared" si="367"/>
        <v>0.292</v>
      </c>
      <c r="AP245" s="127"/>
      <c r="AQ245" s="259">
        <f t="shared" ref="AQ245:AR245" si="404">BC245/(1-AI245)</f>
        <v>8.80344493</v>
      </c>
      <c r="AR245" s="260">
        <f t="shared" si="404"/>
        <v>8.233873208</v>
      </c>
      <c r="AS245" s="261">
        <f t="shared" si="369"/>
        <v>0.2355555556</v>
      </c>
      <c r="AT245" s="261">
        <f t="shared" si="370"/>
        <v>0.2133333333</v>
      </c>
      <c r="AU245" s="129"/>
      <c r="AV245" s="39" t="s">
        <v>932</v>
      </c>
      <c r="AW245" s="249">
        <v>0.7242</v>
      </c>
      <c r="AX245" s="249">
        <v>44.495</v>
      </c>
      <c r="AY245" s="247"/>
      <c r="AZ245" s="243">
        <v>0.16</v>
      </c>
      <c r="BA245" s="244">
        <f t="shared" si="371"/>
        <v>54.2717</v>
      </c>
      <c r="BB245" s="244">
        <f t="shared" si="372"/>
        <v>54.4317</v>
      </c>
      <c r="BC245" s="245">
        <f t="shared" si="373"/>
        <v>7.923100437</v>
      </c>
      <c r="BD245" s="132">
        <f t="shared" si="374"/>
        <v>7.410485887</v>
      </c>
      <c r="BE245" s="135" t="s">
        <v>1004</v>
      </c>
      <c r="BF245" s="134" t="s">
        <v>576</v>
      </c>
      <c r="BG245" s="49"/>
      <c r="BH245" s="246">
        <f t="shared" si="324"/>
        <v>34.88929325</v>
      </c>
      <c r="BI245" s="246">
        <f t="shared" si="325"/>
        <v>20.93357595</v>
      </c>
      <c r="BJ245" s="246">
        <f t="shared" si="326"/>
        <v>17.44464663</v>
      </c>
      <c r="BK245" s="246">
        <f t="shared" si="327"/>
        <v>13.9557173</v>
      </c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</row>
    <row r="246" ht="14.25" customHeight="1">
      <c r="A246" s="103" t="s">
        <v>84</v>
      </c>
      <c r="B246" s="103" t="s">
        <v>120</v>
      </c>
      <c r="C246" s="103" t="s">
        <v>120</v>
      </c>
      <c r="D246" s="103" t="s">
        <v>86</v>
      </c>
      <c r="E246" s="104" t="s">
        <v>788</v>
      </c>
      <c r="F246" s="105" t="s">
        <v>973</v>
      </c>
      <c r="G246" s="106" t="s">
        <v>577</v>
      </c>
      <c r="H246" s="110">
        <v>26.0</v>
      </c>
      <c r="I246" s="107"/>
      <c r="J246" s="220" t="s">
        <v>1024</v>
      </c>
      <c r="K246" s="220" t="str">
        <f>_xlfn.XLOOKUP(J246,[1]Sheet1!$A:$A,[1]Sheet1!$B:$B,"")</f>
        <v>#ERROR!</v>
      </c>
      <c r="L246" s="105" t="s">
        <v>1025</v>
      </c>
      <c r="M246" s="105" t="s">
        <v>1026</v>
      </c>
      <c r="N246" s="110"/>
      <c r="O246" s="104" t="s">
        <v>95</v>
      </c>
      <c r="P246" s="110"/>
      <c r="Q246" s="103" t="s">
        <v>1015</v>
      </c>
      <c r="R246" s="110" t="s">
        <v>795</v>
      </c>
      <c r="S246" s="264">
        <v>192.0</v>
      </c>
      <c r="T246" s="265"/>
      <c r="U246" s="106" t="s">
        <v>796</v>
      </c>
      <c r="V246" s="253">
        <v>0.0</v>
      </c>
      <c r="W246" s="254">
        <v>50.0</v>
      </c>
      <c r="X246" s="254">
        <v>45.0</v>
      </c>
      <c r="Y246" s="254">
        <v>55.0</v>
      </c>
      <c r="Z246" s="254" t="s">
        <v>99</v>
      </c>
      <c r="AA246" s="114">
        <f t="shared" si="243"/>
        <v>13.75835703</v>
      </c>
      <c r="AB246" s="255"/>
      <c r="AC246" s="256">
        <f t="shared" si="365"/>
        <v>12.36146889</v>
      </c>
      <c r="AD246" s="240">
        <f t="shared" si="244"/>
        <v>13.29190203</v>
      </c>
      <c r="AE246" s="256"/>
      <c r="AF246" s="256" t="str">
        <f t="shared" si="94"/>
        <v>#REF!</v>
      </c>
      <c r="AG246" s="257" t="str">
        <f t="shared" si="95"/>
        <v>#REF!</v>
      </c>
      <c r="AH246" s="120" t="str">
        <f t="shared" si="96"/>
        <v>#REF!</v>
      </c>
      <c r="AI246" s="253">
        <f t="shared" si="237"/>
        <v>0.1</v>
      </c>
      <c r="AJ246" s="253">
        <v>0.1</v>
      </c>
      <c r="AK246" s="253">
        <v>0.292</v>
      </c>
      <c r="AL246" s="123">
        <f t="shared" si="11"/>
        <v>3.609548916</v>
      </c>
      <c r="AM246" s="253" t="s">
        <v>10</v>
      </c>
      <c r="AN246" s="258">
        <f t="shared" si="366"/>
        <v>12.36146889</v>
      </c>
      <c r="AO246" s="253">
        <f t="shared" si="367"/>
        <v>0.292</v>
      </c>
      <c r="AP246" s="127"/>
      <c r="AQ246" s="259">
        <f t="shared" ref="AQ246:AR246" si="405">BC246/(1-AI246)</f>
        <v>10.5174996</v>
      </c>
      <c r="AR246" s="260">
        <f t="shared" si="405"/>
        <v>9.724355526</v>
      </c>
      <c r="AS246" s="261">
        <f t="shared" si="369"/>
        <v>0.2355555556</v>
      </c>
      <c r="AT246" s="261">
        <f t="shared" si="370"/>
        <v>0.2133333333</v>
      </c>
      <c r="AU246" s="129"/>
      <c r="AV246" s="39" t="s">
        <v>932</v>
      </c>
      <c r="AW246" s="249">
        <v>0.8662</v>
      </c>
      <c r="AX246" s="249">
        <v>53.176</v>
      </c>
      <c r="AY246" s="247"/>
      <c r="AZ246" s="243">
        <v>0.16</v>
      </c>
      <c r="BA246" s="244">
        <f t="shared" si="371"/>
        <v>64.8697</v>
      </c>
      <c r="BB246" s="244">
        <f t="shared" si="372"/>
        <v>65.0297</v>
      </c>
      <c r="BC246" s="245">
        <f t="shared" si="373"/>
        <v>9.465749636</v>
      </c>
      <c r="BD246" s="132">
        <f t="shared" si="374"/>
        <v>8.751919973</v>
      </c>
      <c r="BE246" s="135" t="s">
        <v>1004</v>
      </c>
      <c r="BF246" s="134" t="s">
        <v>576</v>
      </c>
      <c r="BG246" s="49"/>
      <c r="BH246" s="246">
        <f t="shared" si="324"/>
        <v>41.2048963</v>
      </c>
      <c r="BI246" s="246">
        <f t="shared" si="325"/>
        <v>24.72293778</v>
      </c>
      <c r="BJ246" s="246">
        <f t="shared" si="326"/>
        <v>20.60244815</v>
      </c>
      <c r="BK246" s="246">
        <f t="shared" si="327"/>
        <v>16.48195852</v>
      </c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</row>
    <row r="247" ht="14.25" customHeight="1">
      <c r="A247" s="103" t="s">
        <v>84</v>
      </c>
      <c r="B247" s="103" t="s">
        <v>120</v>
      </c>
      <c r="C247" s="103" t="s">
        <v>120</v>
      </c>
      <c r="D247" s="103" t="s">
        <v>86</v>
      </c>
      <c r="E247" s="104" t="s">
        <v>788</v>
      </c>
      <c r="F247" s="105" t="s">
        <v>973</v>
      </c>
      <c r="G247" s="106" t="s">
        <v>577</v>
      </c>
      <c r="H247" s="110">
        <v>26.0</v>
      </c>
      <c r="I247" s="107"/>
      <c r="J247" s="220" t="s">
        <v>1027</v>
      </c>
      <c r="K247" s="220" t="str">
        <f>_xlfn.XLOOKUP(J247,[1]Sheet1!$A:$A,[1]Sheet1!$B:$B,"")</f>
        <v>#ERROR!</v>
      </c>
      <c r="L247" s="105" t="s">
        <v>1028</v>
      </c>
      <c r="M247" s="105" t="s">
        <v>1029</v>
      </c>
      <c r="N247" s="110"/>
      <c r="O247" s="104" t="s">
        <v>95</v>
      </c>
      <c r="P247" s="110"/>
      <c r="Q247" s="103" t="s">
        <v>1015</v>
      </c>
      <c r="R247" s="110" t="s">
        <v>795</v>
      </c>
      <c r="S247" s="264">
        <v>128.0</v>
      </c>
      <c r="T247" s="265"/>
      <c r="U247" s="106" t="s">
        <v>796</v>
      </c>
      <c r="V247" s="253">
        <v>0.0</v>
      </c>
      <c r="W247" s="254">
        <v>50.0</v>
      </c>
      <c r="X247" s="254">
        <v>45.0</v>
      </c>
      <c r="Y247" s="254">
        <v>55.0</v>
      </c>
      <c r="Z247" s="254" t="s">
        <v>99</v>
      </c>
      <c r="AA247" s="114">
        <f t="shared" ref="AA247:AA248" si="407">BC248/(1-(AK247+2%))</f>
        <v>22.24027623</v>
      </c>
      <c r="AB247" s="255"/>
      <c r="AC247" s="256">
        <f t="shared" si="365"/>
        <v>14.774554</v>
      </c>
      <c r="AD247" s="240">
        <f t="shared" si="244"/>
        <v>15.8866172</v>
      </c>
      <c r="AE247" s="256"/>
      <c r="AF247" s="256" t="str">
        <f t="shared" si="94"/>
        <v>#REF!</v>
      </c>
      <c r="AG247" s="257" t="str">
        <f t="shared" si="95"/>
        <v>#REF!</v>
      </c>
      <c r="AH247" s="120" t="str">
        <f t="shared" si="96"/>
        <v>#REF!</v>
      </c>
      <c r="AI247" s="253">
        <f t="shared" si="237"/>
        <v>0.1</v>
      </c>
      <c r="AJ247" s="253">
        <v>0.1</v>
      </c>
      <c r="AK247" s="253">
        <v>0.292</v>
      </c>
      <c r="AL247" s="123">
        <f t="shared" si="11"/>
        <v>4.314169768</v>
      </c>
      <c r="AM247" s="253" t="s">
        <v>10</v>
      </c>
      <c r="AN247" s="258">
        <f t="shared" si="366"/>
        <v>14.774554</v>
      </c>
      <c r="AO247" s="253">
        <f t="shared" ref="AO247:AO248" si="408">1-(BD248/AN247)</f>
        <v>0.0465541637</v>
      </c>
      <c r="AP247" s="127"/>
      <c r="AQ247" s="259">
        <f t="shared" ref="AQ247:AR247" si="406">BC248/(1-AI247)</f>
        <v>17.0014556</v>
      </c>
      <c r="AR247" s="260">
        <f t="shared" si="406"/>
        <v>15.65192999</v>
      </c>
      <c r="AS247" s="261">
        <f t="shared" si="369"/>
        <v>0.2355555556</v>
      </c>
      <c r="AT247" s="261">
        <f t="shared" si="370"/>
        <v>-0.05938426255</v>
      </c>
      <c r="AU247" s="129"/>
      <c r="AV247" s="39" t="s">
        <v>932</v>
      </c>
      <c r="AW247" s="249">
        <v>1.033</v>
      </c>
      <c r="AX247" s="243">
        <v>70.618</v>
      </c>
      <c r="AY247" s="247"/>
      <c r="AZ247" s="243">
        <v>0.86</v>
      </c>
      <c r="BA247" s="244">
        <v>75.61</v>
      </c>
      <c r="BB247" s="244">
        <f t="shared" si="372"/>
        <v>76.47</v>
      </c>
      <c r="BC247" s="245">
        <f t="shared" si="373"/>
        <v>11.13100437</v>
      </c>
      <c r="BD247" s="132">
        <f t="shared" si="374"/>
        <v>10.46038423</v>
      </c>
      <c r="BE247" s="135" t="s">
        <v>1004</v>
      </c>
      <c r="BF247" s="134" t="s">
        <v>576</v>
      </c>
      <c r="BG247" s="49"/>
      <c r="BH247" s="246">
        <f t="shared" si="324"/>
        <v>49.24851333</v>
      </c>
      <c r="BI247" s="246">
        <f t="shared" si="325"/>
        <v>29.549108</v>
      </c>
      <c r="BJ247" s="246">
        <f t="shared" si="326"/>
        <v>24.62425667</v>
      </c>
      <c r="BK247" s="246">
        <f t="shared" si="327"/>
        <v>19.69940533</v>
      </c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</row>
    <row r="248" ht="14.25" customHeight="1">
      <c r="A248" s="103" t="s">
        <v>84</v>
      </c>
      <c r="B248" s="103" t="s">
        <v>120</v>
      </c>
      <c r="C248" s="103" t="s">
        <v>120</v>
      </c>
      <c r="D248" s="103" t="s">
        <v>86</v>
      </c>
      <c r="E248" s="104" t="s">
        <v>788</v>
      </c>
      <c r="F248" s="105" t="s">
        <v>973</v>
      </c>
      <c r="G248" s="106" t="s">
        <v>577</v>
      </c>
      <c r="H248" s="110">
        <v>26.0</v>
      </c>
      <c r="I248" s="107"/>
      <c r="J248" s="220" t="s">
        <v>1030</v>
      </c>
      <c r="K248" s="220" t="str">
        <f>_xlfn.XLOOKUP(J248,[1]Sheet1!$A:$A,[1]Sheet1!$B:$B,"")</f>
        <v>#ERROR!</v>
      </c>
      <c r="L248" s="105" t="s">
        <v>1031</v>
      </c>
      <c r="M248" s="105" t="s">
        <v>1032</v>
      </c>
      <c r="N248" s="110"/>
      <c r="O248" s="104" t="s">
        <v>95</v>
      </c>
      <c r="P248" s="110"/>
      <c r="Q248" s="103" t="s">
        <v>1015</v>
      </c>
      <c r="R248" s="110" t="s">
        <v>795</v>
      </c>
      <c r="S248" s="264">
        <v>128.0</v>
      </c>
      <c r="T248" s="265"/>
      <c r="U248" s="106" t="s">
        <v>796</v>
      </c>
      <c r="V248" s="253">
        <v>0.0</v>
      </c>
      <c r="W248" s="254">
        <v>50.0</v>
      </c>
      <c r="X248" s="254">
        <v>45.0</v>
      </c>
      <c r="Y248" s="254">
        <v>55.0</v>
      </c>
      <c r="Z248" s="254" t="s">
        <v>99</v>
      </c>
      <c r="AA248" s="114">
        <f t="shared" si="407"/>
        <v>30.95697505</v>
      </c>
      <c r="AB248" s="255"/>
      <c r="AC248" s="256">
        <f t="shared" si="365"/>
        <v>19.89652118</v>
      </c>
      <c r="AD248" s="240">
        <f t="shared" si="244"/>
        <v>21.39410879</v>
      </c>
      <c r="AE248" s="256"/>
      <c r="AF248" s="256" t="str">
        <f t="shared" si="94"/>
        <v>#REF!</v>
      </c>
      <c r="AG248" s="257" t="str">
        <f t="shared" si="95"/>
        <v>#REF!</v>
      </c>
      <c r="AH248" s="120" t="str">
        <f t="shared" si="96"/>
        <v>#REF!</v>
      </c>
      <c r="AI248" s="253">
        <f t="shared" si="237"/>
        <v>0.1</v>
      </c>
      <c r="AJ248" s="253">
        <v>0.1</v>
      </c>
      <c r="AK248" s="253">
        <v>0.292</v>
      </c>
      <c r="AL248" s="123">
        <f t="shared" si="11"/>
        <v>5.809784184</v>
      </c>
      <c r="AM248" s="253" t="s">
        <v>10</v>
      </c>
      <c r="AN248" s="258">
        <f t="shared" si="366"/>
        <v>19.89652118</v>
      </c>
      <c r="AO248" s="253">
        <f t="shared" si="408"/>
        <v>-0.009364734325</v>
      </c>
      <c r="AP248" s="127"/>
      <c r="AQ248" s="259">
        <f t="shared" ref="AQ248:AR248" si="409">BC249/(1-AI248)</f>
        <v>23.6648876</v>
      </c>
      <c r="AR248" s="260">
        <f t="shared" si="409"/>
        <v>22.31427424</v>
      </c>
      <c r="AS248" s="261">
        <f t="shared" si="369"/>
        <v>0.2355555556</v>
      </c>
      <c r="AT248" s="261">
        <f t="shared" si="370"/>
        <v>-0.1215163715</v>
      </c>
      <c r="AU248" s="129"/>
      <c r="AV248" s="39" t="s">
        <v>932</v>
      </c>
      <c r="AW248" s="249">
        <v>1.2</v>
      </c>
      <c r="AX248" s="249">
        <v>88.06</v>
      </c>
      <c r="AY248" s="247"/>
      <c r="AZ248" s="243">
        <v>0.86</v>
      </c>
      <c r="BA248" s="244">
        <f t="shared" ref="BA248:BA263" si="411">($F$2-70000)/2000*AW248+AX248</f>
        <v>104.26</v>
      </c>
      <c r="BB248" s="244">
        <f>AZ247+BA248</f>
        <v>105.12</v>
      </c>
      <c r="BC248" s="245">
        <f>(AZ247+BA248)/$F$5</f>
        <v>15.30131004</v>
      </c>
      <c r="BD248" s="132">
        <f>(BC248/$F$6)+(($F$9+$G$9)/40/S247)+BC248*V247</f>
        <v>14.08673699</v>
      </c>
      <c r="BE248" s="135" t="s">
        <v>1004</v>
      </c>
      <c r="BF248" s="134" t="s">
        <v>576</v>
      </c>
      <c r="BG248" s="49"/>
      <c r="BH248" s="246">
        <f t="shared" si="324"/>
        <v>66.32173726</v>
      </c>
      <c r="BI248" s="246">
        <f t="shared" si="325"/>
        <v>39.79304236</v>
      </c>
      <c r="BJ248" s="246">
        <f t="shared" si="326"/>
        <v>33.16086863</v>
      </c>
      <c r="BK248" s="246">
        <f t="shared" si="327"/>
        <v>26.5286949</v>
      </c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</row>
    <row r="249" ht="14.25" customHeight="1">
      <c r="A249" s="103" t="s">
        <v>84</v>
      </c>
      <c r="B249" s="103" t="s">
        <v>120</v>
      </c>
      <c r="C249" s="103" t="s">
        <v>120</v>
      </c>
      <c r="D249" s="103" t="s">
        <v>86</v>
      </c>
      <c r="E249" s="104" t="s">
        <v>788</v>
      </c>
      <c r="F249" s="105" t="s">
        <v>973</v>
      </c>
      <c r="G249" s="106" t="s">
        <v>577</v>
      </c>
      <c r="H249" s="110">
        <v>26.0</v>
      </c>
      <c r="I249" s="107"/>
      <c r="J249" s="220" t="s">
        <v>1033</v>
      </c>
      <c r="K249" s="220" t="str">
        <f>_xlfn.XLOOKUP(J249,[1]Sheet1!$A:$A,[1]Sheet1!$B:$B,"")</f>
        <v>#ERROR!</v>
      </c>
      <c r="L249" s="105" t="s">
        <v>1034</v>
      </c>
      <c r="M249" s="105" t="s">
        <v>1035</v>
      </c>
      <c r="N249" s="110"/>
      <c r="O249" s="104" t="s">
        <v>95</v>
      </c>
      <c r="P249" s="110"/>
      <c r="Q249" s="103" t="s">
        <v>1015</v>
      </c>
      <c r="R249" s="110" t="s">
        <v>795</v>
      </c>
      <c r="S249" s="264">
        <v>64.0</v>
      </c>
      <c r="T249" s="265"/>
      <c r="U249" s="106" t="s">
        <v>796</v>
      </c>
      <c r="V249" s="253">
        <v>0.0</v>
      </c>
      <c r="W249" s="254">
        <v>50.0</v>
      </c>
      <c r="X249" s="254">
        <v>45.0</v>
      </c>
      <c r="Y249" s="254">
        <v>55.0</v>
      </c>
      <c r="Z249" s="254" t="s">
        <v>99</v>
      </c>
      <c r="AA249" s="114">
        <f t="shared" ref="AA249:AA263" si="412">BC249/(1-(AK249+2%))</f>
        <v>30.95697505</v>
      </c>
      <c r="AB249" s="255"/>
      <c r="AC249" s="256">
        <f t="shared" si="365"/>
        <v>28.36560284</v>
      </c>
      <c r="AD249" s="240">
        <f t="shared" si="244"/>
        <v>30.50064822</v>
      </c>
      <c r="AE249" s="256"/>
      <c r="AF249" s="256" t="str">
        <f t="shared" si="94"/>
        <v>#REF!</v>
      </c>
      <c r="AG249" s="257" t="str">
        <f t="shared" si="95"/>
        <v>#REF!</v>
      </c>
      <c r="AH249" s="120" t="str">
        <f t="shared" si="96"/>
        <v>#REF!</v>
      </c>
      <c r="AI249" s="253">
        <f t="shared" si="237"/>
        <v>0.1</v>
      </c>
      <c r="AJ249" s="253">
        <v>0.1</v>
      </c>
      <c r="AK249" s="253">
        <v>0.292</v>
      </c>
      <c r="AL249" s="123">
        <f t="shared" si="11"/>
        <v>8.28275603</v>
      </c>
      <c r="AM249" s="253" t="s">
        <v>10</v>
      </c>
      <c r="AN249" s="258">
        <f t="shared" si="366"/>
        <v>28.36560284</v>
      </c>
      <c r="AO249" s="253">
        <f t="shared" ref="AO249:AO263" si="413">1-(BD249/AN249)</f>
        <v>0.292</v>
      </c>
      <c r="AP249" s="127"/>
      <c r="AQ249" s="259">
        <f t="shared" ref="AQ249:AR249" si="410">BC249/(1-AI249)</f>
        <v>23.6648876</v>
      </c>
      <c r="AR249" s="260">
        <f t="shared" si="410"/>
        <v>22.31427424</v>
      </c>
      <c r="AS249" s="261">
        <f t="shared" si="369"/>
        <v>0.2355555556</v>
      </c>
      <c r="AT249" s="261">
        <f t="shared" si="370"/>
        <v>0.2133333333</v>
      </c>
      <c r="AU249" s="129"/>
      <c r="AV249" s="39" t="s">
        <v>932</v>
      </c>
      <c r="AW249" s="249">
        <v>1.68</v>
      </c>
      <c r="AX249" s="249">
        <v>122.78</v>
      </c>
      <c r="AY249" s="247"/>
      <c r="AZ249" s="243">
        <v>0.86</v>
      </c>
      <c r="BA249" s="244">
        <f t="shared" si="411"/>
        <v>145.46</v>
      </c>
      <c r="BB249" s="244">
        <f t="shared" ref="BB249:BB263" si="415">AZ249+BA249</f>
        <v>146.32</v>
      </c>
      <c r="BC249" s="245">
        <f t="shared" ref="BC249:BC263" si="416">(AZ249+BA249)/$F$5</f>
        <v>21.29839884</v>
      </c>
      <c r="BD249" s="132">
        <f t="shared" ref="BD249:BD263" si="417">(BC249/$F$6)+(($F$9+$G$9)/40/S249)+BC249*V249</f>
        <v>20.08284681</v>
      </c>
      <c r="BE249" s="135" t="s">
        <v>1004</v>
      </c>
      <c r="BF249" s="134" t="s">
        <v>576</v>
      </c>
      <c r="BG249" s="49"/>
      <c r="BH249" s="246">
        <f t="shared" si="324"/>
        <v>94.55200948</v>
      </c>
      <c r="BI249" s="246">
        <f t="shared" si="325"/>
        <v>56.73120569</v>
      </c>
      <c r="BJ249" s="246">
        <f t="shared" si="326"/>
        <v>47.27600474</v>
      </c>
      <c r="BK249" s="246">
        <f t="shared" si="327"/>
        <v>37.82080379</v>
      </c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</row>
    <row r="250" ht="14.25" customHeight="1">
      <c r="A250" s="103" t="s">
        <v>84</v>
      </c>
      <c r="B250" s="103" t="s">
        <v>85</v>
      </c>
      <c r="C250" s="103" t="s">
        <v>85</v>
      </c>
      <c r="D250" s="103" t="s">
        <v>86</v>
      </c>
      <c r="E250" s="104" t="s">
        <v>788</v>
      </c>
      <c r="F250" s="105" t="s">
        <v>973</v>
      </c>
      <c r="G250" s="106" t="s">
        <v>577</v>
      </c>
      <c r="H250" s="110" t="s">
        <v>1036</v>
      </c>
      <c r="I250" s="107"/>
      <c r="J250" s="220" t="s">
        <v>1037</v>
      </c>
      <c r="K250" s="220" t="str">
        <f>_xlfn.XLOOKUP(J250,[1]Sheet1!$A:$A,[1]Sheet1!$B:$B,"")</f>
        <v>#ERROR!</v>
      </c>
      <c r="L250" s="105" t="s">
        <v>1038</v>
      </c>
      <c r="M250" s="105" t="s">
        <v>1039</v>
      </c>
      <c r="N250" s="110" t="s">
        <v>931</v>
      </c>
      <c r="O250" s="104" t="s">
        <v>95</v>
      </c>
      <c r="P250" s="110"/>
      <c r="Q250" s="103" t="s">
        <v>794</v>
      </c>
      <c r="R250" s="110" t="s">
        <v>795</v>
      </c>
      <c r="S250" s="110">
        <v>4800.0</v>
      </c>
      <c r="T250" s="111" t="e">
        <v>#N/A</v>
      </c>
      <c r="U250" s="106" t="s">
        <v>796</v>
      </c>
      <c r="V250" s="112">
        <v>0.0</v>
      </c>
      <c r="W250" s="113">
        <v>50.0</v>
      </c>
      <c r="X250" s="113">
        <v>45.0</v>
      </c>
      <c r="Y250" s="113">
        <v>55.0</v>
      </c>
      <c r="Z250" s="113" t="s">
        <v>99</v>
      </c>
      <c r="AA250" s="114">
        <f t="shared" si="412"/>
        <v>0.5939384487</v>
      </c>
      <c r="AB250" s="115"/>
      <c r="AC250" s="239">
        <f t="shared" si="365"/>
        <v>0.5305109556</v>
      </c>
      <c r="AD250" s="240">
        <f t="shared" si="244"/>
        <v>0.5704418878</v>
      </c>
      <c r="AE250" s="239"/>
      <c r="AF250" s="239" t="str">
        <f t="shared" si="94"/>
        <v>#REF!</v>
      </c>
      <c r="AG250" s="210" t="str">
        <f t="shared" si="95"/>
        <v>#REF!</v>
      </c>
      <c r="AH250" s="120" t="str">
        <f t="shared" si="96"/>
        <v>#REF!</v>
      </c>
      <c r="AI250" s="121">
        <f t="shared" si="237"/>
        <v>0.1</v>
      </c>
      <c r="AJ250" s="121">
        <v>0.1</v>
      </c>
      <c r="AK250" s="122">
        <v>0.252</v>
      </c>
      <c r="AL250" s="123">
        <f t="shared" si="11"/>
        <v>0.1336887608</v>
      </c>
      <c r="AM250" s="122" t="s">
        <v>10</v>
      </c>
      <c r="AN250" s="125">
        <f t="shared" si="366"/>
        <v>0.5305109556</v>
      </c>
      <c r="AO250" s="112">
        <f t="shared" si="413"/>
        <v>0.252</v>
      </c>
      <c r="AP250" s="127"/>
      <c r="AQ250" s="241">
        <f t="shared" ref="AQ250:AR250" si="414">BC250/(1-AI250)</f>
        <v>0.4804302119</v>
      </c>
      <c r="AR250" s="242">
        <f t="shared" si="414"/>
        <v>0.4409135498</v>
      </c>
      <c r="AS250" s="126">
        <f t="shared" si="369"/>
        <v>0.1911111111</v>
      </c>
      <c r="AT250" s="126">
        <f t="shared" si="370"/>
        <v>0.1688888889</v>
      </c>
      <c r="AU250" s="129"/>
      <c r="AV250" s="39" t="s">
        <v>932</v>
      </c>
      <c r="AW250" s="249">
        <v>0.003</v>
      </c>
      <c r="AX250" s="249">
        <v>2.77</v>
      </c>
      <c r="AY250" s="247"/>
      <c r="AZ250" s="243">
        <v>0.16</v>
      </c>
      <c r="BA250" s="244">
        <f t="shared" si="411"/>
        <v>2.8105</v>
      </c>
      <c r="BB250" s="244">
        <f t="shared" si="415"/>
        <v>2.9705</v>
      </c>
      <c r="BC250" s="245">
        <f t="shared" si="416"/>
        <v>0.4323871907</v>
      </c>
      <c r="BD250" s="132">
        <f t="shared" si="417"/>
        <v>0.3968221948</v>
      </c>
      <c r="BE250" s="135" t="s">
        <v>1040</v>
      </c>
      <c r="BF250" s="134" t="s">
        <v>576</v>
      </c>
      <c r="BG250" s="49"/>
      <c r="BH250" s="246">
        <f t="shared" si="324"/>
        <v>1.768369852</v>
      </c>
      <c r="BI250" s="246">
        <f t="shared" si="325"/>
        <v>1.061021911</v>
      </c>
      <c r="BJ250" s="246">
        <f t="shared" si="326"/>
        <v>0.884184926</v>
      </c>
      <c r="BK250" s="246">
        <f t="shared" si="327"/>
        <v>0.7073479408</v>
      </c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</row>
    <row r="251" ht="14.25" customHeight="1">
      <c r="A251" s="103" t="s">
        <v>84</v>
      </c>
      <c r="B251" s="103" t="s">
        <v>85</v>
      </c>
      <c r="C251" s="103" t="s">
        <v>85</v>
      </c>
      <c r="D251" s="103" t="s">
        <v>86</v>
      </c>
      <c r="E251" s="104" t="s">
        <v>788</v>
      </c>
      <c r="F251" s="105" t="s">
        <v>973</v>
      </c>
      <c r="G251" s="106" t="s">
        <v>577</v>
      </c>
      <c r="H251" s="110" t="s">
        <v>1036</v>
      </c>
      <c r="I251" s="107"/>
      <c r="J251" s="220" t="s">
        <v>1041</v>
      </c>
      <c r="K251" s="220" t="str">
        <f>_xlfn.XLOOKUP(J251,[1]Sheet1!$A:$A,[1]Sheet1!$B:$B,"")</f>
        <v>#ERROR!</v>
      </c>
      <c r="L251" s="105" t="s">
        <v>1042</v>
      </c>
      <c r="M251" s="105" t="s">
        <v>1043</v>
      </c>
      <c r="N251" s="110" t="s">
        <v>931</v>
      </c>
      <c r="O251" s="104" t="s">
        <v>95</v>
      </c>
      <c r="P251" s="110"/>
      <c r="Q251" s="103" t="s">
        <v>794</v>
      </c>
      <c r="R251" s="110" t="s">
        <v>795</v>
      </c>
      <c r="S251" s="110">
        <v>4800.0</v>
      </c>
      <c r="T251" s="111" t="e">
        <v>#N/A</v>
      </c>
      <c r="U251" s="106" t="s">
        <v>796</v>
      </c>
      <c r="V251" s="112">
        <v>0.0</v>
      </c>
      <c r="W251" s="113">
        <v>50.0</v>
      </c>
      <c r="X251" s="113">
        <v>45.0</v>
      </c>
      <c r="Y251" s="113">
        <v>55.0</v>
      </c>
      <c r="Z251" s="113" t="s">
        <v>99</v>
      </c>
      <c r="AA251" s="114">
        <f t="shared" si="412"/>
        <v>0.6532223235</v>
      </c>
      <c r="AB251" s="115"/>
      <c r="AC251" s="239">
        <f t="shared" si="365"/>
        <v>0.5806837769</v>
      </c>
      <c r="AD251" s="240">
        <f t="shared" si="244"/>
        <v>0.6243911579</v>
      </c>
      <c r="AE251" s="239"/>
      <c r="AF251" s="239" t="str">
        <f t="shared" si="94"/>
        <v>#REF!</v>
      </c>
      <c r="AG251" s="210" t="str">
        <f t="shared" si="95"/>
        <v>#REF!</v>
      </c>
      <c r="AH251" s="120" t="str">
        <f t="shared" si="96"/>
        <v>#REF!</v>
      </c>
      <c r="AI251" s="121">
        <f t="shared" si="237"/>
        <v>0.1</v>
      </c>
      <c r="AJ251" s="121">
        <v>0.1</v>
      </c>
      <c r="AK251" s="122">
        <v>0.252</v>
      </c>
      <c r="AL251" s="123">
        <f t="shared" si="11"/>
        <v>0.1463323118</v>
      </c>
      <c r="AM251" s="122" t="s">
        <v>10</v>
      </c>
      <c r="AN251" s="125">
        <f t="shared" si="366"/>
        <v>0.5806837769</v>
      </c>
      <c r="AO251" s="112">
        <f t="shared" si="413"/>
        <v>0.252</v>
      </c>
      <c r="AP251" s="127"/>
      <c r="AQ251" s="241">
        <f t="shared" ref="AQ251:AR251" si="418">BC251/(1-AI251)</f>
        <v>0.5283842795</v>
      </c>
      <c r="AR251" s="242">
        <f t="shared" si="418"/>
        <v>0.482612739</v>
      </c>
      <c r="AS251" s="126">
        <f t="shared" si="369"/>
        <v>0.1911111111</v>
      </c>
      <c r="AT251" s="126">
        <f t="shared" si="370"/>
        <v>0.1688888889</v>
      </c>
      <c r="AU251" s="129"/>
      <c r="AV251" s="39" t="s">
        <v>932</v>
      </c>
      <c r="AW251" s="249">
        <v>0.004</v>
      </c>
      <c r="AX251" s="249">
        <v>3.053</v>
      </c>
      <c r="AY251" s="247"/>
      <c r="AZ251" s="243">
        <v>0.16</v>
      </c>
      <c r="BA251" s="244">
        <f t="shared" si="411"/>
        <v>3.107</v>
      </c>
      <c r="BB251" s="244">
        <f t="shared" si="415"/>
        <v>3.267</v>
      </c>
      <c r="BC251" s="245">
        <f t="shared" si="416"/>
        <v>0.4755458515</v>
      </c>
      <c r="BD251" s="132">
        <f t="shared" si="417"/>
        <v>0.4343514651</v>
      </c>
      <c r="BE251" s="135" t="s">
        <v>1040</v>
      </c>
      <c r="BF251" s="134" t="s">
        <v>576</v>
      </c>
      <c r="BG251" s="49"/>
      <c r="BH251" s="246">
        <f t="shared" si="324"/>
        <v>1.93561259</v>
      </c>
      <c r="BI251" s="246">
        <f t="shared" si="325"/>
        <v>1.161367554</v>
      </c>
      <c r="BJ251" s="246">
        <f t="shared" si="326"/>
        <v>0.9678062948</v>
      </c>
      <c r="BK251" s="246">
        <f t="shared" si="327"/>
        <v>0.7742450358</v>
      </c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</row>
    <row r="252" ht="14.25" customHeight="1">
      <c r="A252" s="103" t="s">
        <v>84</v>
      </c>
      <c r="B252" s="103" t="s">
        <v>85</v>
      </c>
      <c r="C252" s="103" t="s">
        <v>85</v>
      </c>
      <c r="D252" s="103" t="s">
        <v>86</v>
      </c>
      <c r="E252" s="104" t="s">
        <v>788</v>
      </c>
      <c r="F252" s="105" t="s">
        <v>973</v>
      </c>
      <c r="G252" s="106" t="s">
        <v>577</v>
      </c>
      <c r="H252" s="110" t="s">
        <v>1036</v>
      </c>
      <c r="I252" s="107"/>
      <c r="J252" s="220" t="s">
        <v>1044</v>
      </c>
      <c r="K252" s="220" t="str">
        <f>_xlfn.XLOOKUP(J252,[1]Sheet1!$A:$A,[1]Sheet1!$B:$B,"")</f>
        <v>#ERROR!</v>
      </c>
      <c r="L252" s="105" t="s">
        <v>1045</v>
      </c>
      <c r="M252" s="105" t="s">
        <v>1046</v>
      </c>
      <c r="N252" s="110" t="s">
        <v>931</v>
      </c>
      <c r="O252" s="104" t="s">
        <v>95</v>
      </c>
      <c r="P252" s="110"/>
      <c r="Q252" s="103" t="s">
        <v>794</v>
      </c>
      <c r="R252" s="110" t="s">
        <v>795</v>
      </c>
      <c r="S252" s="110">
        <v>3200.0</v>
      </c>
      <c r="T252" s="111" t="e">
        <v>#N/A</v>
      </c>
      <c r="U252" s="106" t="s">
        <v>796</v>
      </c>
      <c r="V252" s="112">
        <v>0.0</v>
      </c>
      <c r="W252" s="113">
        <v>50.0</v>
      </c>
      <c r="X252" s="113">
        <v>45.0</v>
      </c>
      <c r="Y252" s="113">
        <v>55.0</v>
      </c>
      <c r="Z252" s="113" t="s">
        <v>99</v>
      </c>
      <c r="AA252" s="114">
        <f t="shared" si="412"/>
        <v>0.8044811811</v>
      </c>
      <c r="AB252" s="115"/>
      <c r="AC252" s="239">
        <f t="shared" si="365"/>
        <v>0.7226224132</v>
      </c>
      <c r="AD252" s="240">
        <f t="shared" si="244"/>
        <v>0.7770133476</v>
      </c>
      <c r="AE252" s="239"/>
      <c r="AF252" s="239" t="str">
        <f t="shared" si="94"/>
        <v>#REF!</v>
      </c>
      <c r="AG252" s="210" t="str">
        <f t="shared" si="95"/>
        <v>#REF!</v>
      </c>
      <c r="AH252" s="120" t="str">
        <f t="shared" si="96"/>
        <v>#REF!</v>
      </c>
      <c r="AI252" s="121">
        <f t="shared" si="237"/>
        <v>0.1</v>
      </c>
      <c r="AJ252" s="121">
        <v>0.1</v>
      </c>
      <c r="AK252" s="122">
        <v>0.252</v>
      </c>
      <c r="AL252" s="123">
        <f t="shared" si="11"/>
        <v>0.1821008481</v>
      </c>
      <c r="AM252" s="122" t="s">
        <v>10</v>
      </c>
      <c r="AN252" s="125">
        <f t="shared" si="366"/>
        <v>0.7226224132</v>
      </c>
      <c r="AO252" s="112">
        <f t="shared" si="413"/>
        <v>0.252</v>
      </c>
      <c r="AP252" s="127"/>
      <c r="AQ252" s="241">
        <f t="shared" ref="AQ252:AR252" si="419">BC252/(1-AI252)</f>
        <v>0.6507358887</v>
      </c>
      <c r="AR252" s="242">
        <f t="shared" si="419"/>
        <v>0.6005795168</v>
      </c>
      <c r="AS252" s="126">
        <f t="shared" si="369"/>
        <v>0.1911111111</v>
      </c>
      <c r="AT252" s="126">
        <f t="shared" si="370"/>
        <v>0.1688888889</v>
      </c>
      <c r="AU252" s="129"/>
      <c r="AV252" s="39" t="s">
        <v>932</v>
      </c>
      <c r="AW252" s="249">
        <v>0.009</v>
      </c>
      <c r="AX252" s="249">
        <v>3.742</v>
      </c>
      <c r="AY252" s="247"/>
      <c r="AZ252" s="243">
        <v>0.16</v>
      </c>
      <c r="BA252" s="244">
        <f t="shared" si="411"/>
        <v>3.8635</v>
      </c>
      <c r="BB252" s="244">
        <f t="shared" si="415"/>
        <v>4.0235</v>
      </c>
      <c r="BC252" s="245">
        <f t="shared" si="416"/>
        <v>0.5856622999</v>
      </c>
      <c r="BD252" s="132">
        <f t="shared" si="417"/>
        <v>0.5405215651</v>
      </c>
      <c r="BE252" s="135" t="s">
        <v>1040</v>
      </c>
      <c r="BF252" s="134" t="s">
        <v>576</v>
      </c>
      <c r="BG252" s="49"/>
      <c r="BH252" s="246">
        <f t="shared" si="324"/>
        <v>2.408741377</v>
      </c>
      <c r="BI252" s="246">
        <f t="shared" si="325"/>
        <v>1.445244826</v>
      </c>
      <c r="BJ252" s="246">
        <f t="shared" si="326"/>
        <v>1.204370689</v>
      </c>
      <c r="BK252" s="246">
        <f t="shared" si="327"/>
        <v>0.963496551</v>
      </c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</row>
    <row r="253" ht="14.25" customHeight="1">
      <c r="A253" s="103" t="s">
        <v>84</v>
      </c>
      <c r="B253" s="103" t="s">
        <v>85</v>
      </c>
      <c r="C253" s="103" t="s">
        <v>85</v>
      </c>
      <c r="D253" s="103" t="s">
        <v>86</v>
      </c>
      <c r="E253" s="104" t="s">
        <v>788</v>
      </c>
      <c r="F253" s="105" t="s">
        <v>973</v>
      </c>
      <c r="G253" s="106" t="s">
        <v>577</v>
      </c>
      <c r="H253" s="110" t="s">
        <v>1036</v>
      </c>
      <c r="I253" s="107"/>
      <c r="J253" s="220" t="s">
        <v>1047</v>
      </c>
      <c r="K253" s="220" t="str">
        <f>_xlfn.XLOOKUP(J253,[1]Sheet1!$A:$A,[1]Sheet1!$B:$B,"")</f>
        <v>#ERROR!</v>
      </c>
      <c r="L253" s="105" t="s">
        <v>1048</v>
      </c>
      <c r="M253" s="105" t="s">
        <v>1049</v>
      </c>
      <c r="N253" s="110" t="s">
        <v>931</v>
      </c>
      <c r="O253" s="104" t="s">
        <v>95</v>
      </c>
      <c r="P253" s="110"/>
      <c r="Q253" s="103" t="s">
        <v>794</v>
      </c>
      <c r="R253" s="110" t="s">
        <v>795</v>
      </c>
      <c r="S253" s="110">
        <v>2240.0</v>
      </c>
      <c r="T253" s="111" t="e">
        <v>#N/A</v>
      </c>
      <c r="U253" s="106" t="s">
        <v>796</v>
      </c>
      <c r="V253" s="112">
        <v>0.0</v>
      </c>
      <c r="W253" s="113">
        <v>50.0</v>
      </c>
      <c r="X253" s="113">
        <v>45.0</v>
      </c>
      <c r="Y253" s="113">
        <v>55.0</v>
      </c>
      <c r="Z253" s="113" t="s">
        <v>99</v>
      </c>
      <c r="AA253" s="114">
        <f t="shared" si="412"/>
        <v>1.118395796</v>
      </c>
      <c r="AB253" s="115"/>
      <c r="AC253" s="239">
        <f t="shared" si="365"/>
        <v>1.006197891</v>
      </c>
      <c r="AD253" s="240">
        <f t="shared" si="244"/>
        <v>1.081933216</v>
      </c>
      <c r="AE253" s="239"/>
      <c r="AF253" s="239" t="str">
        <f t="shared" si="94"/>
        <v>#REF!</v>
      </c>
      <c r="AG253" s="210" t="str">
        <f t="shared" si="95"/>
        <v>#REF!</v>
      </c>
      <c r="AH253" s="120" t="str">
        <f t="shared" si="96"/>
        <v>#REF!</v>
      </c>
      <c r="AI253" s="121">
        <f t="shared" si="237"/>
        <v>0.1</v>
      </c>
      <c r="AJ253" s="121">
        <v>0.1</v>
      </c>
      <c r="AK253" s="122">
        <v>0.252</v>
      </c>
      <c r="AL253" s="123">
        <f t="shared" si="11"/>
        <v>0.2535618684</v>
      </c>
      <c r="AM253" s="122" t="s">
        <v>10</v>
      </c>
      <c r="AN253" s="125">
        <f t="shared" si="366"/>
        <v>1.006197891</v>
      </c>
      <c r="AO253" s="112">
        <f t="shared" si="413"/>
        <v>0.252</v>
      </c>
      <c r="AP253" s="127"/>
      <c r="AQ253" s="241">
        <f t="shared" ref="AQ253:AR253" si="420">BC253/(1-AI253)</f>
        <v>0.904657933</v>
      </c>
      <c r="AR253" s="242">
        <f t="shared" si="420"/>
        <v>0.8362622468</v>
      </c>
      <c r="AS253" s="126">
        <f t="shared" si="369"/>
        <v>0.1911111111</v>
      </c>
      <c r="AT253" s="126">
        <f t="shared" si="370"/>
        <v>0.1688888889</v>
      </c>
      <c r="AU253" s="129"/>
      <c r="AV253" s="39" t="s">
        <v>932</v>
      </c>
      <c r="AW253" s="249">
        <v>0.017</v>
      </c>
      <c r="AX253" s="249">
        <v>5.204</v>
      </c>
      <c r="AY253" s="247"/>
      <c r="AZ253" s="243">
        <v>0.16</v>
      </c>
      <c r="BA253" s="244">
        <f t="shared" si="411"/>
        <v>5.4335</v>
      </c>
      <c r="BB253" s="244">
        <f t="shared" si="415"/>
        <v>5.5935</v>
      </c>
      <c r="BC253" s="245">
        <f t="shared" si="416"/>
        <v>0.8141921397</v>
      </c>
      <c r="BD253" s="132">
        <f t="shared" si="417"/>
        <v>0.7526360221</v>
      </c>
      <c r="BE253" s="135" t="s">
        <v>1040</v>
      </c>
      <c r="BF253" s="134" t="s">
        <v>576</v>
      </c>
      <c r="BG253" s="49"/>
      <c r="BH253" s="246">
        <f t="shared" si="324"/>
        <v>3.353992969</v>
      </c>
      <c r="BI253" s="246">
        <f t="shared" si="325"/>
        <v>2.012395781</v>
      </c>
      <c r="BJ253" s="246">
        <f t="shared" si="326"/>
        <v>1.676996484</v>
      </c>
      <c r="BK253" s="246">
        <f t="shared" si="327"/>
        <v>1.341597187</v>
      </c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</row>
    <row r="254" ht="14.25" customHeight="1">
      <c r="A254" s="103" t="s">
        <v>84</v>
      </c>
      <c r="B254" s="103" t="s">
        <v>85</v>
      </c>
      <c r="C254" s="103" t="s">
        <v>85</v>
      </c>
      <c r="D254" s="103" t="s">
        <v>86</v>
      </c>
      <c r="E254" s="104" t="s">
        <v>788</v>
      </c>
      <c r="F254" s="105" t="s">
        <v>973</v>
      </c>
      <c r="G254" s="106" t="s">
        <v>577</v>
      </c>
      <c r="H254" s="110" t="s">
        <v>1036</v>
      </c>
      <c r="I254" s="107"/>
      <c r="J254" s="220" t="s">
        <v>1050</v>
      </c>
      <c r="K254" s="220" t="str">
        <f>_xlfn.XLOOKUP(J254,[1]Sheet1!$A:$A,[1]Sheet1!$B:$B,"")</f>
        <v>#ERROR!</v>
      </c>
      <c r="L254" s="105" t="s">
        <v>1051</v>
      </c>
      <c r="M254" s="105" t="s">
        <v>1052</v>
      </c>
      <c r="N254" s="110" t="s">
        <v>931</v>
      </c>
      <c r="O254" s="104" t="s">
        <v>95</v>
      </c>
      <c r="P254" s="110"/>
      <c r="Q254" s="103" t="s">
        <v>794</v>
      </c>
      <c r="R254" s="110" t="s">
        <v>795</v>
      </c>
      <c r="S254" s="110">
        <v>1600.0</v>
      </c>
      <c r="T254" s="111" t="e">
        <v>#N/A</v>
      </c>
      <c r="U254" s="106" t="s">
        <v>796</v>
      </c>
      <c r="V254" s="112">
        <v>0.0</v>
      </c>
      <c r="W254" s="113">
        <v>50.0</v>
      </c>
      <c r="X254" s="113">
        <v>45.0</v>
      </c>
      <c r="Y254" s="113">
        <v>55.0</v>
      </c>
      <c r="Z254" s="113" t="s">
        <v>99</v>
      </c>
      <c r="AA254" s="114">
        <f t="shared" si="412"/>
        <v>1.414315306</v>
      </c>
      <c r="AB254" s="115"/>
      <c r="AC254" s="239">
        <f t="shared" si="365"/>
        <v>1.28051214</v>
      </c>
      <c r="AD254" s="240">
        <f t="shared" si="244"/>
        <v>1.376894774</v>
      </c>
      <c r="AE254" s="239"/>
      <c r="AF254" s="239" t="str">
        <f t="shared" si="94"/>
        <v>#REF!</v>
      </c>
      <c r="AG254" s="210" t="str">
        <f t="shared" si="95"/>
        <v>#REF!</v>
      </c>
      <c r="AH254" s="120" t="str">
        <f t="shared" si="96"/>
        <v>#REF!</v>
      </c>
      <c r="AI254" s="121">
        <f t="shared" si="237"/>
        <v>0.1</v>
      </c>
      <c r="AJ254" s="121">
        <v>0.1</v>
      </c>
      <c r="AK254" s="122">
        <v>0.252</v>
      </c>
      <c r="AL254" s="123">
        <f t="shared" si="11"/>
        <v>0.3226890593</v>
      </c>
      <c r="AM254" s="122" t="s">
        <v>10</v>
      </c>
      <c r="AN254" s="125">
        <f t="shared" si="366"/>
        <v>1.28051214</v>
      </c>
      <c r="AO254" s="112">
        <f t="shared" si="413"/>
        <v>0.252</v>
      </c>
      <c r="AP254" s="127"/>
      <c r="AQ254" s="241">
        <f t="shared" ref="AQ254:AR254" si="421">BC254/(1-AI254)</f>
        <v>1.144023937</v>
      </c>
      <c r="AR254" s="242">
        <f t="shared" si="421"/>
        <v>1.064247868</v>
      </c>
      <c r="AS254" s="126">
        <f t="shared" si="369"/>
        <v>0.1911111111</v>
      </c>
      <c r="AT254" s="126">
        <f t="shared" si="370"/>
        <v>0.1688888889</v>
      </c>
      <c r="AU254" s="129"/>
      <c r="AV254" s="39" t="s">
        <v>932</v>
      </c>
      <c r="AW254" s="249">
        <v>0.025</v>
      </c>
      <c r="AX254" s="249">
        <v>6.576</v>
      </c>
      <c r="AY254" s="247"/>
      <c r="AZ254" s="243">
        <v>0.16</v>
      </c>
      <c r="BA254" s="244">
        <f t="shared" si="411"/>
        <v>6.9135</v>
      </c>
      <c r="BB254" s="244">
        <f t="shared" si="415"/>
        <v>7.0735</v>
      </c>
      <c r="BC254" s="245">
        <f t="shared" si="416"/>
        <v>1.029621543</v>
      </c>
      <c r="BD254" s="132">
        <f t="shared" si="417"/>
        <v>0.9578230808</v>
      </c>
      <c r="BE254" s="135" t="s">
        <v>1040</v>
      </c>
      <c r="BF254" s="134" t="s">
        <v>576</v>
      </c>
      <c r="BG254" s="49"/>
      <c r="BH254" s="246">
        <f t="shared" si="324"/>
        <v>4.2683738</v>
      </c>
      <c r="BI254" s="246">
        <f t="shared" si="325"/>
        <v>2.56102428</v>
      </c>
      <c r="BJ254" s="246">
        <f t="shared" si="326"/>
        <v>2.1341869</v>
      </c>
      <c r="BK254" s="246">
        <f t="shared" si="327"/>
        <v>1.70734952</v>
      </c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</row>
    <row r="255" ht="14.25" customHeight="1">
      <c r="A255" s="103" t="s">
        <v>84</v>
      </c>
      <c r="B255" s="103" t="s">
        <v>85</v>
      </c>
      <c r="C255" s="103" t="s">
        <v>85</v>
      </c>
      <c r="D255" s="103" t="s">
        <v>86</v>
      </c>
      <c r="E255" s="104" t="s">
        <v>788</v>
      </c>
      <c r="F255" s="105" t="s">
        <v>973</v>
      </c>
      <c r="G255" s="106" t="s">
        <v>577</v>
      </c>
      <c r="H255" s="110" t="s">
        <v>1036</v>
      </c>
      <c r="I255" s="107"/>
      <c r="J255" s="220" t="s">
        <v>1053</v>
      </c>
      <c r="K255" s="220" t="str">
        <f>_xlfn.XLOOKUP(J255,[1]Sheet1!$A:$A,[1]Sheet1!$B:$B,"")</f>
        <v>#ERROR!</v>
      </c>
      <c r="L255" s="105" t="s">
        <v>1054</v>
      </c>
      <c r="M255" s="105" t="s">
        <v>1055</v>
      </c>
      <c r="N255" s="110" t="s">
        <v>931</v>
      </c>
      <c r="O255" s="104" t="s">
        <v>95</v>
      </c>
      <c r="P255" s="110"/>
      <c r="Q255" s="103" t="s">
        <v>794</v>
      </c>
      <c r="R255" s="110" t="s">
        <v>795</v>
      </c>
      <c r="S255" s="110">
        <v>960.0</v>
      </c>
      <c r="T255" s="111" t="e">
        <v>#N/A</v>
      </c>
      <c r="U255" s="106" t="s">
        <v>796</v>
      </c>
      <c r="V255" s="112">
        <v>0.0</v>
      </c>
      <c r="W255" s="113">
        <v>50.0</v>
      </c>
      <c r="X255" s="113">
        <v>45.0</v>
      </c>
      <c r="Y255" s="113">
        <v>55.0</v>
      </c>
      <c r="Z255" s="113" t="s">
        <v>99</v>
      </c>
      <c r="AA255" s="114">
        <f t="shared" si="412"/>
        <v>2.017651199</v>
      </c>
      <c r="AB255" s="115"/>
      <c r="AC255" s="239">
        <f t="shared" si="365"/>
        <v>1.846828342</v>
      </c>
      <c r="AD255" s="240">
        <f t="shared" si="244"/>
        <v>1.985836926</v>
      </c>
      <c r="AE255" s="239"/>
      <c r="AF255" s="239" t="str">
        <f t="shared" si="94"/>
        <v>#REF!</v>
      </c>
      <c r="AG255" s="210" t="str">
        <f t="shared" si="95"/>
        <v>#REF!</v>
      </c>
      <c r="AH255" s="120" t="str">
        <f t="shared" si="96"/>
        <v>#REF!</v>
      </c>
      <c r="AI255" s="121">
        <f t="shared" si="237"/>
        <v>0.1</v>
      </c>
      <c r="AJ255" s="121">
        <v>0.1</v>
      </c>
      <c r="AK255" s="122">
        <v>0.252</v>
      </c>
      <c r="AL255" s="123">
        <f t="shared" si="11"/>
        <v>0.4654007421</v>
      </c>
      <c r="AM255" s="122" t="s">
        <v>10</v>
      </c>
      <c r="AN255" s="125">
        <f t="shared" si="366"/>
        <v>1.846828342</v>
      </c>
      <c r="AO255" s="112">
        <f t="shared" si="413"/>
        <v>0.252</v>
      </c>
      <c r="AP255" s="127"/>
      <c r="AQ255" s="241">
        <f t="shared" ref="AQ255:AR255" si="422">BC255/(1-AI255)</f>
        <v>1.632055636</v>
      </c>
      <c r="AR255" s="242">
        <f t="shared" si="422"/>
        <v>1.534919555</v>
      </c>
      <c r="AS255" s="126">
        <f t="shared" si="369"/>
        <v>0.1911111111</v>
      </c>
      <c r="AT255" s="126">
        <f t="shared" si="370"/>
        <v>0.1688888889</v>
      </c>
      <c r="AU255" s="129"/>
      <c r="AV255" s="39" t="s">
        <v>932</v>
      </c>
      <c r="AW255" s="249">
        <v>0.042</v>
      </c>
      <c r="AX255" s="249">
        <v>9.364</v>
      </c>
      <c r="AY255" s="247"/>
      <c r="AZ255" s="243">
        <v>0.16</v>
      </c>
      <c r="BA255" s="244">
        <f t="shared" si="411"/>
        <v>9.931</v>
      </c>
      <c r="BB255" s="244">
        <f t="shared" si="415"/>
        <v>10.091</v>
      </c>
      <c r="BC255" s="245">
        <f t="shared" si="416"/>
        <v>1.468850073</v>
      </c>
      <c r="BD255" s="132">
        <f t="shared" si="417"/>
        <v>1.3814276</v>
      </c>
      <c r="BE255" s="135" t="s">
        <v>1040</v>
      </c>
      <c r="BF255" s="134" t="s">
        <v>576</v>
      </c>
      <c r="BG255" s="49"/>
      <c r="BH255" s="246">
        <f t="shared" si="324"/>
        <v>6.156094472</v>
      </c>
      <c r="BI255" s="246">
        <f t="shared" si="325"/>
        <v>3.693656683</v>
      </c>
      <c r="BJ255" s="246">
        <f t="shared" si="326"/>
        <v>3.078047236</v>
      </c>
      <c r="BK255" s="246">
        <f t="shared" si="327"/>
        <v>2.462437789</v>
      </c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</row>
    <row r="256" ht="14.25" customHeight="1">
      <c r="A256" s="103" t="s">
        <v>84</v>
      </c>
      <c r="B256" s="103" t="s">
        <v>85</v>
      </c>
      <c r="C256" s="103" t="s">
        <v>85</v>
      </c>
      <c r="D256" s="103" t="s">
        <v>86</v>
      </c>
      <c r="E256" s="104" t="s">
        <v>788</v>
      </c>
      <c r="F256" s="105" t="s">
        <v>973</v>
      </c>
      <c r="G256" s="106" t="s">
        <v>577</v>
      </c>
      <c r="H256" s="110" t="s">
        <v>1036</v>
      </c>
      <c r="I256" s="107"/>
      <c r="J256" s="220" t="s">
        <v>1056</v>
      </c>
      <c r="K256" s="220" t="str">
        <f>_xlfn.XLOOKUP(J256,[1]Sheet1!$A:$A,[1]Sheet1!$B:$B,"")</f>
        <v>#ERROR!</v>
      </c>
      <c r="L256" s="105" t="s">
        <v>1057</v>
      </c>
      <c r="M256" s="105" t="s">
        <v>1058</v>
      </c>
      <c r="N256" s="110" t="s">
        <v>931</v>
      </c>
      <c r="O256" s="104" t="s">
        <v>95</v>
      </c>
      <c r="P256" s="110"/>
      <c r="Q256" s="103" t="s">
        <v>794</v>
      </c>
      <c r="R256" s="110" t="s">
        <v>795</v>
      </c>
      <c r="S256" s="110">
        <v>640.0</v>
      </c>
      <c r="T256" s="111" t="e">
        <v>#N/A</v>
      </c>
      <c r="U256" s="106" t="s">
        <v>796</v>
      </c>
      <c r="V256" s="112">
        <v>0.0</v>
      </c>
      <c r="W256" s="113">
        <v>50.0</v>
      </c>
      <c r="X256" s="113">
        <v>45.0</v>
      </c>
      <c r="Y256" s="113">
        <v>55.0</v>
      </c>
      <c r="Z256" s="113" t="s">
        <v>99</v>
      </c>
      <c r="AA256" s="114">
        <f t="shared" si="412"/>
        <v>3.439864357</v>
      </c>
      <c r="AB256" s="115"/>
      <c r="AC256" s="239">
        <f t="shared" si="365"/>
        <v>3.120098526</v>
      </c>
      <c r="AD256" s="240">
        <f t="shared" si="244"/>
        <v>3.354944651</v>
      </c>
      <c r="AE256" s="239"/>
      <c r="AF256" s="239" t="str">
        <f t="shared" si="94"/>
        <v>#REF!</v>
      </c>
      <c r="AG256" s="210" t="str">
        <f t="shared" si="95"/>
        <v>#REF!</v>
      </c>
      <c r="AH256" s="120" t="str">
        <f t="shared" si="96"/>
        <v>#REF!</v>
      </c>
      <c r="AI256" s="121">
        <f t="shared" si="237"/>
        <v>0.1</v>
      </c>
      <c r="AJ256" s="121">
        <v>0.1</v>
      </c>
      <c r="AK256" s="122">
        <v>0.252</v>
      </c>
      <c r="AL256" s="123">
        <f t="shared" si="11"/>
        <v>0.7862648285</v>
      </c>
      <c r="AM256" s="122" t="s">
        <v>10</v>
      </c>
      <c r="AN256" s="125">
        <f t="shared" si="366"/>
        <v>3.120098526</v>
      </c>
      <c r="AO256" s="112">
        <f t="shared" si="413"/>
        <v>0.252</v>
      </c>
      <c r="AP256" s="127"/>
      <c r="AQ256" s="241">
        <f t="shared" ref="AQ256:AR256" si="423">BC256/(1-AI256)</f>
        <v>2.782468058</v>
      </c>
      <c r="AR256" s="242">
        <f t="shared" si="423"/>
        <v>2.593148552</v>
      </c>
      <c r="AS256" s="126">
        <f t="shared" si="369"/>
        <v>0.1911111111</v>
      </c>
      <c r="AT256" s="126">
        <f t="shared" si="370"/>
        <v>0.1688888889</v>
      </c>
      <c r="AU256" s="129"/>
      <c r="AV256" s="39" t="s">
        <v>932</v>
      </c>
      <c r="AW256" s="249">
        <v>0.084</v>
      </c>
      <c r="AX256" s="249">
        <v>15.91</v>
      </c>
      <c r="AY256" s="247"/>
      <c r="AZ256" s="243">
        <v>0.16</v>
      </c>
      <c r="BA256" s="244">
        <f t="shared" si="411"/>
        <v>17.044</v>
      </c>
      <c r="BB256" s="244">
        <f t="shared" si="415"/>
        <v>17.204</v>
      </c>
      <c r="BC256" s="245">
        <f t="shared" si="416"/>
        <v>2.504221252</v>
      </c>
      <c r="BD256" s="132">
        <f t="shared" si="417"/>
        <v>2.333833697</v>
      </c>
      <c r="BE256" s="135" t="s">
        <v>1040</v>
      </c>
      <c r="BF256" s="134" t="s">
        <v>576</v>
      </c>
      <c r="BG256" s="49"/>
      <c r="BH256" s="246">
        <f t="shared" si="324"/>
        <v>10.40032842</v>
      </c>
      <c r="BI256" s="246">
        <f t="shared" si="325"/>
        <v>6.240197051</v>
      </c>
      <c r="BJ256" s="246">
        <f t="shared" si="326"/>
        <v>5.20016421</v>
      </c>
      <c r="BK256" s="246">
        <f t="shared" si="327"/>
        <v>4.160131368</v>
      </c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</row>
    <row r="257" ht="14.25" customHeight="1">
      <c r="A257" s="105" t="s">
        <v>84</v>
      </c>
      <c r="B257" s="103" t="s">
        <v>85</v>
      </c>
      <c r="C257" s="103" t="s">
        <v>120</v>
      </c>
      <c r="D257" s="105" t="s">
        <v>86</v>
      </c>
      <c r="E257" s="105" t="s">
        <v>788</v>
      </c>
      <c r="F257" s="105" t="s">
        <v>1059</v>
      </c>
      <c r="G257" s="106" t="s">
        <v>581</v>
      </c>
      <c r="H257" s="110">
        <v>24.0</v>
      </c>
      <c r="I257" s="107"/>
      <c r="J257" s="220" t="s">
        <v>1060</v>
      </c>
      <c r="K257" s="220" t="str">
        <f>_xlfn.XLOOKUP(J257,[1]Sheet1!$A:$A,[1]Sheet1!$B:$B,"")</f>
        <v>#ERROR!</v>
      </c>
      <c r="L257" s="105" t="s">
        <v>1061</v>
      </c>
      <c r="M257" s="105" t="s">
        <v>1062</v>
      </c>
      <c r="N257" s="110"/>
      <c r="O257" s="104" t="s">
        <v>95</v>
      </c>
      <c r="P257" s="110"/>
      <c r="Q257" s="103" t="s">
        <v>794</v>
      </c>
      <c r="R257" s="110" t="s">
        <v>795</v>
      </c>
      <c r="S257" s="110">
        <v>4800.0</v>
      </c>
      <c r="T257" s="111" t="e">
        <v>#N/A</v>
      </c>
      <c r="U257" s="110" t="s">
        <v>796</v>
      </c>
      <c r="V257" s="112">
        <v>0.0</v>
      </c>
      <c r="W257" s="113">
        <v>50.0</v>
      </c>
      <c r="X257" s="113">
        <v>45.0</v>
      </c>
      <c r="Y257" s="113">
        <v>55.0</v>
      </c>
      <c r="Z257" s="113" t="s">
        <v>99</v>
      </c>
      <c r="AA257" s="114">
        <f t="shared" si="412"/>
        <v>0.6490234656</v>
      </c>
      <c r="AB257" s="115"/>
      <c r="AC257" s="239">
        <f t="shared" si="365"/>
        <v>0.5771302212</v>
      </c>
      <c r="AD257" s="240">
        <f t="shared" si="244"/>
        <v>0.6205701304</v>
      </c>
      <c r="AE257" s="239"/>
      <c r="AF257" s="239" t="str">
        <f t="shared" si="94"/>
        <v>#REF!</v>
      </c>
      <c r="AG257" s="210" t="str">
        <f t="shared" si="95"/>
        <v>#REF!</v>
      </c>
      <c r="AH257" s="120" t="str">
        <f t="shared" si="96"/>
        <v>#REF!</v>
      </c>
      <c r="AI257" s="121">
        <f t="shared" si="237"/>
        <v>0.1</v>
      </c>
      <c r="AJ257" s="121">
        <v>0.1</v>
      </c>
      <c r="AK257" s="122">
        <v>0.252</v>
      </c>
      <c r="AL257" s="123">
        <f t="shared" si="11"/>
        <v>0.1454368158</v>
      </c>
      <c r="AM257" s="122" t="s">
        <v>10</v>
      </c>
      <c r="AN257" s="125">
        <f t="shared" si="366"/>
        <v>0.5771302212</v>
      </c>
      <c r="AO257" s="112">
        <f t="shared" si="413"/>
        <v>0.252</v>
      </c>
      <c r="AP257" s="127"/>
      <c r="AQ257" s="241">
        <f t="shared" ref="AQ257:AR257" si="424">BC257/(1-AI257)</f>
        <v>0.52498787</v>
      </c>
      <c r="AR257" s="242">
        <f t="shared" si="424"/>
        <v>0.4796593394</v>
      </c>
      <c r="AS257" s="126">
        <f t="shared" si="369"/>
        <v>0.1911111111</v>
      </c>
      <c r="AT257" s="126">
        <f t="shared" si="370"/>
        <v>0.1688888889</v>
      </c>
      <c r="AU257" s="129"/>
      <c r="AV257" s="39" t="s">
        <v>932</v>
      </c>
      <c r="AW257" s="249">
        <v>0.014</v>
      </c>
      <c r="AX257" s="249">
        <v>2.897</v>
      </c>
      <c r="AY257" s="214"/>
      <c r="AZ257" s="243">
        <v>0.16</v>
      </c>
      <c r="BA257" s="244">
        <f t="shared" si="411"/>
        <v>3.086</v>
      </c>
      <c r="BB257" s="244">
        <f t="shared" si="415"/>
        <v>3.246</v>
      </c>
      <c r="BC257" s="245">
        <f t="shared" si="416"/>
        <v>0.472489083</v>
      </c>
      <c r="BD257" s="132">
        <f t="shared" si="417"/>
        <v>0.4316934055</v>
      </c>
      <c r="BE257" s="135" t="s">
        <v>1063</v>
      </c>
      <c r="BF257" s="134" t="s">
        <v>576</v>
      </c>
      <c r="BG257" s="49"/>
      <c r="BH257" s="246">
        <f t="shared" si="324"/>
        <v>1.923767404</v>
      </c>
      <c r="BI257" s="246">
        <f t="shared" si="325"/>
        <v>1.154260442</v>
      </c>
      <c r="BJ257" s="246">
        <f t="shared" si="326"/>
        <v>0.9618837021</v>
      </c>
      <c r="BK257" s="246">
        <f t="shared" si="327"/>
        <v>0.7695069616</v>
      </c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</row>
    <row r="258" ht="14.25" customHeight="1">
      <c r="A258" s="105" t="s">
        <v>84</v>
      </c>
      <c r="B258" s="103" t="s">
        <v>85</v>
      </c>
      <c r="C258" s="103" t="s">
        <v>120</v>
      </c>
      <c r="D258" s="105" t="s">
        <v>86</v>
      </c>
      <c r="E258" s="105" t="s">
        <v>788</v>
      </c>
      <c r="F258" s="105" t="s">
        <v>1059</v>
      </c>
      <c r="G258" s="106" t="s">
        <v>581</v>
      </c>
      <c r="H258" s="110">
        <v>24.0</v>
      </c>
      <c r="I258" s="107"/>
      <c r="J258" s="220" t="s">
        <v>1064</v>
      </c>
      <c r="K258" s="220" t="str">
        <f>_xlfn.XLOOKUP(J258,[1]Sheet1!$A:$A,[1]Sheet1!$B:$B,"")</f>
        <v>#ERROR!</v>
      </c>
      <c r="L258" s="105" t="s">
        <v>1065</v>
      </c>
      <c r="M258" s="105" t="s">
        <v>1066</v>
      </c>
      <c r="N258" s="110"/>
      <c r="O258" s="104" t="s">
        <v>95</v>
      </c>
      <c r="P258" s="110"/>
      <c r="Q258" s="103" t="s">
        <v>794</v>
      </c>
      <c r="R258" s="110" t="s">
        <v>795</v>
      </c>
      <c r="S258" s="110">
        <v>4800.0</v>
      </c>
      <c r="T258" s="111" t="e">
        <v>#N/A</v>
      </c>
      <c r="U258" s="110" t="s">
        <v>796</v>
      </c>
      <c r="V258" s="112">
        <v>0.0</v>
      </c>
      <c r="W258" s="113">
        <v>50.0</v>
      </c>
      <c r="X258" s="113">
        <v>45.0</v>
      </c>
      <c r="Y258" s="113">
        <v>55.0</v>
      </c>
      <c r="Z258" s="113" t="s">
        <v>99</v>
      </c>
      <c r="AA258" s="114">
        <f t="shared" si="412"/>
        <v>0.714205736</v>
      </c>
      <c r="AB258" s="115"/>
      <c r="AC258" s="239">
        <f t="shared" si="365"/>
        <v>0.6322949421</v>
      </c>
      <c r="AD258" s="240">
        <f t="shared" si="244"/>
        <v>0.6798870345</v>
      </c>
      <c r="AE258" s="239"/>
      <c r="AF258" s="239" t="str">
        <f t="shared" si="94"/>
        <v>#REF!</v>
      </c>
      <c r="AG258" s="210" t="str">
        <f t="shared" si="95"/>
        <v>#REF!</v>
      </c>
      <c r="AH258" s="120" t="str">
        <f t="shared" si="96"/>
        <v>#REF!</v>
      </c>
      <c r="AI258" s="121">
        <f t="shared" si="237"/>
        <v>0.1</v>
      </c>
      <c r="AJ258" s="121">
        <v>0.1</v>
      </c>
      <c r="AK258" s="122">
        <v>0.252</v>
      </c>
      <c r="AL258" s="123">
        <f t="shared" si="11"/>
        <v>0.1593383254</v>
      </c>
      <c r="AM258" s="122" t="s">
        <v>10</v>
      </c>
      <c r="AN258" s="125">
        <f t="shared" si="366"/>
        <v>0.6322949421</v>
      </c>
      <c r="AO258" s="112">
        <f t="shared" si="413"/>
        <v>0.252</v>
      </c>
      <c r="AP258" s="127"/>
      <c r="AQ258" s="241">
        <f t="shared" ref="AQ258:AR258" si="425">BC258/(1-AI258)</f>
        <v>0.5777130843</v>
      </c>
      <c r="AR258" s="242">
        <f t="shared" si="425"/>
        <v>0.5255073519</v>
      </c>
      <c r="AS258" s="126">
        <f t="shared" si="369"/>
        <v>0.1911111111</v>
      </c>
      <c r="AT258" s="126">
        <f t="shared" si="370"/>
        <v>0.1688888889</v>
      </c>
      <c r="AU258" s="129"/>
      <c r="AV258" s="39" t="s">
        <v>932</v>
      </c>
      <c r="AW258" s="249">
        <v>0.014</v>
      </c>
      <c r="AX258" s="249">
        <v>3.223</v>
      </c>
      <c r="AY258" s="214"/>
      <c r="AZ258" s="243">
        <v>0.16</v>
      </c>
      <c r="BA258" s="244">
        <f t="shared" si="411"/>
        <v>3.412</v>
      </c>
      <c r="BB258" s="244">
        <f t="shared" si="415"/>
        <v>3.572</v>
      </c>
      <c r="BC258" s="245">
        <f t="shared" si="416"/>
        <v>0.5199417758</v>
      </c>
      <c r="BD258" s="132">
        <f t="shared" si="417"/>
        <v>0.4729566167</v>
      </c>
      <c r="BE258" s="135" t="s">
        <v>1063</v>
      </c>
      <c r="BF258" s="134" t="s">
        <v>576</v>
      </c>
      <c r="BG258" s="49"/>
      <c r="BH258" s="246">
        <f t="shared" si="324"/>
        <v>2.107649807</v>
      </c>
      <c r="BI258" s="246">
        <f t="shared" si="325"/>
        <v>1.264589884</v>
      </c>
      <c r="BJ258" s="246">
        <f t="shared" si="326"/>
        <v>1.053824903</v>
      </c>
      <c r="BK258" s="246">
        <f t="shared" si="327"/>
        <v>0.8430599228</v>
      </c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</row>
    <row r="259" ht="14.25" customHeight="1">
      <c r="A259" s="105" t="s">
        <v>84</v>
      </c>
      <c r="B259" s="103" t="s">
        <v>85</v>
      </c>
      <c r="C259" s="103" t="s">
        <v>120</v>
      </c>
      <c r="D259" s="105" t="s">
        <v>86</v>
      </c>
      <c r="E259" s="105" t="s">
        <v>788</v>
      </c>
      <c r="F259" s="105" t="s">
        <v>1059</v>
      </c>
      <c r="G259" s="106" t="s">
        <v>581</v>
      </c>
      <c r="H259" s="110">
        <v>24.0</v>
      </c>
      <c r="I259" s="107"/>
      <c r="J259" s="220" t="s">
        <v>1067</v>
      </c>
      <c r="K259" s="220" t="str">
        <f>_xlfn.XLOOKUP(J259,[1]Sheet1!$A:$A,[1]Sheet1!$B:$B,"")</f>
        <v>#ERROR!</v>
      </c>
      <c r="L259" s="105" t="s">
        <v>1068</v>
      </c>
      <c r="M259" s="105" t="s">
        <v>1069</v>
      </c>
      <c r="N259" s="110"/>
      <c r="O259" s="104" t="s">
        <v>95</v>
      </c>
      <c r="P259" s="110"/>
      <c r="Q259" s="103" t="s">
        <v>794</v>
      </c>
      <c r="R259" s="110" t="s">
        <v>795</v>
      </c>
      <c r="S259" s="110">
        <v>3200.0</v>
      </c>
      <c r="T259" s="111" t="e">
        <v>#N/A</v>
      </c>
      <c r="U259" s="110" t="s">
        <v>796</v>
      </c>
      <c r="V259" s="112">
        <v>0.0</v>
      </c>
      <c r="W259" s="113">
        <v>50.0</v>
      </c>
      <c r="X259" s="113">
        <v>45.0</v>
      </c>
      <c r="Y259" s="113">
        <v>55.0</v>
      </c>
      <c r="Z259" s="113" t="s">
        <v>99</v>
      </c>
      <c r="AA259" s="114">
        <f t="shared" si="412"/>
        <v>0.7945838732</v>
      </c>
      <c r="AB259" s="115"/>
      <c r="AC259" s="239">
        <f t="shared" si="365"/>
        <v>0.7142461749</v>
      </c>
      <c r="AD259" s="240">
        <f t="shared" si="244"/>
        <v>0.7680066397</v>
      </c>
      <c r="AE259" s="239"/>
      <c r="AF259" s="239" t="str">
        <f t="shared" si="94"/>
        <v>#REF!</v>
      </c>
      <c r="AG259" s="210" t="str">
        <f t="shared" si="95"/>
        <v>#REF!</v>
      </c>
      <c r="AH259" s="120" t="str">
        <f t="shared" si="96"/>
        <v>#REF!</v>
      </c>
      <c r="AI259" s="121">
        <f t="shared" si="237"/>
        <v>0.1</v>
      </c>
      <c r="AJ259" s="121">
        <v>0.1</v>
      </c>
      <c r="AK259" s="122">
        <v>0.252</v>
      </c>
      <c r="AL259" s="123">
        <f t="shared" si="11"/>
        <v>0.1799900361</v>
      </c>
      <c r="AM259" s="122" t="s">
        <v>10</v>
      </c>
      <c r="AN259" s="125">
        <f t="shared" si="366"/>
        <v>0.7142461749</v>
      </c>
      <c r="AO259" s="112">
        <f t="shared" si="413"/>
        <v>0.252</v>
      </c>
      <c r="AP259" s="127"/>
      <c r="AQ259" s="241">
        <f t="shared" ref="AQ259:AR259" si="426">BC259/(1-AI259)</f>
        <v>0.6427300663</v>
      </c>
      <c r="AR259" s="242">
        <f t="shared" si="426"/>
        <v>0.5936179321</v>
      </c>
      <c r="AS259" s="126">
        <f t="shared" si="369"/>
        <v>0.1911111111</v>
      </c>
      <c r="AT259" s="126">
        <f t="shared" si="370"/>
        <v>0.1688888889</v>
      </c>
      <c r="AU259" s="129"/>
      <c r="AV259" s="39" t="s">
        <v>932</v>
      </c>
      <c r="AW259" s="249">
        <v>0.028</v>
      </c>
      <c r="AX259" s="249">
        <v>3.436</v>
      </c>
      <c r="AY259" s="214"/>
      <c r="AZ259" s="243">
        <v>0.16</v>
      </c>
      <c r="BA259" s="244">
        <f t="shared" si="411"/>
        <v>3.814</v>
      </c>
      <c r="BB259" s="244">
        <f t="shared" si="415"/>
        <v>3.974</v>
      </c>
      <c r="BC259" s="245">
        <f t="shared" si="416"/>
        <v>0.5784570597</v>
      </c>
      <c r="BD259" s="132">
        <f t="shared" si="417"/>
        <v>0.5342561389</v>
      </c>
      <c r="BE259" s="135" t="s">
        <v>1063</v>
      </c>
      <c r="BF259" s="134" t="s">
        <v>576</v>
      </c>
      <c r="BG259" s="49"/>
      <c r="BH259" s="246">
        <f t="shared" si="324"/>
        <v>2.380820583</v>
      </c>
      <c r="BI259" s="246">
        <f t="shared" si="325"/>
        <v>1.42849235</v>
      </c>
      <c r="BJ259" s="246">
        <f t="shared" si="326"/>
        <v>1.190410292</v>
      </c>
      <c r="BK259" s="246">
        <f t="shared" si="327"/>
        <v>0.9523282332</v>
      </c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</row>
    <row r="260" ht="14.25" customHeight="1">
      <c r="A260" s="105" t="s">
        <v>84</v>
      </c>
      <c r="B260" s="103" t="s">
        <v>85</v>
      </c>
      <c r="C260" s="103" t="s">
        <v>120</v>
      </c>
      <c r="D260" s="105" t="s">
        <v>86</v>
      </c>
      <c r="E260" s="105" t="s">
        <v>788</v>
      </c>
      <c r="F260" s="105" t="s">
        <v>1059</v>
      </c>
      <c r="G260" s="106" t="s">
        <v>581</v>
      </c>
      <c r="H260" s="110">
        <v>24.0</v>
      </c>
      <c r="I260" s="107"/>
      <c r="J260" s="220" t="s">
        <v>1070</v>
      </c>
      <c r="K260" s="220" t="str">
        <f>_xlfn.XLOOKUP(J260,[1]Sheet1!$A:$A,[1]Sheet1!$B:$B,"")</f>
        <v>#ERROR!</v>
      </c>
      <c r="L260" s="105" t="s">
        <v>1071</v>
      </c>
      <c r="M260" s="105" t="s">
        <v>1072</v>
      </c>
      <c r="N260" s="110"/>
      <c r="O260" s="104" t="s">
        <v>95</v>
      </c>
      <c r="P260" s="110"/>
      <c r="Q260" s="103" t="s">
        <v>794</v>
      </c>
      <c r="R260" s="110" t="s">
        <v>795</v>
      </c>
      <c r="S260" s="110">
        <v>2240.0</v>
      </c>
      <c r="T260" s="111" t="e">
        <v>#N/A</v>
      </c>
      <c r="U260" s="110" t="s">
        <v>796</v>
      </c>
      <c r="V260" s="112">
        <v>0.0</v>
      </c>
      <c r="W260" s="113">
        <v>50.0</v>
      </c>
      <c r="X260" s="113">
        <v>45.0</v>
      </c>
      <c r="Y260" s="113">
        <v>55.0</v>
      </c>
      <c r="Z260" s="113" t="s">
        <v>99</v>
      </c>
      <c r="AA260" s="114">
        <f t="shared" si="412"/>
        <v>1.193775293</v>
      </c>
      <c r="AB260" s="115"/>
      <c r="AC260" s="239">
        <f t="shared" si="365"/>
        <v>1.069992675</v>
      </c>
      <c r="AD260" s="240">
        <f t="shared" si="244"/>
        <v>1.150529758</v>
      </c>
      <c r="AE260" s="239"/>
      <c r="AF260" s="239" t="str">
        <f t="shared" si="94"/>
        <v>#REF!</v>
      </c>
      <c r="AG260" s="210" t="str">
        <f t="shared" si="95"/>
        <v>#REF!</v>
      </c>
      <c r="AH260" s="120" t="str">
        <f t="shared" si="96"/>
        <v>#REF!</v>
      </c>
      <c r="AI260" s="121">
        <f t="shared" si="237"/>
        <v>0.1</v>
      </c>
      <c r="AJ260" s="121">
        <v>0.1</v>
      </c>
      <c r="AK260" s="122">
        <v>0.252</v>
      </c>
      <c r="AL260" s="123">
        <f t="shared" si="11"/>
        <v>0.2696381541</v>
      </c>
      <c r="AM260" s="122" t="s">
        <v>10</v>
      </c>
      <c r="AN260" s="125">
        <f t="shared" si="366"/>
        <v>1.069992675</v>
      </c>
      <c r="AO260" s="112">
        <f t="shared" si="413"/>
        <v>0.252</v>
      </c>
      <c r="AP260" s="127"/>
      <c r="AQ260" s="241">
        <f t="shared" ref="AQ260:AR260" si="427">BC260/(1-AI260)</f>
        <v>0.9656315704</v>
      </c>
      <c r="AR260" s="242">
        <f t="shared" si="427"/>
        <v>0.8892828011</v>
      </c>
      <c r="AS260" s="126">
        <f t="shared" si="369"/>
        <v>0.1911111111</v>
      </c>
      <c r="AT260" s="126">
        <f t="shared" si="370"/>
        <v>0.1688888889</v>
      </c>
      <c r="AU260" s="129"/>
      <c r="AV260" s="39" t="s">
        <v>932</v>
      </c>
      <c r="AW260" s="249">
        <v>0.057</v>
      </c>
      <c r="AX260" s="249">
        <v>5.041</v>
      </c>
      <c r="AY260" s="214"/>
      <c r="AZ260" s="243">
        <v>0.16</v>
      </c>
      <c r="BA260" s="244">
        <f t="shared" si="411"/>
        <v>5.8105</v>
      </c>
      <c r="BB260" s="244">
        <f t="shared" si="415"/>
        <v>5.9705</v>
      </c>
      <c r="BC260" s="245">
        <f t="shared" si="416"/>
        <v>0.8690684134</v>
      </c>
      <c r="BD260" s="132">
        <f t="shared" si="417"/>
        <v>0.800354521</v>
      </c>
      <c r="BE260" s="135" t="s">
        <v>1063</v>
      </c>
      <c r="BF260" s="134" t="s">
        <v>576</v>
      </c>
      <c r="BG260" s="49"/>
      <c r="BH260" s="246">
        <f t="shared" si="324"/>
        <v>3.56664225</v>
      </c>
      <c r="BI260" s="246">
        <f t="shared" si="325"/>
        <v>2.13998535</v>
      </c>
      <c r="BJ260" s="246">
        <f t="shared" si="326"/>
        <v>1.783321125</v>
      </c>
      <c r="BK260" s="246">
        <f t="shared" si="327"/>
        <v>1.4266569</v>
      </c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</row>
    <row r="261" ht="14.25" customHeight="1">
      <c r="A261" s="105" t="s">
        <v>84</v>
      </c>
      <c r="B261" s="103" t="s">
        <v>85</v>
      </c>
      <c r="C261" s="103" t="s">
        <v>120</v>
      </c>
      <c r="D261" s="105" t="s">
        <v>86</v>
      </c>
      <c r="E261" s="105" t="s">
        <v>788</v>
      </c>
      <c r="F261" s="105" t="s">
        <v>1059</v>
      </c>
      <c r="G261" s="106" t="s">
        <v>581</v>
      </c>
      <c r="H261" s="110">
        <v>24.0</v>
      </c>
      <c r="I261" s="107"/>
      <c r="J261" s="220" t="s">
        <v>1073</v>
      </c>
      <c r="K261" s="220" t="str">
        <f>_xlfn.XLOOKUP(J261,[1]Sheet1!$A:$A,[1]Sheet1!$B:$B,"")</f>
        <v>#ERROR!</v>
      </c>
      <c r="L261" s="105" t="s">
        <v>1074</v>
      </c>
      <c r="M261" s="105" t="s">
        <v>1075</v>
      </c>
      <c r="N261" s="110"/>
      <c r="O261" s="104" t="s">
        <v>95</v>
      </c>
      <c r="P261" s="110"/>
      <c r="Q261" s="103" t="s">
        <v>794</v>
      </c>
      <c r="R261" s="110" t="s">
        <v>795</v>
      </c>
      <c r="S261" s="110">
        <v>1600.0</v>
      </c>
      <c r="T261" s="111" t="e">
        <v>#N/A</v>
      </c>
      <c r="U261" s="110" t="s">
        <v>796</v>
      </c>
      <c r="V261" s="112">
        <v>0.0</v>
      </c>
      <c r="W261" s="113">
        <v>50.0</v>
      </c>
      <c r="X261" s="113">
        <v>45.0</v>
      </c>
      <c r="Y261" s="113">
        <v>55.0</v>
      </c>
      <c r="Z261" s="113" t="s">
        <v>99</v>
      </c>
      <c r="AA261" s="114">
        <f t="shared" si="412"/>
        <v>1.581669786</v>
      </c>
      <c r="AB261" s="115"/>
      <c r="AC261" s="239">
        <f t="shared" si="365"/>
        <v>1.422146715</v>
      </c>
      <c r="AD261" s="240">
        <f t="shared" si="244"/>
        <v>1.529190016</v>
      </c>
      <c r="AE261" s="239"/>
      <c r="AF261" s="239" t="str">
        <f t="shared" si="94"/>
        <v>#REF!</v>
      </c>
      <c r="AG261" s="210" t="str">
        <f t="shared" si="95"/>
        <v>#REF!</v>
      </c>
      <c r="AH261" s="120" t="str">
        <f t="shared" si="96"/>
        <v>#REF!</v>
      </c>
      <c r="AI261" s="121">
        <f t="shared" si="237"/>
        <v>0.1</v>
      </c>
      <c r="AJ261" s="121">
        <v>0.1</v>
      </c>
      <c r="AK261" s="122">
        <v>0.252</v>
      </c>
      <c r="AL261" s="123">
        <f t="shared" si="11"/>
        <v>0.3583809721</v>
      </c>
      <c r="AM261" s="122" t="s">
        <v>10</v>
      </c>
      <c r="AN261" s="125">
        <f t="shared" si="366"/>
        <v>1.422146715</v>
      </c>
      <c r="AO261" s="112">
        <f t="shared" si="413"/>
        <v>0.252</v>
      </c>
      <c r="AP261" s="127"/>
      <c r="AQ261" s="241">
        <f t="shared" ref="AQ261:AR261" si="428">BC261/(1-AI261)</f>
        <v>1.279395116</v>
      </c>
      <c r="AR261" s="242">
        <f t="shared" si="428"/>
        <v>1.181961936</v>
      </c>
      <c r="AS261" s="126">
        <f t="shared" si="369"/>
        <v>0.1911111111</v>
      </c>
      <c r="AT261" s="126">
        <f t="shared" si="370"/>
        <v>0.1688888889</v>
      </c>
      <c r="AU261" s="129"/>
      <c r="AV261" s="39" t="s">
        <v>932</v>
      </c>
      <c r="AW261" s="249">
        <v>0.085</v>
      </c>
      <c r="AX261" s="249">
        <v>6.603</v>
      </c>
      <c r="AY261" s="214"/>
      <c r="AZ261" s="243">
        <v>0.16</v>
      </c>
      <c r="BA261" s="244">
        <f t="shared" si="411"/>
        <v>7.7505</v>
      </c>
      <c r="BB261" s="244">
        <f t="shared" si="415"/>
        <v>7.9105</v>
      </c>
      <c r="BC261" s="245">
        <f t="shared" si="416"/>
        <v>1.151455604</v>
      </c>
      <c r="BD261" s="132">
        <f t="shared" si="417"/>
        <v>1.063765743</v>
      </c>
      <c r="BE261" s="135" t="s">
        <v>1063</v>
      </c>
      <c r="BF261" s="134" t="s">
        <v>576</v>
      </c>
      <c r="BG261" s="49"/>
      <c r="BH261" s="246">
        <f t="shared" si="324"/>
        <v>4.740489049</v>
      </c>
      <c r="BI261" s="246">
        <f t="shared" si="325"/>
        <v>2.84429343</v>
      </c>
      <c r="BJ261" s="246">
        <f t="shared" si="326"/>
        <v>2.370244525</v>
      </c>
      <c r="BK261" s="246">
        <f t="shared" si="327"/>
        <v>1.89619562</v>
      </c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</row>
    <row r="262" ht="14.25" customHeight="1">
      <c r="A262" s="105" t="s">
        <v>84</v>
      </c>
      <c r="B262" s="103" t="s">
        <v>85</v>
      </c>
      <c r="C262" s="103" t="s">
        <v>120</v>
      </c>
      <c r="D262" s="105" t="s">
        <v>86</v>
      </c>
      <c r="E262" s="105" t="s">
        <v>788</v>
      </c>
      <c r="F262" s="105" t="s">
        <v>1059</v>
      </c>
      <c r="G262" s="106" t="s">
        <v>581</v>
      </c>
      <c r="H262" s="110">
        <v>24.0</v>
      </c>
      <c r="I262" s="107"/>
      <c r="J262" s="220" t="s">
        <v>1076</v>
      </c>
      <c r="K262" s="220" t="str">
        <f>_xlfn.XLOOKUP(J262,[1]Sheet1!$A:$A,[1]Sheet1!$B:$B,"")</f>
        <v>#ERROR!</v>
      </c>
      <c r="L262" s="105" t="s">
        <v>1077</v>
      </c>
      <c r="M262" s="105" t="s">
        <v>1078</v>
      </c>
      <c r="N262" s="110"/>
      <c r="O262" s="104" t="s">
        <v>95</v>
      </c>
      <c r="P262" s="110"/>
      <c r="Q262" s="103" t="s">
        <v>794</v>
      </c>
      <c r="R262" s="110" t="s">
        <v>795</v>
      </c>
      <c r="S262" s="110">
        <v>960.0</v>
      </c>
      <c r="T262" s="111" t="e">
        <v>#N/A</v>
      </c>
      <c r="U262" s="110" t="s">
        <v>796</v>
      </c>
      <c r="V262" s="112">
        <v>0.0</v>
      </c>
      <c r="W262" s="113">
        <v>50.0</v>
      </c>
      <c r="X262" s="113">
        <v>45.0</v>
      </c>
      <c r="Y262" s="113">
        <v>55.0</v>
      </c>
      <c r="Z262" s="113" t="s">
        <v>99</v>
      </c>
      <c r="AA262" s="114">
        <f t="shared" si="412"/>
        <v>2.402746453</v>
      </c>
      <c r="AB262" s="115"/>
      <c r="AC262" s="239">
        <f t="shared" si="365"/>
        <v>2.172740159</v>
      </c>
      <c r="AD262" s="240">
        <f t="shared" si="244"/>
        <v>2.33627974</v>
      </c>
      <c r="AE262" s="239"/>
      <c r="AF262" s="239" t="str">
        <f t="shared" si="94"/>
        <v>#REF!</v>
      </c>
      <c r="AG262" s="210" t="str">
        <f t="shared" si="95"/>
        <v>#REF!</v>
      </c>
      <c r="AH262" s="120" t="str">
        <f t="shared" si="96"/>
        <v>#REF!</v>
      </c>
      <c r="AI262" s="121">
        <f t="shared" si="237"/>
        <v>0.1</v>
      </c>
      <c r="AJ262" s="121">
        <v>0.1</v>
      </c>
      <c r="AK262" s="122">
        <v>0.252</v>
      </c>
      <c r="AL262" s="123">
        <f t="shared" si="11"/>
        <v>0.54753052</v>
      </c>
      <c r="AM262" s="122" t="s">
        <v>10</v>
      </c>
      <c r="AN262" s="125">
        <f t="shared" si="366"/>
        <v>2.172740159</v>
      </c>
      <c r="AO262" s="112">
        <f t="shared" si="413"/>
        <v>0.252</v>
      </c>
      <c r="AP262" s="127"/>
      <c r="AQ262" s="241">
        <f t="shared" ref="AQ262:AR262" si="429">BC262/(1-AI262)</f>
        <v>1.943554909</v>
      </c>
      <c r="AR262" s="242">
        <f t="shared" si="429"/>
        <v>1.805788487</v>
      </c>
      <c r="AS262" s="126">
        <f t="shared" si="369"/>
        <v>0.1911111111</v>
      </c>
      <c r="AT262" s="126">
        <f t="shared" si="370"/>
        <v>0.1688888889</v>
      </c>
      <c r="AU262" s="129"/>
      <c r="AV262" s="39" t="s">
        <v>932</v>
      </c>
      <c r="AW262" s="249">
        <v>0.142</v>
      </c>
      <c r="AX262" s="249">
        <v>9.94</v>
      </c>
      <c r="AY262" s="214"/>
      <c r="AZ262" s="243">
        <v>0.16</v>
      </c>
      <c r="BA262" s="244">
        <f t="shared" si="411"/>
        <v>11.857</v>
      </c>
      <c r="BB262" s="244">
        <f t="shared" si="415"/>
        <v>12.017</v>
      </c>
      <c r="BC262" s="245">
        <f t="shared" si="416"/>
        <v>1.749199418</v>
      </c>
      <c r="BD262" s="132">
        <f t="shared" si="417"/>
        <v>1.625209639</v>
      </c>
      <c r="BE262" s="135" t="s">
        <v>1063</v>
      </c>
      <c r="BF262" s="134" t="s">
        <v>576</v>
      </c>
      <c r="BG262" s="49"/>
      <c r="BH262" s="246">
        <f t="shared" si="324"/>
        <v>7.242467195</v>
      </c>
      <c r="BI262" s="246">
        <f t="shared" si="325"/>
        <v>4.345480317</v>
      </c>
      <c r="BJ262" s="246">
        <f t="shared" si="326"/>
        <v>3.621233598</v>
      </c>
      <c r="BK262" s="246">
        <f t="shared" si="327"/>
        <v>2.896986878</v>
      </c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</row>
    <row r="263" ht="14.25" customHeight="1">
      <c r="A263" s="105" t="s">
        <v>84</v>
      </c>
      <c r="B263" s="103" t="s">
        <v>85</v>
      </c>
      <c r="C263" s="103" t="s">
        <v>120</v>
      </c>
      <c r="D263" s="105" t="s">
        <v>86</v>
      </c>
      <c r="E263" s="105" t="s">
        <v>788</v>
      </c>
      <c r="F263" s="105" t="s">
        <v>1059</v>
      </c>
      <c r="G263" s="106" t="s">
        <v>581</v>
      </c>
      <c r="H263" s="110">
        <v>24.0</v>
      </c>
      <c r="I263" s="107"/>
      <c r="J263" s="220" t="s">
        <v>1079</v>
      </c>
      <c r="K263" s="220" t="str">
        <f>_xlfn.XLOOKUP(J263,[1]Sheet1!$A:$A,[1]Sheet1!$B:$B,"")</f>
        <v>#ERROR!</v>
      </c>
      <c r="L263" s="105" t="s">
        <v>1080</v>
      </c>
      <c r="M263" s="105" t="s">
        <v>1081</v>
      </c>
      <c r="N263" s="110"/>
      <c r="O263" s="104" t="s">
        <v>95</v>
      </c>
      <c r="P263" s="110"/>
      <c r="Q263" s="103" t="s">
        <v>794</v>
      </c>
      <c r="R263" s="110" t="s">
        <v>795</v>
      </c>
      <c r="S263" s="110">
        <v>640.0</v>
      </c>
      <c r="T263" s="111" t="e">
        <v>#N/A</v>
      </c>
      <c r="U263" s="110" t="s">
        <v>796</v>
      </c>
      <c r="V263" s="112">
        <v>0.0</v>
      </c>
      <c r="W263" s="113">
        <v>50.0</v>
      </c>
      <c r="X263" s="113">
        <v>45.0</v>
      </c>
      <c r="Y263" s="113">
        <v>55.0</v>
      </c>
      <c r="Z263" s="113" t="s">
        <v>99</v>
      </c>
      <c r="AA263" s="114">
        <f t="shared" si="412"/>
        <v>4.413799447</v>
      </c>
      <c r="AB263" s="115"/>
      <c r="AC263" s="239">
        <f t="shared" si="365"/>
        <v>3.944354217</v>
      </c>
      <c r="AD263" s="240">
        <f t="shared" si="244"/>
        <v>4.241241093</v>
      </c>
      <c r="AE263" s="239"/>
      <c r="AF263" s="239" t="str">
        <f t="shared" si="94"/>
        <v>#REF!</v>
      </c>
      <c r="AG263" s="210" t="str">
        <f t="shared" si="95"/>
        <v>#REF!</v>
      </c>
      <c r="AH263" s="120" t="str">
        <f t="shared" si="96"/>
        <v>#REF!</v>
      </c>
      <c r="AI263" s="121">
        <f t="shared" si="237"/>
        <v>0.1</v>
      </c>
      <c r="AJ263" s="121">
        <v>0.1</v>
      </c>
      <c r="AK263" s="122">
        <v>0.252</v>
      </c>
      <c r="AL263" s="123">
        <f t="shared" si="11"/>
        <v>0.9939772626</v>
      </c>
      <c r="AM263" s="122" t="s">
        <v>10</v>
      </c>
      <c r="AN263" s="125">
        <f t="shared" si="366"/>
        <v>3.944354217</v>
      </c>
      <c r="AO263" s="112">
        <f t="shared" si="413"/>
        <v>0.252</v>
      </c>
      <c r="AP263" s="127"/>
      <c r="AQ263" s="241">
        <f t="shared" ref="AQ263:AR263" si="430">BC263/(1-AI263)</f>
        <v>3.57027333</v>
      </c>
      <c r="AR263" s="242">
        <f t="shared" si="430"/>
        <v>3.278196616</v>
      </c>
      <c r="AS263" s="126">
        <f t="shared" si="369"/>
        <v>0.1911111111</v>
      </c>
      <c r="AT263" s="126">
        <f t="shared" si="370"/>
        <v>0.1688888889</v>
      </c>
      <c r="AU263" s="129"/>
      <c r="AV263" s="39" t="s">
        <v>932</v>
      </c>
      <c r="AW263" s="249">
        <v>0.298</v>
      </c>
      <c r="AX263" s="249">
        <v>17.892</v>
      </c>
      <c r="AY263" s="214"/>
      <c r="AZ263" s="243">
        <v>0.16</v>
      </c>
      <c r="BA263" s="244">
        <f t="shared" si="411"/>
        <v>21.915</v>
      </c>
      <c r="BB263" s="244">
        <f t="shared" si="415"/>
        <v>22.075</v>
      </c>
      <c r="BC263" s="245">
        <f t="shared" si="416"/>
        <v>3.213245997</v>
      </c>
      <c r="BD263" s="132">
        <f t="shared" si="417"/>
        <v>2.950376954</v>
      </c>
      <c r="BE263" s="135" t="s">
        <v>1063</v>
      </c>
      <c r="BF263" s="134" t="s">
        <v>576</v>
      </c>
      <c r="BG263" s="49"/>
      <c r="BH263" s="246">
        <f t="shared" si="324"/>
        <v>13.14784739</v>
      </c>
      <c r="BI263" s="246">
        <f t="shared" si="325"/>
        <v>7.888708433</v>
      </c>
      <c r="BJ263" s="246">
        <f t="shared" si="326"/>
        <v>6.573923694</v>
      </c>
      <c r="BK263" s="246">
        <f t="shared" si="327"/>
        <v>5.259138955</v>
      </c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</row>
    <row r="264" ht="14.25" customHeight="1">
      <c r="A264" s="105" t="s">
        <v>84</v>
      </c>
      <c r="B264" s="103" t="s">
        <v>85</v>
      </c>
      <c r="C264" s="103" t="s">
        <v>120</v>
      </c>
      <c r="D264" s="105" t="s">
        <v>86</v>
      </c>
      <c r="E264" s="105" t="s">
        <v>788</v>
      </c>
      <c r="F264" s="105" t="s">
        <v>1059</v>
      </c>
      <c r="G264" s="106" t="s">
        <v>581</v>
      </c>
      <c r="H264" s="110">
        <v>24.0</v>
      </c>
      <c r="I264" s="107"/>
      <c r="J264" s="220" t="s">
        <v>1082</v>
      </c>
      <c r="K264" s="220" t="s">
        <v>1083</v>
      </c>
      <c r="L264" s="105" t="s">
        <v>1084</v>
      </c>
      <c r="M264" s="105" t="s">
        <v>1085</v>
      </c>
      <c r="N264" s="110"/>
      <c r="O264" s="104" t="s">
        <v>95</v>
      </c>
      <c r="P264" s="110"/>
      <c r="Q264" s="103" t="s">
        <v>794</v>
      </c>
      <c r="R264" s="110" t="s">
        <v>795</v>
      </c>
      <c r="S264" s="110"/>
      <c r="T264" s="111"/>
      <c r="U264" s="110" t="s">
        <v>796</v>
      </c>
      <c r="V264" s="112">
        <v>0.0</v>
      </c>
      <c r="W264" s="113">
        <v>50.0</v>
      </c>
      <c r="X264" s="113">
        <v>45.0</v>
      </c>
      <c r="Y264" s="113">
        <v>55.0</v>
      </c>
      <c r="Z264" s="113" t="s">
        <v>99</v>
      </c>
      <c r="AA264" s="114"/>
      <c r="AB264" s="115"/>
      <c r="AC264" s="239"/>
      <c r="AD264" s="240">
        <f t="shared" si="244"/>
        <v>0</v>
      </c>
      <c r="AE264" s="239"/>
      <c r="AF264" s="239" t="str">
        <f t="shared" si="94"/>
        <v>#REF!</v>
      </c>
      <c r="AG264" s="210" t="str">
        <f t="shared" si="95"/>
        <v>#REF!</v>
      </c>
      <c r="AH264" s="120" t="str">
        <f t="shared" si="96"/>
        <v>#REF!</v>
      </c>
      <c r="AI264" s="121">
        <f t="shared" si="237"/>
        <v>0.1</v>
      </c>
      <c r="AJ264" s="121">
        <v>0.1</v>
      </c>
      <c r="AK264" s="122">
        <v>0.252</v>
      </c>
      <c r="AL264" s="123">
        <f t="shared" si="11"/>
        <v>0</v>
      </c>
      <c r="AM264" s="122" t="s">
        <v>10</v>
      </c>
      <c r="AN264" s="125"/>
      <c r="AO264" s="112"/>
      <c r="AP264" s="127"/>
      <c r="AQ264" s="241"/>
      <c r="AR264" s="242"/>
      <c r="AS264" s="126"/>
      <c r="AT264" s="126"/>
      <c r="AU264" s="129"/>
      <c r="AV264" s="39" t="s">
        <v>932</v>
      </c>
      <c r="AW264" s="249"/>
      <c r="AX264" s="249"/>
      <c r="AY264" s="214"/>
      <c r="AZ264" s="243"/>
      <c r="BA264" s="244"/>
      <c r="BB264" s="244"/>
      <c r="BC264" s="245"/>
      <c r="BD264" s="132"/>
      <c r="BE264" s="135" t="s">
        <v>1063</v>
      </c>
      <c r="BF264" s="134" t="s">
        <v>576</v>
      </c>
      <c r="BG264" s="49"/>
      <c r="BH264" s="246">
        <f t="shared" si="324"/>
        <v>0</v>
      </c>
      <c r="BI264" s="246">
        <f t="shared" si="325"/>
        <v>0</v>
      </c>
      <c r="BJ264" s="246">
        <f t="shared" si="326"/>
        <v>0</v>
      </c>
      <c r="BK264" s="246">
        <f t="shared" si="327"/>
        <v>0</v>
      </c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</row>
    <row r="265" ht="14.25" customHeight="1">
      <c r="A265" s="105" t="s">
        <v>84</v>
      </c>
      <c r="B265" s="103" t="s">
        <v>85</v>
      </c>
      <c r="C265" s="103" t="s">
        <v>120</v>
      </c>
      <c r="D265" s="105" t="s">
        <v>86</v>
      </c>
      <c r="E265" s="105" t="s">
        <v>788</v>
      </c>
      <c r="F265" s="105" t="s">
        <v>1059</v>
      </c>
      <c r="G265" s="106" t="s">
        <v>581</v>
      </c>
      <c r="H265" s="110">
        <v>24.0</v>
      </c>
      <c r="I265" s="107"/>
      <c r="J265" s="220" t="s">
        <v>1086</v>
      </c>
      <c r="K265" s="220" t="s">
        <v>1087</v>
      </c>
      <c r="L265" s="105" t="s">
        <v>1088</v>
      </c>
      <c r="M265" s="105" t="s">
        <v>1089</v>
      </c>
      <c r="N265" s="110"/>
      <c r="O265" s="104" t="s">
        <v>95</v>
      </c>
      <c r="P265" s="110"/>
      <c r="Q265" s="103" t="s">
        <v>794</v>
      </c>
      <c r="R265" s="110" t="s">
        <v>795</v>
      </c>
      <c r="S265" s="110"/>
      <c r="T265" s="111"/>
      <c r="U265" s="110" t="s">
        <v>796</v>
      </c>
      <c r="V265" s="112">
        <v>0.0</v>
      </c>
      <c r="W265" s="113">
        <v>50.0</v>
      </c>
      <c r="X265" s="113">
        <v>45.0</v>
      </c>
      <c r="Y265" s="113">
        <v>55.0</v>
      </c>
      <c r="Z265" s="113" t="s">
        <v>99</v>
      </c>
      <c r="AA265" s="114"/>
      <c r="AB265" s="115"/>
      <c r="AC265" s="239"/>
      <c r="AD265" s="240">
        <f t="shared" si="244"/>
        <v>0</v>
      </c>
      <c r="AE265" s="239"/>
      <c r="AF265" s="239" t="str">
        <f t="shared" si="94"/>
        <v>#REF!</v>
      </c>
      <c r="AG265" s="210" t="str">
        <f t="shared" si="95"/>
        <v>#REF!</v>
      </c>
      <c r="AH265" s="120" t="str">
        <f t="shared" si="96"/>
        <v>#REF!</v>
      </c>
      <c r="AI265" s="121">
        <f t="shared" si="237"/>
        <v>0.1</v>
      </c>
      <c r="AJ265" s="121">
        <v>0.1</v>
      </c>
      <c r="AK265" s="122">
        <v>0.252</v>
      </c>
      <c r="AL265" s="123">
        <f t="shared" si="11"/>
        <v>0</v>
      </c>
      <c r="AM265" s="122" t="s">
        <v>10</v>
      </c>
      <c r="AN265" s="125"/>
      <c r="AO265" s="112"/>
      <c r="AP265" s="127"/>
      <c r="AQ265" s="241"/>
      <c r="AR265" s="242"/>
      <c r="AS265" s="126"/>
      <c r="AT265" s="126"/>
      <c r="AU265" s="129"/>
      <c r="AV265" s="39" t="s">
        <v>932</v>
      </c>
      <c r="AW265" s="249"/>
      <c r="AX265" s="249"/>
      <c r="AY265" s="214"/>
      <c r="AZ265" s="243"/>
      <c r="BA265" s="244"/>
      <c r="BB265" s="244"/>
      <c r="BC265" s="245"/>
      <c r="BD265" s="132"/>
      <c r="BE265" s="135" t="s">
        <v>1063</v>
      </c>
      <c r="BF265" s="134" t="s">
        <v>576</v>
      </c>
      <c r="BG265" s="49"/>
      <c r="BH265" s="246">
        <f t="shared" si="324"/>
        <v>0</v>
      </c>
      <c r="BI265" s="246">
        <f t="shared" si="325"/>
        <v>0</v>
      </c>
      <c r="BJ265" s="246">
        <f t="shared" si="326"/>
        <v>0</v>
      </c>
      <c r="BK265" s="246">
        <f t="shared" si="327"/>
        <v>0</v>
      </c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</row>
    <row r="266" ht="14.25" customHeight="1">
      <c r="A266" s="105" t="s">
        <v>84</v>
      </c>
      <c r="B266" s="103" t="s">
        <v>85</v>
      </c>
      <c r="C266" s="103" t="s">
        <v>85</v>
      </c>
      <c r="D266" s="105" t="s">
        <v>86</v>
      </c>
      <c r="E266" s="105" t="s">
        <v>788</v>
      </c>
      <c r="F266" s="105" t="s">
        <v>1059</v>
      </c>
      <c r="G266" s="106" t="s">
        <v>581</v>
      </c>
      <c r="H266" s="110">
        <v>24.0</v>
      </c>
      <c r="I266" s="107"/>
      <c r="J266" s="220" t="s">
        <v>1090</v>
      </c>
      <c r="K266" s="220" t="str">
        <f>_xlfn.XLOOKUP(J266,[1]Sheet1!$A:$A,[1]Sheet1!$B:$B,"")</f>
        <v>#ERROR!</v>
      </c>
      <c r="L266" s="105" t="s">
        <v>1091</v>
      </c>
      <c r="M266" s="105" t="s">
        <v>1092</v>
      </c>
      <c r="N266" s="110" t="s">
        <v>931</v>
      </c>
      <c r="O266" s="104" t="s">
        <v>95</v>
      </c>
      <c r="P266" s="110"/>
      <c r="Q266" s="103" t="s">
        <v>794</v>
      </c>
      <c r="R266" s="110" t="s">
        <v>795</v>
      </c>
      <c r="S266" s="110">
        <v>4800.0</v>
      </c>
      <c r="T266" s="111" t="e">
        <v>#N/A</v>
      </c>
      <c r="U266" s="110" t="s">
        <v>796</v>
      </c>
      <c r="V266" s="112">
        <v>0.0</v>
      </c>
      <c r="W266" s="113">
        <v>50.0</v>
      </c>
      <c r="X266" s="113">
        <v>45.0</v>
      </c>
      <c r="Y266" s="113">
        <v>55.0</v>
      </c>
      <c r="Z266" s="113" t="s">
        <v>99</v>
      </c>
      <c r="AA266" s="114">
        <f t="shared" ref="AA266:AA299" si="432">BC266/(1-(AK266+2%))</f>
        <v>0.6884127517</v>
      </c>
      <c r="AB266" s="115"/>
      <c r="AC266" s="239">
        <f t="shared" ref="AC266:AC318" si="433">BD266/(1-AK266)</f>
        <v>0.6104659574</v>
      </c>
      <c r="AD266" s="240">
        <f t="shared" si="244"/>
        <v>0.656415008</v>
      </c>
      <c r="AE266" s="239"/>
      <c r="AF266" s="239" t="str">
        <f t="shared" si="94"/>
        <v>#REF!</v>
      </c>
      <c r="AG266" s="210" t="str">
        <f t="shared" si="95"/>
        <v>#REF!</v>
      </c>
      <c r="AH266" s="120" t="str">
        <f t="shared" si="96"/>
        <v>#REF!</v>
      </c>
      <c r="AI266" s="121">
        <f t="shared" si="237"/>
        <v>0.1</v>
      </c>
      <c r="AJ266" s="121">
        <v>0.1</v>
      </c>
      <c r="AK266" s="122">
        <v>0.252</v>
      </c>
      <c r="AL266" s="123">
        <f t="shared" si="11"/>
        <v>0.1538374213</v>
      </c>
      <c r="AM266" s="122" t="s">
        <v>10</v>
      </c>
      <c r="AN266" s="125">
        <f t="shared" ref="AN266:AN334" si="434">AC266</f>
        <v>0.6104659574</v>
      </c>
      <c r="AO266" s="112">
        <f t="shared" ref="AO266:AO334" si="435">1-(BD266/AN266)</f>
        <v>0.252</v>
      </c>
      <c r="AP266" s="127"/>
      <c r="AQ266" s="241">
        <f t="shared" ref="AQ266:AR266" si="431">BC266/(1-AI266)</f>
        <v>0.5568494258</v>
      </c>
      <c r="AR266" s="242">
        <f t="shared" si="431"/>
        <v>0.5073650402</v>
      </c>
      <c r="AS266" s="126">
        <f t="shared" ref="AS266:AS334" si="437">1-(AQ266/AA266)</f>
        <v>0.1911111111</v>
      </c>
      <c r="AT266" s="126">
        <f t="shared" ref="AT266:AT334" si="438">1-(AR266/AC266)</f>
        <v>0.1688888889</v>
      </c>
      <c r="AU266" s="129"/>
      <c r="AV266" s="39" t="s">
        <v>932</v>
      </c>
      <c r="AW266" s="249">
        <v>0.004</v>
      </c>
      <c r="AX266" s="249">
        <v>3.229</v>
      </c>
      <c r="AY266" s="214"/>
      <c r="AZ266" s="243">
        <v>0.16</v>
      </c>
      <c r="BA266" s="244">
        <f t="shared" ref="BA266:BA279" si="439">($F$2-70000)/2000*AW266+AX266</f>
        <v>3.283</v>
      </c>
      <c r="BB266" s="244">
        <f t="shared" ref="BB266:BB279" si="440">AZ266+BA266</f>
        <v>3.443</v>
      </c>
      <c r="BC266" s="245">
        <f t="shared" ref="BC266:BC279" si="441">(AZ266+BA266)/$F$5</f>
        <v>0.5011644833</v>
      </c>
      <c r="BD266" s="132">
        <f t="shared" ref="BD266:BD279" si="442">(BC266/$F$6)+(($F$9+$G$9)/40/S266)+BC266*V266</f>
        <v>0.4566285362</v>
      </c>
      <c r="BE266" s="135" t="s">
        <v>1093</v>
      </c>
      <c r="BF266" s="134" t="s">
        <v>576</v>
      </c>
      <c r="BG266" s="49"/>
      <c r="BH266" s="246">
        <f t="shared" si="324"/>
        <v>2.034886525</v>
      </c>
      <c r="BI266" s="246">
        <f t="shared" si="325"/>
        <v>1.220931915</v>
      </c>
      <c r="BJ266" s="246">
        <f t="shared" si="326"/>
        <v>1.017443262</v>
      </c>
      <c r="BK266" s="246">
        <f t="shared" si="327"/>
        <v>0.8139546099</v>
      </c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</row>
    <row r="267" ht="14.25" customHeight="1">
      <c r="A267" s="105" t="s">
        <v>84</v>
      </c>
      <c r="B267" s="103" t="s">
        <v>85</v>
      </c>
      <c r="C267" s="103" t="s">
        <v>85</v>
      </c>
      <c r="D267" s="105" t="s">
        <v>86</v>
      </c>
      <c r="E267" s="105" t="s">
        <v>788</v>
      </c>
      <c r="F267" s="105" t="s">
        <v>1059</v>
      </c>
      <c r="G267" s="106" t="s">
        <v>581</v>
      </c>
      <c r="H267" s="110">
        <v>24.0</v>
      </c>
      <c r="I267" s="107"/>
      <c r="J267" s="220" t="s">
        <v>1094</v>
      </c>
      <c r="K267" s="220" t="str">
        <f>_xlfn.XLOOKUP(J267,[1]Sheet1!$A:$A,[1]Sheet1!$B:$B,"")</f>
        <v>#ERROR!</v>
      </c>
      <c r="L267" s="105" t="s">
        <v>1095</v>
      </c>
      <c r="M267" s="105" t="s">
        <v>1096</v>
      </c>
      <c r="N267" s="110" t="s">
        <v>931</v>
      </c>
      <c r="O267" s="104" t="s">
        <v>95</v>
      </c>
      <c r="P267" s="110"/>
      <c r="Q267" s="103" t="s">
        <v>794</v>
      </c>
      <c r="R267" s="110" t="s">
        <v>795</v>
      </c>
      <c r="S267" s="110">
        <v>4800.0</v>
      </c>
      <c r="T267" s="111" t="e">
        <v>#N/A</v>
      </c>
      <c r="U267" s="110" t="s">
        <v>796</v>
      </c>
      <c r="V267" s="112">
        <v>0.0</v>
      </c>
      <c r="W267" s="113">
        <v>50.0</v>
      </c>
      <c r="X267" s="113">
        <v>45.0</v>
      </c>
      <c r="Y267" s="113">
        <v>55.0</v>
      </c>
      <c r="Z267" s="113" t="s">
        <v>99</v>
      </c>
      <c r="AA267" s="114">
        <f t="shared" si="432"/>
        <v>0.7464969528</v>
      </c>
      <c r="AB267" s="115"/>
      <c r="AC267" s="239">
        <f t="shared" si="433"/>
        <v>0.6596234771</v>
      </c>
      <c r="AD267" s="240">
        <f t="shared" si="244"/>
        <v>0.709272556</v>
      </c>
      <c r="AE267" s="239"/>
      <c r="AF267" s="239" t="str">
        <f t="shared" si="94"/>
        <v>#REF!</v>
      </c>
      <c r="AG267" s="210" t="str">
        <f t="shared" si="95"/>
        <v>#REF!</v>
      </c>
      <c r="AH267" s="120" t="str">
        <f t="shared" si="96"/>
        <v>#REF!</v>
      </c>
      <c r="AI267" s="121">
        <f t="shared" si="237"/>
        <v>0.1</v>
      </c>
      <c r="AJ267" s="121">
        <v>0.1</v>
      </c>
      <c r="AK267" s="122">
        <v>0.252</v>
      </c>
      <c r="AL267" s="123">
        <f t="shared" si="11"/>
        <v>0.1662251162</v>
      </c>
      <c r="AM267" s="122" t="s">
        <v>10</v>
      </c>
      <c r="AN267" s="125">
        <f t="shared" si="434"/>
        <v>0.6596234771</v>
      </c>
      <c r="AO267" s="112">
        <f t="shared" si="435"/>
        <v>0.252</v>
      </c>
      <c r="AP267" s="127"/>
      <c r="AQ267" s="241">
        <f t="shared" ref="AQ267:AR267" si="436">BC267/(1-AI267)</f>
        <v>0.6038330907</v>
      </c>
      <c r="AR267" s="242">
        <f t="shared" si="436"/>
        <v>0.548220401</v>
      </c>
      <c r="AS267" s="126">
        <f t="shared" si="437"/>
        <v>0.1911111111</v>
      </c>
      <c r="AT267" s="126">
        <f t="shared" si="438"/>
        <v>0.1688888889</v>
      </c>
      <c r="AU267" s="129"/>
      <c r="AV267" s="39" t="s">
        <v>932</v>
      </c>
      <c r="AW267" s="249">
        <v>0.007</v>
      </c>
      <c r="AX267" s="249">
        <v>3.479</v>
      </c>
      <c r="AY267" s="214"/>
      <c r="AZ267" s="243">
        <v>0.16</v>
      </c>
      <c r="BA267" s="244">
        <f t="shared" si="439"/>
        <v>3.5735</v>
      </c>
      <c r="BB267" s="244">
        <f t="shared" si="440"/>
        <v>3.7335</v>
      </c>
      <c r="BC267" s="245">
        <f t="shared" si="441"/>
        <v>0.5434497817</v>
      </c>
      <c r="BD267" s="132">
        <f t="shared" si="442"/>
        <v>0.4933983609</v>
      </c>
      <c r="BE267" s="135" t="s">
        <v>1093</v>
      </c>
      <c r="BF267" s="134" t="s">
        <v>576</v>
      </c>
      <c r="BG267" s="49"/>
      <c r="BH267" s="246">
        <f t="shared" si="324"/>
        <v>2.198744924</v>
      </c>
      <c r="BI267" s="246">
        <f t="shared" si="325"/>
        <v>1.319246954</v>
      </c>
      <c r="BJ267" s="246">
        <f t="shared" si="326"/>
        <v>1.099372462</v>
      </c>
      <c r="BK267" s="246">
        <f t="shared" si="327"/>
        <v>0.8794979695</v>
      </c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</row>
    <row r="268" ht="14.25" customHeight="1">
      <c r="A268" s="105" t="s">
        <v>84</v>
      </c>
      <c r="B268" s="103" t="s">
        <v>85</v>
      </c>
      <c r="C268" s="103" t="s">
        <v>85</v>
      </c>
      <c r="D268" s="105" t="s">
        <v>86</v>
      </c>
      <c r="E268" s="105" t="s">
        <v>788</v>
      </c>
      <c r="F268" s="105" t="s">
        <v>1059</v>
      </c>
      <c r="G268" s="106" t="s">
        <v>581</v>
      </c>
      <c r="H268" s="110">
        <v>24.0</v>
      </c>
      <c r="I268" s="107"/>
      <c r="J268" s="220" t="s">
        <v>1097</v>
      </c>
      <c r="K268" s="220" t="str">
        <f>_xlfn.XLOOKUP(J268,[1]Sheet1!$A:$A,[1]Sheet1!$B:$B,"")</f>
        <v>#ERROR!</v>
      </c>
      <c r="L268" s="105" t="s">
        <v>1098</v>
      </c>
      <c r="M268" s="105" t="s">
        <v>1099</v>
      </c>
      <c r="N268" s="110" t="s">
        <v>931</v>
      </c>
      <c r="O268" s="104" t="s">
        <v>95</v>
      </c>
      <c r="P268" s="110"/>
      <c r="Q268" s="103" t="s">
        <v>794</v>
      </c>
      <c r="R268" s="110" t="s">
        <v>795</v>
      </c>
      <c r="S268" s="110">
        <v>3200.0</v>
      </c>
      <c r="T268" s="111" t="e">
        <v>#N/A</v>
      </c>
      <c r="U268" s="110" t="s">
        <v>796</v>
      </c>
      <c r="V268" s="112">
        <v>0.0</v>
      </c>
      <c r="W268" s="113">
        <v>50.0</v>
      </c>
      <c r="X268" s="113">
        <v>45.0</v>
      </c>
      <c r="Y268" s="113">
        <v>55.0</v>
      </c>
      <c r="Z268" s="113" t="s">
        <v>99</v>
      </c>
      <c r="AA268" s="114">
        <f t="shared" si="432"/>
        <v>0.8473695155</v>
      </c>
      <c r="AB268" s="115"/>
      <c r="AC268" s="239">
        <f t="shared" si="433"/>
        <v>0.7589194458</v>
      </c>
      <c r="AD268" s="240">
        <f t="shared" si="244"/>
        <v>0.8160424148</v>
      </c>
      <c r="AE268" s="239"/>
      <c r="AF268" s="239" t="str">
        <f t="shared" si="94"/>
        <v>#REF!</v>
      </c>
      <c r="AG268" s="210" t="str">
        <f t="shared" si="95"/>
        <v>#REF!</v>
      </c>
      <c r="AH268" s="120" t="str">
        <f t="shared" si="96"/>
        <v>#REF!</v>
      </c>
      <c r="AI268" s="121">
        <f t="shared" si="237"/>
        <v>0.1</v>
      </c>
      <c r="AJ268" s="121">
        <v>0.1</v>
      </c>
      <c r="AK268" s="122">
        <v>0.252</v>
      </c>
      <c r="AL268" s="123">
        <f t="shared" si="11"/>
        <v>0.1912477003</v>
      </c>
      <c r="AM268" s="122" t="s">
        <v>10</v>
      </c>
      <c r="AN268" s="125">
        <f t="shared" si="434"/>
        <v>0.7589194458</v>
      </c>
      <c r="AO268" s="112">
        <f t="shared" si="435"/>
        <v>0.252</v>
      </c>
      <c r="AP268" s="127"/>
      <c r="AQ268" s="241">
        <f t="shared" ref="AQ268:AR268" si="443">BC268/(1-AI268)</f>
        <v>0.6854277859</v>
      </c>
      <c r="AR268" s="242">
        <f t="shared" si="443"/>
        <v>0.6307463838</v>
      </c>
      <c r="AS268" s="126">
        <f t="shared" si="437"/>
        <v>0.1911111111</v>
      </c>
      <c r="AT268" s="126">
        <f t="shared" si="438"/>
        <v>0.1688888889</v>
      </c>
      <c r="AU268" s="129"/>
      <c r="AV268" s="39" t="s">
        <v>932</v>
      </c>
      <c r="AW268" s="249">
        <v>0.014</v>
      </c>
      <c r="AX268" s="249">
        <v>3.889</v>
      </c>
      <c r="AY268" s="214"/>
      <c r="AZ268" s="243">
        <v>0.16</v>
      </c>
      <c r="BA268" s="244">
        <f t="shared" si="439"/>
        <v>4.078</v>
      </c>
      <c r="BB268" s="244">
        <f t="shared" si="440"/>
        <v>4.238</v>
      </c>
      <c r="BC268" s="245">
        <f t="shared" si="441"/>
        <v>0.6168850073</v>
      </c>
      <c r="BD268" s="132">
        <f t="shared" si="442"/>
        <v>0.5676717455</v>
      </c>
      <c r="BE268" s="135" t="s">
        <v>1093</v>
      </c>
      <c r="BF268" s="134" t="s">
        <v>576</v>
      </c>
      <c r="BG268" s="49"/>
      <c r="BH268" s="246">
        <f t="shared" si="324"/>
        <v>2.529731486</v>
      </c>
      <c r="BI268" s="246">
        <f t="shared" si="325"/>
        <v>1.517838892</v>
      </c>
      <c r="BJ268" s="246">
        <f t="shared" si="326"/>
        <v>1.264865743</v>
      </c>
      <c r="BK268" s="246">
        <f t="shared" si="327"/>
        <v>1.011892594</v>
      </c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</row>
    <row r="269" ht="14.25" customHeight="1">
      <c r="A269" s="105" t="s">
        <v>84</v>
      </c>
      <c r="B269" s="103" t="s">
        <v>85</v>
      </c>
      <c r="C269" s="103" t="s">
        <v>85</v>
      </c>
      <c r="D269" s="105" t="s">
        <v>86</v>
      </c>
      <c r="E269" s="105" t="s">
        <v>788</v>
      </c>
      <c r="F269" s="105" t="s">
        <v>1059</v>
      </c>
      <c r="G269" s="106" t="s">
        <v>581</v>
      </c>
      <c r="H269" s="110">
        <v>24.0</v>
      </c>
      <c r="I269" s="107"/>
      <c r="J269" s="220" t="s">
        <v>1100</v>
      </c>
      <c r="K269" s="220" t="str">
        <f>_xlfn.XLOOKUP(J269,[1]Sheet1!$A:$A,[1]Sheet1!$B:$B,"")</f>
        <v>#ERROR!</v>
      </c>
      <c r="L269" s="105" t="s">
        <v>1101</v>
      </c>
      <c r="M269" s="105" t="s">
        <v>1102</v>
      </c>
      <c r="N269" s="110" t="s">
        <v>931</v>
      </c>
      <c r="O269" s="104" t="s">
        <v>95</v>
      </c>
      <c r="P269" s="110"/>
      <c r="Q269" s="103" t="s">
        <v>794</v>
      </c>
      <c r="R269" s="110" t="s">
        <v>795</v>
      </c>
      <c r="S269" s="110">
        <v>2240.0</v>
      </c>
      <c r="T269" s="111" t="e">
        <v>#N/A</v>
      </c>
      <c r="U269" s="110" t="s">
        <v>796</v>
      </c>
      <c r="V269" s="112">
        <v>0.0</v>
      </c>
      <c r="W269" s="113">
        <v>50.0</v>
      </c>
      <c r="X269" s="113">
        <v>45.0</v>
      </c>
      <c r="Y269" s="113">
        <v>55.0</v>
      </c>
      <c r="Z269" s="113" t="s">
        <v>99</v>
      </c>
      <c r="AA269" s="114">
        <f t="shared" si="432"/>
        <v>1.11709615</v>
      </c>
      <c r="AB269" s="115"/>
      <c r="AC269" s="239">
        <f t="shared" si="433"/>
        <v>1.00509798</v>
      </c>
      <c r="AD269" s="240">
        <f t="shared" si="244"/>
        <v>1.080750517</v>
      </c>
      <c r="AE269" s="239"/>
      <c r="AF269" s="239" t="str">
        <f t="shared" si="94"/>
        <v>#REF!</v>
      </c>
      <c r="AG269" s="210" t="str">
        <f t="shared" si="95"/>
        <v>#REF!</v>
      </c>
      <c r="AH269" s="120" t="str">
        <f t="shared" si="96"/>
        <v>#REF!</v>
      </c>
      <c r="AI269" s="121">
        <f t="shared" si="237"/>
        <v>0.1</v>
      </c>
      <c r="AJ269" s="121">
        <v>0.1</v>
      </c>
      <c r="AK269" s="122">
        <v>0.252</v>
      </c>
      <c r="AL269" s="123">
        <f t="shared" si="11"/>
        <v>0.2532846911</v>
      </c>
      <c r="AM269" s="122" t="s">
        <v>10</v>
      </c>
      <c r="AN269" s="125">
        <f t="shared" si="434"/>
        <v>1.00509798</v>
      </c>
      <c r="AO269" s="112">
        <f t="shared" si="435"/>
        <v>0.252</v>
      </c>
      <c r="AP269" s="127"/>
      <c r="AQ269" s="241">
        <f t="shared" ref="AQ269:AR269" si="444">BC269/(1-AI269)</f>
        <v>0.9036066634</v>
      </c>
      <c r="AR269" s="242">
        <f t="shared" si="444"/>
        <v>0.8353480993</v>
      </c>
      <c r="AS269" s="126">
        <f t="shared" si="437"/>
        <v>0.1911111111</v>
      </c>
      <c r="AT269" s="126">
        <f t="shared" si="438"/>
        <v>0.1688888889</v>
      </c>
      <c r="AU269" s="129"/>
      <c r="AV269" s="39" t="s">
        <v>932</v>
      </c>
      <c r="AW269" s="249">
        <v>0.028</v>
      </c>
      <c r="AX269" s="249">
        <v>5.049</v>
      </c>
      <c r="AY269" s="214"/>
      <c r="AZ269" s="243">
        <v>0.16</v>
      </c>
      <c r="BA269" s="244">
        <f t="shared" si="439"/>
        <v>5.427</v>
      </c>
      <c r="BB269" s="244">
        <f t="shared" si="440"/>
        <v>5.587</v>
      </c>
      <c r="BC269" s="245">
        <f t="shared" si="441"/>
        <v>0.8132459971</v>
      </c>
      <c r="BD269" s="132">
        <f t="shared" si="442"/>
        <v>0.7518132894</v>
      </c>
      <c r="BE269" s="135" t="s">
        <v>1093</v>
      </c>
      <c r="BF269" s="134" t="s">
        <v>576</v>
      </c>
      <c r="BG269" s="49"/>
      <c r="BH269" s="246">
        <f t="shared" si="324"/>
        <v>3.350326602</v>
      </c>
      <c r="BI269" s="246">
        <f t="shared" si="325"/>
        <v>2.010195961</v>
      </c>
      <c r="BJ269" s="246">
        <f t="shared" si="326"/>
        <v>1.675163301</v>
      </c>
      <c r="BK269" s="246">
        <f t="shared" si="327"/>
        <v>1.340130641</v>
      </c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</row>
    <row r="270" ht="14.25" customHeight="1">
      <c r="A270" s="105" t="s">
        <v>84</v>
      </c>
      <c r="B270" s="103" t="s">
        <v>85</v>
      </c>
      <c r="C270" s="103" t="s">
        <v>85</v>
      </c>
      <c r="D270" s="105" t="s">
        <v>86</v>
      </c>
      <c r="E270" s="105" t="s">
        <v>788</v>
      </c>
      <c r="F270" s="105" t="s">
        <v>1059</v>
      </c>
      <c r="G270" s="106" t="s">
        <v>581</v>
      </c>
      <c r="H270" s="110">
        <v>24.0</v>
      </c>
      <c r="I270" s="107"/>
      <c r="J270" s="220" t="s">
        <v>1103</v>
      </c>
      <c r="K270" s="220" t="str">
        <f>_xlfn.XLOOKUP(J270,[1]Sheet1!$A:$A,[1]Sheet1!$B:$B,"")</f>
        <v>#ERROR!</v>
      </c>
      <c r="L270" s="105" t="s">
        <v>1104</v>
      </c>
      <c r="M270" s="105" t="s">
        <v>1105</v>
      </c>
      <c r="N270" s="110" t="s">
        <v>931</v>
      </c>
      <c r="O270" s="104" t="s">
        <v>95</v>
      </c>
      <c r="P270" s="110"/>
      <c r="Q270" s="103" t="s">
        <v>794</v>
      </c>
      <c r="R270" s="110" t="s">
        <v>795</v>
      </c>
      <c r="S270" s="110">
        <v>1600.0</v>
      </c>
      <c r="T270" s="111" t="e">
        <v>#N/A</v>
      </c>
      <c r="U270" s="110" t="s">
        <v>796</v>
      </c>
      <c r="V270" s="112">
        <v>0.0</v>
      </c>
      <c r="W270" s="113">
        <v>50.0</v>
      </c>
      <c r="X270" s="113">
        <v>45.0</v>
      </c>
      <c r="Y270" s="113">
        <v>55.0</v>
      </c>
      <c r="Z270" s="113" t="s">
        <v>99</v>
      </c>
      <c r="AA270" s="114">
        <f t="shared" si="432"/>
        <v>1.38882224</v>
      </c>
      <c r="AB270" s="115"/>
      <c r="AC270" s="239">
        <f t="shared" si="433"/>
        <v>1.258936981</v>
      </c>
      <c r="AD270" s="240">
        <f t="shared" si="244"/>
        <v>1.353695678</v>
      </c>
      <c r="AE270" s="239"/>
      <c r="AF270" s="239" t="str">
        <f t="shared" si="94"/>
        <v>#REF!</v>
      </c>
      <c r="AG270" s="210" t="str">
        <f t="shared" si="95"/>
        <v>#REF!</v>
      </c>
      <c r="AH270" s="120" t="str">
        <f t="shared" si="96"/>
        <v>#REF!</v>
      </c>
      <c r="AI270" s="121">
        <f t="shared" si="237"/>
        <v>0.1</v>
      </c>
      <c r="AJ270" s="121">
        <v>0.1</v>
      </c>
      <c r="AK270" s="122">
        <v>0.252</v>
      </c>
      <c r="AL270" s="123">
        <f t="shared" si="11"/>
        <v>0.3172521192</v>
      </c>
      <c r="AM270" s="122" t="s">
        <v>10</v>
      </c>
      <c r="AN270" s="125">
        <f t="shared" si="434"/>
        <v>1.258936981</v>
      </c>
      <c r="AO270" s="112">
        <f t="shared" si="435"/>
        <v>0.252</v>
      </c>
      <c r="AP270" s="127"/>
      <c r="AQ270" s="241">
        <f t="shared" ref="AQ270:AR270" si="445">BC270/(1-AI270)</f>
        <v>1.123402879</v>
      </c>
      <c r="AR270" s="242">
        <f t="shared" si="445"/>
        <v>1.046316513</v>
      </c>
      <c r="AS270" s="126">
        <f t="shared" si="437"/>
        <v>0.1911111111</v>
      </c>
      <c r="AT270" s="126">
        <f t="shared" si="438"/>
        <v>0.1688888889</v>
      </c>
      <c r="AU270" s="129"/>
      <c r="AV270" s="39" t="s">
        <v>932</v>
      </c>
      <c r="AW270" s="249">
        <v>0.042</v>
      </c>
      <c r="AX270" s="249">
        <v>6.219</v>
      </c>
      <c r="AY270" s="214"/>
      <c r="AZ270" s="243">
        <v>0.16</v>
      </c>
      <c r="BA270" s="244">
        <f t="shared" si="439"/>
        <v>6.786</v>
      </c>
      <c r="BB270" s="244">
        <f t="shared" si="440"/>
        <v>6.946</v>
      </c>
      <c r="BC270" s="245">
        <f t="shared" si="441"/>
        <v>1.011062591</v>
      </c>
      <c r="BD270" s="132">
        <f t="shared" si="442"/>
        <v>0.9416848617</v>
      </c>
      <c r="BE270" s="135" t="s">
        <v>1093</v>
      </c>
      <c r="BF270" s="134" t="s">
        <v>576</v>
      </c>
      <c r="BG270" s="49"/>
      <c r="BH270" s="246">
        <f t="shared" si="324"/>
        <v>4.196456603</v>
      </c>
      <c r="BI270" s="246">
        <f t="shared" si="325"/>
        <v>2.517873962</v>
      </c>
      <c r="BJ270" s="246">
        <f t="shared" si="326"/>
        <v>2.098228302</v>
      </c>
      <c r="BK270" s="246">
        <f t="shared" si="327"/>
        <v>1.678582641</v>
      </c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</row>
    <row r="271" ht="14.25" customHeight="1">
      <c r="A271" s="105" t="s">
        <v>84</v>
      </c>
      <c r="B271" s="103" t="s">
        <v>85</v>
      </c>
      <c r="C271" s="103" t="s">
        <v>85</v>
      </c>
      <c r="D271" s="105" t="s">
        <v>86</v>
      </c>
      <c r="E271" s="105" t="s">
        <v>788</v>
      </c>
      <c r="F271" s="105" t="s">
        <v>1059</v>
      </c>
      <c r="G271" s="106" t="s">
        <v>581</v>
      </c>
      <c r="H271" s="110">
        <v>24.0</v>
      </c>
      <c r="I271" s="107"/>
      <c r="J271" s="220" t="s">
        <v>1106</v>
      </c>
      <c r="K271" s="220" t="str">
        <f>_xlfn.XLOOKUP(J271,[1]Sheet1!$A:$A,[1]Sheet1!$B:$B,"")</f>
        <v>#ERROR!</v>
      </c>
      <c r="L271" s="105" t="s">
        <v>1107</v>
      </c>
      <c r="M271" s="105" t="s">
        <v>1108</v>
      </c>
      <c r="N271" s="110" t="s">
        <v>931</v>
      </c>
      <c r="O271" s="104" t="s">
        <v>95</v>
      </c>
      <c r="P271" s="110"/>
      <c r="Q271" s="103" t="s">
        <v>794</v>
      </c>
      <c r="R271" s="110" t="s">
        <v>795</v>
      </c>
      <c r="S271" s="110">
        <v>960.0</v>
      </c>
      <c r="T271" s="111" t="e">
        <v>#N/A</v>
      </c>
      <c r="U271" s="110" t="s">
        <v>796</v>
      </c>
      <c r="V271" s="112">
        <v>0.0</v>
      </c>
      <c r="W271" s="113">
        <v>50.0</v>
      </c>
      <c r="X271" s="113">
        <v>45.0</v>
      </c>
      <c r="Y271" s="113">
        <v>55.0</v>
      </c>
      <c r="Z271" s="113" t="s">
        <v>99</v>
      </c>
      <c r="AA271" s="114">
        <f t="shared" si="432"/>
        <v>1.934973687</v>
      </c>
      <c r="AB271" s="115"/>
      <c r="AC271" s="239">
        <f t="shared" si="433"/>
        <v>1.776857139</v>
      </c>
      <c r="AD271" s="240">
        <f t="shared" si="244"/>
        <v>1.910599074</v>
      </c>
      <c r="AE271" s="239"/>
      <c r="AF271" s="239" t="str">
        <f t="shared" si="94"/>
        <v>#REF!</v>
      </c>
      <c r="AG271" s="210" t="str">
        <f t="shared" si="95"/>
        <v>#REF!</v>
      </c>
      <c r="AH271" s="120" t="str">
        <f t="shared" si="96"/>
        <v>#REF!</v>
      </c>
      <c r="AI271" s="121">
        <f t="shared" si="237"/>
        <v>0.1</v>
      </c>
      <c r="AJ271" s="121">
        <v>0.1</v>
      </c>
      <c r="AK271" s="122">
        <v>0.252</v>
      </c>
      <c r="AL271" s="123">
        <f t="shared" si="11"/>
        <v>0.447767999</v>
      </c>
      <c r="AM271" s="122" t="s">
        <v>10</v>
      </c>
      <c r="AN271" s="125">
        <f t="shared" si="434"/>
        <v>1.776857139</v>
      </c>
      <c r="AO271" s="112">
        <f t="shared" si="435"/>
        <v>0.252</v>
      </c>
      <c r="AP271" s="127"/>
      <c r="AQ271" s="241">
        <f t="shared" ref="AQ271:AR271" si="446">BC271/(1-AI271)</f>
        <v>1.565178716</v>
      </c>
      <c r="AR271" s="242">
        <f t="shared" si="446"/>
        <v>1.476765711</v>
      </c>
      <c r="AS271" s="126">
        <f t="shared" si="437"/>
        <v>0.1911111111</v>
      </c>
      <c r="AT271" s="126">
        <f t="shared" si="438"/>
        <v>0.1688888889</v>
      </c>
      <c r="AU271" s="129"/>
      <c r="AV271" s="39" t="s">
        <v>932</v>
      </c>
      <c r="AW271" s="249">
        <v>0.071</v>
      </c>
      <c r="AX271" s="249">
        <v>8.559</v>
      </c>
      <c r="AY271" s="214"/>
      <c r="AZ271" s="243">
        <v>0.16</v>
      </c>
      <c r="BA271" s="244">
        <f t="shared" si="439"/>
        <v>9.5175</v>
      </c>
      <c r="BB271" s="244">
        <f t="shared" si="440"/>
        <v>9.6775</v>
      </c>
      <c r="BC271" s="245">
        <f t="shared" si="441"/>
        <v>1.408660844</v>
      </c>
      <c r="BD271" s="132">
        <f t="shared" si="442"/>
        <v>1.32908914</v>
      </c>
      <c r="BE271" s="135" t="s">
        <v>1093</v>
      </c>
      <c r="BF271" s="134" t="s">
        <v>576</v>
      </c>
      <c r="BG271" s="49"/>
      <c r="BH271" s="246">
        <f t="shared" si="324"/>
        <v>5.92285713</v>
      </c>
      <c r="BI271" s="246">
        <f t="shared" si="325"/>
        <v>3.553714278</v>
      </c>
      <c r="BJ271" s="246">
        <f t="shared" si="326"/>
        <v>2.961428565</v>
      </c>
      <c r="BK271" s="246">
        <f t="shared" si="327"/>
        <v>2.369142852</v>
      </c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</row>
    <row r="272" ht="14.25" customHeight="1">
      <c r="A272" s="105" t="s">
        <v>84</v>
      </c>
      <c r="B272" s="103" t="s">
        <v>85</v>
      </c>
      <c r="C272" s="103" t="s">
        <v>85</v>
      </c>
      <c r="D272" s="105" t="s">
        <v>86</v>
      </c>
      <c r="E272" s="105" t="s">
        <v>788</v>
      </c>
      <c r="F272" s="105" t="s">
        <v>1059</v>
      </c>
      <c r="G272" s="106" t="s">
        <v>581</v>
      </c>
      <c r="H272" s="110">
        <v>24.0</v>
      </c>
      <c r="I272" s="107"/>
      <c r="J272" s="220" t="s">
        <v>1109</v>
      </c>
      <c r="K272" s="220" t="str">
        <f>_xlfn.XLOOKUP(J272,[1]Sheet1!$A:$A,[1]Sheet1!$B:$B,"")</f>
        <v>#ERROR!</v>
      </c>
      <c r="L272" s="105" t="s">
        <v>1110</v>
      </c>
      <c r="M272" s="105" t="s">
        <v>1111</v>
      </c>
      <c r="N272" s="110" t="s">
        <v>931</v>
      </c>
      <c r="O272" s="104" t="s">
        <v>95</v>
      </c>
      <c r="P272" s="110"/>
      <c r="Q272" s="103" t="s">
        <v>794</v>
      </c>
      <c r="R272" s="110" t="s">
        <v>795</v>
      </c>
      <c r="S272" s="110">
        <v>640.0</v>
      </c>
      <c r="T272" s="111" t="e">
        <v>#N/A</v>
      </c>
      <c r="U272" s="110" t="s">
        <v>796</v>
      </c>
      <c r="V272" s="112">
        <v>0.0</v>
      </c>
      <c r="W272" s="113">
        <v>50.0</v>
      </c>
      <c r="X272" s="113">
        <v>45.0</v>
      </c>
      <c r="Y272" s="113">
        <v>55.0</v>
      </c>
      <c r="Z272" s="113" t="s">
        <v>99</v>
      </c>
      <c r="AA272" s="114">
        <f t="shared" si="432"/>
        <v>3.294303949</v>
      </c>
      <c r="AB272" s="115"/>
      <c r="AC272" s="239">
        <f t="shared" si="433"/>
        <v>2.996908597</v>
      </c>
      <c r="AD272" s="240">
        <f t="shared" si="244"/>
        <v>3.222482362</v>
      </c>
      <c r="AE272" s="239"/>
      <c r="AF272" s="239" t="str">
        <f t="shared" si="94"/>
        <v>#REF!</v>
      </c>
      <c r="AG272" s="210" t="str">
        <f t="shared" si="95"/>
        <v>#REF!</v>
      </c>
      <c r="AH272" s="120" t="str">
        <f t="shared" si="96"/>
        <v>#REF!</v>
      </c>
      <c r="AI272" s="121">
        <f t="shared" si="237"/>
        <v>0.1</v>
      </c>
      <c r="AJ272" s="121">
        <v>0.1</v>
      </c>
      <c r="AK272" s="122">
        <v>0.252</v>
      </c>
      <c r="AL272" s="123">
        <f t="shared" si="11"/>
        <v>0.7552209664</v>
      </c>
      <c r="AM272" s="122" t="s">
        <v>10</v>
      </c>
      <c r="AN272" s="125">
        <f t="shared" si="434"/>
        <v>2.996908597</v>
      </c>
      <c r="AO272" s="112">
        <f t="shared" si="435"/>
        <v>0.252</v>
      </c>
      <c r="AP272" s="127"/>
      <c r="AQ272" s="241">
        <f t="shared" ref="AQ272:AR272" si="447">BC272/(1-AI272)</f>
        <v>2.664725861</v>
      </c>
      <c r="AR272" s="242">
        <f t="shared" si="447"/>
        <v>2.490764034</v>
      </c>
      <c r="AS272" s="126">
        <f t="shared" si="437"/>
        <v>0.1911111111</v>
      </c>
      <c r="AT272" s="126">
        <f t="shared" si="438"/>
        <v>0.1688888889</v>
      </c>
      <c r="AU272" s="129"/>
      <c r="AV272" s="39" t="s">
        <v>932</v>
      </c>
      <c r="AW272" s="249">
        <v>0.142</v>
      </c>
      <c r="AX272" s="249">
        <v>14.399</v>
      </c>
      <c r="AY272" s="214"/>
      <c r="AZ272" s="243">
        <v>0.16</v>
      </c>
      <c r="BA272" s="244">
        <f t="shared" si="439"/>
        <v>16.316</v>
      </c>
      <c r="BB272" s="244">
        <f t="shared" si="440"/>
        <v>16.476</v>
      </c>
      <c r="BC272" s="245">
        <f t="shared" si="441"/>
        <v>2.398253275</v>
      </c>
      <c r="BD272" s="132">
        <f t="shared" si="442"/>
        <v>2.241687631</v>
      </c>
      <c r="BE272" s="135" t="s">
        <v>1093</v>
      </c>
      <c r="BF272" s="134" t="s">
        <v>576</v>
      </c>
      <c r="BG272" s="49"/>
      <c r="BH272" s="246">
        <f t="shared" si="324"/>
        <v>9.989695323</v>
      </c>
      <c r="BI272" s="246">
        <f t="shared" si="325"/>
        <v>5.993817194</v>
      </c>
      <c r="BJ272" s="246">
        <f t="shared" si="326"/>
        <v>4.994847662</v>
      </c>
      <c r="BK272" s="246">
        <f t="shared" si="327"/>
        <v>3.995878129</v>
      </c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</row>
    <row r="273" ht="14.25" customHeight="1">
      <c r="A273" s="105" t="s">
        <v>84</v>
      </c>
      <c r="B273" s="103" t="s">
        <v>85</v>
      </c>
      <c r="C273" s="103" t="s">
        <v>120</v>
      </c>
      <c r="D273" s="105" t="s">
        <v>86</v>
      </c>
      <c r="E273" s="105" t="s">
        <v>788</v>
      </c>
      <c r="F273" s="105" t="s">
        <v>1059</v>
      </c>
      <c r="G273" s="106" t="s">
        <v>581</v>
      </c>
      <c r="H273" s="110">
        <v>24.0</v>
      </c>
      <c r="I273" s="107"/>
      <c r="J273" s="220" t="s">
        <v>1112</v>
      </c>
      <c r="K273" s="220" t="str">
        <f>_xlfn.XLOOKUP(J273,[1]Sheet1!$A:$A,[1]Sheet1!$B:$B,"")</f>
        <v>#ERROR!</v>
      </c>
      <c r="L273" s="105" t="s">
        <v>1113</v>
      </c>
      <c r="M273" s="105" t="s">
        <v>1114</v>
      </c>
      <c r="N273" s="110"/>
      <c r="O273" s="104" t="s">
        <v>95</v>
      </c>
      <c r="P273" s="110"/>
      <c r="Q273" s="103" t="s">
        <v>794</v>
      </c>
      <c r="R273" s="110" t="s">
        <v>795</v>
      </c>
      <c r="S273" s="110">
        <v>4800.0</v>
      </c>
      <c r="T273" s="111" t="e">
        <v>#N/A</v>
      </c>
      <c r="U273" s="110" t="s">
        <v>796</v>
      </c>
      <c r="V273" s="112">
        <v>0.0</v>
      </c>
      <c r="W273" s="113">
        <v>50.0</v>
      </c>
      <c r="X273" s="113">
        <v>45.0</v>
      </c>
      <c r="Y273" s="113">
        <v>55.0</v>
      </c>
      <c r="Z273" s="113" t="s">
        <v>99</v>
      </c>
      <c r="AA273" s="114">
        <f t="shared" si="432"/>
        <v>0.6490234656</v>
      </c>
      <c r="AB273" s="115"/>
      <c r="AC273" s="239">
        <f t="shared" si="433"/>
        <v>0.5771302212</v>
      </c>
      <c r="AD273" s="240">
        <f t="shared" si="244"/>
        <v>0.6205701304</v>
      </c>
      <c r="AE273" s="239"/>
      <c r="AF273" s="239" t="str">
        <f t="shared" si="94"/>
        <v>#REF!</v>
      </c>
      <c r="AG273" s="210" t="str">
        <f t="shared" si="95"/>
        <v>#REF!</v>
      </c>
      <c r="AH273" s="120" t="str">
        <f t="shared" si="96"/>
        <v>#REF!</v>
      </c>
      <c r="AI273" s="121">
        <f t="shared" si="237"/>
        <v>0.1</v>
      </c>
      <c r="AJ273" s="121">
        <v>0.1</v>
      </c>
      <c r="AK273" s="122">
        <v>0.252</v>
      </c>
      <c r="AL273" s="123">
        <f t="shared" si="11"/>
        <v>0.1454368158</v>
      </c>
      <c r="AM273" s="122" t="s">
        <v>10</v>
      </c>
      <c r="AN273" s="125">
        <f t="shared" si="434"/>
        <v>0.5771302212</v>
      </c>
      <c r="AO273" s="112">
        <f t="shared" si="435"/>
        <v>0.252</v>
      </c>
      <c r="AP273" s="127"/>
      <c r="AQ273" s="241">
        <f t="shared" ref="AQ273:AR273" si="448">BC273/(1-AI273)</f>
        <v>0.52498787</v>
      </c>
      <c r="AR273" s="242">
        <f t="shared" si="448"/>
        <v>0.4796593394</v>
      </c>
      <c r="AS273" s="126">
        <f t="shared" si="437"/>
        <v>0.1911111111</v>
      </c>
      <c r="AT273" s="126">
        <f t="shared" si="438"/>
        <v>0.1688888889</v>
      </c>
      <c r="AU273" s="129"/>
      <c r="AV273" s="39" t="s">
        <v>932</v>
      </c>
      <c r="AW273" s="249">
        <v>0.014</v>
      </c>
      <c r="AX273" s="249">
        <v>2.897</v>
      </c>
      <c r="AY273" s="214"/>
      <c r="AZ273" s="243">
        <v>0.16</v>
      </c>
      <c r="BA273" s="244">
        <f t="shared" si="439"/>
        <v>3.086</v>
      </c>
      <c r="BB273" s="244">
        <f t="shared" si="440"/>
        <v>3.246</v>
      </c>
      <c r="BC273" s="245">
        <f t="shared" si="441"/>
        <v>0.472489083</v>
      </c>
      <c r="BD273" s="132">
        <f t="shared" si="442"/>
        <v>0.4316934055</v>
      </c>
      <c r="BE273" s="135" t="s">
        <v>1063</v>
      </c>
      <c r="BF273" s="134" t="s">
        <v>576</v>
      </c>
      <c r="BG273" s="49"/>
      <c r="BH273" s="246">
        <f t="shared" si="324"/>
        <v>1.923767404</v>
      </c>
      <c r="BI273" s="246">
        <f t="shared" si="325"/>
        <v>1.154260442</v>
      </c>
      <c r="BJ273" s="246">
        <f t="shared" si="326"/>
        <v>0.9618837021</v>
      </c>
      <c r="BK273" s="246">
        <f t="shared" si="327"/>
        <v>0.7695069616</v>
      </c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</row>
    <row r="274" ht="14.25" customHeight="1">
      <c r="A274" s="105" t="s">
        <v>84</v>
      </c>
      <c r="B274" s="103" t="s">
        <v>85</v>
      </c>
      <c r="C274" s="103" t="s">
        <v>120</v>
      </c>
      <c r="D274" s="105" t="s">
        <v>86</v>
      </c>
      <c r="E274" s="105" t="s">
        <v>788</v>
      </c>
      <c r="F274" s="105" t="s">
        <v>1059</v>
      </c>
      <c r="G274" s="106" t="s">
        <v>581</v>
      </c>
      <c r="H274" s="110">
        <v>24.0</v>
      </c>
      <c r="I274" s="107"/>
      <c r="J274" s="220" t="s">
        <v>1115</v>
      </c>
      <c r="K274" s="220" t="str">
        <f>_xlfn.XLOOKUP(J274,[1]Sheet1!$A:$A,[1]Sheet1!$B:$B,"")</f>
        <v>#ERROR!</v>
      </c>
      <c r="L274" s="105" t="s">
        <v>1116</v>
      </c>
      <c r="M274" s="105" t="s">
        <v>1117</v>
      </c>
      <c r="N274" s="110"/>
      <c r="O274" s="104" t="s">
        <v>95</v>
      </c>
      <c r="P274" s="110"/>
      <c r="Q274" s="103" t="s">
        <v>794</v>
      </c>
      <c r="R274" s="110" t="s">
        <v>795</v>
      </c>
      <c r="S274" s="110">
        <v>4800.0</v>
      </c>
      <c r="T274" s="111" t="e">
        <v>#N/A</v>
      </c>
      <c r="U274" s="110" t="s">
        <v>796</v>
      </c>
      <c r="V274" s="112">
        <v>0.0</v>
      </c>
      <c r="W274" s="113">
        <v>50.0</v>
      </c>
      <c r="X274" s="113">
        <v>45.0</v>
      </c>
      <c r="Y274" s="113">
        <v>55.0</v>
      </c>
      <c r="Z274" s="113" t="s">
        <v>99</v>
      </c>
      <c r="AA274" s="114">
        <f t="shared" si="432"/>
        <v>0.714205736</v>
      </c>
      <c r="AB274" s="115"/>
      <c r="AC274" s="239">
        <f t="shared" si="433"/>
        <v>0.6322949421</v>
      </c>
      <c r="AD274" s="240">
        <f t="shared" si="244"/>
        <v>0.6798870345</v>
      </c>
      <c r="AE274" s="239"/>
      <c r="AF274" s="239" t="str">
        <f t="shared" si="94"/>
        <v>#REF!</v>
      </c>
      <c r="AG274" s="210" t="str">
        <f t="shared" si="95"/>
        <v>#REF!</v>
      </c>
      <c r="AH274" s="120" t="str">
        <f t="shared" si="96"/>
        <v>#REF!</v>
      </c>
      <c r="AI274" s="121">
        <f t="shared" si="237"/>
        <v>0.1</v>
      </c>
      <c r="AJ274" s="121">
        <v>0.1</v>
      </c>
      <c r="AK274" s="122">
        <v>0.252</v>
      </c>
      <c r="AL274" s="123">
        <f t="shared" si="11"/>
        <v>0.1593383254</v>
      </c>
      <c r="AM274" s="122" t="s">
        <v>10</v>
      </c>
      <c r="AN274" s="125">
        <f t="shared" si="434"/>
        <v>0.6322949421</v>
      </c>
      <c r="AO274" s="112">
        <f t="shared" si="435"/>
        <v>0.252</v>
      </c>
      <c r="AP274" s="127"/>
      <c r="AQ274" s="241">
        <f t="shared" ref="AQ274:AR274" si="449">BC274/(1-AI274)</f>
        <v>0.5777130843</v>
      </c>
      <c r="AR274" s="242">
        <f t="shared" si="449"/>
        <v>0.5255073519</v>
      </c>
      <c r="AS274" s="126">
        <f t="shared" si="437"/>
        <v>0.1911111111</v>
      </c>
      <c r="AT274" s="126">
        <f t="shared" si="438"/>
        <v>0.1688888889</v>
      </c>
      <c r="AU274" s="129"/>
      <c r="AV274" s="39" t="s">
        <v>932</v>
      </c>
      <c r="AW274" s="249">
        <v>0.014</v>
      </c>
      <c r="AX274" s="249">
        <v>3.223</v>
      </c>
      <c r="AY274" s="214"/>
      <c r="AZ274" s="243">
        <v>0.16</v>
      </c>
      <c r="BA274" s="244">
        <f t="shared" si="439"/>
        <v>3.412</v>
      </c>
      <c r="BB274" s="244">
        <f t="shared" si="440"/>
        <v>3.572</v>
      </c>
      <c r="BC274" s="245">
        <f t="shared" si="441"/>
        <v>0.5199417758</v>
      </c>
      <c r="BD274" s="132">
        <f t="shared" si="442"/>
        <v>0.4729566167</v>
      </c>
      <c r="BE274" s="135" t="s">
        <v>1063</v>
      </c>
      <c r="BF274" s="134" t="s">
        <v>576</v>
      </c>
      <c r="BG274" s="49"/>
      <c r="BH274" s="246">
        <f t="shared" si="324"/>
        <v>2.107649807</v>
      </c>
      <c r="BI274" s="246">
        <f t="shared" si="325"/>
        <v>1.264589884</v>
      </c>
      <c r="BJ274" s="246">
        <f t="shared" si="326"/>
        <v>1.053824903</v>
      </c>
      <c r="BK274" s="246">
        <f t="shared" si="327"/>
        <v>0.8430599228</v>
      </c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</row>
    <row r="275" ht="14.25" customHeight="1">
      <c r="A275" s="105" t="s">
        <v>84</v>
      </c>
      <c r="B275" s="103" t="s">
        <v>85</v>
      </c>
      <c r="C275" s="103" t="s">
        <v>120</v>
      </c>
      <c r="D275" s="105" t="s">
        <v>86</v>
      </c>
      <c r="E275" s="105" t="s">
        <v>788</v>
      </c>
      <c r="F275" s="105" t="s">
        <v>1059</v>
      </c>
      <c r="G275" s="106" t="s">
        <v>581</v>
      </c>
      <c r="H275" s="110">
        <v>24.0</v>
      </c>
      <c r="I275" s="107"/>
      <c r="J275" s="220" t="s">
        <v>1118</v>
      </c>
      <c r="K275" s="220" t="str">
        <f>_xlfn.XLOOKUP(J275,[1]Sheet1!$A:$A,[1]Sheet1!$B:$B,"")</f>
        <v>#ERROR!</v>
      </c>
      <c r="L275" s="105" t="s">
        <v>1119</v>
      </c>
      <c r="M275" s="105" t="s">
        <v>1120</v>
      </c>
      <c r="N275" s="110"/>
      <c r="O275" s="104" t="s">
        <v>95</v>
      </c>
      <c r="P275" s="110"/>
      <c r="Q275" s="103" t="s">
        <v>794</v>
      </c>
      <c r="R275" s="110" t="s">
        <v>795</v>
      </c>
      <c r="S275" s="110">
        <v>3200.0</v>
      </c>
      <c r="T275" s="111" t="e">
        <v>#N/A</v>
      </c>
      <c r="U275" s="110" t="s">
        <v>796</v>
      </c>
      <c r="V275" s="112">
        <v>0.0</v>
      </c>
      <c r="W275" s="113">
        <v>50.0</v>
      </c>
      <c r="X275" s="113">
        <v>45.0</v>
      </c>
      <c r="Y275" s="113">
        <v>55.0</v>
      </c>
      <c r="Z275" s="113" t="s">
        <v>99</v>
      </c>
      <c r="AA275" s="114">
        <f t="shared" si="432"/>
        <v>0.7945838732</v>
      </c>
      <c r="AB275" s="115"/>
      <c r="AC275" s="239">
        <f t="shared" si="433"/>
        <v>0.7142461749</v>
      </c>
      <c r="AD275" s="240">
        <f t="shared" si="244"/>
        <v>0.7680066397</v>
      </c>
      <c r="AE275" s="239"/>
      <c r="AF275" s="239" t="str">
        <f t="shared" si="94"/>
        <v>#REF!</v>
      </c>
      <c r="AG275" s="210" t="str">
        <f t="shared" si="95"/>
        <v>#REF!</v>
      </c>
      <c r="AH275" s="120" t="str">
        <f t="shared" si="96"/>
        <v>#REF!</v>
      </c>
      <c r="AI275" s="121">
        <f t="shared" si="237"/>
        <v>0.1</v>
      </c>
      <c r="AJ275" s="121">
        <v>0.1</v>
      </c>
      <c r="AK275" s="122">
        <v>0.252</v>
      </c>
      <c r="AL275" s="123">
        <f t="shared" si="11"/>
        <v>0.1799900361</v>
      </c>
      <c r="AM275" s="122" t="s">
        <v>10</v>
      </c>
      <c r="AN275" s="125">
        <f t="shared" si="434"/>
        <v>0.7142461749</v>
      </c>
      <c r="AO275" s="112">
        <f t="shared" si="435"/>
        <v>0.252</v>
      </c>
      <c r="AP275" s="127"/>
      <c r="AQ275" s="241">
        <f t="shared" ref="AQ275:AR275" si="450">BC275/(1-AI275)</f>
        <v>0.6427300663</v>
      </c>
      <c r="AR275" s="242">
        <f t="shared" si="450"/>
        <v>0.5936179321</v>
      </c>
      <c r="AS275" s="126">
        <f t="shared" si="437"/>
        <v>0.1911111111</v>
      </c>
      <c r="AT275" s="126">
        <f t="shared" si="438"/>
        <v>0.1688888889</v>
      </c>
      <c r="AU275" s="129"/>
      <c r="AV275" s="39" t="s">
        <v>932</v>
      </c>
      <c r="AW275" s="249">
        <v>0.028</v>
      </c>
      <c r="AX275" s="249">
        <v>3.436</v>
      </c>
      <c r="AY275" s="214"/>
      <c r="AZ275" s="243">
        <v>0.16</v>
      </c>
      <c r="BA275" s="244">
        <f t="shared" si="439"/>
        <v>3.814</v>
      </c>
      <c r="BB275" s="244">
        <f t="shared" si="440"/>
        <v>3.974</v>
      </c>
      <c r="BC275" s="245">
        <f t="shared" si="441"/>
        <v>0.5784570597</v>
      </c>
      <c r="BD275" s="132">
        <f t="shared" si="442"/>
        <v>0.5342561389</v>
      </c>
      <c r="BE275" s="135" t="s">
        <v>1063</v>
      </c>
      <c r="BF275" s="134" t="s">
        <v>576</v>
      </c>
      <c r="BG275" s="49"/>
      <c r="BH275" s="246">
        <f t="shared" si="324"/>
        <v>2.380820583</v>
      </c>
      <c r="BI275" s="246">
        <f t="shared" si="325"/>
        <v>1.42849235</v>
      </c>
      <c r="BJ275" s="246">
        <f t="shared" si="326"/>
        <v>1.190410292</v>
      </c>
      <c r="BK275" s="246">
        <f t="shared" si="327"/>
        <v>0.9523282332</v>
      </c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</row>
    <row r="276" ht="14.25" customHeight="1">
      <c r="A276" s="105" t="s">
        <v>84</v>
      </c>
      <c r="B276" s="103" t="s">
        <v>85</v>
      </c>
      <c r="C276" s="103" t="s">
        <v>120</v>
      </c>
      <c r="D276" s="105" t="s">
        <v>86</v>
      </c>
      <c r="E276" s="105" t="s">
        <v>788</v>
      </c>
      <c r="F276" s="105" t="s">
        <v>1059</v>
      </c>
      <c r="G276" s="106" t="s">
        <v>581</v>
      </c>
      <c r="H276" s="110">
        <v>24.0</v>
      </c>
      <c r="I276" s="107"/>
      <c r="J276" s="220" t="s">
        <v>1121</v>
      </c>
      <c r="K276" s="220" t="s">
        <v>1122</v>
      </c>
      <c r="L276" s="105" t="s">
        <v>1123</v>
      </c>
      <c r="M276" s="105" t="s">
        <v>1124</v>
      </c>
      <c r="N276" s="110"/>
      <c r="O276" s="104" t="s">
        <v>95</v>
      </c>
      <c r="P276" s="110"/>
      <c r="Q276" s="103" t="s">
        <v>794</v>
      </c>
      <c r="R276" s="110" t="s">
        <v>795</v>
      </c>
      <c r="S276" s="110">
        <v>2240.0</v>
      </c>
      <c r="T276" s="111" t="e">
        <v>#N/A</v>
      </c>
      <c r="U276" s="110" t="s">
        <v>796</v>
      </c>
      <c r="V276" s="112">
        <v>0.0</v>
      </c>
      <c r="W276" s="113">
        <v>50.0</v>
      </c>
      <c r="X276" s="113">
        <v>45.0</v>
      </c>
      <c r="Y276" s="113">
        <v>55.0</v>
      </c>
      <c r="Z276" s="113" t="s">
        <v>99</v>
      </c>
      <c r="AA276" s="114">
        <f t="shared" si="432"/>
        <v>1.193775293</v>
      </c>
      <c r="AB276" s="115"/>
      <c r="AC276" s="239">
        <f t="shared" si="433"/>
        <v>1.069992675</v>
      </c>
      <c r="AD276" s="240">
        <f t="shared" si="244"/>
        <v>1.150529758</v>
      </c>
      <c r="AE276" s="239"/>
      <c r="AF276" s="239" t="str">
        <f t="shared" si="94"/>
        <v>#REF!</v>
      </c>
      <c r="AG276" s="210" t="str">
        <f t="shared" si="95"/>
        <v>#REF!</v>
      </c>
      <c r="AH276" s="120" t="str">
        <f t="shared" si="96"/>
        <v>#REF!</v>
      </c>
      <c r="AI276" s="121">
        <f t="shared" si="237"/>
        <v>0.1</v>
      </c>
      <c r="AJ276" s="121">
        <v>0.1</v>
      </c>
      <c r="AK276" s="122">
        <v>0.252</v>
      </c>
      <c r="AL276" s="123">
        <f t="shared" si="11"/>
        <v>0.2696381541</v>
      </c>
      <c r="AM276" s="122" t="s">
        <v>10</v>
      </c>
      <c r="AN276" s="125">
        <f t="shared" si="434"/>
        <v>1.069992675</v>
      </c>
      <c r="AO276" s="112">
        <f t="shared" si="435"/>
        <v>0.252</v>
      </c>
      <c r="AP276" s="127"/>
      <c r="AQ276" s="241">
        <f t="shared" ref="AQ276:AR276" si="451">BC276/(1-AI276)</f>
        <v>0.9656315704</v>
      </c>
      <c r="AR276" s="242">
        <f t="shared" si="451"/>
        <v>0.8892828011</v>
      </c>
      <c r="AS276" s="126">
        <f t="shared" si="437"/>
        <v>0.1911111111</v>
      </c>
      <c r="AT276" s="126">
        <f t="shared" si="438"/>
        <v>0.1688888889</v>
      </c>
      <c r="AU276" s="129"/>
      <c r="AV276" s="39" t="s">
        <v>932</v>
      </c>
      <c r="AW276" s="249">
        <v>0.057</v>
      </c>
      <c r="AX276" s="249">
        <v>5.041</v>
      </c>
      <c r="AY276" s="214"/>
      <c r="AZ276" s="243">
        <v>0.16</v>
      </c>
      <c r="BA276" s="244">
        <f t="shared" si="439"/>
        <v>5.8105</v>
      </c>
      <c r="BB276" s="244">
        <f t="shared" si="440"/>
        <v>5.9705</v>
      </c>
      <c r="BC276" s="245">
        <f t="shared" si="441"/>
        <v>0.8690684134</v>
      </c>
      <c r="BD276" s="132">
        <f t="shared" si="442"/>
        <v>0.800354521</v>
      </c>
      <c r="BE276" s="135" t="s">
        <v>1063</v>
      </c>
      <c r="BF276" s="134" t="s">
        <v>576</v>
      </c>
      <c r="BG276" s="49"/>
      <c r="BH276" s="246">
        <f t="shared" si="324"/>
        <v>3.56664225</v>
      </c>
      <c r="BI276" s="246">
        <f t="shared" si="325"/>
        <v>2.13998535</v>
      </c>
      <c r="BJ276" s="246">
        <f t="shared" si="326"/>
        <v>1.783321125</v>
      </c>
      <c r="BK276" s="246">
        <f t="shared" si="327"/>
        <v>1.4266569</v>
      </c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</row>
    <row r="277" ht="14.25" customHeight="1">
      <c r="A277" s="105" t="s">
        <v>84</v>
      </c>
      <c r="B277" s="103" t="s">
        <v>85</v>
      </c>
      <c r="C277" s="103" t="s">
        <v>120</v>
      </c>
      <c r="D277" s="105" t="s">
        <v>86</v>
      </c>
      <c r="E277" s="105" t="s">
        <v>788</v>
      </c>
      <c r="F277" s="105" t="s">
        <v>1059</v>
      </c>
      <c r="G277" s="106" t="s">
        <v>581</v>
      </c>
      <c r="H277" s="110">
        <v>24.0</v>
      </c>
      <c r="I277" s="107"/>
      <c r="J277" s="220" t="s">
        <v>1125</v>
      </c>
      <c r="K277" s="220" t="s">
        <v>1126</v>
      </c>
      <c r="L277" s="105" t="s">
        <v>1127</v>
      </c>
      <c r="M277" s="105" t="s">
        <v>1128</v>
      </c>
      <c r="N277" s="110"/>
      <c r="O277" s="104" t="s">
        <v>95</v>
      </c>
      <c r="P277" s="110"/>
      <c r="Q277" s="103" t="s">
        <v>794</v>
      </c>
      <c r="R277" s="110" t="s">
        <v>795</v>
      </c>
      <c r="S277" s="110">
        <v>1600.0</v>
      </c>
      <c r="T277" s="111" t="e">
        <v>#N/A</v>
      </c>
      <c r="U277" s="110" t="s">
        <v>796</v>
      </c>
      <c r="V277" s="112">
        <v>0.0</v>
      </c>
      <c r="W277" s="113">
        <v>50.0</v>
      </c>
      <c r="X277" s="113">
        <v>45.0</v>
      </c>
      <c r="Y277" s="113">
        <v>55.0</v>
      </c>
      <c r="Z277" s="113" t="s">
        <v>99</v>
      </c>
      <c r="AA277" s="114">
        <f t="shared" si="432"/>
        <v>1.581669786</v>
      </c>
      <c r="AB277" s="115"/>
      <c r="AC277" s="239">
        <f t="shared" si="433"/>
        <v>1.422146715</v>
      </c>
      <c r="AD277" s="240">
        <f t="shared" si="244"/>
        <v>1.529190016</v>
      </c>
      <c r="AE277" s="239"/>
      <c r="AF277" s="239" t="str">
        <f t="shared" si="94"/>
        <v>#REF!</v>
      </c>
      <c r="AG277" s="210" t="str">
        <f t="shared" si="95"/>
        <v>#REF!</v>
      </c>
      <c r="AH277" s="120" t="str">
        <f t="shared" si="96"/>
        <v>#REF!</v>
      </c>
      <c r="AI277" s="121">
        <f t="shared" si="237"/>
        <v>0.1</v>
      </c>
      <c r="AJ277" s="121">
        <v>0.1</v>
      </c>
      <c r="AK277" s="122">
        <v>0.252</v>
      </c>
      <c r="AL277" s="123">
        <f t="shared" si="11"/>
        <v>0.3583809721</v>
      </c>
      <c r="AM277" s="122" t="s">
        <v>10</v>
      </c>
      <c r="AN277" s="125">
        <f t="shared" si="434"/>
        <v>1.422146715</v>
      </c>
      <c r="AO277" s="112">
        <f t="shared" si="435"/>
        <v>0.252</v>
      </c>
      <c r="AP277" s="127"/>
      <c r="AQ277" s="241">
        <f t="shared" ref="AQ277:AR277" si="452">BC277/(1-AI277)</f>
        <v>1.279395116</v>
      </c>
      <c r="AR277" s="242">
        <f t="shared" si="452"/>
        <v>1.181961936</v>
      </c>
      <c r="AS277" s="126">
        <f t="shared" si="437"/>
        <v>0.1911111111</v>
      </c>
      <c r="AT277" s="126">
        <f t="shared" si="438"/>
        <v>0.1688888889</v>
      </c>
      <c r="AU277" s="129"/>
      <c r="AV277" s="39" t="s">
        <v>932</v>
      </c>
      <c r="AW277" s="249">
        <v>0.085</v>
      </c>
      <c r="AX277" s="249">
        <v>6.603</v>
      </c>
      <c r="AY277" s="214"/>
      <c r="AZ277" s="243">
        <v>0.16</v>
      </c>
      <c r="BA277" s="244">
        <f t="shared" si="439"/>
        <v>7.7505</v>
      </c>
      <c r="BB277" s="244">
        <f t="shared" si="440"/>
        <v>7.9105</v>
      </c>
      <c r="BC277" s="245">
        <f t="shared" si="441"/>
        <v>1.151455604</v>
      </c>
      <c r="BD277" s="132">
        <f t="shared" si="442"/>
        <v>1.063765743</v>
      </c>
      <c r="BE277" s="135" t="s">
        <v>1063</v>
      </c>
      <c r="BF277" s="134" t="s">
        <v>576</v>
      </c>
      <c r="BG277" s="49"/>
      <c r="BH277" s="246">
        <f t="shared" si="324"/>
        <v>4.740489049</v>
      </c>
      <c r="BI277" s="246">
        <f t="shared" si="325"/>
        <v>2.84429343</v>
      </c>
      <c r="BJ277" s="246">
        <f t="shared" si="326"/>
        <v>2.370244525</v>
      </c>
      <c r="BK277" s="246">
        <f t="shared" si="327"/>
        <v>1.89619562</v>
      </c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</row>
    <row r="278" ht="14.25" customHeight="1">
      <c r="A278" s="105" t="s">
        <v>84</v>
      </c>
      <c r="B278" s="103" t="s">
        <v>85</v>
      </c>
      <c r="C278" s="103" t="s">
        <v>120</v>
      </c>
      <c r="D278" s="105" t="s">
        <v>86</v>
      </c>
      <c r="E278" s="105" t="s">
        <v>788</v>
      </c>
      <c r="F278" s="105" t="s">
        <v>1059</v>
      </c>
      <c r="G278" s="106" t="s">
        <v>581</v>
      </c>
      <c r="H278" s="110">
        <v>24.0</v>
      </c>
      <c r="I278" s="107"/>
      <c r="J278" s="220" t="s">
        <v>1129</v>
      </c>
      <c r="K278" s="220" t="str">
        <f>_xlfn.XLOOKUP(J278,[1]Sheet1!$A:$A,[1]Sheet1!$B:$B,"")</f>
        <v>#ERROR!</v>
      </c>
      <c r="L278" s="105" t="s">
        <v>1130</v>
      </c>
      <c r="M278" s="105" t="s">
        <v>1131</v>
      </c>
      <c r="N278" s="110"/>
      <c r="O278" s="104" t="s">
        <v>95</v>
      </c>
      <c r="P278" s="110"/>
      <c r="Q278" s="103" t="s">
        <v>794</v>
      </c>
      <c r="R278" s="110" t="s">
        <v>795</v>
      </c>
      <c r="S278" s="110">
        <v>960.0</v>
      </c>
      <c r="T278" s="111" t="e">
        <v>#N/A</v>
      </c>
      <c r="U278" s="110" t="s">
        <v>796</v>
      </c>
      <c r="V278" s="112">
        <v>0.0</v>
      </c>
      <c r="W278" s="113">
        <v>50.0</v>
      </c>
      <c r="X278" s="113">
        <v>45.0</v>
      </c>
      <c r="Y278" s="113">
        <v>55.0</v>
      </c>
      <c r="Z278" s="113" t="s">
        <v>99</v>
      </c>
      <c r="AA278" s="114">
        <f t="shared" si="432"/>
        <v>2.402746453</v>
      </c>
      <c r="AB278" s="115"/>
      <c r="AC278" s="239">
        <f t="shared" si="433"/>
        <v>2.172740159</v>
      </c>
      <c r="AD278" s="240">
        <f t="shared" si="244"/>
        <v>2.33627974</v>
      </c>
      <c r="AE278" s="239"/>
      <c r="AF278" s="239" t="str">
        <f t="shared" si="94"/>
        <v>#REF!</v>
      </c>
      <c r="AG278" s="210" t="str">
        <f t="shared" si="95"/>
        <v>#REF!</v>
      </c>
      <c r="AH278" s="120" t="str">
        <f t="shared" si="96"/>
        <v>#REF!</v>
      </c>
      <c r="AI278" s="121">
        <f t="shared" si="237"/>
        <v>0.1</v>
      </c>
      <c r="AJ278" s="121">
        <v>0.1</v>
      </c>
      <c r="AK278" s="122">
        <v>0.252</v>
      </c>
      <c r="AL278" s="123">
        <f t="shared" si="11"/>
        <v>0.54753052</v>
      </c>
      <c r="AM278" s="122" t="s">
        <v>10</v>
      </c>
      <c r="AN278" s="125">
        <f t="shared" si="434"/>
        <v>2.172740159</v>
      </c>
      <c r="AO278" s="112">
        <f t="shared" si="435"/>
        <v>0.252</v>
      </c>
      <c r="AP278" s="127"/>
      <c r="AQ278" s="241">
        <f t="shared" ref="AQ278:AR278" si="453">BC278/(1-AI278)</f>
        <v>1.943554909</v>
      </c>
      <c r="AR278" s="242">
        <f t="shared" si="453"/>
        <v>1.805788487</v>
      </c>
      <c r="AS278" s="126">
        <f t="shared" si="437"/>
        <v>0.1911111111</v>
      </c>
      <c r="AT278" s="126">
        <f t="shared" si="438"/>
        <v>0.1688888889</v>
      </c>
      <c r="AU278" s="129"/>
      <c r="AV278" s="39" t="s">
        <v>932</v>
      </c>
      <c r="AW278" s="249">
        <v>0.142</v>
      </c>
      <c r="AX278" s="249">
        <v>9.94</v>
      </c>
      <c r="AY278" s="214"/>
      <c r="AZ278" s="243">
        <v>0.16</v>
      </c>
      <c r="BA278" s="244">
        <f t="shared" si="439"/>
        <v>11.857</v>
      </c>
      <c r="BB278" s="244">
        <f t="shared" si="440"/>
        <v>12.017</v>
      </c>
      <c r="BC278" s="245">
        <f t="shared" si="441"/>
        <v>1.749199418</v>
      </c>
      <c r="BD278" s="132">
        <f t="shared" si="442"/>
        <v>1.625209639</v>
      </c>
      <c r="BE278" s="135" t="s">
        <v>1063</v>
      </c>
      <c r="BF278" s="134" t="s">
        <v>576</v>
      </c>
      <c r="BG278" s="49"/>
      <c r="BH278" s="246">
        <f t="shared" si="324"/>
        <v>7.242467195</v>
      </c>
      <c r="BI278" s="246">
        <f t="shared" si="325"/>
        <v>4.345480317</v>
      </c>
      <c r="BJ278" s="246">
        <f t="shared" si="326"/>
        <v>3.621233598</v>
      </c>
      <c r="BK278" s="246">
        <f t="shared" si="327"/>
        <v>2.896986878</v>
      </c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</row>
    <row r="279" ht="14.25" customHeight="1">
      <c r="A279" s="105" t="s">
        <v>84</v>
      </c>
      <c r="B279" s="103" t="s">
        <v>85</v>
      </c>
      <c r="C279" s="103" t="s">
        <v>120</v>
      </c>
      <c r="D279" s="105" t="s">
        <v>86</v>
      </c>
      <c r="E279" s="105" t="s">
        <v>788</v>
      </c>
      <c r="F279" s="105" t="s">
        <v>1059</v>
      </c>
      <c r="G279" s="106" t="s">
        <v>581</v>
      </c>
      <c r="H279" s="110">
        <v>24.0</v>
      </c>
      <c r="I279" s="107"/>
      <c r="J279" s="220" t="s">
        <v>1132</v>
      </c>
      <c r="K279" s="220" t="str">
        <f>_xlfn.XLOOKUP(J279,[1]Sheet1!$A:$A,[1]Sheet1!$B:$B,"")</f>
        <v>#ERROR!</v>
      </c>
      <c r="L279" s="105" t="s">
        <v>1133</v>
      </c>
      <c r="M279" s="105" t="s">
        <v>1134</v>
      </c>
      <c r="N279" s="110"/>
      <c r="O279" s="104" t="s">
        <v>95</v>
      </c>
      <c r="P279" s="110"/>
      <c r="Q279" s="103" t="s">
        <v>794</v>
      </c>
      <c r="R279" s="110" t="s">
        <v>795</v>
      </c>
      <c r="S279" s="110">
        <v>640.0</v>
      </c>
      <c r="T279" s="111" t="e">
        <v>#N/A</v>
      </c>
      <c r="U279" s="110" t="s">
        <v>796</v>
      </c>
      <c r="V279" s="112">
        <v>0.0</v>
      </c>
      <c r="W279" s="113">
        <v>50.0</v>
      </c>
      <c r="X279" s="113">
        <v>45.0</v>
      </c>
      <c r="Y279" s="113">
        <v>55.0</v>
      </c>
      <c r="Z279" s="113" t="s">
        <v>99</v>
      </c>
      <c r="AA279" s="114">
        <f t="shared" si="432"/>
        <v>4.413799447</v>
      </c>
      <c r="AB279" s="115"/>
      <c r="AC279" s="239">
        <f t="shared" si="433"/>
        <v>3.944354217</v>
      </c>
      <c r="AD279" s="240">
        <f t="shared" si="244"/>
        <v>4.241241093</v>
      </c>
      <c r="AE279" s="239"/>
      <c r="AF279" s="239" t="str">
        <f t="shared" si="94"/>
        <v>#REF!</v>
      </c>
      <c r="AG279" s="210" t="str">
        <f t="shared" si="95"/>
        <v>#REF!</v>
      </c>
      <c r="AH279" s="120" t="str">
        <f t="shared" si="96"/>
        <v>#REF!</v>
      </c>
      <c r="AI279" s="121">
        <f t="shared" si="237"/>
        <v>0.1</v>
      </c>
      <c r="AJ279" s="121">
        <v>0.1</v>
      </c>
      <c r="AK279" s="122">
        <v>0.252</v>
      </c>
      <c r="AL279" s="123">
        <f t="shared" si="11"/>
        <v>0.9939772626</v>
      </c>
      <c r="AM279" s="122" t="s">
        <v>10</v>
      </c>
      <c r="AN279" s="125">
        <f t="shared" si="434"/>
        <v>3.944354217</v>
      </c>
      <c r="AO279" s="112">
        <f t="shared" si="435"/>
        <v>0.252</v>
      </c>
      <c r="AP279" s="127"/>
      <c r="AQ279" s="241">
        <f t="shared" ref="AQ279:AR279" si="454">BC279/(1-AI279)</f>
        <v>3.57027333</v>
      </c>
      <c r="AR279" s="242">
        <f t="shared" si="454"/>
        <v>3.278196616</v>
      </c>
      <c r="AS279" s="126">
        <f t="shared" si="437"/>
        <v>0.1911111111</v>
      </c>
      <c r="AT279" s="126">
        <f t="shared" si="438"/>
        <v>0.1688888889</v>
      </c>
      <c r="AU279" s="129"/>
      <c r="AV279" s="39" t="s">
        <v>932</v>
      </c>
      <c r="AW279" s="249">
        <v>0.298</v>
      </c>
      <c r="AX279" s="249">
        <v>17.892</v>
      </c>
      <c r="AY279" s="214"/>
      <c r="AZ279" s="243">
        <v>0.16</v>
      </c>
      <c r="BA279" s="244">
        <f t="shared" si="439"/>
        <v>21.915</v>
      </c>
      <c r="BB279" s="244">
        <f t="shared" si="440"/>
        <v>22.075</v>
      </c>
      <c r="BC279" s="245">
        <f t="shared" si="441"/>
        <v>3.213245997</v>
      </c>
      <c r="BD279" s="132">
        <f t="shared" si="442"/>
        <v>2.950376954</v>
      </c>
      <c r="BE279" s="135" t="s">
        <v>1063</v>
      </c>
      <c r="BF279" s="134" t="s">
        <v>576</v>
      </c>
      <c r="BG279" s="49"/>
      <c r="BH279" s="246">
        <f t="shared" si="324"/>
        <v>13.14784739</v>
      </c>
      <c r="BI279" s="246">
        <f t="shared" si="325"/>
        <v>7.888708433</v>
      </c>
      <c r="BJ279" s="246">
        <f t="shared" si="326"/>
        <v>6.573923694</v>
      </c>
      <c r="BK279" s="246">
        <f t="shared" si="327"/>
        <v>5.259138955</v>
      </c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</row>
    <row r="280" ht="14.25" customHeight="1">
      <c r="A280" s="103" t="s">
        <v>84</v>
      </c>
      <c r="B280" s="103" t="s">
        <v>120</v>
      </c>
      <c r="C280" s="103" t="s">
        <v>120</v>
      </c>
      <c r="D280" s="103" t="s">
        <v>86</v>
      </c>
      <c r="E280" s="104" t="s">
        <v>788</v>
      </c>
      <c r="F280" s="105" t="s">
        <v>1135</v>
      </c>
      <c r="G280" s="106" t="s">
        <v>577</v>
      </c>
      <c r="H280" s="110">
        <v>26.0</v>
      </c>
      <c r="I280" s="107"/>
      <c r="J280" s="220" t="s">
        <v>1136</v>
      </c>
      <c r="K280" s="220" t="str">
        <f>_xlfn.XLOOKUP(J280,[1]Sheet1!$A:$A,[1]Sheet1!$B:$B,"")</f>
        <v>#ERROR!</v>
      </c>
      <c r="L280" s="105" t="s">
        <v>1137</v>
      </c>
      <c r="M280" s="105" t="s">
        <v>1138</v>
      </c>
      <c r="N280" s="110"/>
      <c r="O280" s="104" t="s">
        <v>95</v>
      </c>
      <c r="P280" s="110"/>
      <c r="Q280" s="103" t="s">
        <v>794</v>
      </c>
      <c r="R280" s="110" t="s">
        <v>795</v>
      </c>
      <c r="S280" s="110">
        <v>4800.0</v>
      </c>
      <c r="T280" s="111" t="e">
        <v>#N/A</v>
      </c>
      <c r="U280" s="110" t="s">
        <v>796</v>
      </c>
      <c r="V280" s="112">
        <v>0.0</v>
      </c>
      <c r="W280" s="113">
        <v>50.0</v>
      </c>
      <c r="X280" s="113">
        <v>45.0</v>
      </c>
      <c r="Y280" s="113">
        <v>55.0</v>
      </c>
      <c r="Z280" s="113" t="s">
        <v>99</v>
      </c>
      <c r="AA280" s="114">
        <f t="shared" si="432"/>
        <v>0</v>
      </c>
      <c r="AB280" s="115"/>
      <c r="AC280" s="239">
        <f t="shared" si="433"/>
        <v>0</v>
      </c>
      <c r="AD280" s="240">
        <f t="shared" si="244"/>
        <v>0</v>
      </c>
      <c r="AE280" s="239"/>
      <c r="AF280" s="239" t="str">
        <f t="shared" si="94"/>
        <v>#REF!</v>
      </c>
      <c r="AG280" s="210" t="str">
        <f t="shared" si="95"/>
        <v>#REF!</v>
      </c>
      <c r="AH280" s="120" t="str">
        <f t="shared" si="96"/>
        <v>#REF!</v>
      </c>
      <c r="AI280" s="121">
        <f t="shared" si="237"/>
        <v>0.1</v>
      </c>
      <c r="AJ280" s="121">
        <v>0.1</v>
      </c>
      <c r="AK280" s="122">
        <v>0.28200000000000003</v>
      </c>
      <c r="AL280" s="123">
        <f t="shared" si="11"/>
        <v>0</v>
      </c>
      <c r="AM280" s="122" t="s">
        <v>10</v>
      </c>
      <c r="AN280" s="125">
        <f t="shared" si="434"/>
        <v>0</v>
      </c>
      <c r="AO280" s="112" t="str">
        <f t="shared" si="435"/>
        <v>#DIV/0!</v>
      </c>
      <c r="AP280" s="127"/>
      <c r="AQ280" s="241">
        <f t="shared" ref="AQ280:AR280" si="455">BC280/(1-AI280)</f>
        <v>0</v>
      </c>
      <c r="AR280" s="242">
        <f t="shared" si="455"/>
        <v>0</v>
      </c>
      <c r="AS280" s="126" t="str">
        <f t="shared" si="437"/>
        <v>#DIV/0!</v>
      </c>
      <c r="AT280" s="126" t="str">
        <f t="shared" si="438"/>
        <v>#DIV/0!</v>
      </c>
      <c r="AU280" s="129"/>
      <c r="AV280" s="39" t="s">
        <v>597</v>
      </c>
      <c r="AW280" s="266"/>
      <c r="AX280" s="266"/>
      <c r="AY280" s="267"/>
      <c r="AZ280" s="266"/>
      <c r="BA280" s="268"/>
      <c r="BB280" s="268"/>
      <c r="BC280" s="269"/>
      <c r="BD280" s="132"/>
      <c r="BE280" s="135" t="s">
        <v>1139</v>
      </c>
      <c r="BF280" s="134"/>
      <c r="BG280" s="49"/>
      <c r="BH280" s="246">
        <f t="shared" si="324"/>
        <v>0</v>
      </c>
      <c r="BI280" s="246">
        <f t="shared" si="325"/>
        <v>0</v>
      </c>
      <c r="BJ280" s="246">
        <f t="shared" si="326"/>
        <v>0</v>
      </c>
      <c r="BK280" s="246">
        <f t="shared" si="327"/>
        <v>0</v>
      </c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</row>
    <row r="281" ht="14.25" customHeight="1">
      <c r="A281" s="103" t="s">
        <v>84</v>
      </c>
      <c r="B281" s="103" t="s">
        <v>120</v>
      </c>
      <c r="C281" s="103" t="s">
        <v>120</v>
      </c>
      <c r="D281" s="103" t="s">
        <v>86</v>
      </c>
      <c r="E281" s="104" t="s">
        <v>788</v>
      </c>
      <c r="F281" s="105" t="s">
        <v>1135</v>
      </c>
      <c r="G281" s="106" t="s">
        <v>577</v>
      </c>
      <c r="H281" s="110">
        <v>26.0</v>
      </c>
      <c r="I281" s="107"/>
      <c r="J281" s="220" t="s">
        <v>1140</v>
      </c>
      <c r="K281" s="220" t="str">
        <f>_xlfn.XLOOKUP(J281,[1]Sheet1!$A:$A,[1]Sheet1!$B:$B,"")</f>
        <v>#ERROR!</v>
      </c>
      <c r="L281" s="105" t="s">
        <v>1141</v>
      </c>
      <c r="M281" s="105" t="s">
        <v>1142</v>
      </c>
      <c r="N281" s="110"/>
      <c r="O281" s="104" t="s">
        <v>95</v>
      </c>
      <c r="P281" s="110"/>
      <c r="Q281" s="103" t="s">
        <v>794</v>
      </c>
      <c r="R281" s="110" t="s">
        <v>795</v>
      </c>
      <c r="S281" s="110">
        <v>4800.0</v>
      </c>
      <c r="T281" s="111" t="e">
        <v>#N/A</v>
      </c>
      <c r="U281" s="110" t="s">
        <v>796</v>
      </c>
      <c r="V281" s="112">
        <v>0.0</v>
      </c>
      <c r="W281" s="113">
        <v>50.0</v>
      </c>
      <c r="X281" s="113">
        <v>45.0</v>
      </c>
      <c r="Y281" s="113">
        <v>55.0</v>
      </c>
      <c r="Z281" s="113" t="s">
        <v>99</v>
      </c>
      <c r="AA281" s="114">
        <f t="shared" si="432"/>
        <v>4.754820385</v>
      </c>
      <c r="AB281" s="115"/>
      <c r="AC281" s="239">
        <f t="shared" si="433"/>
        <v>4.048471554</v>
      </c>
      <c r="AD281" s="240">
        <f t="shared" si="244"/>
        <v>4.353195219</v>
      </c>
      <c r="AE281" s="239"/>
      <c r="AF281" s="239" t="str">
        <f t="shared" si="94"/>
        <v>#REF!</v>
      </c>
      <c r="AG281" s="210" t="str">
        <f t="shared" si="95"/>
        <v>#REF!</v>
      </c>
      <c r="AH281" s="120" t="str">
        <f t="shared" si="96"/>
        <v>#REF!</v>
      </c>
      <c r="AI281" s="121">
        <f t="shared" si="237"/>
        <v>0.1</v>
      </c>
      <c r="AJ281" s="121">
        <v>0.1</v>
      </c>
      <c r="AK281" s="122">
        <v>0.28200000000000003</v>
      </c>
      <c r="AL281" s="123">
        <f t="shared" si="11"/>
        <v>1.141668978</v>
      </c>
      <c r="AM281" s="122" t="s">
        <v>10</v>
      </c>
      <c r="AN281" s="125">
        <f t="shared" si="434"/>
        <v>4.048471554</v>
      </c>
      <c r="AO281" s="112">
        <f t="shared" si="435"/>
        <v>0.282</v>
      </c>
      <c r="AP281" s="127"/>
      <c r="AQ281" s="241">
        <f t="shared" ref="AQ281:AR281" si="456">BC281/(1-AI281)</f>
        <v>3.687627365</v>
      </c>
      <c r="AR281" s="242">
        <f t="shared" si="456"/>
        <v>3.22978064</v>
      </c>
      <c r="AS281" s="126">
        <f t="shared" si="437"/>
        <v>0.2244444444</v>
      </c>
      <c r="AT281" s="126">
        <f t="shared" si="438"/>
        <v>0.2022222222</v>
      </c>
      <c r="AU281" s="129"/>
      <c r="AV281" s="39" t="s">
        <v>597</v>
      </c>
      <c r="AW281" s="243">
        <f>0.005*7.2/2</f>
        <v>0.018</v>
      </c>
      <c r="AX281" s="243">
        <f>3.088*7.2</f>
        <v>22.2336</v>
      </c>
      <c r="AY281" s="247"/>
      <c r="AZ281" s="243">
        <f t="shared" ref="AZ281:AZ284" si="458">0.045*7.2</f>
        <v>0.324</v>
      </c>
      <c r="BA281" s="244">
        <f t="shared" ref="BA281:BA286" si="459">($F$2-70000)/2000*AW281+AX281</f>
        <v>22.4766</v>
      </c>
      <c r="BB281" s="244">
        <f t="shared" ref="BB281:BB298" si="460">AZ281+BA281</f>
        <v>22.8006</v>
      </c>
      <c r="BC281" s="269">
        <f t="shared" ref="BC281:BC299" si="461">(AZ281+BA281)/$F$5</f>
        <v>3.318864629</v>
      </c>
      <c r="BD281" s="132">
        <f t="shared" ref="BD281:BD299" si="462">(BC281/$F$6)+(($F$9+$G$9)/40/S281)+BC281*V281</f>
        <v>2.906802576</v>
      </c>
      <c r="BE281" s="135" t="s">
        <v>1139</v>
      </c>
      <c r="BF281" s="134"/>
      <c r="BG281" s="49"/>
      <c r="BH281" s="246">
        <f t="shared" si="324"/>
        <v>13.49490518</v>
      </c>
      <c r="BI281" s="246">
        <f t="shared" si="325"/>
        <v>8.096943108</v>
      </c>
      <c r="BJ281" s="246">
        <f t="shared" si="326"/>
        <v>6.74745259</v>
      </c>
      <c r="BK281" s="246">
        <f t="shared" si="327"/>
        <v>5.397962072</v>
      </c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</row>
    <row r="282" ht="14.25" customHeight="1">
      <c r="A282" s="180" t="s">
        <v>84</v>
      </c>
      <c r="B282" s="180" t="s">
        <v>120</v>
      </c>
      <c r="C282" s="180" t="s">
        <v>120</v>
      </c>
      <c r="D282" s="180" t="s">
        <v>86</v>
      </c>
      <c r="E282" s="181" t="s">
        <v>788</v>
      </c>
      <c r="F282" s="182" t="s">
        <v>1135</v>
      </c>
      <c r="G282" s="183" t="s">
        <v>577</v>
      </c>
      <c r="H282" s="186">
        <v>26.0</v>
      </c>
      <c r="I282" s="107"/>
      <c r="J282" s="230" t="s">
        <v>1143</v>
      </c>
      <c r="K282" s="230" t="str">
        <f>_xlfn.XLOOKUP(J282,[1]Sheet1!$A:$A,[1]Sheet1!$B:$B,"")</f>
        <v>#ERROR!</v>
      </c>
      <c r="L282" s="182" t="s">
        <v>1144</v>
      </c>
      <c r="M282" s="182" t="s">
        <v>1145</v>
      </c>
      <c r="N282" s="186"/>
      <c r="O282" s="181" t="s">
        <v>95</v>
      </c>
      <c r="P282" s="186"/>
      <c r="Q282" s="180" t="s">
        <v>794</v>
      </c>
      <c r="R282" s="186" t="s">
        <v>795</v>
      </c>
      <c r="S282" s="270">
        <v>4800.0</v>
      </c>
      <c r="T282" s="187" t="e">
        <v>#N/A</v>
      </c>
      <c r="U282" s="186" t="s">
        <v>796</v>
      </c>
      <c r="V282" s="188">
        <v>0.0</v>
      </c>
      <c r="W282" s="189">
        <v>50.0</v>
      </c>
      <c r="X282" s="189">
        <v>45.0</v>
      </c>
      <c r="Y282" s="189">
        <v>55.0</v>
      </c>
      <c r="Z282" s="189" t="s">
        <v>99</v>
      </c>
      <c r="AA282" s="114">
        <f t="shared" si="432"/>
        <v>0.06756672214</v>
      </c>
      <c r="AB282" s="190"/>
      <c r="AC282" s="271">
        <f t="shared" si="433"/>
        <v>0.08613286349</v>
      </c>
      <c r="AD282" s="240">
        <f t="shared" si="244"/>
        <v>0.09261598225</v>
      </c>
      <c r="AE282" s="271"/>
      <c r="AF282" s="271" t="str">
        <f t="shared" si="94"/>
        <v>#REF!</v>
      </c>
      <c r="AG282" s="192" t="str">
        <f t="shared" si="95"/>
        <v>#REF!</v>
      </c>
      <c r="AH282" s="120" t="str">
        <f t="shared" si="96"/>
        <v>#REF!</v>
      </c>
      <c r="AI282" s="188">
        <f t="shared" si="237"/>
        <v>0.1</v>
      </c>
      <c r="AJ282" s="188">
        <v>0.1</v>
      </c>
      <c r="AK282" s="188">
        <v>0.28200000000000003</v>
      </c>
      <c r="AL282" s="123">
        <f t="shared" si="11"/>
        <v>0.0242894675</v>
      </c>
      <c r="AM282" s="188" t="s">
        <v>10</v>
      </c>
      <c r="AN282" s="194">
        <f t="shared" si="434"/>
        <v>0.08613286349</v>
      </c>
      <c r="AO282" s="188">
        <f t="shared" si="435"/>
        <v>0.282</v>
      </c>
      <c r="AP282" s="196"/>
      <c r="AQ282" s="272">
        <f t="shared" ref="AQ282:AR282" si="457">BC282/(1-AI282)</f>
        <v>0.05240174672</v>
      </c>
      <c r="AR282" s="273">
        <f t="shared" si="457"/>
        <v>0.06871488443</v>
      </c>
      <c r="AS282" s="195">
        <f t="shared" si="437"/>
        <v>0.2244444444</v>
      </c>
      <c r="AT282" s="195">
        <f t="shared" si="438"/>
        <v>0.2022222222</v>
      </c>
      <c r="AU282" s="129"/>
      <c r="AV282" s="198" t="s">
        <v>597</v>
      </c>
      <c r="AW282" s="274"/>
      <c r="AX282" s="274"/>
      <c r="AY282" s="275"/>
      <c r="AZ282" s="274">
        <f t="shared" si="458"/>
        <v>0.324</v>
      </c>
      <c r="BA282" s="276">
        <f t="shared" si="459"/>
        <v>0</v>
      </c>
      <c r="BB282" s="276">
        <f t="shared" si="460"/>
        <v>0.324</v>
      </c>
      <c r="BC282" s="277">
        <f t="shared" si="461"/>
        <v>0.04716157205</v>
      </c>
      <c r="BD282" s="201">
        <f t="shared" si="462"/>
        <v>0.06184339599</v>
      </c>
      <c r="BE282" s="237" t="s">
        <v>1139</v>
      </c>
      <c r="BF282" s="203"/>
      <c r="BG282" s="204"/>
      <c r="BH282" s="271">
        <f t="shared" si="324"/>
        <v>0.287109545</v>
      </c>
      <c r="BI282" s="271">
        <f t="shared" si="325"/>
        <v>0.172265727</v>
      </c>
      <c r="BJ282" s="271">
        <f t="shared" si="326"/>
        <v>0.1435547725</v>
      </c>
      <c r="BK282" s="271">
        <f t="shared" si="327"/>
        <v>0.114843818</v>
      </c>
      <c r="BL282" s="204"/>
      <c r="BM282" s="204"/>
      <c r="BN282" s="204"/>
      <c r="BO282" s="204"/>
      <c r="BP282" s="204"/>
      <c r="BQ282" s="204"/>
      <c r="BR282" s="204"/>
      <c r="BS282" s="204"/>
      <c r="BT282" s="204"/>
      <c r="BU282" s="204"/>
      <c r="BV282" s="204"/>
      <c r="BW282" s="204"/>
      <c r="BX282" s="204"/>
      <c r="BY282" s="204"/>
      <c r="BZ282" s="204"/>
      <c r="CA282" s="204"/>
      <c r="CB282" s="204"/>
      <c r="CC282" s="204"/>
      <c r="CD282" s="204"/>
      <c r="CE282" s="204"/>
      <c r="CF282" s="204"/>
    </row>
    <row r="283" ht="14.25" customHeight="1">
      <c r="A283" s="103" t="s">
        <v>84</v>
      </c>
      <c r="B283" s="103" t="s">
        <v>120</v>
      </c>
      <c r="C283" s="103" t="s">
        <v>120</v>
      </c>
      <c r="D283" s="103" t="s">
        <v>86</v>
      </c>
      <c r="E283" s="104" t="s">
        <v>788</v>
      </c>
      <c r="F283" s="105" t="s">
        <v>1135</v>
      </c>
      <c r="G283" s="106" t="s">
        <v>577</v>
      </c>
      <c r="H283" s="110">
        <v>26.0</v>
      </c>
      <c r="I283" s="107"/>
      <c r="J283" s="220" t="s">
        <v>1146</v>
      </c>
      <c r="K283" s="220" t="str">
        <f>_xlfn.XLOOKUP(J283,[1]Sheet1!$A:$A,[1]Sheet1!$B:$B,"")</f>
        <v>#ERROR!</v>
      </c>
      <c r="L283" s="105" t="s">
        <v>1147</v>
      </c>
      <c r="M283" s="105" t="s">
        <v>1148</v>
      </c>
      <c r="N283" s="110"/>
      <c r="O283" s="104" t="s">
        <v>95</v>
      </c>
      <c r="P283" s="110"/>
      <c r="Q283" s="103" t="s">
        <v>794</v>
      </c>
      <c r="R283" s="110" t="s">
        <v>795</v>
      </c>
      <c r="S283" s="110">
        <v>3200.0</v>
      </c>
      <c r="T283" s="111" t="e">
        <v>#N/A</v>
      </c>
      <c r="U283" s="110" t="s">
        <v>796</v>
      </c>
      <c r="V283" s="112">
        <v>0.0</v>
      </c>
      <c r="W283" s="113">
        <v>50.0</v>
      </c>
      <c r="X283" s="113">
        <v>45.0</v>
      </c>
      <c r="Y283" s="113">
        <v>55.0</v>
      </c>
      <c r="Z283" s="113" t="s">
        <v>99</v>
      </c>
      <c r="AA283" s="114">
        <f t="shared" si="432"/>
        <v>5.409466849</v>
      </c>
      <c r="AB283" s="115"/>
      <c r="AC283" s="239">
        <f t="shared" si="433"/>
        <v>4.616380477</v>
      </c>
      <c r="AD283" s="240">
        <f t="shared" si="244"/>
        <v>4.963849976</v>
      </c>
      <c r="AE283" s="239"/>
      <c r="AF283" s="239" t="str">
        <f t="shared" si="94"/>
        <v>#REF!</v>
      </c>
      <c r="AG283" s="210" t="str">
        <f t="shared" si="95"/>
        <v>#REF!</v>
      </c>
      <c r="AH283" s="120" t="str">
        <f t="shared" si="96"/>
        <v>#REF!</v>
      </c>
      <c r="AI283" s="121">
        <f t="shared" si="237"/>
        <v>0.1</v>
      </c>
      <c r="AJ283" s="121">
        <v>0.1</v>
      </c>
      <c r="AK283" s="122">
        <v>0.28200000000000003</v>
      </c>
      <c r="AL283" s="123">
        <f t="shared" si="11"/>
        <v>1.301819295</v>
      </c>
      <c r="AM283" s="122" t="s">
        <v>10</v>
      </c>
      <c r="AN283" s="125">
        <f t="shared" si="434"/>
        <v>4.616380477</v>
      </c>
      <c r="AO283" s="112">
        <f t="shared" si="435"/>
        <v>0.282</v>
      </c>
      <c r="AP283" s="127"/>
      <c r="AQ283" s="241">
        <f t="shared" ref="AQ283:AR283" si="463">BC283/(1-AI283)</f>
        <v>4.195342067</v>
      </c>
      <c r="AR283" s="242">
        <f t="shared" si="463"/>
        <v>3.682845759</v>
      </c>
      <c r="AS283" s="126">
        <f t="shared" si="437"/>
        <v>0.2244444444</v>
      </c>
      <c r="AT283" s="126">
        <f t="shared" si="438"/>
        <v>0.2022222222</v>
      </c>
      <c r="AU283" s="129"/>
      <c r="AV283" s="39" t="s">
        <v>597</v>
      </c>
      <c r="AW283" s="243">
        <f>0.009*7.2/2</f>
        <v>0.0324</v>
      </c>
      <c r="AX283" s="243">
        <f>3.497*7.2</f>
        <v>25.1784</v>
      </c>
      <c r="AY283" s="247"/>
      <c r="AZ283" s="243">
        <f t="shared" si="458"/>
        <v>0.324</v>
      </c>
      <c r="BA283" s="244">
        <f t="shared" si="459"/>
        <v>25.6158</v>
      </c>
      <c r="BB283" s="244">
        <f t="shared" si="460"/>
        <v>25.9398</v>
      </c>
      <c r="BC283" s="269">
        <f t="shared" si="461"/>
        <v>3.77580786</v>
      </c>
      <c r="BD283" s="132">
        <f t="shared" si="462"/>
        <v>3.314561183</v>
      </c>
      <c r="BE283" s="135" t="s">
        <v>1139</v>
      </c>
      <c r="BF283" s="134"/>
      <c r="BG283" s="49"/>
      <c r="BH283" s="246">
        <f t="shared" si="324"/>
        <v>15.38793492</v>
      </c>
      <c r="BI283" s="246">
        <f t="shared" si="325"/>
        <v>9.232760955</v>
      </c>
      <c r="BJ283" s="246">
        <f t="shared" si="326"/>
        <v>7.693967462</v>
      </c>
      <c r="BK283" s="246">
        <f t="shared" si="327"/>
        <v>6.15517397</v>
      </c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</row>
    <row r="284" ht="14.25" customHeight="1">
      <c r="A284" s="103" t="s">
        <v>84</v>
      </c>
      <c r="B284" s="103" t="s">
        <v>120</v>
      </c>
      <c r="C284" s="103" t="s">
        <v>120</v>
      </c>
      <c r="D284" s="103" t="s">
        <v>86</v>
      </c>
      <c r="E284" s="104" t="s">
        <v>788</v>
      </c>
      <c r="F284" s="105" t="s">
        <v>1135</v>
      </c>
      <c r="G284" s="106" t="s">
        <v>577</v>
      </c>
      <c r="H284" s="110">
        <v>26.0</v>
      </c>
      <c r="I284" s="107"/>
      <c r="J284" s="220" t="s">
        <v>1149</v>
      </c>
      <c r="K284" s="220" t="str">
        <f>_xlfn.XLOOKUP(J284,[1]Sheet1!$A:$A,[1]Sheet1!$B:$B,"")</f>
        <v>#ERROR!</v>
      </c>
      <c r="L284" s="105" t="s">
        <v>1150</v>
      </c>
      <c r="M284" s="105" t="s">
        <v>1151</v>
      </c>
      <c r="N284" s="110"/>
      <c r="O284" s="104" t="s">
        <v>95</v>
      </c>
      <c r="P284" s="110"/>
      <c r="Q284" s="103" t="s">
        <v>794</v>
      </c>
      <c r="R284" s="110" t="s">
        <v>795</v>
      </c>
      <c r="S284" s="110">
        <v>2240.0</v>
      </c>
      <c r="T284" s="111" t="e">
        <v>#N/A</v>
      </c>
      <c r="U284" s="110" t="s">
        <v>796</v>
      </c>
      <c r="V284" s="112">
        <v>0.0</v>
      </c>
      <c r="W284" s="113">
        <v>50.0</v>
      </c>
      <c r="X284" s="113">
        <v>45.0</v>
      </c>
      <c r="Y284" s="113">
        <v>55.0</v>
      </c>
      <c r="Z284" s="113" t="s">
        <v>99</v>
      </c>
      <c r="AA284" s="114">
        <f t="shared" si="432"/>
        <v>6.718759775</v>
      </c>
      <c r="AB284" s="115"/>
      <c r="AC284" s="239">
        <f t="shared" si="433"/>
        <v>5.741835544</v>
      </c>
      <c r="AD284" s="240">
        <f t="shared" si="244"/>
        <v>6.174016714</v>
      </c>
      <c r="AE284" s="239"/>
      <c r="AF284" s="239" t="str">
        <f t="shared" si="94"/>
        <v>#REF!</v>
      </c>
      <c r="AG284" s="210" t="str">
        <f t="shared" si="95"/>
        <v>#REF!</v>
      </c>
      <c r="AH284" s="120" t="str">
        <f t="shared" si="96"/>
        <v>#REF!</v>
      </c>
      <c r="AI284" s="121">
        <f t="shared" si="237"/>
        <v>0.1</v>
      </c>
      <c r="AJ284" s="121">
        <v>0.1</v>
      </c>
      <c r="AK284" s="122">
        <v>0.28200000000000003</v>
      </c>
      <c r="AL284" s="123">
        <f t="shared" si="11"/>
        <v>1.619197623</v>
      </c>
      <c r="AM284" s="122" t="s">
        <v>10</v>
      </c>
      <c r="AN284" s="125">
        <f t="shared" si="434"/>
        <v>5.741835544</v>
      </c>
      <c r="AO284" s="112">
        <f t="shared" si="435"/>
        <v>0.282</v>
      </c>
      <c r="AP284" s="127"/>
      <c r="AQ284" s="241">
        <f t="shared" ref="AQ284:AR284" si="464">BC284/(1-AI284)</f>
        <v>5.21077147</v>
      </c>
      <c r="AR284" s="242">
        <f t="shared" si="464"/>
        <v>4.580708801</v>
      </c>
      <c r="AS284" s="126">
        <f t="shared" si="437"/>
        <v>0.2244444444</v>
      </c>
      <c r="AT284" s="126">
        <f t="shared" si="438"/>
        <v>0.2022222222</v>
      </c>
      <c r="AU284" s="129"/>
      <c r="AV284" s="39" t="s">
        <v>597</v>
      </c>
      <c r="AW284" s="243">
        <f>0.017*7.2/2</f>
        <v>0.0612</v>
      </c>
      <c r="AX284" s="243">
        <f>4.315*7.2</f>
        <v>31.068</v>
      </c>
      <c r="AY284" s="247"/>
      <c r="AZ284" s="243">
        <f t="shared" si="458"/>
        <v>0.324</v>
      </c>
      <c r="BA284" s="244">
        <f t="shared" si="459"/>
        <v>31.8942</v>
      </c>
      <c r="BB284" s="244">
        <f t="shared" si="460"/>
        <v>32.2182</v>
      </c>
      <c r="BC284" s="269">
        <f t="shared" si="461"/>
        <v>4.689694323</v>
      </c>
      <c r="BD284" s="132">
        <f t="shared" si="462"/>
        <v>4.122637921</v>
      </c>
      <c r="BE284" s="135" t="s">
        <v>1139</v>
      </c>
      <c r="BF284" s="134"/>
      <c r="BG284" s="49"/>
      <c r="BH284" s="246">
        <f t="shared" si="324"/>
        <v>19.13945181</v>
      </c>
      <c r="BI284" s="246">
        <f t="shared" si="325"/>
        <v>11.48367109</v>
      </c>
      <c r="BJ284" s="246">
        <f t="shared" si="326"/>
        <v>9.569725907</v>
      </c>
      <c r="BK284" s="246">
        <f t="shared" si="327"/>
        <v>7.655780726</v>
      </c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</row>
    <row r="285" ht="14.25" customHeight="1">
      <c r="A285" s="103" t="s">
        <v>84</v>
      </c>
      <c r="B285" s="103" t="s">
        <v>120</v>
      </c>
      <c r="C285" s="103" t="s">
        <v>120</v>
      </c>
      <c r="D285" s="103" t="s">
        <v>86</v>
      </c>
      <c r="E285" s="104" t="s">
        <v>788</v>
      </c>
      <c r="F285" s="105" t="s">
        <v>1135</v>
      </c>
      <c r="G285" s="106" t="s">
        <v>577</v>
      </c>
      <c r="H285" s="110">
        <v>26.0</v>
      </c>
      <c r="I285" s="107"/>
      <c r="J285" s="220" t="s">
        <v>1152</v>
      </c>
      <c r="K285" s="220" t="str">
        <f>_xlfn.XLOOKUP(J285,[1]Sheet1!$A:$A,[1]Sheet1!$B:$B,"")</f>
        <v>#ERROR!</v>
      </c>
      <c r="L285" s="105" t="s">
        <v>1153</v>
      </c>
      <c r="M285" s="105" t="s">
        <v>1154</v>
      </c>
      <c r="N285" s="110"/>
      <c r="O285" s="104" t="s">
        <v>95</v>
      </c>
      <c r="P285" s="110"/>
      <c r="Q285" s="103" t="s">
        <v>794</v>
      </c>
      <c r="R285" s="110" t="s">
        <v>795</v>
      </c>
      <c r="S285" s="110">
        <v>1600.0</v>
      </c>
      <c r="T285" s="111" t="e">
        <v>#N/A</v>
      </c>
      <c r="U285" s="110" t="s">
        <v>796</v>
      </c>
      <c r="V285" s="112">
        <v>0.0</v>
      </c>
      <c r="W285" s="113">
        <v>50.0</v>
      </c>
      <c r="X285" s="113">
        <v>45.0</v>
      </c>
      <c r="Y285" s="113">
        <v>55.0</v>
      </c>
      <c r="Z285" s="113" t="s">
        <v>99</v>
      </c>
      <c r="AA285" s="114">
        <f t="shared" si="432"/>
        <v>8.081730709</v>
      </c>
      <c r="AB285" s="115"/>
      <c r="AC285" s="239">
        <f t="shared" si="433"/>
        <v>6.918884625</v>
      </c>
      <c r="AD285" s="240">
        <f t="shared" si="244"/>
        <v>7.439660887</v>
      </c>
      <c r="AE285" s="239"/>
      <c r="AF285" s="239" t="str">
        <f t="shared" si="94"/>
        <v>#REF!</v>
      </c>
      <c r="AG285" s="210" t="str">
        <f t="shared" si="95"/>
        <v>#REF!</v>
      </c>
      <c r="AH285" s="120" t="str">
        <f t="shared" si="96"/>
        <v>#REF!</v>
      </c>
      <c r="AI285" s="121">
        <f t="shared" si="237"/>
        <v>0.1</v>
      </c>
      <c r="AJ285" s="121">
        <v>0.1</v>
      </c>
      <c r="AK285" s="122">
        <v>0.28200000000000003</v>
      </c>
      <c r="AL285" s="123">
        <f t="shared" si="11"/>
        <v>1.951125464</v>
      </c>
      <c r="AM285" s="122" t="s">
        <v>10</v>
      </c>
      <c r="AN285" s="125">
        <f t="shared" si="434"/>
        <v>6.918884625</v>
      </c>
      <c r="AO285" s="112">
        <f t="shared" si="435"/>
        <v>0.282</v>
      </c>
      <c r="AP285" s="127"/>
      <c r="AQ285" s="241">
        <f t="shared" ref="AQ285:AR285" si="465">BC285/(1-AI285)</f>
        <v>6.26783115</v>
      </c>
      <c r="AR285" s="242">
        <f t="shared" si="465"/>
        <v>5.519732401</v>
      </c>
      <c r="AS285" s="126">
        <f t="shared" si="437"/>
        <v>0.2244444444</v>
      </c>
      <c r="AT285" s="126">
        <f t="shared" si="438"/>
        <v>0.2022222222</v>
      </c>
      <c r="AU285" s="129"/>
      <c r="AV285" s="39" t="s">
        <v>597</v>
      </c>
      <c r="AW285" s="243">
        <f>0.026*7.2/2</f>
        <v>0.0936</v>
      </c>
      <c r="AX285" s="278">
        <f>5.147*7.2</f>
        <v>37.0584</v>
      </c>
      <c r="AY285" s="247"/>
      <c r="AZ285" s="243">
        <f t="shared" ref="AZ285:AZ286" si="467">0.06*7.2</f>
        <v>0.432</v>
      </c>
      <c r="BA285" s="244">
        <f t="shared" si="459"/>
        <v>38.322</v>
      </c>
      <c r="BB285" s="244">
        <f t="shared" si="460"/>
        <v>38.754</v>
      </c>
      <c r="BC285" s="269">
        <f t="shared" si="461"/>
        <v>5.641048035</v>
      </c>
      <c r="BD285" s="132">
        <f t="shared" si="462"/>
        <v>4.967759161</v>
      </c>
      <c r="BE285" s="135" t="s">
        <v>1139</v>
      </c>
      <c r="BF285" s="134"/>
      <c r="BG285" s="49"/>
      <c r="BH285" s="246">
        <f t="shared" si="324"/>
        <v>23.06294875</v>
      </c>
      <c r="BI285" s="246">
        <f t="shared" si="325"/>
        <v>13.83776925</v>
      </c>
      <c r="BJ285" s="246">
        <f t="shared" si="326"/>
        <v>11.53147438</v>
      </c>
      <c r="BK285" s="246">
        <f t="shared" si="327"/>
        <v>9.2251795</v>
      </c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</row>
    <row r="286" ht="14.25" customHeight="1">
      <c r="A286" s="103" t="s">
        <v>84</v>
      </c>
      <c r="B286" s="103" t="s">
        <v>120</v>
      </c>
      <c r="C286" s="103" t="s">
        <v>120</v>
      </c>
      <c r="D286" s="103" t="s">
        <v>86</v>
      </c>
      <c r="E286" s="104" t="s">
        <v>788</v>
      </c>
      <c r="F286" s="105" t="s">
        <v>1135</v>
      </c>
      <c r="G286" s="106" t="s">
        <v>577</v>
      </c>
      <c r="H286" s="110">
        <v>26.0</v>
      </c>
      <c r="I286" s="107"/>
      <c r="J286" s="220" t="s">
        <v>1155</v>
      </c>
      <c r="K286" s="220" t="str">
        <f>_xlfn.XLOOKUP(J286,[1]Sheet1!$A:$A,[1]Sheet1!$B:$B,"")</f>
        <v>#ERROR!</v>
      </c>
      <c r="L286" s="105" t="s">
        <v>1156</v>
      </c>
      <c r="M286" s="105" t="s">
        <v>1157</v>
      </c>
      <c r="N286" s="110"/>
      <c r="O286" s="104" t="s">
        <v>95</v>
      </c>
      <c r="P286" s="110"/>
      <c r="Q286" s="103" t="s">
        <v>794</v>
      </c>
      <c r="R286" s="110" t="s">
        <v>795</v>
      </c>
      <c r="S286" s="110">
        <v>960.0</v>
      </c>
      <c r="T286" s="111" t="e">
        <v>#N/A</v>
      </c>
      <c r="U286" s="250" t="s">
        <v>796</v>
      </c>
      <c r="V286" s="112">
        <v>0.0</v>
      </c>
      <c r="W286" s="113">
        <v>50.0</v>
      </c>
      <c r="X286" s="113">
        <v>45.0</v>
      </c>
      <c r="Y286" s="113">
        <v>55.0</v>
      </c>
      <c r="Z286" s="113" t="s">
        <v>99</v>
      </c>
      <c r="AA286" s="114">
        <f t="shared" si="432"/>
        <v>10.31227506</v>
      </c>
      <c r="AB286" s="115"/>
      <c r="AC286" s="239">
        <f t="shared" si="433"/>
        <v>8.866691364</v>
      </c>
      <c r="AD286" s="240">
        <f t="shared" si="244"/>
        <v>9.534076735</v>
      </c>
      <c r="AE286" s="239"/>
      <c r="AF286" s="239" t="str">
        <f t="shared" si="94"/>
        <v>#REF!</v>
      </c>
      <c r="AG286" s="210" t="str">
        <f t="shared" si="95"/>
        <v>#REF!</v>
      </c>
      <c r="AH286" s="120" t="str">
        <f t="shared" si="96"/>
        <v>#REF!</v>
      </c>
      <c r="AI286" s="121">
        <f t="shared" si="237"/>
        <v>0.1</v>
      </c>
      <c r="AJ286" s="121">
        <v>0.1</v>
      </c>
      <c r="AK286" s="122">
        <v>0.252</v>
      </c>
      <c r="AL286" s="123">
        <f t="shared" si="11"/>
        <v>2.234406224</v>
      </c>
      <c r="AM286" s="122" t="s">
        <v>10</v>
      </c>
      <c r="AN286" s="125">
        <f t="shared" si="434"/>
        <v>8.866691364</v>
      </c>
      <c r="AO286" s="112">
        <f t="shared" si="435"/>
        <v>0.252</v>
      </c>
      <c r="AP286" s="127"/>
      <c r="AQ286" s="241">
        <f t="shared" ref="AQ286:AR286" si="466">BC286/(1-AI286)</f>
        <v>8.341484716</v>
      </c>
      <c r="AR286" s="242">
        <f t="shared" si="466"/>
        <v>7.369205711</v>
      </c>
      <c r="AS286" s="126">
        <f t="shared" si="437"/>
        <v>0.1911111111</v>
      </c>
      <c r="AT286" s="126">
        <f t="shared" si="438"/>
        <v>0.1688888889</v>
      </c>
      <c r="AU286" s="129"/>
      <c r="AV286" s="39" t="s">
        <v>597</v>
      </c>
      <c r="AW286" s="243">
        <f>0.043*7.2/2</f>
        <v>0.1548</v>
      </c>
      <c r="AX286" s="243">
        <f>6.813*7.2</f>
        <v>49.0536</v>
      </c>
      <c r="AY286" s="247"/>
      <c r="AZ286" s="243">
        <f t="shared" si="467"/>
        <v>0.432</v>
      </c>
      <c r="BA286" s="244">
        <f t="shared" si="459"/>
        <v>51.1434</v>
      </c>
      <c r="BB286" s="244">
        <f t="shared" si="460"/>
        <v>51.5754</v>
      </c>
      <c r="BC286" s="269">
        <f t="shared" si="461"/>
        <v>7.507336245</v>
      </c>
      <c r="BD286" s="132">
        <f t="shared" si="462"/>
        <v>6.63228514</v>
      </c>
      <c r="BE286" s="135" t="s">
        <v>1139</v>
      </c>
      <c r="BF286" s="134"/>
      <c r="BG286" s="49"/>
      <c r="BH286" s="246">
        <f t="shared" si="324"/>
        <v>29.55563788</v>
      </c>
      <c r="BI286" s="246">
        <f t="shared" si="325"/>
        <v>17.73338273</v>
      </c>
      <c r="BJ286" s="246">
        <f t="shared" si="326"/>
        <v>14.77781894</v>
      </c>
      <c r="BK286" s="246">
        <f t="shared" si="327"/>
        <v>11.82225515</v>
      </c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</row>
    <row r="287" ht="14.25" customHeight="1">
      <c r="A287" s="103" t="s">
        <v>84</v>
      </c>
      <c r="B287" s="103" t="s">
        <v>85</v>
      </c>
      <c r="C287" s="103" t="s">
        <v>120</v>
      </c>
      <c r="D287" s="103" t="s">
        <v>86</v>
      </c>
      <c r="E287" s="103" t="s">
        <v>1158</v>
      </c>
      <c r="F287" s="104" t="s">
        <v>1158</v>
      </c>
      <c r="G287" s="106" t="s">
        <v>1159</v>
      </c>
      <c r="H287" s="110"/>
      <c r="I287" s="107"/>
      <c r="J287" s="220" t="s">
        <v>1160</v>
      </c>
      <c r="K287" s="220" t="str">
        <f>_xlfn.XLOOKUP(J287,[1]Sheet1!$A:$A,[1]Sheet1!$B:$B,"")</f>
        <v>#ERROR!</v>
      </c>
      <c r="L287" s="105" t="s">
        <v>1161</v>
      </c>
      <c r="M287" s="105" t="s">
        <v>1162</v>
      </c>
      <c r="N287" s="110"/>
      <c r="O287" s="104" t="s">
        <v>95</v>
      </c>
      <c r="P287" s="110"/>
      <c r="Q287" s="103" t="s">
        <v>554</v>
      </c>
      <c r="R287" s="110" t="s">
        <v>1163</v>
      </c>
      <c r="S287" s="110">
        <v>240.0</v>
      </c>
      <c r="T287" s="251" t="s">
        <v>1164</v>
      </c>
      <c r="U287" s="134" t="s">
        <v>509</v>
      </c>
      <c r="V287" s="279">
        <v>0.017</v>
      </c>
      <c r="W287" s="113">
        <v>45.0</v>
      </c>
      <c r="X287" s="113">
        <v>45.0</v>
      </c>
      <c r="Y287" s="113">
        <v>55.0</v>
      </c>
      <c r="Z287" s="113" t="s">
        <v>699</v>
      </c>
      <c r="AA287" s="114">
        <f t="shared" si="432"/>
        <v>5.228210803</v>
      </c>
      <c r="AB287" s="115"/>
      <c r="AC287" s="212">
        <f t="shared" si="433"/>
        <v>5.067101407</v>
      </c>
      <c r="AD287" s="213">
        <f t="shared" si="244"/>
        <v>5.448496137</v>
      </c>
      <c r="AE287" s="212"/>
      <c r="AF287" s="212" t="str">
        <f t="shared" si="94"/>
        <v>#REF!</v>
      </c>
      <c r="AG287" s="210" t="str">
        <f t="shared" si="95"/>
        <v>#REF!</v>
      </c>
      <c r="AH287" s="120" t="str">
        <f t="shared" si="96"/>
        <v>#REF!</v>
      </c>
      <c r="AI287" s="121">
        <f t="shared" si="237"/>
        <v>0.1</v>
      </c>
      <c r="AJ287" s="121">
        <v>0.1</v>
      </c>
      <c r="AK287" s="122">
        <v>0.25</v>
      </c>
      <c r="AL287" s="123">
        <f t="shared" si="11"/>
        <v>1.266775352</v>
      </c>
      <c r="AM287" s="122" t="s">
        <v>10</v>
      </c>
      <c r="AN287" s="125">
        <f t="shared" si="434"/>
        <v>5.067101407</v>
      </c>
      <c r="AO287" s="112">
        <f t="shared" si="435"/>
        <v>0.25</v>
      </c>
      <c r="AP287" s="127"/>
      <c r="AQ287" s="128">
        <f t="shared" ref="AQ287:AR287" si="468">BC287/(1-AI287)</f>
        <v>4.240659874</v>
      </c>
      <c r="AR287" s="139">
        <f t="shared" si="468"/>
        <v>4.222584506</v>
      </c>
      <c r="AS287" s="126">
        <f t="shared" si="437"/>
        <v>0.1888888889</v>
      </c>
      <c r="AT287" s="126">
        <f t="shared" si="438"/>
        <v>0.1666666667</v>
      </c>
      <c r="AU287" s="129"/>
      <c r="AV287" s="39" t="s">
        <v>510</v>
      </c>
      <c r="AW287" s="214"/>
      <c r="AX287" s="214"/>
      <c r="AY287" s="214"/>
      <c r="AZ287" s="214">
        <v>2.72</v>
      </c>
      <c r="BA287" s="214">
        <v>23.5</v>
      </c>
      <c r="BB287" s="130">
        <f t="shared" si="460"/>
        <v>26.22</v>
      </c>
      <c r="BC287" s="131">
        <f t="shared" si="461"/>
        <v>3.816593886</v>
      </c>
      <c r="BD287" s="132">
        <f t="shared" si="462"/>
        <v>3.800326055</v>
      </c>
      <c r="BE287" s="215"/>
      <c r="BF287" s="134"/>
      <c r="BG287" s="49"/>
      <c r="BH287" s="212">
        <f t="shared" si="324"/>
        <v>16.89033802</v>
      </c>
      <c r="BI287" s="212">
        <f t="shared" si="325"/>
        <v>10.13420281</v>
      </c>
      <c r="BJ287" s="212">
        <f t="shared" si="326"/>
        <v>8.445169012</v>
      </c>
      <c r="BK287" s="212">
        <f t="shared" si="327"/>
        <v>6.756135209</v>
      </c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</row>
    <row r="288" ht="14.25" customHeight="1">
      <c r="A288" s="105" t="s">
        <v>84</v>
      </c>
      <c r="B288" s="103" t="s">
        <v>85</v>
      </c>
      <c r="C288" s="103" t="s">
        <v>85</v>
      </c>
      <c r="D288" s="105" t="s">
        <v>86</v>
      </c>
      <c r="E288" s="105" t="s">
        <v>1158</v>
      </c>
      <c r="F288" s="105" t="s">
        <v>1158</v>
      </c>
      <c r="G288" s="106" t="s">
        <v>1159</v>
      </c>
      <c r="H288" s="110"/>
      <c r="I288" s="107"/>
      <c r="J288" s="220" t="s">
        <v>1165</v>
      </c>
      <c r="K288" s="220" t="str">
        <f>_xlfn.XLOOKUP(J288,[1]Sheet1!$A:$A,[1]Sheet1!$B:$B,"")</f>
        <v>#ERROR!</v>
      </c>
      <c r="L288" s="105" t="s">
        <v>1166</v>
      </c>
      <c r="M288" s="105" t="s">
        <v>1167</v>
      </c>
      <c r="N288" s="110"/>
      <c r="O288" s="104" t="s">
        <v>95</v>
      </c>
      <c r="P288" s="110"/>
      <c r="Q288" s="103" t="s">
        <v>554</v>
      </c>
      <c r="R288" s="110" t="s">
        <v>1163</v>
      </c>
      <c r="S288" s="110">
        <v>240.0</v>
      </c>
      <c r="T288" s="251" t="s">
        <v>1168</v>
      </c>
      <c r="U288" s="134" t="s">
        <v>509</v>
      </c>
      <c r="V288" s="279">
        <v>0.017</v>
      </c>
      <c r="W288" s="113">
        <v>45.0</v>
      </c>
      <c r="X288" s="113">
        <v>45.0</v>
      </c>
      <c r="Y288" s="113">
        <v>55.0</v>
      </c>
      <c r="Z288" s="113" t="s">
        <v>699</v>
      </c>
      <c r="AA288" s="114">
        <f t="shared" si="432"/>
        <v>5.971964667</v>
      </c>
      <c r="AB288" s="115"/>
      <c r="AC288" s="212">
        <f t="shared" si="433"/>
        <v>5.708904078</v>
      </c>
      <c r="AD288" s="213">
        <f t="shared" si="244"/>
        <v>6.138606535</v>
      </c>
      <c r="AE288" s="212"/>
      <c r="AF288" s="212" t="str">
        <f t="shared" si="94"/>
        <v>#REF!</v>
      </c>
      <c r="AG288" s="210" t="str">
        <f t="shared" si="95"/>
        <v>#REF!</v>
      </c>
      <c r="AH288" s="120" t="str">
        <f t="shared" si="96"/>
        <v>#REF!</v>
      </c>
      <c r="AI288" s="121">
        <f t="shared" si="237"/>
        <v>0.1</v>
      </c>
      <c r="AJ288" s="121">
        <v>0.1</v>
      </c>
      <c r="AK288" s="122">
        <v>0.25</v>
      </c>
      <c r="AL288" s="123">
        <f t="shared" si="11"/>
        <v>1.427226019</v>
      </c>
      <c r="AM288" s="122" t="s">
        <v>10</v>
      </c>
      <c r="AN288" s="125">
        <f t="shared" si="434"/>
        <v>5.708904078</v>
      </c>
      <c r="AO288" s="112">
        <f t="shared" si="435"/>
        <v>0.25</v>
      </c>
      <c r="AP288" s="127"/>
      <c r="AQ288" s="128">
        <f t="shared" ref="AQ288:AR288" si="469">BC288/(1-AI288)</f>
        <v>4.843926896</v>
      </c>
      <c r="AR288" s="139">
        <f t="shared" si="469"/>
        <v>4.757420065</v>
      </c>
      <c r="AS288" s="126">
        <f t="shared" si="437"/>
        <v>0.1888888889</v>
      </c>
      <c r="AT288" s="126">
        <f t="shared" si="438"/>
        <v>0.1666666667</v>
      </c>
      <c r="AU288" s="129"/>
      <c r="AV288" s="39" t="s">
        <v>510</v>
      </c>
      <c r="AW288" s="214"/>
      <c r="AX288" s="217"/>
      <c r="AY288" s="217"/>
      <c r="AZ288" s="214">
        <v>2.72</v>
      </c>
      <c r="BA288" s="214">
        <f>26.8+0.43</f>
        <v>27.23</v>
      </c>
      <c r="BB288" s="130">
        <f t="shared" si="460"/>
        <v>29.95</v>
      </c>
      <c r="BC288" s="131">
        <f t="shared" si="461"/>
        <v>4.359534207</v>
      </c>
      <c r="BD288" s="132">
        <f t="shared" si="462"/>
        <v>4.281678058</v>
      </c>
      <c r="BE288" s="215"/>
      <c r="BF288" s="264"/>
      <c r="BG288" s="280">
        <f>BB288+8.8</f>
        <v>38.75</v>
      </c>
      <c r="BH288" s="212">
        <f t="shared" si="324"/>
        <v>19.02968026</v>
      </c>
      <c r="BI288" s="212">
        <f t="shared" si="325"/>
        <v>11.41780816</v>
      </c>
      <c r="BJ288" s="212">
        <f t="shared" si="326"/>
        <v>9.51484013</v>
      </c>
      <c r="BK288" s="212">
        <f t="shared" si="327"/>
        <v>7.611872104</v>
      </c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</row>
    <row r="289" ht="14.25" customHeight="1">
      <c r="A289" s="103" t="s">
        <v>84</v>
      </c>
      <c r="B289" s="103" t="s">
        <v>85</v>
      </c>
      <c r="C289" s="103" t="s">
        <v>85</v>
      </c>
      <c r="D289" s="103" t="s">
        <v>86</v>
      </c>
      <c r="E289" s="103" t="s">
        <v>1158</v>
      </c>
      <c r="F289" s="104" t="s">
        <v>1158</v>
      </c>
      <c r="G289" s="106" t="s">
        <v>1159</v>
      </c>
      <c r="H289" s="110"/>
      <c r="I289" s="107"/>
      <c r="J289" s="220" t="s">
        <v>1169</v>
      </c>
      <c r="K289" s="220" t="str">
        <f>_xlfn.XLOOKUP(J289,[1]Sheet1!$A:$A,[1]Sheet1!$B:$B,"")</f>
        <v>#ERROR!</v>
      </c>
      <c r="L289" s="105" t="s">
        <v>1170</v>
      </c>
      <c r="M289" s="105" t="s">
        <v>1171</v>
      </c>
      <c r="N289" s="110"/>
      <c r="O289" s="104" t="s">
        <v>95</v>
      </c>
      <c r="P289" s="110"/>
      <c r="Q289" s="103" t="s">
        <v>554</v>
      </c>
      <c r="R289" s="110" t="s">
        <v>1163</v>
      </c>
      <c r="S289" s="110">
        <v>240.0</v>
      </c>
      <c r="T289" s="251" t="s">
        <v>1172</v>
      </c>
      <c r="U289" s="134" t="s">
        <v>509</v>
      </c>
      <c r="V289" s="279">
        <v>0.017</v>
      </c>
      <c r="W289" s="113">
        <v>45.0</v>
      </c>
      <c r="X289" s="113">
        <v>45.0</v>
      </c>
      <c r="Y289" s="113">
        <v>55.0</v>
      </c>
      <c r="Z289" s="113" t="s">
        <v>699</v>
      </c>
      <c r="AA289" s="114">
        <f t="shared" si="432"/>
        <v>6.216044447</v>
      </c>
      <c r="AB289" s="115"/>
      <c r="AC289" s="212">
        <f t="shared" si="433"/>
        <v>5.930720702</v>
      </c>
      <c r="AD289" s="213">
        <f t="shared" si="244"/>
        <v>6.377119034</v>
      </c>
      <c r="AE289" s="212"/>
      <c r="AF289" s="212" t="str">
        <f t="shared" si="94"/>
        <v>#REF!</v>
      </c>
      <c r="AG289" s="210" t="str">
        <f t="shared" si="95"/>
        <v>#REF!</v>
      </c>
      <c r="AH289" s="120" t="str">
        <f t="shared" si="96"/>
        <v>#REF!</v>
      </c>
      <c r="AI289" s="121">
        <f t="shared" si="237"/>
        <v>0.1</v>
      </c>
      <c r="AJ289" s="121">
        <v>0.1</v>
      </c>
      <c r="AK289" s="122">
        <v>0.27</v>
      </c>
      <c r="AL289" s="123">
        <f t="shared" si="11"/>
        <v>1.601294589</v>
      </c>
      <c r="AM289" s="122" t="s">
        <v>10</v>
      </c>
      <c r="AN289" s="125">
        <f t="shared" si="434"/>
        <v>5.930720702</v>
      </c>
      <c r="AO289" s="112">
        <f t="shared" si="435"/>
        <v>0.27</v>
      </c>
      <c r="AP289" s="127"/>
      <c r="AQ289" s="128">
        <f t="shared" ref="AQ289:AR289" si="470">BC289/(1-AI289)</f>
        <v>4.903768397</v>
      </c>
      <c r="AR289" s="139">
        <f t="shared" si="470"/>
        <v>4.810473458</v>
      </c>
      <c r="AS289" s="126">
        <f t="shared" si="437"/>
        <v>0.2111111111</v>
      </c>
      <c r="AT289" s="126">
        <f t="shared" si="438"/>
        <v>0.1888888889</v>
      </c>
      <c r="AU289" s="129"/>
      <c r="AV289" s="39" t="s">
        <v>510</v>
      </c>
      <c r="AW289" s="214"/>
      <c r="AX289" s="214"/>
      <c r="AY289" s="214"/>
      <c r="AZ289" s="214">
        <v>2.72</v>
      </c>
      <c r="BA289" s="214">
        <v>27.6</v>
      </c>
      <c r="BB289" s="140">
        <f t="shared" si="460"/>
        <v>30.32</v>
      </c>
      <c r="BC289" s="131">
        <f t="shared" si="461"/>
        <v>4.413391557</v>
      </c>
      <c r="BD289" s="132">
        <f t="shared" si="462"/>
        <v>4.329426112</v>
      </c>
      <c r="BE289" s="2"/>
      <c r="BF289" s="264"/>
      <c r="BG289" s="281"/>
      <c r="BH289" s="212">
        <f t="shared" si="324"/>
        <v>19.76906901</v>
      </c>
      <c r="BI289" s="212">
        <f t="shared" si="325"/>
        <v>11.8614414</v>
      </c>
      <c r="BJ289" s="212">
        <f t="shared" si="326"/>
        <v>9.884534503</v>
      </c>
      <c r="BK289" s="212">
        <f t="shared" si="327"/>
        <v>7.907627602</v>
      </c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</row>
    <row r="290" ht="14.25" customHeight="1">
      <c r="A290" s="103" t="s">
        <v>84</v>
      </c>
      <c r="B290" s="103" t="s">
        <v>120</v>
      </c>
      <c r="C290" s="103" t="s">
        <v>120</v>
      </c>
      <c r="D290" s="103" t="s">
        <v>86</v>
      </c>
      <c r="E290" s="103" t="s">
        <v>1158</v>
      </c>
      <c r="F290" s="104" t="s">
        <v>1158</v>
      </c>
      <c r="G290" s="106" t="s">
        <v>1159</v>
      </c>
      <c r="H290" s="110"/>
      <c r="I290" s="107"/>
      <c r="J290" s="220" t="s">
        <v>1173</v>
      </c>
      <c r="K290" s="220" t="str">
        <f>_xlfn.XLOOKUP(J290,[1]Sheet1!$A:$A,[1]Sheet1!$B:$B,"")</f>
        <v>#ERROR!</v>
      </c>
      <c r="L290" s="105" t="s">
        <v>1174</v>
      </c>
      <c r="M290" s="282" t="s">
        <v>1175</v>
      </c>
      <c r="N290" s="110"/>
      <c r="O290" s="104" t="s">
        <v>95</v>
      </c>
      <c r="P290" s="110"/>
      <c r="Q290" s="103" t="s">
        <v>554</v>
      </c>
      <c r="R290" s="110" t="s">
        <v>1176</v>
      </c>
      <c r="S290" s="110">
        <v>240.0</v>
      </c>
      <c r="T290" s="251" t="s">
        <v>1177</v>
      </c>
      <c r="U290" s="134" t="s">
        <v>509</v>
      </c>
      <c r="V290" s="279">
        <v>0.017</v>
      </c>
      <c r="W290" s="113">
        <v>45.0</v>
      </c>
      <c r="X290" s="113">
        <v>45.0</v>
      </c>
      <c r="Y290" s="113">
        <v>55.0</v>
      </c>
      <c r="Z290" s="113" t="s">
        <v>699</v>
      </c>
      <c r="AA290" s="114">
        <f t="shared" si="432"/>
        <v>6.392000506</v>
      </c>
      <c r="AB290" s="115"/>
      <c r="AC290" s="212">
        <f t="shared" si="433"/>
        <v>6.094148079</v>
      </c>
      <c r="AD290" s="213">
        <f t="shared" si="244"/>
        <v>6.552847397</v>
      </c>
      <c r="AE290" s="212"/>
      <c r="AF290" s="212" t="str">
        <f t="shared" si="94"/>
        <v>#REF!</v>
      </c>
      <c r="AG290" s="210" t="str">
        <f t="shared" si="95"/>
        <v>#REF!</v>
      </c>
      <c r="AH290" s="120" t="str">
        <f t="shared" si="96"/>
        <v>#REF!</v>
      </c>
      <c r="AI290" s="121">
        <v>0.1</v>
      </c>
      <c r="AJ290" s="121">
        <v>0.1</v>
      </c>
      <c r="AK290" s="122">
        <v>0.29</v>
      </c>
      <c r="AL290" s="123">
        <f t="shared" si="11"/>
        <v>1.767302943</v>
      </c>
      <c r="AM290" s="122" t="s">
        <v>10</v>
      </c>
      <c r="AN290" s="125">
        <f t="shared" si="434"/>
        <v>6.094148079</v>
      </c>
      <c r="AO290" s="112">
        <f t="shared" si="435"/>
        <v>0.29</v>
      </c>
      <c r="AP290" s="127"/>
      <c r="AQ290" s="128">
        <f t="shared" ref="AQ290:AR290" si="471">BC290/(1-AI290)</f>
        <v>4.900533721</v>
      </c>
      <c r="AR290" s="139">
        <f t="shared" si="471"/>
        <v>4.807605707</v>
      </c>
      <c r="AS290" s="126">
        <f t="shared" si="437"/>
        <v>0.2333333333</v>
      </c>
      <c r="AT290" s="126">
        <f t="shared" si="438"/>
        <v>0.2111111111</v>
      </c>
      <c r="AU290" s="129">
        <v>4.69</v>
      </c>
      <c r="AV290" s="283" t="s">
        <v>510</v>
      </c>
      <c r="AW290" s="214"/>
      <c r="AX290" s="214"/>
      <c r="AY290" s="214"/>
      <c r="AZ290" s="214">
        <v>0.5</v>
      </c>
      <c r="BA290" s="214">
        <v>29.8</v>
      </c>
      <c r="BB290" s="130">
        <f t="shared" si="460"/>
        <v>30.3</v>
      </c>
      <c r="BC290" s="131">
        <f t="shared" si="461"/>
        <v>4.410480349</v>
      </c>
      <c r="BD290" s="132">
        <f t="shared" si="462"/>
        <v>4.326845136</v>
      </c>
      <c r="BE290" s="2" t="s">
        <v>1178</v>
      </c>
      <c r="BF290" s="264"/>
      <c r="BG290" s="49"/>
      <c r="BH290" s="212">
        <f t="shared" si="324"/>
        <v>20.31382693</v>
      </c>
      <c r="BI290" s="212">
        <f t="shared" si="325"/>
        <v>12.18829616</v>
      </c>
      <c r="BJ290" s="212">
        <f t="shared" si="326"/>
        <v>10.15691347</v>
      </c>
      <c r="BK290" s="212">
        <f t="shared" si="327"/>
        <v>8.125530773</v>
      </c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</row>
    <row r="291" ht="14.25" customHeight="1">
      <c r="A291" s="103" t="s">
        <v>84</v>
      </c>
      <c r="B291" s="103" t="s">
        <v>120</v>
      </c>
      <c r="C291" s="103" t="s">
        <v>120</v>
      </c>
      <c r="D291" s="103" t="s">
        <v>86</v>
      </c>
      <c r="E291" s="103" t="s">
        <v>1158</v>
      </c>
      <c r="F291" s="104" t="s">
        <v>1158</v>
      </c>
      <c r="G291" s="106" t="s">
        <v>1159</v>
      </c>
      <c r="H291" s="110"/>
      <c r="I291" s="107"/>
      <c r="J291" s="220" t="s">
        <v>1179</v>
      </c>
      <c r="K291" s="220" t="str">
        <f>_xlfn.XLOOKUP(J291,[1]Sheet1!$A:$A,[1]Sheet1!$B:$B,"")</f>
        <v>#ERROR!</v>
      </c>
      <c r="L291" s="105" t="s">
        <v>1180</v>
      </c>
      <c r="M291" s="105" t="s">
        <v>1181</v>
      </c>
      <c r="N291" s="110"/>
      <c r="O291" s="104" t="s">
        <v>95</v>
      </c>
      <c r="P291" s="110"/>
      <c r="Q291" s="103" t="s">
        <v>554</v>
      </c>
      <c r="R291" s="110" t="s">
        <v>1176</v>
      </c>
      <c r="S291" s="110">
        <v>320.0</v>
      </c>
      <c r="T291" s="251" t="s">
        <v>1182</v>
      </c>
      <c r="U291" s="134" t="s">
        <v>509</v>
      </c>
      <c r="V291" s="279">
        <v>0.017</v>
      </c>
      <c r="W291" s="113">
        <v>45.0</v>
      </c>
      <c r="X291" s="113">
        <v>45.0</v>
      </c>
      <c r="Y291" s="113">
        <v>55.0</v>
      </c>
      <c r="Z291" s="113" t="s">
        <v>699</v>
      </c>
      <c r="AA291" s="114">
        <f t="shared" si="432"/>
        <v>14.04350411</v>
      </c>
      <c r="AB291" s="115"/>
      <c r="AC291" s="212">
        <f t="shared" si="433"/>
        <v>12.53745536</v>
      </c>
      <c r="AD291" s="213">
        <f t="shared" si="244"/>
        <v>13.4811348</v>
      </c>
      <c r="AE291" s="212"/>
      <c r="AF291" s="212" t="str">
        <f t="shared" si="94"/>
        <v>#REF!</v>
      </c>
      <c r="AG291" s="210" t="str">
        <f t="shared" si="95"/>
        <v>#REF!</v>
      </c>
      <c r="AH291" s="120" t="str">
        <f t="shared" si="96"/>
        <v>#REF!</v>
      </c>
      <c r="AI291" s="121">
        <v>0.1</v>
      </c>
      <c r="AJ291" s="121">
        <v>0.1</v>
      </c>
      <c r="AK291" s="122">
        <v>0.27</v>
      </c>
      <c r="AL291" s="123">
        <f t="shared" si="11"/>
        <v>3.385112948</v>
      </c>
      <c r="AM291" s="122" t="s">
        <v>10</v>
      </c>
      <c r="AN291" s="125">
        <f t="shared" si="434"/>
        <v>12.53745536</v>
      </c>
      <c r="AO291" s="112">
        <f t="shared" si="435"/>
        <v>0.27</v>
      </c>
      <c r="AP291" s="127"/>
      <c r="AQ291" s="128">
        <f t="shared" ref="AQ291:AR291" si="472">BC291/(1-AI291)</f>
        <v>11.07876435</v>
      </c>
      <c r="AR291" s="139">
        <f t="shared" si="472"/>
        <v>10.16926935</v>
      </c>
      <c r="AS291" s="126">
        <f t="shared" si="437"/>
        <v>0.2111111111</v>
      </c>
      <c r="AT291" s="126">
        <f t="shared" si="438"/>
        <v>0.1888888889</v>
      </c>
      <c r="AU291" s="129"/>
      <c r="AV291" s="39" t="s">
        <v>510</v>
      </c>
      <c r="AW291" s="214"/>
      <c r="AX291" s="214"/>
      <c r="AY291" s="214"/>
      <c r="AZ291" s="214"/>
      <c r="BA291" s="214">
        <v>68.5</v>
      </c>
      <c r="BB291" s="130">
        <f t="shared" si="460"/>
        <v>68.5</v>
      </c>
      <c r="BC291" s="131">
        <f t="shared" si="461"/>
        <v>9.970887918</v>
      </c>
      <c r="BD291" s="132">
        <f t="shared" si="462"/>
        <v>9.152342415</v>
      </c>
      <c r="BE291" s="2"/>
      <c r="BF291" s="264"/>
      <c r="BG291" s="49"/>
      <c r="BH291" s="212">
        <f t="shared" si="324"/>
        <v>41.79151788</v>
      </c>
      <c r="BI291" s="212">
        <f t="shared" si="325"/>
        <v>25.07491073</v>
      </c>
      <c r="BJ291" s="212">
        <f t="shared" si="326"/>
        <v>20.89575894</v>
      </c>
      <c r="BK291" s="212">
        <f t="shared" si="327"/>
        <v>16.71660715</v>
      </c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</row>
    <row r="292" ht="14.25" customHeight="1">
      <c r="A292" s="105" t="s">
        <v>84</v>
      </c>
      <c r="B292" s="103" t="s">
        <v>85</v>
      </c>
      <c r="C292" s="103" t="s">
        <v>120</v>
      </c>
      <c r="D292" s="105" t="s">
        <v>86</v>
      </c>
      <c r="E292" s="105" t="s">
        <v>1158</v>
      </c>
      <c r="F292" s="105" t="s">
        <v>1158</v>
      </c>
      <c r="G292" s="106" t="s">
        <v>581</v>
      </c>
      <c r="H292" s="110"/>
      <c r="I292" s="107"/>
      <c r="J292" s="220" t="s">
        <v>1183</v>
      </c>
      <c r="K292" s="220" t="str">
        <f>_xlfn.XLOOKUP(J292,[1]Sheet1!$A:$A,[1]Sheet1!$B:$B,"")</f>
        <v>#ERROR!</v>
      </c>
      <c r="L292" s="105" t="s">
        <v>1184</v>
      </c>
      <c r="M292" s="105" t="s">
        <v>1185</v>
      </c>
      <c r="N292" s="110"/>
      <c r="O292" s="104" t="s">
        <v>95</v>
      </c>
      <c r="P292" s="110"/>
      <c r="Q292" s="103" t="s">
        <v>554</v>
      </c>
      <c r="R292" s="110" t="s">
        <v>1176</v>
      </c>
      <c r="S292" s="110">
        <v>240.0</v>
      </c>
      <c r="T292" s="251" t="e">
        <v>#N/A</v>
      </c>
      <c r="U292" s="134" t="s">
        <v>509</v>
      </c>
      <c r="V292" s="279">
        <v>0.017</v>
      </c>
      <c r="W292" s="113">
        <v>45.0</v>
      </c>
      <c r="X292" s="113">
        <v>45.0</v>
      </c>
      <c r="Y292" s="113">
        <v>55.0</v>
      </c>
      <c r="Z292" s="113" t="s">
        <v>699</v>
      </c>
      <c r="AA292" s="114">
        <f t="shared" si="432"/>
        <v>6.962228308</v>
      </c>
      <c r="AB292" s="115"/>
      <c r="AC292" s="212">
        <f t="shared" si="433"/>
        <v>6.653153515</v>
      </c>
      <c r="AD292" s="213">
        <f t="shared" si="244"/>
        <v>7.153928511</v>
      </c>
      <c r="AE292" s="212"/>
      <c r="AF292" s="212" t="str">
        <f t="shared" si="94"/>
        <v>#REF!</v>
      </c>
      <c r="AG292" s="210" t="str">
        <f t="shared" si="95"/>
        <v>#REF!</v>
      </c>
      <c r="AH292" s="120" t="str">
        <f t="shared" si="96"/>
        <v>#REF!</v>
      </c>
      <c r="AI292" s="121">
        <f t="shared" ref="AI292:AI299" si="474">AJ292</f>
        <v>0.1</v>
      </c>
      <c r="AJ292" s="121">
        <v>0.1</v>
      </c>
      <c r="AK292" s="122">
        <v>0.39</v>
      </c>
      <c r="AL292" s="123">
        <f t="shared" si="11"/>
        <v>2.594729871</v>
      </c>
      <c r="AM292" s="122" t="str">
        <f>VLOOKUP(J292,'[3]PO &amp; SC March 2024'!$F$11:$AA$197,20,FALSE)</f>
        <v>#REF!</v>
      </c>
      <c r="AN292" s="125">
        <f t="shared" si="434"/>
        <v>6.653153515</v>
      </c>
      <c r="AO292" s="112">
        <f t="shared" si="435"/>
        <v>0.39</v>
      </c>
      <c r="AP292" s="127"/>
      <c r="AQ292" s="128">
        <f t="shared" ref="AQ292:AR292" si="473">BC292/(1-AI292)</f>
        <v>4.564127446</v>
      </c>
      <c r="AR292" s="139">
        <f t="shared" si="473"/>
        <v>4.509359605</v>
      </c>
      <c r="AS292" s="126">
        <f t="shared" si="437"/>
        <v>0.3444444444</v>
      </c>
      <c r="AT292" s="126">
        <f t="shared" si="438"/>
        <v>0.3222222222</v>
      </c>
      <c r="AU292" s="129"/>
      <c r="AV292" s="39" t="s">
        <v>510</v>
      </c>
      <c r="AW292" s="214"/>
      <c r="AX292" s="217"/>
      <c r="AY292" s="217"/>
      <c r="AZ292" s="214">
        <v>2.72</v>
      </c>
      <c r="BA292" s="214">
        <v>25.5</v>
      </c>
      <c r="BB292" s="130">
        <f t="shared" si="460"/>
        <v>28.22</v>
      </c>
      <c r="BC292" s="131">
        <f t="shared" si="461"/>
        <v>4.107714702</v>
      </c>
      <c r="BD292" s="132">
        <f t="shared" si="462"/>
        <v>4.058423644</v>
      </c>
      <c r="BE292" s="215"/>
      <c r="BF292" s="264"/>
      <c r="BG292" s="49"/>
      <c r="BH292" s="212">
        <f t="shared" si="324"/>
        <v>22.17717838</v>
      </c>
      <c r="BI292" s="212">
        <f t="shared" si="325"/>
        <v>13.30630703</v>
      </c>
      <c r="BJ292" s="212">
        <f t="shared" si="326"/>
        <v>11.08858919</v>
      </c>
      <c r="BK292" s="212">
        <f t="shared" si="327"/>
        <v>8.870871353</v>
      </c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</row>
    <row r="293" ht="14.25" customHeight="1">
      <c r="A293" s="103" t="s">
        <v>84</v>
      </c>
      <c r="B293" s="103" t="s">
        <v>85</v>
      </c>
      <c r="C293" s="103" t="s">
        <v>85</v>
      </c>
      <c r="D293" s="103" t="s">
        <v>86</v>
      </c>
      <c r="E293" s="103" t="s">
        <v>1158</v>
      </c>
      <c r="F293" s="104" t="s">
        <v>1158</v>
      </c>
      <c r="G293" s="106" t="s">
        <v>790</v>
      </c>
      <c r="H293" s="110"/>
      <c r="I293" s="107"/>
      <c r="J293" s="220" t="s">
        <v>1186</v>
      </c>
      <c r="K293" s="220" t="str">
        <f>_xlfn.XLOOKUP(J293,[1]Sheet1!$A:$A,[1]Sheet1!$B:$B,"")</f>
        <v>#ERROR!</v>
      </c>
      <c r="L293" s="105" t="s">
        <v>1187</v>
      </c>
      <c r="M293" s="105" t="s">
        <v>1188</v>
      </c>
      <c r="N293" s="110"/>
      <c r="O293" s="104" t="s">
        <v>95</v>
      </c>
      <c r="P293" s="110"/>
      <c r="Q293" s="103" t="s">
        <v>554</v>
      </c>
      <c r="R293" s="110" t="s">
        <v>1176</v>
      </c>
      <c r="S293" s="110">
        <v>256.0</v>
      </c>
      <c r="T293" s="284" t="e">
        <v>#N/A</v>
      </c>
      <c r="U293" s="134" t="s">
        <v>509</v>
      </c>
      <c r="V293" s="279">
        <v>0.017</v>
      </c>
      <c r="W293" s="113">
        <v>45.0</v>
      </c>
      <c r="X293" s="113">
        <v>45.0</v>
      </c>
      <c r="Y293" s="113">
        <v>55.0</v>
      </c>
      <c r="Z293" s="113" t="s">
        <v>699</v>
      </c>
      <c r="AA293" s="114">
        <f t="shared" si="432"/>
        <v>8.881651987</v>
      </c>
      <c r="AB293" s="115"/>
      <c r="AC293" s="212">
        <f t="shared" si="433"/>
        <v>8.256363275</v>
      </c>
      <c r="AD293" s="213">
        <f t="shared" si="244"/>
        <v>8.877809973</v>
      </c>
      <c r="AE293" s="212"/>
      <c r="AF293" s="212" t="str">
        <f t="shared" si="94"/>
        <v>#REF!</v>
      </c>
      <c r="AG293" s="210" t="str">
        <f t="shared" si="95"/>
        <v>#REF!</v>
      </c>
      <c r="AH293" s="120" t="str">
        <f t="shared" si="96"/>
        <v>#REF!</v>
      </c>
      <c r="AI293" s="121">
        <f t="shared" si="474"/>
        <v>0.1</v>
      </c>
      <c r="AJ293" s="121">
        <v>0.1</v>
      </c>
      <c r="AK293" s="122">
        <v>0.39</v>
      </c>
      <c r="AL293" s="123">
        <f t="shared" si="11"/>
        <v>3.219981677</v>
      </c>
      <c r="AM293" s="122" t="s">
        <v>10</v>
      </c>
      <c r="AN293" s="125">
        <f t="shared" si="434"/>
        <v>8.256363275</v>
      </c>
      <c r="AO293" s="112">
        <f t="shared" si="435"/>
        <v>0.39</v>
      </c>
      <c r="AP293" s="127"/>
      <c r="AQ293" s="128">
        <f t="shared" ref="AQ293:AR293" si="475">BC293/(1-AI293)</f>
        <v>5.822416303</v>
      </c>
      <c r="AR293" s="139">
        <f t="shared" si="475"/>
        <v>5.595979553</v>
      </c>
      <c r="AS293" s="126">
        <f t="shared" si="437"/>
        <v>0.3444444444</v>
      </c>
      <c r="AT293" s="126">
        <f t="shared" si="438"/>
        <v>0.3222222222</v>
      </c>
      <c r="AU293" s="129"/>
      <c r="AV293" s="39" t="s">
        <v>603</v>
      </c>
      <c r="AW293" s="214"/>
      <c r="AX293" s="214"/>
      <c r="AY293" s="214"/>
      <c r="AZ293" s="214"/>
      <c r="BA293" s="214">
        <v>36.0</v>
      </c>
      <c r="BB293" s="130">
        <f t="shared" si="460"/>
        <v>36</v>
      </c>
      <c r="BC293" s="131">
        <f t="shared" si="461"/>
        <v>5.240174672</v>
      </c>
      <c r="BD293" s="132">
        <f t="shared" si="462"/>
        <v>5.036381598</v>
      </c>
      <c r="BE293" s="39"/>
      <c r="BF293" s="264"/>
      <c r="BG293" s="49"/>
      <c r="BH293" s="212">
        <f t="shared" si="324"/>
        <v>27.52121092</v>
      </c>
      <c r="BI293" s="212">
        <f t="shared" si="325"/>
        <v>16.51272655</v>
      </c>
      <c r="BJ293" s="212">
        <f t="shared" si="326"/>
        <v>13.76060546</v>
      </c>
      <c r="BK293" s="212">
        <f t="shared" si="327"/>
        <v>11.00848437</v>
      </c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</row>
    <row r="294" ht="14.25" customHeight="1">
      <c r="A294" s="103" t="s">
        <v>84</v>
      </c>
      <c r="B294" s="103" t="s">
        <v>120</v>
      </c>
      <c r="C294" s="103" t="s">
        <v>120</v>
      </c>
      <c r="D294" s="103" t="s">
        <v>86</v>
      </c>
      <c r="E294" s="103" t="s">
        <v>1158</v>
      </c>
      <c r="F294" s="104" t="s">
        <v>1158</v>
      </c>
      <c r="G294" s="106" t="s">
        <v>1159</v>
      </c>
      <c r="H294" s="110"/>
      <c r="I294" s="107"/>
      <c r="J294" s="220" t="s">
        <v>1189</v>
      </c>
      <c r="K294" s="220" t="str">
        <f>_xlfn.XLOOKUP(J294,[1]Sheet1!$A:$A,[1]Sheet1!$B:$B,"")</f>
        <v>#ERROR!</v>
      </c>
      <c r="L294" s="105" t="s">
        <v>1190</v>
      </c>
      <c r="M294" s="105" t="s">
        <v>1167</v>
      </c>
      <c r="N294" s="110"/>
      <c r="O294" s="104" t="s">
        <v>95</v>
      </c>
      <c r="P294" s="110"/>
      <c r="Q294" s="103" t="s">
        <v>554</v>
      </c>
      <c r="R294" s="110" t="s">
        <v>1176</v>
      </c>
      <c r="S294" s="110">
        <v>240.0</v>
      </c>
      <c r="T294" s="251" t="s">
        <v>1182</v>
      </c>
      <c r="U294" s="134" t="s">
        <v>509</v>
      </c>
      <c r="V294" s="279">
        <v>0.017</v>
      </c>
      <c r="W294" s="113">
        <v>45.0</v>
      </c>
      <c r="X294" s="113">
        <v>45.0</v>
      </c>
      <c r="Y294" s="113">
        <v>55.0</v>
      </c>
      <c r="Z294" s="113" t="s">
        <v>699</v>
      </c>
      <c r="AA294" s="114">
        <f t="shared" si="432"/>
        <v>6.718984031</v>
      </c>
      <c r="AB294" s="115"/>
      <c r="AC294" s="212">
        <f t="shared" si="433"/>
        <v>6.375874321</v>
      </c>
      <c r="AD294" s="213">
        <f t="shared" si="244"/>
        <v>6.855778839</v>
      </c>
      <c r="AE294" s="212"/>
      <c r="AF294" s="212" t="str">
        <f t="shared" si="94"/>
        <v>#REF!</v>
      </c>
      <c r="AG294" s="210" t="str">
        <f t="shared" si="95"/>
        <v>#REF!</v>
      </c>
      <c r="AH294" s="120" t="str">
        <f t="shared" si="96"/>
        <v>#REF!</v>
      </c>
      <c r="AI294" s="121">
        <f t="shared" si="474"/>
        <v>0.1</v>
      </c>
      <c r="AJ294" s="121">
        <v>0.1</v>
      </c>
      <c r="AK294" s="122">
        <v>0.29000000000000004</v>
      </c>
      <c r="AL294" s="123">
        <f t="shared" si="11"/>
        <v>1.849003553</v>
      </c>
      <c r="AM294" s="122" t="s">
        <v>10</v>
      </c>
      <c r="AN294" s="125">
        <f t="shared" si="434"/>
        <v>6.375874321</v>
      </c>
      <c r="AO294" s="112">
        <f t="shared" si="435"/>
        <v>0.29</v>
      </c>
      <c r="AP294" s="127"/>
      <c r="AQ294" s="128">
        <f t="shared" ref="AQ294:AR294" si="476">BC294/(1-AI294)</f>
        <v>5.15122109</v>
      </c>
      <c r="AR294" s="139">
        <f t="shared" si="476"/>
        <v>5.029856409</v>
      </c>
      <c r="AS294" s="126">
        <f t="shared" si="437"/>
        <v>0.2333333333</v>
      </c>
      <c r="AT294" s="126">
        <f t="shared" si="438"/>
        <v>0.2111111111</v>
      </c>
      <c r="AU294" s="129">
        <v>4.34</v>
      </c>
      <c r="AV294" s="39" t="s">
        <v>510</v>
      </c>
      <c r="AW294" s="214"/>
      <c r="AX294" s="214"/>
      <c r="AY294" s="214"/>
      <c r="AZ294" s="214">
        <v>0.5</v>
      </c>
      <c r="BA294" s="214">
        <v>31.35</v>
      </c>
      <c r="BB294" s="130">
        <f t="shared" si="460"/>
        <v>31.85</v>
      </c>
      <c r="BC294" s="131">
        <f t="shared" si="461"/>
        <v>4.636098981</v>
      </c>
      <c r="BD294" s="132">
        <f t="shared" si="462"/>
        <v>4.526870768</v>
      </c>
      <c r="BE294" s="2" t="s">
        <v>1191</v>
      </c>
      <c r="BF294" s="264"/>
      <c r="BG294" s="49"/>
      <c r="BH294" s="212">
        <f t="shared" si="324"/>
        <v>21.2529144</v>
      </c>
      <c r="BI294" s="212">
        <f t="shared" si="325"/>
        <v>12.75174864</v>
      </c>
      <c r="BJ294" s="212">
        <f t="shared" si="326"/>
        <v>10.6264572</v>
      </c>
      <c r="BK294" s="212">
        <f t="shared" si="327"/>
        <v>8.501165761</v>
      </c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</row>
    <row r="295" ht="14.25" customHeight="1">
      <c r="A295" s="105" t="s">
        <v>84</v>
      </c>
      <c r="B295" s="103" t="s">
        <v>85</v>
      </c>
      <c r="C295" s="103" t="s">
        <v>85</v>
      </c>
      <c r="D295" s="105" t="s">
        <v>86</v>
      </c>
      <c r="E295" s="105" t="s">
        <v>1158</v>
      </c>
      <c r="F295" s="105" t="s">
        <v>1158</v>
      </c>
      <c r="G295" s="106" t="s">
        <v>581</v>
      </c>
      <c r="H295" s="110"/>
      <c r="I295" s="107"/>
      <c r="J295" s="220" t="s">
        <v>1192</v>
      </c>
      <c r="K295" s="220" t="str">
        <f>_xlfn.XLOOKUP(J295,[1]Sheet1!$A:$A,[1]Sheet1!$B:$B,"")</f>
        <v>#ERROR!</v>
      </c>
      <c r="L295" s="105" t="s">
        <v>1193</v>
      </c>
      <c r="M295" s="105" t="s">
        <v>1194</v>
      </c>
      <c r="N295" s="110"/>
      <c r="O295" s="104" t="s">
        <v>95</v>
      </c>
      <c r="P295" s="110"/>
      <c r="Q295" s="103" t="s">
        <v>554</v>
      </c>
      <c r="R295" s="110" t="s">
        <v>1176</v>
      </c>
      <c r="S295" s="110">
        <v>240.0</v>
      </c>
      <c r="T295" s="251" t="e">
        <v>#N/A</v>
      </c>
      <c r="U295" s="134" t="s">
        <v>509</v>
      </c>
      <c r="V295" s="279">
        <v>0.017</v>
      </c>
      <c r="W295" s="113">
        <v>45.0</v>
      </c>
      <c r="X295" s="113">
        <v>45.0</v>
      </c>
      <c r="Y295" s="113">
        <v>55.0</v>
      </c>
      <c r="Z295" s="113" t="s">
        <v>699</v>
      </c>
      <c r="AA295" s="114">
        <f t="shared" si="432"/>
        <v>12.63633103</v>
      </c>
      <c r="AB295" s="115"/>
      <c r="AC295" s="212">
        <f t="shared" si="433"/>
        <v>11.47421049</v>
      </c>
      <c r="AD295" s="213">
        <f t="shared" si="244"/>
        <v>12.33786075</v>
      </c>
      <c r="AE295" s="212"/>
      <c r="AF295" s="212" t="str">
        <f t="shared" si="94"/>
        <v>#REF!</v>
      </c>
      <c r="AG295" s="210" t="str">
        <f t="shared" si="95"/>
        <v>#REF!</v>
      </c>
      <c r="AH295" s="120" t="str">
        <f t="shared" si="96"/>
        <v>#REF!</v>
      </c>
      <c r="AI295" s="121">
        <f t="shared" si="474"/>
        <v>0.1</v>
      </c>
      <c r="AJ295" s="121">
        <v>0.1</v>
      </c>
      <c r="AK295" s="122">
        <v>0.29000000000000004</v>
      </c>
      <c r="AL295" s="123">
        <f t="shared" si="11"/>
        <v>3.327521043</v>
      </c>
      <c r="AM295" s="122" t="s">
        <v>10</v>
      </c>
      <c r="AN295" s="125">
        <f t="shared" si="434"/>
        <v>11.47421049</v>
      </c>
      <c r="AO295" s="112">
        <f t="shared" si="435"/>
        <v>0.29</v>
      </c>
      <c r="AP295" s="127"/>
      <c r="AQ295" s="128">
        <f t="shared" ref="AQ295:AR295" si="477">BC295/(1-AI295)</f>
        <v>9.687853793</v>
      </c>
      <c r="AR295" s="139">
        <f t="shared" si="477"/>
        <v>9.051877167</v>
      </c>
      <c r="AS295" s="126">
        <f t="shared" si="437"/>
        <v>0.2333333333</v>
      </c>
      <c r="AT295" s="126">
        <f t="shared" si="438"/>
        <v>0.2111111111</v>
      </c>
      <c r="AU295" s="129"/>
      <c r="AV295" s="39" t="s">
        <v>510</v>
      </c>
      <c r="AW295" s="214"/>
      <c r="AX295" s="217"/>
      <c r="AY295" s="217"/>
      <c r="AZ295" s="217"/>
      <c r="BA295" s="214">
        <v>59.9</v>
      </c>
      <c r="BB295" s="130">
        <f t="shared" si="460"/>
        <v>59.9</v>
      </c>
      <c r="BC295" s="131">
        <f t="shared" si="461"/>
        <v>8.719068413</v>
      </c>
      <c r="BD295" s="132">
        <f t="shared" si="462"/>
        <v>8.14668945</v>
      </c>
      <c r="BE295" s="173" t="s">
        <v>1195</v>
      </c>
      <c r="BF295" s="264"/>
      <c r="BG295" s="49"/>
      <c r="BH295" s="212">
        <f t="shared" si="324"/>
        <v>38.24736831</v>
      </c>
      <c r="BI295" s="212">
        <f t="shared" si="325"/>
        <v>22.94842099</v>
      </c>
      <c r="BJ295" s="212">
        <f t="shared" si="326"/>
        <v>19.12368416</v>
      </c>
      <c r="BK295" s="212">
        <f t="shared" si="327"/>
        <v>15.29894732</v>
      </c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</row>
    <row r="296" ht="14.25" customHeight="1">
      <c r="A296" s="103" t="s">
        <v>84</v>
      </c>
      <c r="B296" s="103" t="s">
        <v>120</v>
      </c>
      <c r="C296" s="103" t="s">
        <v>120</v>
      </c>
      <c r="D296" s="103" t="s">
        <v>86</v>
      </c>
      <c r="E296" s="103" t="s">
        <v>1158</v>
      </c>
      <c r="F296" s="104" t="s">
        <v>1158</v>
      </c>
      <c r="G296" s="106" t="s">
        <v>1159</v>
      </c>
      <c r="H296" s="110"/>
      <c r="I296" s="107"/>
      <c r="J296" s="220" t="s">
        <v>1196</v>
      </c>
      <c r="K296" s="220" t="str">
        <f>_xlfn.XLOOKUP(J296,[1]Sheet1!$A:$A,[1]Sheet1!$B:$B,"")</f>
        <v>#ERROR!</v>
      </c>
      <c r="L296" s="105" t="s">
        <v>1197</v>
      </c>
      <c r="M296" s="105" t="s">
        <v>1198</v>
      </c>
      <c r="N296" s="110"/>
      <c r="O296" s="104" t="s">
        <v>95</v>
      </c>
      <c r="P296" s="110"/>
      <c r="Q296" s="103" t="s">
        <v>554</v>
      </c>
      <c r="R296" s="110" t="s">
        <v>1176</v>
      </c>
      <c r="S296" s="110">
        <v>240.0</v>
      </c>
      <c r="T296" s="251" t="e">
        <v>#N/A</v>
      </c>
      <c r="U296" s="134" t="s">
        <v>509</v>
      </c>
      <c r="V296" s="279">
        <v>0.017</v>
      </c>
      <c r="W296" s="113">
        <v>45.0</v>
      </c>
      <c r="X296" s="113">
        <v>45.0</v>
      </c>
      <c r="Y296" s="113">
        <v>55.0</v>
      </c>
      <c r="Z296" s="113" t="s">
        <v>699</v>
      </c>
      <c r="AA296" s="114">
        <f t="shared" si="432"/>
        <v>9.830601439</v>
      </c>
      <c r="AB296" s="115"/>
      <c r="AC296" s="212">
        <f t="shared" si="433"/>
        <v>9.056817584</v>
      </c>
      <c r="AD296" s="213">
        <f t="shared" si="244"/>
        <v>9.738513531</v>
      </c>
      <c r="AE296" s="212"/>
      <c r="AF296" s="212" t="str">
        <f t="shared" si="94"/>
        <v>#REF!</v>
      </c>
      <c r="AG296" s="210" t="str">
        <f t="shared" si="95"/>
        <v>#REF!</v>
      </c>
      <c r="AH296" s="120" t="str">
        <f t="shared" si="96"/>
        <v>#REF!</v>
      </c>
      <c r="AI296" s="121">
        <f t="shared" si="474"/>
        <v>0.1</v>
      </c>
      <c r="AJ296" s="121">
        <v>0.1</v>
      </c>
      <c r="AK296" s="122">
        <v>0.29000000000000004</v>
      </c>
      <c r="AL296" s="123">
        <f t="shared" si="11"/>
        <v>2.626477099</v>
      </c>
      <c r="AM296" s="122" t="s">
        <v>10</v>
      </c>
      <c r="AN296" s="125">
        <f t="shared" si="434"/>
        <v>9.056817584</v>
      </c>
      <c r="AO296" s="112">
        <f t="shared" si="435"/>
        <v>0.29</v>
      </c>
      <c r="AP296" s="127"/>
      <c r="AQ296" s="128">
        <f t="shared" ref="AQ296:AR296" si="478">BC296/(1-AI296)</f>
        <v>7.536794436</v>
      </c>
      <c r="AR296" s="139">
        <f t="shared" si="478"/>
        <v>7.144822761</v>
      </c>
      <c r="AS296" s="126">
        <f t="shared" si="437"/>
        <v>0.2333333333</v>
      </c>
      <c r="AT296" s="126">
        <f t="shared" si="438"/>
        <v>0.2111111111</v>
      </c>
      <c r="AU296" s="129">
        <v>7.25</v>
      </c>
      <c r="AV296" s="39" t="s">
        <v>510</v>
      </c>
      <c r="AW296" s="214"/>
      <c r="AX296" s="214"/>
      <c r="AY296" s="214"/>
      <c r="AZ296" s="214"/>
      <c r="BA296" s="214">
        <v>46.6</v>
      </c>
      <c r="BB296" s="130">
        <f t="shared" si="460"/>
        <v>46.6</v>
      </c>
      <c r="BC296" s="131">
        <f t="shared" si="461"/>
        <v>6.783114993</v>
      </c>
      <c r="BD296" s="132">
        <f t="shared" si="462"/>
        <v>6.430340485</v>
      </c>
      <c r="BE296" s="173" t="s">
        <v>1199</v>
      </c>
      <c r="BF296" s="264"/>
      <c r="BG296" s="49"/>
      <c r="BH296" s="212">
        <f t="shared" si="324"/>
        <v>30.18939195</v>
      </c>
      <c r="BI296" s="212">
        <f t="shared" si="325"/>
        <v>18.11363517</v>
      </c>
      <c r="BJ296" s="212">
        <f t="shared" si="326"/>
        <v>15.09469597</v>
      </c>
      <c r="BK296" s="212">
        <f t="shared" si="327"/>
        <v>12.07575678</v>
      </c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</row>
    <row r="297" ht="14.25" customHeight="1">
      <c r="A297" s="105" t="s">
        <v>84</v>
      </c>
      <c r="B297" s="103" t="s">
        <v>85</v>
      </c>
      <c r="C297" s="103" t="s">
        <v>120</v>
      </c>
      <c r="D297" s="105" t="s">
        <v>86</v>
      </c>
      <c r="E297" s="105" t="s">
        <v>1158</v>
      </c>
      <c r="F297" s="105" t="s">
        <v>1158</v>
      </c>
      <c r="G297" s="106" t="s">
        <v>581</v>
      </c>
      <c r="H297" s="110"/>
      <c r="I297" s="107"/>
      <c r="J297" s="220" t="s">
        <v>1200</v>
      </c>
      <c r="K297" s="220" t="str">
        <f>_xlfn.XLOOKUP(J297,[1]Sheet1!$A:$A,[1]Sheet1!$B:$B,"")</f>
        <v>#ERROR!</v>
      </c>
      <c r="L297" s="105" t="s">
        <v>1201</v>
      </c>
      <c r="M297" s="105" t="s">
        <v>1202</v>
      </c>
      <c r="N297" s="110"/>
      <c r="O297" s="104" t="s">
        <v>95</v>
      </c>
      <c r="P297" s="110"/>
      <c r="Q297" s="103" t="s">
        <v>554</v>
      </c>
      <c r="R297" s="110" t="s">
        <v>1176</v>
      </c>
      <c r="S297" s="110">
        <v>240.0</v>
      </c>
      <c r="T297" s="251" t="e">
        <v>#N/A</v>
      </c>
      <c r="U297" s="134" t="s">
        <v>509</v>
      </c>
      <c r="V297" s="279">
        <v>0.017</v>
      </c>
      <c r="W297" s="113">
        <v>45.0</v>
      </c>
      <c r="X297" s="113">
        <v>45.0</v>
      </c>
      <c r="Y297" s="113">
        <v>55.0</v>
      </c>
      <c r="Z297" s="113" t="s">
        <v>699</v>
      </c>
      <c r="AA297" s="114">
        <f t="shared" si="432"/>
        <v>15.06145884</v>
      </c>
      <c r="AB297" s="115"/>
      <c r="AC297" s="212">
        <f t="shared" si="433"/>
        <v>13.55513763</v>
      </c>
      <c r="AD297" s="213">
        <f t="shared" si="244"/>
        <v>14.57541681</v>
      </c>
      <c r="AE297" s="212"/>
      <c r="AF297" s="212" t="str">
        <f t="shared" si="94"/>
        <v>#REF!</v>
      </c>
      <c r="AG297" s="210" t="str">
        <f t="shared" si="95"/>
        <v>#REF!</v>
      </c>
      <c r="AH297" s="120" t="str">
        <f t="shared" si="96"/>
        <v>#REF!</v>
      </c>
      <c r="AI297" s="121">
        <f t="shared" si="474"/>
        <v>0.1</v>
      </c>
      <c r="AJ297" s="121">
        <v>0.1</v>
      </c>
      <c r="AK297" s="122">
        <v>0.26</v>
      </c>
      <c r="AL297" s="123">
        <f t="shared" si="11"/>
        <v>3.524335784</v>
      </c>
      <c r="AM297" s="122" t="s">
        <v>10</v>
      </c>
      <c r="AN297" s="125">
        <f t="shared" si="434"/>
        <v>13.55513763</v>
      </c>
      <c r="AO297" s="112">
        <f t="shared" si="435"/>
        <v>0.26</v>
      </c>
      <c r="AP297" s="127"/>
      <c r="AQ297" s="128">
        <f t="shared" ref="AQ297:AR297" si="479">BC297/(1-AI297)</f>
        <v>12.04916707</v>
      </c>
      <c r="AR297" s="139">
        <f t="shared" si="479"/>
        <v>11.14533539</v>
      </c>
      <c r="AS297" s="126">
        <f t="shared" si="437"/>
        <v>0.2</v>
      </c>
      <c r="AT297" s="126">
        <f t="shared" si="438"/>
        <v>0.1777777778</v>
      </c>
      <c r="AU297" s="129"/>
      <c r="AV297" s="39" t="s">
        <v>510</v>
      </c>
      <c r="AW297" s="214"/>
      <c r="AX297" s="217"/>
      <c r="AY297" s="217"/>
      <c r="AZ297" s="217"/>
      <c r="BA297" s="214">
        <v>74.5</v>
      </c>
      <c r="BB297" s="130">
        <f t="shared" si="460"/>
        <v>74.5</v>
      </c>
      <c r="BC297" s="131">
        <f t="shared" si="461"/>
        <v>10.84425036</v>
      </c>
      <c r="BD297" s="132">
        <f t="shared" si="462"/>
        <v>10.03080185</v>
      </c>
      <c r="BE297" s="173" t="s">
        <v>1203</v>
      </c>
      <c r="BF297" s="264"/>
      <c r="BG297" s="49"/>
      <c r="BH297" s="212">
        <f t="shared" si="324"/>
        <v>45.18379211</v>
      </c>
      <c r="BI297" s="212">
        <f t="shared" si="325"/>
        <v>27.11027526</v>
      </c>
      <c r="BJ297" s="212">
        <f t="shared" si="326"/>
        <v>22.59189605</v>
      </c>
      <c r="BK297" s="212">
        <f t="shared" si="327"/>
        <v>18.07351684</v>
      </c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</row>
    <row r="298" ht="14.25" customHeight="1">
      <c r="A298" s="105" t="s">
        <v>84</v>
      </c>
      <c r="B298" s="103" t="s">
        <v>85</v>
      </c>
      <c r="C298" s="103" t="s">
        <v>120</v>
      </c>
      <c r="D298" s="105" t="s">
        <v>86</v>
      </c>
      <c r="E298" s="105" t="s">
        <v>1158</v>
      </c>
      <c r="F298" s="105" t="s">
        <v>1158</v>
      </c>
      <c r="G298" s="106" t="s">
        <v>581</v>
      </c>
      <c r="H298" s="110"/>
      <c r="I298" s="107"/>
      <c r="J298" s="220" t="s">
        <v>1204</v>
      </c>
      <c r="K298" s="220" t="str">
        <f>_xlfn.XLOOKUP(J298,[1]Sheet1!$A:$A,[1]Sheet1!$B:$B,"")</f>
        <v>#ERROR!</v>
      </c>
      <c r="L298" s="105" t="s">
        <v>1205</v>
      </c>
      <c r="M298" s="105" t="s">
        <v>1206</v>
      </c>
      <c r="N298" s="110"/>
      <c r="O298" s="104" t="s">
        <v>95</v>
      </c>
      <c r="P298" s="110"/>
      <c r="Q298" s="103" t="s">
        <v>554</v>
      </c>
      <c r="R298" s="110" t="s">
        <v>1176</v>
      </c>
      <c r="S298" s="110">
        <v>120.0</v>
      </c>
      <c r="T298" s="251" t="e">
        <v>#N/A</v>
      </c>
      <c r="U298" s="134" t="s">
        <v>509</v>
      </c>
      <c r="V298" s="279">
        <v>0.017</v>
      </c>
      <c r="W298" s="113">
        <v>45.0</v>
      </c>
      <c r="X298" s="113">
        <v>45.0</v>
      </c>
      <c r="Y298" s="113">
        <v>55.0</v>
      </c>
      <c r="Z298" s="113" t="s">
        <v>699</v>
      </c>
      <c r="AA298" s="114">
        <f t="shared" si="432"/>
        <v>20.66553453</v>
      </c>
      <c r="AB298" s="115"/>
      <c r="AC298" s="212">
        <f t="shared" si="433"/>
        <v>18.95229878</v>
      </c>
      <c r="AD298" s="213">
        <f t="shared" si="244"/>
        <v>20.37881589</v>
      </c>
      <c r="AE298" s="212"/>
      <c r="AF298" s="212" t="str">
        <f t="shared" si="94"/>
        <v>#REF!</v>
      </c>
      <c r="AG298" s="210" t="str">
        <f t="shared" si="95"/>
        <v>#REF!</v>
      </c>
      <c r="AH298" s="120" t="str">
        <f t="shared" si="96"/>
        <v>#REF!</v>
      </c>
      <c r="AI298" s="121">
        <f t="shared" si="474"/>
        <v>0.1</v>
      </c>
      <c r="AJ298" s="121">
        <v>0.1</v>
      </c>
      <c r="AK298" s="122">
        <v>0.26</v>
      </c>
      <c r="AL298" s="123">
        <f t="shared" si="11"/>
        <v>4.927597682</v>
      </c>
      <c r="AM298" s="122" t="s">
        <v>10</v>
      </c>
      <c r="AN298" s="125">
        <f t="shared" si="434"/>
        <v>18.95229878</v>
      </c>
      <c r="AO298" s="112">
        <f t="shared" si="435"/>
        <v>0.26</v>
      </c>
      <c r="AP298" s="127"/>
      <c r="AQ298" s="128">
        <f t="shared" ref="AQ298:AR298" si="480">BC298/(1-AI298)</f>
        <v>16.53242762</v>
      </c>
      <c r="AR298" s="139">
        <f t="shared" si="480"/>
        <v>15.58300122</v>
      </c>
      <c r="AS298" s="126">
        <f t="shared" si="437"/>
        <v>0.2</v>
      </c>
      <c r="AT298" s="126">
        <f t="shared" si="438"/>
        <v>0.1777777778</v>
      </c>
      <c r="AU298" s="129"/>
      <c r="AV298" s="39" t="s">
        <v>510</v>
      </c>
      <c r="AW298" s="214"/>
      <c r="AX298" s="217"/>
      <c r="AY298" s="217"/>
      <c r="AZ298" s="217">
        <v>2.72</v>
      </c>
      <c r="BA298" s="214">
        <v>99.5</v>
      </c>
      <c r="BB298" s="130">
        <f t="shared" si="460"/>
        <v>102.22</v>
      </c>
      <c r="BC298" s="131">
        <f t="shared" si="461"/>
        <v>14.87918486</v>
      </c>
      <c r="BD298" s="132">
        <f t="shared" si="462"/>
        <v>14.02470109</v>
      </c>
      <c r="BE298" s="173" t="s">
        <v>1207</v>
      </c>
      <c r="BF298" s="264"/>
      <c r="BG298" s="49"/>
      <c r="BH298" s="212">
        <f t="shared" si="324"/>
        <v>63.17432926</v>
      </c>
      <c r="BI298" s="212">
        <f t="shared" si="325"/>
        <v>37.90459755</v>
      </c>
      <c r="BJ298" s="212">
        <f t="shared" si="326"/>
        <v>31.58716463</v>
      </c>
      <c r="BK298" s="212">
        <f t="shared" si="327"/>
        <v>25.2697317</v>
      </c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</row>
    <row r="299" ht="14.25" customHeight="1">
      <c r="A299" s="105" t="s">
        <v>84</v>
      </c>
      <c r="B299" s="103" t="s">
        <v>120</v>
      </c>
      <c r="C299" s="103" t="s">
        <v>85</v>
      </c>
      <c r="D299" s="105" t="s">
        <v>86</v>
      </c>
      <c r="E299" s="105" t="s">
        <v>1158</v>
      </c>
      <c r="F299" s="105" t="s">
        <v>1158</v>
      </c>
      <c r="G299" s="106" t="s">
        <v>581</v>
      </c>
      <c r="H299" s="110"/>
      <c r="I299" s="107"/>
      <c r="J299" s="220" t="s">
        <v>1208</v>
      </c>
      <c r="K299" s="220" t="str">
        <f>_xlfn.XLOOKUP(J299,[1]Sheet1!$A:$A,[1]Sheet1!$B:$B,"")</f>
        <v>#ERROR!</v>
      </c>
      <c r="L299" s="105" t="s">
        <v>1209</v>
      </c>
      <c r="M299" s="105" t="s">
        <v>1206</v>
      </c>
      <c r="N299" s="110"/>
      <c r="O299" s="104" t="s">
        <v>95</v>
      </c>
      <c r="P299" s="110"/>
      <c r="Q299" s="103" t="s">
        <v>554</v>
      </c>
      <c r="R299" s="110" t="s">
        <v>1176</v>
      </c>
      <c r="S299" s="110">
        <v>120.0</v>
      </c>
      <c r="T299" s="251" t="e">
        <v>#N/A</v>
      </c>
      <c r="U299" s="134" t="s">
        <v>509</v>
      </c>
      <c r="V299" s="279">
        <v>0.017</v>
      </c>
      <c r="W299" s="113">
        <v>45.0</v>
      </c>
      <c r="X299" s="113">
        <v>45.0</v>
      </c>
      <c r="Y299" s="113">
        <v>55.0</v>
      </c>
      <c r="Z299" s="113" t="s">
        <v>699</v>
      </c>
      <c r="AA299" s="114">
        <f t="shared" si="432"/>
        <v>28.10933204</v>
      </c>
      <c r="AB299" s="115"/>
      <c r="AC299" s="212">
        <f t="shared" si="433"/>
        <v>25.37334825</v>
      </c>
      <c r="AD299" s="213">
        <f t="shared" si="244"/>
        <v>27.28317016</v>
      </c>
      <c r="AE299" s="212"/>
      <c r="AF299" s="212" t="str">
        <f t="shared" si="94"/>
        <v>#REF!</v>
      </c>
      <c r="AG299" s="210" t="str">
        <f t="shared" si="95"/>
        <v>#REF!</v>
      </c>
      <c r="AH299" s="120" t="str">
        <f t="shared" si="96"/>
        <v>#REF!</v>
      </c>
      <c r="AI299" s="121">
        <f t="shared" si="474"/>
        <v>0.1</v>
      </c>
      <c r="AJ299" s="121">
        <v>0.1</v>
      </c>
      <c r="AK299" s="122">
        <v>0.26</v>
      </c>
      <c r="AL299" s="123">
        <f t="shared" si="11"/>
        <v>6.597070545</v>
      </c>
      <c r="AM299" s="122" t="s">
        <v>10</v>
      </c>
      <c r="AN299" s="125">
        <f t="shared" si="434"/>
        <v>25.37334825</v>
      </c>
      <c r="AO299" s="112">
        <f t="shared" si="435"/>
        <v>0.26</v>
      </c>
      <c r="AP299" s="127"/>
      <c r="AQ299" s="128">
        <f t="shared" ref="AQ299:AR299" si="481">BC299/(1-AI299)</f>
        <v>22.48746563</v>
      </c>
      <c r="AR299" s="139">
        <f t="shared" si="481"/>
        <v>20.86253078</v>
      </c>
      <c r="AS299" s="126">
        <f t="shared" si="437"/>
        <v>0.2</v>
      </c>
      <c r="AT299" s="126">
        <f t="shared" si="438"/>
        <v>0.1777777778</v>
      </c>
      <c r="AU299" s="129"/>
      <c r="AV299" s="39" t="s">
        <v>510</v>
      </c>
      <c r="AW299" s="214"/>
      <c r="AX299" s="217"/>
      <c r="AY299" s="217"/>
      <c r="AZ299" s="217">
        <v>2.72</v>
      </c>
      <c r="BA299" s="214">
        <f>19.2*7.1</f>
        <v>136.32</v>
      </c>
      <c r="BB299" s="130">
        <v>99.5</v>
      </c>
      <c r="BC299" s="131">
        <f t="shared" si="461"/>
        <v>20.23871907</v>
      </c>
      <c r="BD299" s="132">
        <f t="shared" si="462"/>
        <v>18.7762777</v>
      </c>
      <c r="BE299" s="173" t="s">
        <v>1210</v>
      </c>
      <c r="BF299" s="264"/>
      <c r="BG299" s="49"/>
      <c r="BH299" s="212">
        <f t="shared" si="324"/>
        <v>84.5778275</v>
      </c>
      <c r="BI299" s="212">
        <f t="shared" si="325"/>
        <v>50.7466965</v>
      </c>
      <c r="BJ299" s="212">
        <f t="shared" si="326"/>
        <v>42.28891375</v>
      </c>
      <c r="BK299" s="212">
        <f t="shared" si="327"/>
        <v>33.831131</v>
      </c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</row>
    <row r="300" ht="14.25" customHeight="1">
      <c r="A300" s="105" t="s">
        <v>84</v>
      </c>
      <c r="B300" s="103" t="s">
        <v>120</v>
      </c>
      <c r="C300" s="103" t="s">
        <v>85</v>
      </c>
      <c r="D300" s="105" t="s">
        <v>86</v>
      </c>
      <c r="E300" s="105" t="s">
        <v>1211</v>
      </c>
      <c r="F300" s="105" t="s">
        <v>1212</v>
      </c>
      <c r="G300" s="106"/>
      <c r="H300" s="110">
        <v>24.0</v>
      </c>
      <c r="I300" s="107" t="s">
        <v>1213</v>
      </c>
      <c r="J300" s="220" t="s">
        <v>1214</v>
      </c>
      <c r="K300" s="220" t="s">
        <v>1215</v>
      </c>
      <c r="L300" s="105" t="s">
        <v>1216</v>
      </c>
      <c r="M300" s="105" t="s">
        <v>1217</v>
      </c>
      <c r="N300" s="110" t="s">
        <v>201</v>
      </c>
      <c r="O300" s="104" t="s">
        <v>147</v>
      </c>
      <c r="P300" s="285">
        <v>22.3</v>
      </c>
      <c r="Q300" s="103" t="s">
        <v>96</v>
      </c>
      <c r="R300" s="110"/>
      <c r="S300" s="285">
        <v>3.0</v>
      </c>
      <c r="T300" s="284"/>
      <c r="U300" s="134" t="s">
        <v>1218</v>
      </c>
      <c r="V300" s="279">
        <v>0.0</v>
      </c>
      <c r="W300" s="113">
        <v>60.0</v>
      </c>
      <c r="X300" s="113">
        <v>14.0</v>
      </c>
      <c r="Y300" s="113">
        <v>14.0</v>
      </c>
      <c r="Z300" s="113" t="s">
        <v>148</v>
      </c>
      <c r="AA300" s="114">
        <f t="shared" ref="AA300:AA311" si="482">(BC300/(1-(AK300+2%)))*$F$6</f>
        <v>1360.310606</v>
      </c>
      <c r="AB300" s="115"/>
      <c r="AC300" s="116">
        <f t="shared" si="433"/>
        <v>1180.057545</v>
      </c>
      <c r="AD300" s="117">
        <f t="shared" si="244"/>
        <v>1268.87908</v>
      </c>
      <c r="AE300" s="116"/>
      <c r="AF300" s="116" t="str">
        <f t="shared" si="94"/>
        <v>#REF!</v>
      </c>
      <c r="AG300" s="210" t="str">
        <f t="shared" si="95"/>
        <v>#REF!</v>
      </c>
      <c r="AH300" s="120" t="str">
        <f t="shared" si="96"/>
        <v>#REF!</v>
      </c>
      <c r="AI300" s="121">
        <v>0.07</v>
      </c>
      <c r="AJ300" s="121">
        <v>0.07</v>
      </c>
      <c r="AK300" s="122">
        <v>0.32</v>
      </c>
      <c r="AL300" s="123">
        <f t="shared" si="11"/>
        <v>377.6184143</v>
      </c>
      <c r="AM300" s="122" t="s">
        <v>13</v>
      </c>
      <c r="AN300" s="178">
        <f t="shared" si="434"/>
        <v>1180.057545</v>
      </c>
      <c r="AO300" s="112">
        <f t="shared" si="435"/>
        <v>0.32</v>
      </c>
      <c r="AP300" s="127"/>
      <c r="AQ300" s="128">
        <f t="shared" ref="AQ300:AQ311" si="483">BC300/(1-AI300)*$F$6</f>
        <v>965.3817204</v>
      </c>
      <c r="AR300" s="125">
        <f t="shared" ref="AR300:AR311" si="484">BD300/(1-AJ300)</f>
        <v>862.8377747</v>
      </c>
      <c r="AS300" s="126">
        <f t="shared" si="437"/>
        <v>0.2903225806</v>
      </c>
      <c r="AT300" s="126">
        <f t="shared" si="438"/>
        <v>0.2688172043</v>
      </c>
      <c r="AU300" s="129">
        <v>845.76</v>
      </c>
      <c r="AV300" s="39" t="s">
        <v>149</v>
      </c>
      <c r="AW300" s="217"/>
      <c r="AX300" s="217"/>
      <c r="AY300" s="286">
        <v>580.0</v>
      </c>
      <c r="AZ300" s="217"/>
      <c r="BA300" s="214"/>
      <c r="BB300" s="130"/>
      <c r="BC300" s="137">
        <f t="shared" ref="BC300:BC311" si="485">AY300+($F$4-1500)/1000*P300</f>
        <v>780.7</v>
      </c>
      <c r="BD300" s="132">
        <f t="shared" ref="BD300:BD311" si="486">(AY300+($F$4-1500)/1000*P300)+($F$10/40/S300/$F$6)</f>
        <v>802.4391304</v>
      </c>
      <c r="BE300" s="173"/>
      <c r="BF300" s="264"/>
      <c r="BG300" s="49"/>
      <c r="BH300" s="118">
        <f t="shared" si="324"/>
        <v>3933.525149</v>
      </c>
      <c r="BI300" s="118">
        <f t="shared" si="325"/>
        <v>2360.11509</v>
      </c>
      <c r="BJ300" s="118">
        <f t="shared" si="326"/>
        <v>1966.762575</v>
      </c>
      <c r="BK300" s="118">
        <f t="shared" si="327"/>
        <v>1573.41006</v>
      </c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</row>
    <row r="301" ht="14.25" customHeight="1">
      <c r="A301" s="105" t="s">
        <v>84</v>
      </c>
      <c r="B301" s="103" t="s">
        <v>120</v>
      </c>
      <c r="C301" s="103" t="s">
        <v>85</v>
      </c>
      <c r="D301" s="105" t="s">
        <v>86</v>
      </c>
      <c r="E301" s="105" t="s">
        <v>1211</v>
      </c>
      <c r="F301" s="105" t="s">
        <v>1212</v>
      </c>
      <c r="G301" s="106"/>
      <c r="H301" s="110">
        <v>24.0</v>
      </c>
      <c r="I301" s="107" t="s">
        <v>1219</v>
      </c>
      <c r="J301" s="220" t="s">
        <v>1220</v>
      </c>
      <c r="K301" s="220" t="s">
        <v>1221</v>
      </c>
      <c r="L301" s="105" t="s">
        <v>1222</v>
      </c>
      <c r="M301" s="105" t="s">
        <v>1223</v>
      </c>
      <c r="N301" s="110" t="s">
        <v>201</v>
      </c>
      <c r="O301" s="104" t="s">
        <v>147</v>
      </c>
      <c r="P301" s="285">
        <v>43.5</v>
      </c>
      <c r="Q301" s="103" t="s">
        <v>96</v>
      </c>
      <c r="R301" s="110"/>
      <c r="S301" s="285">
        <v>2.0</v>
      </c>
      <c r="T301" s="284"/>
      <c r="U301" s="134" t="s">
        <v>1218</v>
      </c>
      <c r="V301" s="279">
        <v>0.0</v>
      </c>
      <c r="W301" s="113">
        <v>60.0</v>
      </c>
      <c r="X301" s="113">
        <v>14.0</v>
      </c>
      <c r="Y301" s="113">
        <v>14.0</v>
      </c>
      <c r="Z301" s="113" t="s">
        <v>148</v>
      </c>
      <c r="AA301" s="114">
        <f t="shared" si="482"/>
        <v>2196.5</v>
      </c>
      <c r="AB301" s="115"/>
      <c r="AC301" s="116">
        <f t="shared" si="433"/>
        <v>1901.65477</v>
      </c>
      <c r="AD301" s="117">
        <f t="shared" si="244"/>
        <v>2044.790075</v>
      </c>
      <c r="AE301" s="116"/>
      <c r="AF301" s="116" t="str">
        <f t="shared" si="94"/>
        <v>#REF!</v>
      </c>
      <c r="AG301" s="210" t="str">
        <f t="shared" si="95"/>
        <v>#REF!</v>
      </c>
      <c r="AH301" s="120" t="str">
        <f t="shared" si="96"/>
        <v>#REF!</v>
      </c>
      <c r="AI301" s="121">
        <v>0.07</v>
      </c>
      <c r="AJ301" s="121">
        <v>0.07</v>
      </c>
      <c r="AK301" s="122">
        <v>0.33</v>
      </c>
      <c r="AL301" s="123">
        <f t="shared" si="11"/>
        <v>627.546074</v>
      </c>
      <c r="AM301" s="122" t="s">
        <v>13</v>
      </c>
      <c r="AN301" s="178">
        <f t="shared" si="434"/>
        <v>1901.65477</v>
      </c>
      <c r="AO301" s="112">
        <f t="shared" si="435"/>
        <v>0.33</v>
      </c>
      <c r="AP301" s="127"/>
      <c r="AQ301" s="128">
        <f t="shared" si="483"/>
        <v>1535.188172</v>
      </c>
      <c r="AR301" s="125">
        <f t="shared" si="484"/>
        <v>1370.00935</v>
      </c>
      <c r="AS301" s="126">
        <f t="shared" si="437"/>
        <v>0.3010752688</v>
      </c>
      <c r="AT301" s="126">
        <f t="shared" si="438"/>
        <v>0.2795698925</v>
      </c>
      <c r="AU301" s="129"/>
      <c r="AV301" s="39" t="s">
        <v>149</v>
      </c>
      <c r="AW301" s="217"/>
      <c r="AX301" s="217"/>
      <c r="AY301" s="286">
        <v>850.0</v>
      </c>
      <c r="AZ301" s="217"/>
      <c r="BA301" s="214"/>
      <c r="BB301" s="130"/>
      <c r="BC301" s="137">
        <f t="shared" si="485"/>
        <v>1241.5</v>
      </c>
      <c r="BD301" s="132">
        <f t="shared" si="486"/>
        <v>1274.108696</v>
      </c>
      <c r="BE301" s="173"/>
      <c r="BF301" s="264"/>
      <c r="BG301" s="49"/>
      <c r="BH301" s="118">
        <f t="shared" si="324"/>
        <v>6338.849232</v>
      </c>
      <c r="BI301" s="118">
        <f t="shared" si="325"/>
        <v>3803.309539</v>
      </c>
      <c r="BJ301" s="118">
        <f t="shared" si="326"/>
        <v>3169.424616</v>
      </c>
      <c r="BK301" s="118">
        <f t="shared" si="327"/>
        <v>2535.539693</v>
      </c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</row>
    <row r="302" ht="14.25" customHeight="1">
      <c r="A302" s="105" t="s">
        <v>84</v>
      </c>
      <c r="B302" s="103" t="s">
        <v>120</v>
      </c>
      <c r="C302" s="103" t="s">
        <v>85</v>
      </c>
      <c r="D302" s="105" t="s">
        <v>86</v>
      </c>
      <c r="E302" s="105" t="s">
        <v>1211</v>
      </c>
      <c r="F302" s="105" t="s">
        <v>1212</v>
      </c>
      <c r="G302" s="106"/>
      <c r="H302" s="110">
        <v>24.0</v>
      </c>
      <c r="I302" s="107" t="s">
        <v>1224</v>
      </c>
      <c r="J302" s="220" t="s">
        <v>1225</v>
      </c>
      <c r="K302" s="220" t="s">
        <v>1226</v>
      </c>
      <c r="L302" s="105" t="s">
        <v>1227</v>
      </c>
      <c r="M302" s="105" t="s">
        <v>1228</v>
      </c>
      <c r="N302" s="110" t="s">
        <v>201</v>
      </c>
      <c r="O302" s="104" t="s">
        <v>147</v>
      </c>
      <c r="P302" s="285">
        <v>64.9</v>
      </c>
      <c r="Q302" s="103" t="s">
        <v>96</v>
      </c>
      <c r="R302" s="110"/>
      <c r="S302" s="285">
        <v>2.0</v>
      </c>
      <c r="T302" s="284"/>
      <c r="U302" s="134" t="s">
        <v>1218</v>
      </c>
      <c r="V302" s="279">
        <v>0.0</v>
      </c>
      <c r="W302" s="113">
        <v>60.0</v>
      </c>
      <c r="X302" s="113">
        <v>14.0</v>
      </c>
      <c r="Y302" s="113">
        <v>14.0</v>
      </c>
      <c r="Z302" s="113" t="s">
        <v>148</v>
      </c>
      <c r="AA302" s="114">
        <f t="shared" si="482"/>
        <v>2935.330769</v>
      </c>
      <c r="AB302" s="115"/>
      <c r="AC302" s="116">
        <f t="shared" si="433"/>
        <v>2524.938352</v>
      </c>
      <c r="AD302" s="117">
        <f t="shared" si="244"/>
        <v>2714.987475</v>
      </c>
      <c r="AE302" s="116"/>
      <c r="AF302" s="116" t="str">
        <f t="shared" si="94"/>
        <v>#REF!</v>
      </c>
      <c r="AG302" s="210" t="str">
        <f t="shared" si="95"/>
        <v>#REF!</v>
      </c>
      <c r="AH302" s="120" t="str">
        <f t="shared" si="96"/>
        <v>#REF!</v>
      </c>
      <c r="AI302" s="121">
        <v>0.07</v>
      </c>
      <c r="AJ302" s="121">
        <v>0.07</v>
      </c>
      <c r="AK302" s="122">
        <v>0.33</v>
      </c>
      <c r="AL302" s="123">
        <f t="shared" si="11"/>
        <v>833.2296561</v>
      </c>
      <c r="AM302" s="122" t="s">
        <v>13</v>
      </c>
      <c r="AN302" s="178">
        <f t="shared" si="434"/>
        <v>2524.938352</v>
      </c>
      <c r="AO302" s="112">
        <f t="shared" si="435"/>
        <v>0.33</v>
      </c>
      <c r="AP302" s="127"/>
      <c r="AQ302" s="128">
        <f t="shared" si="483"/>
        <v>2051.575269</v>
      </c>
      <c r="AR302" s="125">
        <f t="shared" si="484"/>
        <v>1819.041608</v>
      </c>
      <c r="AS302" s="126">
        <f t="shared" si="437"/>
        <v>0.3010752688</v>
      </c>
      <c r="AT302" s="126">
        <f t="shared" si="438"/>
        <v>0.2795698925</v>
      </c>
      <c r="AU302" s="129">
        <v>1789.28</v>
      </c>
      <c r="AV302" s="39" t="s">
        <v>149</v>
      </c>
      <c r="AW302" s="217"/>
      <c r="AX302" s="217"/>
      <c r="AY302" s="286">
        <v>1075.0</v>
      </c>
      <c r="AZ302" s="217"/>
      <c r="BA302" s="214"/>
      <c r="BB302" s="130"/>
      <c r="BC302" s="137">
        <f t="shared" si="485"/>
        <v>1659.1</v>
      </c>
      <c r="BD302" s="132">
        <f t="shared" si="486"/>
        <v>1691.708696</v>
      </c>
      <c r="BE302" s="173"/>
      <c r="BF302" s="264"/>
      <c r="BG302" s="49"/>
      <c r="BH302" s="118">
        <f t="shared" si="324"/>
        <v>8416.461172</v>
      </c>
      <c r="BI302" s="118">
        <f t="shared" si="325"/>
        <v>5049.876703</v>
      </c>
      <c r="BJ302" s="118">
        <f t="shared" si="326"/>
        <v>4208.230586</v>
      </c>
      <c r="BK302" s="118">
        <f t="shared" si="327"/>
        <v>3366.584469</v>
      </c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</row>
    <row r="303" ht="14.25" customHeight="1">
      <c r="A303" s="105" t="s">
        <v>84</v>
      </c>
      <c r="B303" s="103" t="s">
        <v>120</v>
      </c>
      <c r="C303" s="103" t="s">
        <v>85</v>
      </c>
      <c r="D303" s="105" t="s">
        <v>86</v>
      </c>
      <c r="E303" s="105" t="s">
        <v>1211</v>
      </c>
      <c r="F303" s="105" t="s">
        <v>1212</v>
      </c>
      <c r="G303" s="106"/>
      <c r="H303" s="110">
        <v>24.0</v>
      </c>
      <c r="I303" s="107" t="s">
        <v>1229</v>
      </c>
      <c r="J303" s="220" t="s">
        <v>1230</v>
      </c>
      <c r="K303" s="220" t="s">
        <v>1231</v>
      </c>
      <c r="L303" s="105" t="s">
        <v>1232</v>
      </c>
      <c r="M303" s="105" t="s">
        <v>1233</v>
      </c>
      <c r="N303" s="110" t="s">
        <v>201</v>
      </c>
      <c r="O303" s="104" t="s">
        <v>147</v>
      </c>
      <c r="P303" s="285">
        <v>130.3</v>
      </c>
      <c r="Q303" s="103" t="s">
        <v>96</v>
      </c>
      <c r="R303" s="110"/>
      <c r="S303" s="285">
        <v>1.0</v>
      </c>
      <c r="T303" s="284"/>
      <c r="U303" s="134" t="s">
        <v>1218</v>
      </c>
      <c r="V303" s="279">
        <v>0.0</v>
      </c>
      <c r="W303" s="113">
        <v>60.0</v>
      </c>
      <c r="X303" s="113">
        <v>14.0</v>
      </c>
      <c r="Y303" s="113">
        <v>14.0</v>
      </c>
      <c r="Z303" s="113" t="s">
        <v>148</v>
      </c>
      <c r="AA303" s="114">
        <f t="shared" si="482"/>
        <v>4992.238462</v>
      </c>
      <c r="AB303" s="115"/>
      <c r="AC303" s="116">
        <f t="shared" si="433"/>
        <v>4308.831927</v>
      </c>
      <c r="AD303" s="117">
        <f t="shared" si="244"/>
        <v>4633.15261</v>
      </c>
      <c r="AE303" s="116"/>
      <c r="AF303" s="116" t="str">
        <f t="shared" si="94"/>
        <v>#REF!</v>
      </c>
      <c r="AG303" s="210" t="str">
        <f t="shared" si="95"/>
        <v>#REF!</v>
      </c>
      <c r="AH303" s="120" t="str">
        <f t="shared" si="96"/>
        <v>#REF!</v>
      </c>
      <c r="AI303" s="121">
        <v>0.07</v>
      </c>
      <c r="AJ303" s="121">
        <v>0.07</v>
      </c>
      <c r="AK303" s="122">
        <v>0.33</v>
      </c>
      <c r="AL303" s="123">
        <f t="shared" si="11"/>
        <v>1421.914536</v>
      </c>
      <c r="AM303" s="122" t="s">
        <v>13</v>
      </c>
      <c r="AN303" s="178">
        <f t="shared" si="434"/>
        <v>4308.831927</v>
      </c>
      <c r="AO303" s="112">
        <f t="shared" si="435"/>
        <v>0.33</v>
      </c>
      <c r="AP303" s="127"/>
      <c r="AQ303" s="128">
        <f t="shared" si="483"/>
        <v>3489.198925</v>
      </c>
      <c r="AR303" s="125">
        <f t="shared" si="484"/>
        <v>3104.212249</v>
      </c>
      <c r="AS303" s="126">
        <f t="shared" si="437"/>
        <v>0.3010752688</v>
      </c>
      <c r="AT303" s="126">
        <f t="shared" si="438"/>
        <v>0.2795698925</v>
      </c>
      <c r="AU303" s="129">
        <v>3033.95</v>
      </c>
      <c r="AV303" s="39" t="s">
        <v>149</v>
      </c>
      <c r="AW303" s="217"/>
      <c r="AX303" s="217"/>
      <c r="AY303" s="286">
        <v>1649.0</v>
      </c>
      <c r="AZ303" s="217"/>
      <c r="BA303" s="214"/>
      <c r="BB303" s="130"/>
      <c r="BC303" s="137">
        <f t="shared" si="485"/>
        <v>2821.7</v>
      </c>
      <c r="BD303" s="132">
        <f t="shared" si="486"/>
        <v>2886.917391</v>
      </c>
      <c r="BE303" s="173"/>
      <c r="BF303" s="264"/>
      <c r="BG303" s="49"/>
      <c r="BH303" s="118"/>
      <c r="BI303" s="118"/>
      <c r="BJ303" s="118"/>
      <c r="BK303" s="118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</row>
    <row r="304" ht="14.25" customHeight="1">
      <c r="A304" s="105" t="s">
        <v>84</v>
      </c>
      <c r="B304" s="103" t="s">
        <v>120</v>
      </c>
      <c r="C304" s="103" t="s">
        <v>85</v>
      </c>
      <c r="D304" s="105" t="s">
        <v>86</v>
      </c>
      <c r="E304" s="105" t="s">
        <v>1211</v>
      </c>
      <c r="F304" s="105" t="s">
        <v>1212</v>
      </c>
      <c r="G304" s="106"/>
      <c r="H304" s="110">
        <v>24.0</v>
      </c>
      <c r="I304" s="107" t="s">
        <v>1234</v>
      </c>
      <c r="J304" s="220" t="s">
        <v>1235</v>
      </c>
      <c r="K304" s="220" t="str">
        <f>_xlfn.XLOOKUP(J304,[1]Sheet1!$A:$A,[1]Sheet1!$B:$B,"")</f>
        <v>#ERROR!</v>
      </c>
      <c r="L304" s="105" t="s">
        <v>1236</v>
      </c>
      <c r="M304" s="105" t="s">
        <v>1237</v>
      </c>
      <c r="N304" s="110" t="s">
        <v>201</v>
      </c>
      <c r="O304" s="104" t="s">
        <v>147</v>
      </c>
      <c r="P304" s="285">
        <v>248.3</v>
      </c>
      <c r="Q304" s="103" t="s">
        <v>96</v>
      </c>
      <c r="R304" s="110"/>
      <c r="S304" s="285">
        <v>1.0</v>
      </c>
      <c r="T304" s="284"/>
      <c r="U304" s="134" t="s">
        <v>1218</v>
      </c>
      <c r="V304" s="279">
        <v>0.0</v>
      </c>
      <c r="W304" s="113">
        <v>60.0</v>
      </c>
      <c r="X304" s="113">
        <v>14.0</v>
      </c>
      <c r="Y304" s="113">
        <v>14.0</v>
      </c>
      <c r="Z304" s="113" t="s">
        <v>148</v>
      </c>
      <c r="AA304" s="114">
        <f t="shared" si="482"/>
        <v>8801.392308</v>
      </c>
      <c r="AB304" s="115"/>
      <c r="AC304" s="116">
        <f t="shared" si="433"/>
        <v>7522.264763</v>
      </c>
      <c r="AD304" s="117">
        <f t="shared" si="244"/>
        <v>8088.456735</v>
      </c>
      <c r="AE304" s="116"/>
      <c r="AF304" s="116" t="str">
        <f t="shared" si="94"/>
        <v>#REF!</v>
      </c>
      <c r="AG304" s="210" t="str">
        <f t="shared" si="95"/>
        <v>#REF!</v>
      </c>
      <c r="AH304" s="120" t="str">
        <f t="shared" si="96"/>
        <v>#REF!</v>
      </c>
      <c r="AI304" s="121">
        <v>0.07</v>
      </c>
      <c r="AJ304" s="121">
        <v>0.07</v>
      </c>
      <c r="AK304" s="122">
        <v>0.33</v>
      </c>
      <c r="AL304" s="123">
        <f t="shared" si="11"/>
        <v>2482.347372</v>
      </c>
      <c r="AM304" s="122" t="s">
        <v>13</v>
      </c>
      <c r="AN304" s="178">
        <f t="shared" si="434"/>
        <v>7522.264763</v>
      </c>
      <c r="AO304" s="112">
        <f t="shared" si="435"/>
        <v>0.33</v>
      </c>
      <c r="AP304" s="127"/>
      <c r="AQ304" s="128">
        <f t="shared" si="483"/>
        <v>6151.510753</v>
      </c>
      <c r="AR304" s="125">
        <f t="shared" si="484"/>
        <v>5419.266012</v>
      </c>
      <c r="AS304" s="126">
        <f t="shared" si="437"/>
        <v>0.3010752688</v>
      </c>
      <c r="AT304" s="126">
        <f t="shared" si="438"/>
        <v>0.2795698925</v>
      </c>
      <c r="AU304" s="129"/>
      <c r="AV304" s="39" t="s">
        <v>149</v>
      </c>
      <c r="AW304" s="217"/>
      <c r="AX304" s="217"/>
      <c r="AY304" s="287">
        <v>2740.0</v>
      </c>
      <c r="AZ304" s="217"/>
      <c r="BA304" s="214"/>
      <c r="BB304" s="130"/>
      <c r="BC304" s="137">
        <f t="shared" si="485"/>
        <v>4974.7</v>
      </c>
      <c r="BD304" s="132">
        <f t="shared" si="486"/>
        <v>5039.917391</v>
      </c>
      <c r="BE304" s="173"/>
      <c r="BF304" s="264"/>
      <c r="BG304" s="49"/>
      <c r="BH304" s="118">
        <f t="shared" ref="BH304:BH308" si="487">AC304/0.3</f>
        <v>25074.21588</v>
      </c>
      <c r="BI304" s="118">
        <f t="shared" ref="BI304:BI308" si="488">BH304*0.6</f>
        <v>15044.52953</v>
      </c>
      <c r="BJ304" s="118">
        <f t="shared" ref="BJ304:BJ308" si="489">BH304*0.5</f>
        <v>12537.10794</v>
      </c>
      <c r="BK304" s="118">
        <f t="shared" ref="BK304:BK308" si="490">BH304*0.4</f>
        <v>10029.68635</v>
      </c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</row>
    <row r="305" ht="14.25" customHeight="1">
      <c r="A305" s="105" t="s">
        <v>84</v>
      </c>
      <c r="B305" s="103" t="s">
        <v>120</v>
      </c>
      <c r="C305" s="103" t="s">
        <v>85</v>
      </c>
      <c r="D305" s="105" t="s">
        <v>86</v>
      </c>
      <c r="E305" s="105" t="s">
        <v>1211</v>
      </c>
      <c r="F305" s="105" t="s">
        <v>1212</v>
      </c>
      <c r="G305" s="106"/>
      <c r="H305" s="110">
        <v>24.0</v>
      </c>
      <c r="I305" s="107" t="s">
        <v>1238</v>
      </c>
      <c r="J305" s="220" t="s">
        <v>1239</v>
      </c>
      <c r="K305" s="220" t="str">
        <f>_xlfn.XLOOKUP(J305,[1]Sheet1!$A:$A,[1]Sheet1!$B:$B,"")</f>
        <v>#ERROR!</v>
      </c>
      <c r="L305" s="105" t="s">
        <v>1240</v>
      </c>
      <c r="M305" s="105" t="s">
        <v>1241</v>
      </c>
      <c r="N305" s="110" t="s">
        <v>201</v>
      </c>
      <c r="O305" s="104" t="s">
        <v>147</v>
      </c>
      <c r="P305" s="285">
        <v>496.4</v>
      </c>
      <c r="Q305" s="103" t="s">
        <v>96</v>
      </c>
      <c r="R305" s="110"/>
      <c r="S305" s="285">
        <v>1.0</v>
      </c>
      <c r="T305" s="284"/>
      <c r="U305" s="134" t="s">
        <v>1218</v>
      </c>
      <c r="V305" s="279">
        <v>0.0</v>
      </c>
      <c r="W305" s="113">
        <v>60.0</v>
      </c>
      <c r="X305" s="113">
        <v>14.0</v>
      </c>
      <c r="Y305" s="113">
        <v>14.0</v>
      </c>
      <c r="Z305" s="113" t="s">
        <v>148</v>
      </c>
      <c r="AA305" s="114">
        <f t="shared" si="482"/>
        <v>16131.13846</v>
      </c>
      <c r="AB305" s="115"/>
      <c r="AC305" s="116">
        <f t="shared" si="433"/>
        <v>13705.6976</v>
      </c>
      <c r="AD305" s="117">
        <f t="shared" si="244"/>
        <v>14737.30925</v>
      </c>
      <c r="AE305" s="116"/>
      <c r="AF305" s="116" t="str">
        <f t="shared" si="94"/>
        <v>#REF!</v>
      </c>
      <c r="AG305" s="210" t="str">
        <f t="shared" si="95"/>
        <v>#REF!</v>
      </c>
      <c r="AH305" s="120" t="str">
        <f t="shared" si="96"/>
        <v>#REF!</v>
      </c>
      <c r="AI305" s="121">
        <v>0.07</v>
      </c>
      <c r="AJ305" s="121">
        <v>0.07</v>
      </c>
      <c r="AK305" s="122">
        <v>0.33</v>
      </c>
      <c r="AL305" s="123">
        <f t="shared" si="11"/>
        <v>4522.880208</v>
      </c>
      <c r="AM305" s="122" t="s">
        <v>13</v>
      </c>
      <c r="AN305" s="178">
        <f t="shared" si="434"/>
        <v>13705.6976</v>
      </c>
      <c r="AO305" s="112">
        <f t="shared" si="435"/>
        <v>0.33</v>
      </c>
      <c r="AP305" s="127"/>
      <c r="AQ305" s="128">
        <f t="shared" si="483"/>
        <v>11274.45161</v>
      </c>
      <c r="AR305" s="125">
        <f t="shared" si="484"/>
        <v>9873.997195</v>
      </c>
      <c r="AS305" s="126">
        <f t="shared" si="437"/>
        <v>0.3010752688</v>
      </c>
      <c r="AT305" s="126">
        <f t="shared" si="438"/>
        <v>0.2795698925</v>
      </c>
      <c r="AU305" s="129"/>
      <c r="AV305" s="39" t="s">
        <v>149</v>
      </c>
      <c r="AW305" s="217"/>
      <c r="AX305" s="217"/>
      <c r="AY305" s="287">
        <v>4650.0</v>
      </c>
      <c r="AZ305" s="217"/>
      <c r="BA305" s="214"/>
      <c r="BB305" s="130"/>
      <c r="BC305" s="137">
        <f t="shared" si="485"/>
        <v>9117.6</v>
      </c>
      <c r="BD305" s="132">
        <f t="shared" si="486"/>
        <v>9182.817391</v>
      </c>
      <c r="BE305" s="173"/>
      <c r="BF305" s="264"/>
      <c r="BG305" s="49"/>
      <c r="BH305" s="118">
        <f t="shared" si="487"/>
        <v>45685.65866</v>
      </c>
      <c r="BI305" s="118">
        <f t="shared" si="488"/>
        <v>27411.3952</v>
      </c>
      <c r="BJ305" s="118">
        <f t="shared" si="489"/>
        <v>22842.82933</v>
      </c>
      <c r="BK305" s="118">
        <f t="shared" si="490"/>
        <v>18274.26347</v>
      </c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</row>
    <row r="306" ht="14.25" customHeight="1">
      <c r="A306" s="105" t="s">
        <v>84</v>
      </c>
      <c r="B306" s="103" t="s">
        <v>120</v>
      </c>
      <c r="C306" s="103" t="s">
        <v>85</v>
      </c>
      <c r="D306" s="105" t="s">
        <v>86</v>
      </c>
      <c r="E306" s="105" t="s">
        <v>1211</v>
      </c>
      <c r="F306" s="105" t="s">
        <v>1212</v>
      </c>
      <c r="G306" s="106"/>
      <c r="H306" s="110">
        <v>20.0</v>
      </c>
      <c r="I306" s="107" t="s">
        <v>1242</v>
      </c>
      <c r="J306" s="220" t="s">
        <v>1243</v>
      </c>
      <c r="K306" s="220" t="str">
        <f>_xlfn.XLOOKUP(J306,[1]Sheet1!$A:$A,[1]Sheet1!$B:$B,"")</f>
        <v>#ERROR!</v>
      </c>
      <c r="L306" s="105" t="s">
        <v>1244</v>
      </c>
      <c r="M306" s="105" t="s">
        <v>1245</v>
      </c>
      <c r="N306" s="110" t="s">
        <v>201</v>
      </c>
      <c r="O306" s="104" t="s">
        <v>147</v>
      </c>
      <c r="P306" s="285">
        <v>55.1</v>
      </c>
      <c r="Q306" s="103" t="s">
        <v>96</v>
      </c>
      <c r="R306" s="110"/>
      <c r="S306" s="285">
        <v>2.0</v>
      </c>
      <c r="T306" s="284"/>
      <c r="U306" s="134" t="s">
        <v>1218</v>
      </c>
      <c r="V306" s="279">
        <v>0.0</v>
      </c>
      <c r="W306" s="113">
        <v>60.0</v>
      </c>
      <c r="X306" s="113">
        <v>14.0</v>
      </c>
      <c r="Y306" s="113">
        <v>14.0</v>
      </c>
      <c r="Z306" s="113" t="s">
        <v>148</v>
      </c>
      <c r="AA306" s="114">
        <f t="shared" si="482"/>
        <v>2284.610294</v>
      </c>
      <c r="AB306" s="115"/>
      <c r="AC306" s="116">
        <f t="shared" si="433"/>
        <v>1976.440994</v>
      </c>
      <c r="AD306" s="117">
        <f t="shared" si="244"/>
        <v>2125.20537</v>
      </c>
      <c r="AE306" s="116"/>
      <c r="AF306" s="116" t="str">
        <f t="shared" si="94"/>
        <v>#REF!</v>
      </c>
      <c r="AG306" s="210" t="str">
        <f t="shared" si="95"/>
        <v>#REF!</v>
      </c>
      <c r="AH306" s="120" t="str">
        <f t="shared" si="96"/>
        <v>#REF!</v>
      </c>
      <c r="AI306" s="121">
        <v>0.07</v>
      </c>
      <c r="AJ306" s="121">
        <v>0.07</v>
      </c>
      <c r="AK306" s="122">
        <v>0.3</v>
      </c>
      <c r="AL306" s="123">
        <f t="shared" si="11"/>
        <v>592.9322981</v>
      </c>
      <c r="AM306" s="122" t="s">
        <v>13</v>
      </c>
      <c r="AN306" s="178">
        <f t="shared" si="434"/>
        <v>1976.440994</v>
      </c>
      <c r="AO306" s="112">
        <f t="shared" si="435"/>
        <v>0.3</v>
      </c>
      <c r="AP306" s="127"/>
      <c r="AQ306" s="128">
        <f t="shared" si="483"/>
        <v>1670.467742</v>
      </c>
      <c r="AR306" s="125">
        <f t="shared" si="484"/>
        <v>1487.643759</v>
      </c>
      <c r="AS306" s="126">
        <f t="shared" si="437"/>
        <v>0.2688172043</v>
      </c>
      <c r="AT306" s="126">
        <f t="shared" si="438"/>
        <v>0.247311828</v>
      </c>
      <c r="AU306" s="129"/>
      <c r="AV306" s="39" t="s">
        <v>149</v>
      </c>
      <c r="AW306" s="217"/>
      <c r="AX306" s="217"/>
      <c r="AY306" s="286">
        <v>855.0</v>
      </c>
      <c r="AZ306" s="217"/>
      <c r="BA306" s="214"/>
      <c r="BB306" s="130"/>
      <c r="BC306" s="137">
        <f t="shared" si="485"/>
        <v>1350.9</v>
      </c>
      <c r="BD306" s="132">
        <f t="shared" si="486"/>
        <v>1383.508696</v>
      </c>
      <c r="BE306" s="173"/>
      <c r="BF306" s="264"/>
      <c r="BG306" s="49"/>
      <c r="BH306" s="118">
        <f t="shared" si="487"/>
        <v>6588.136646</v>
      </c>
      <c r="BI306" s="118">
        <f t="shared" si="488"/>
        <v>3952.881988</v>
      </c>
      <c r="BJ306" s="118">
        <f t="shared" si="489"/>
        <v>3294.068323</v>
      </c>
      <c r="BK306" s="118">
        <f t="shared" si="490"/>
        <v>2635.254658</v>
      </c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</row>
    <row r="307" ht="14.25" customHeight="1">
      <c r="A307" s="105" t="s">
        <v>84</v>
      </c>
      <c r="B307" s="103" t="s">
        <v>120</v>
      </c>
      <c r="C307" s="103" t="s">
        <v>85</v>
      </c>
      <c r="D307" s="105" t="s">
        <v>86</v>
      </c>
      <c r="E307" s="105" t="s">
        <v>1211</v>
      </c>
      <c r="F307" s="105" t="s">
        <v>1212</v>
      </c>
      <c r="G307" s="106"/>
      <c r="H307" s="110">
        <v>20.0</v>
      </c>
      <c r="I307" s="107" t="s">
        <v>1246</v>
      </c>
      <c r="J307" s="220" t="s">
        <v>1247</v>
      </c>
      <c r="K307" s="220" t="str">
        <f>_xlfn.XLOOKUP(J307,[1]Sheet1!$A:$A,[1]Sheet1!$B:$B,"")</f>
        <v>#ERROR!</v>
      </c>
      <c r="L307" s="105" t="s">
        <v>1248</v>
      </c>
      <c r="M307" s="105" t="s">
        <v>1249</v>
      </c>
      <c r="N307" s="110" t="s">
        <v>201</v>
      </c>
      <c r="O307" s="104" t="s">
        <v>147</v>
      </c>
      <c r="P307" s="285">
        <v>109.3</v>
      </c>
      <c r="Q307" s="103" t="s">
        <v>96</v>
      </c>
      <c r="R307" s="110"/>
      <c r="S307" s="285">
        <v>1.0</v>
      </c>
      <c r="T307" s="284"/>
      <c r="U307" s="134" t="s">
        <v>1218</v>
      </c>
      <c r="V307" s="279">
        <v>0.0</v>
      </c>
      <c r="W307" s="113">
        <v>60.0</v>
      </c>
      <c r="X307" s="113">
        <v>14.0</v>
      </c>
      <c r="Y307" s="113">
        <v>14.0</v>
      </c>
      <c r="Z307" s="113" t="s">
        <v>148</v>
      </c>
      <c r="AA307" s="114">
        <f t="shared" si="482"/>
        <v>3867.213235</v>
      </c>
      <c r="AB307" s="115"/>
      <c r="AC307" s="116">
        <f t="shared" si="433"/>
        <v>3359.881988</v>
      </c>
      <c r="AD307" s="117">
        <f t="shared" si="244"/>
        <v>3612.776331</v>
      </c>
      <c r="AE307" s="116"/>
      <c r="AF307" s="116" t="str">
        <f t="shared" si="94"/>
        <v>#REF!</v>
      </c>
      <c r="AG307" s="210" t="str">
        <f t="shared" si="95"/>
        <v>#REF!</v>
      </c>
      <c r="AH307" s="120" t="str">
        <f t="shared" si="96"/>
        <v>#REF!</v>
      </c>
      <c r="AI307" s="121">
        <v>0.07</v>
      </c>
      <c r="AJ307" s="121">
        <v>0.07</v>
      </c>
      <c r="AK307" s="122">
        <v>0.3</v>
      </c>
      <c r="AL307" s="123">
        <f t="shared" si="11"/>
        <v>1007.964596</v>
      </c>
      <c r="AM307" s="122" t="s">
        <v>13</v>
      </c>
      <c r="AN307" s="178">
        <f t="shared" si="434"/>
        <v>3359.881988</v>
      </c>
      <c r="AO307" s="112">
        <f t="shared" si="435"/>
        <v>0.3</v>
      </c>
      <c r="AP307" s="127"/>
      <c r="AQ307" s="128">
        <f t="shared" si="483"/>
        <v>2827.639785</v>
      </c>
      <c r="AR307" s="125">
        <f t="shared" si="484"/>
        <v>2528.943432</v>
      </c>
      <c r="AS307" s="126">
        <f t="shared" si="437"/>
        <v>0.2688172043</v>
      </c>
      <c r="AT307" s="126">
        <f t="shared" si="438"/>
        <v>0.247311828</v>
      </c>
      <c r="AU307" s="129"/>
      <c r="AV307" s="39" t="s">
        <v>149</v>
      </c>
      <c r="AW307" s="217"/>
      <c r="AX307" s="217"/>
      <c r="AY307" s="286">
        <v>1303.0</v>
      </c>
      <c r="AZ307" s="217"/>
      <c r="BA307" s="214"/>
      <c r="BB307" s="130"/>
      <c r="BC307" s="137">
        <f t="shared" si="485"/>
        <v>2286.7</v>
      </c>
      <c r="BD307" s="132">
        <f t="shared" si="486"/>
        <v>2351.917391</v>
      </c>
      <c r="BE307" s="173"/>
      <c r="BF307" s="264"/>
      <c r="BG307" s="49"/>
      <c r="BH307" s="118">
        <f t="shared" si="487"/>
        <v>11199.60663</v>
      </c>
      <c r="BI307" s="118">
        <f t="shared" si="488"/>
        <v>6719.763975</v>
      </c>
      <c r="BJ307" s="118">
        <f t="shared" si="489"/>
        <v>5599.803313</v>
      </c>
      <c r="BK307" s="118">
        <f t="shared" si="490"/>
        <v>4479.84265</v>
      </c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</row>
    <row r="308" ht="14.25" customHeight="1">
      <c r="A308" s="105" t="s">
        <v>84</v>
      </c>
      <c r="B308" s="103" t="s">
        <v>120</v>
      </c>
      <c r="C308" s="103" t="s">
        <v>85</v>
      </c>
      <c r="D308" s="105" t="s">
        <v>86</v>
      </c>
      <c r="E308" s="105" t="s">
        <v>1211</v>
      </c>
      <c r="F308" s="105" t="s">
        <v>1212</v>
      </c>
      <c r="G308" s="106"/>
      <c r="H308" s="110">
        <v>20.0</v>
      </c>
      <c r="I308" s="107" t="s">
        <v>1250</v>
      </c>
      <c r="J308" s="220" t="s">
        <v>1251</v>
      </c>
      <c r="K308" s="220" t="str">
        <f>_xlfn.XLOOKUP(J308,[1]Sheet1!$A:$A,[1]Sheet1!$B:$B,"")</f>
        <v>#ERROR!</v>
      </c>
      <c r="L308" s="105" t="s">
        <v>1252</v>
      </c>
      <c r="M308" s="105" t="s">
        <v>1253</v>
      </c>
      <c r="N308" s="110" t="s">
        <v>201</v>
      </c>
      <c r="O308" s="104" t="s">
        <v>147</v>
      </c>
      <c r="P308" s="285">
        <v>164.1</v>
      </c>
      <c r="Q308" s="103" t="s">
        <v>96</v>
      </c>
      <c r="R308" s="110"/>
      <c r="S308" s="285">
        <v>1.0</v>
      </c>
      <c r="T308" s="284"/>
      <c r="U308" s="134" t="s">
        <v>1218</v>
      </c>
      <c r="V308" s="279">
        <v>0.0</v>
      </c>
      <c r="W308" s="113">
        <v>60.0</v>
      </c>
      <c r="X308" s="113">
        <v>14.0</v>
      </c>
      <c r="Y308" s="113">
        <v>14.0</v>
      </c>
      <c r="Z308" s="113" t="s">
        <v>148</v>
      </c>
      <c r="AA308" s="114">
        <f t="shared" si="482"/>
        <v>5296.595588</v>
      </c>
      <c r="AB308" s="115"/>
      <c r="AC308" s="116">
        <f t="shared" si="433"/>
        <v>4567.310559</v>
      </c>
      <c r="AD308" s="117">
        <f t="shared" si="244"/>
        <v>4911.086623</v>
      </c>
      <c r="AE308" s="116"/>
      <c r="AF308" s="116" t="str">
        <f t="shared" si="94"/>
        <v>#REF!</v>
      </c>
      <c r="AG308" s="210" t="str">
        <f t="shared" si="95"/>
        <v>#REF!</v>
      </c>
      <c r="AH308" s="120" t="str">
        <f t="shared" si="96"/>
        <v>#REF!</v>
      </c>
      <c r="AI308" s="121">
        <v>0.07</v>
      </c>
      <c r="AJ308" s="121">
        <v>0.07</v>
      </c>
      <c r="AK308" s="122">
        <v>0.3</v>
      </c>
      <c r="AL308" s="123">
        <f t="shared" si="11"/>
        <v>1370.193168</v>
      </c>
      <c r="AM308" s="122" t="s">
        <v>13</v>
      </c>
      <c r="AN308" s="178">
        <f t="shared" si="434"/>
        <v>4567.310559</v>
      </c>
      <c r="AO308" s="112">
        <f t="shared" si="435"/>
        <v>0.3</v>
      </c>
      <c r="AP308" s="127"/>
      <c r="AQ308" s="128">
        <f t="shared" si="483"/>
        <v>3872.77957</v>
      </c>
      <c r="AR308" s="125">
        <f t="shared" si="484"/>
        <v>3437.760636</v>
      </c>
      <c r="AS308" s="126">
        <f t="shared" si="437"/>
        <v>0.2688172043</v>
      </c>
      <c r="AT308" s="126">
        <f t="shared" si="438"/>
        <v>0.247311828</v>
      </c>
      <c r="AU308" s="129"/>
      <c r="AV308" s="39" t="s">
        <v>149</v>
      </c>
      <c r="AW308" s="217"/>
      <c r="AX308" s="217"/>
      <c r="AY308" s="286">
        <v>1655.0</v>
      </c>
      <c r="AZ308" s="217"/>
      <c r="BA308" s="214"/>
      <c r="BB308" s="130"/>
      <c r="BC308" s="137">
        <f t="shared" si="485"/>
        <v>3131.9</v>
      </c>
      <c r="BD308" s="132">
        <f t="shared" si="486"/>
        <v>3197.117391</v>
      </c>
      <c r="BE308" s="173"/>
      <c r="BF308" s="264"/>
      <c r="BG308" s="49"/>
      <c r="BH308" s="118">
        <f t="shared" si="487"/>
        <v>15224.36853</v>
      </c>
      <c r="BI308" s="118">
        <f t="shared" si="488"/>
        <v>9134.621118</v>
      </c>
      <c r="BJ308" s="118">
        <f t="shared" si="489"/>
        <v>7612.184265</v>
      </c>
      <c r="BK308" s="118">
        <f t="shared" si="490"/>
        <v>6089.747412</v>
      </c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</row>
    <row r="309" ht="14.25" customHeight="1">
      <c r="A309" s="105" t="s">
        <v>84</v>
      </c>
      <c r="B309" s="103" t="s">
        <v>120</v>
      </c>
      <c r="C309" s="103" t="s">
        <v>85</v>
      </c>
      <c r="D309" s="105" t="s">
        <v>86</v>
      </c>
      <c r="E309" s="105" t="s">
        <v>1211</v>
      </c>
      <c r="F309" s="105" t="s">
        <v>1212</v>
      </c>
      <c r="G309" s="106"/>
      <c r="H309" s="110">
        <v>20.0</v>
      </c>
      <c r="I309" s="107" t="s">
        <v>1254</v>
      </c>
      <c r="J309" s="220" t="s">
        <v>1255</v>
      </c>
      <c r="K309" s="220" t="str">
        <f>_xlfn.XLOOKUP(J309,[1]Sheet1!$A:$A,[1]Sheet1!$B:$B,"")</f>
        <v>#ERROR!</v>
      </c>
      <c r="L309" s="105" t="s">
        <v>1256</v>
      </c>
      <c r="M309" s="105" t="s">
        <v>1257</v>
      </c>
      <c r="N309" s="110" t="s">
        <v>201</v>
      </c>
      <c r="O309" s="104" t="s">
        <v>147</v>
      </c>
      <c r="P309" s="285">
        <v>331.5</v>
      </c>
      <c r="Q309" s="103" t="s">
        <v>96</v>
      </c>
      <c r="R309" s="110"/>
      <c r="S309" s="285">
        <v>1.0</v>
      </c>
      <c r="T309" s="284"/>
      <c r="U309" s="134" t="s">
        <v>1218</v>
      </c>
      <c r="V309" s="279">
        <v>0.0</v>
      </c>
      <c r="W309" s="113">
        <v>60.0</v>
      </c>
      <c r="X309" s="113">
        <v>14.0</v>
      </c>
      <c r="Y309" s="113">
        <v>14.0</v>
      </c>
      <c r="Z309" s="113" t="s">
        <v>148</v>
      </c>
      <c r="AA309" s="114">
        <f t="shared" si="482"/>
        <v>10259.52206</v>
      </c>
      <c r="AB309" s="115"/>
      <c r="AC309" s="116">
        <f t="shared" si="433"/>
        <v>8759.596273</v>
      </c>
      <c r="AD309" s="117">
        <f t="shared" si="244"/>
        <v>9418.920724</v>
      </c>
      <c r="AE309" s="116"/>
      <c r="AF309" s="116" t="str">
        <f t="shared" si="94"/>
        <v>#REF!</v>
      </c>
      <c r="AG309" s="210" t="str">
        <f t="shared" si="95"/>
        <v>#REF!</v>
      </c>
      <c r="AH309" s="120" t="str">
        <f t="shared" si="96"/>
        <v>#REF!</v>
      </c>
      <c r="AI309" s="121">
        <v>0.07</v>
      </c>
      <c r="AJ309" s="121">
        <v>0.07</v>
      </c>
      <c r="AK309" s="122">
        <v>0.3</v>
      </c>
      <c r="AL309" s="123">
        <f t="shared" si="11"/>
        <v>2627.878882</v>
      </c>
      <c r="AM309" s="122" t="s">
        <v>13</v>
      </c>
      <c r="AN309" s="178">
        <f t="shared" si="434"/>
        <v>8759.596273</v>
      </c>
      <c r="AO309" s="112">
        <f t="shared" si="435"/>
        <v>0.3</v>
      </c>
      <c r="AP309" s="127"/>
      <c r="AQ309" s="128">
        <f t="shared" si="483"/>
        <v>7501.586022</v>
      </c>
      <c r="AR309" s="125">
        <f t="shared" si="484"/>
        <v>6593.244507</v>
      </c>
      <c r="AS309" s="126">
        <f t="shared" si="437"/>
        <v>0.2688172043</v>
      </c>
      <c r="AT309" s="126">
        <f t="shared" si="438"/>
        <v>0.247311828</v>
      </c>
      <c r="AU309" s="129"/>
      <c r="AV309" s="39" t="s">
        <v>149</v>
      </c>
      <c r="AW309" s="217"/>
      <c r="AX309" s="217"/>
      <c r="AY309" s="286">
        <v>3083.0</v>
      </c>
      <c r="AZ309" s="217"/>
      <c r="BA309" s="214"/>
      <c r="BB309" s="130"/>
      <c r="BC309" s="137">
        <f t="shared" si="485"/>
        <v>6066.5</v>
      </c>
      <c r="BD309" s="132">
        <f t="shared" si="486"/>
        <v>6131.717391</v>
      </c>
      <c r="BE309" s="173"/>
      <c r="BF309" s="264"/>
      <c r="BG309" s="49"/>
      <c r="BH309" s="118"/>
      <c r="BI309" s="118"/>
      <c r="BJ309" s="118"/>
      <c r="BK309" s="118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</row>
    <row r="310" ht="14.25" customHeight="1">
      <c r="A310" s="105" t="s">
        <v>84</v>
      </c>
      <c r="B310" s="103" t="s">
        <v>120</v>
      </c>
      <c r="C310" s="103" t="s">
        <v>85</v>
      </c>
      <c r="D310" s="105" t="s">
        <v>86</v>
      </c>
      <c r="E310" s="105" t="s">
        <v>1211</v>
      </c>
      <c r="F310" s="105" t="s">
        <v>1212</v>
      </c>
      <c r="G310" s="106"/>
      <c r="H310" s="110">
        <v>20.0</v>
      </c>
      <c r="I310" s="107" t="s">
        <v>1258</v>
      </c>
      <c r="J310" s="220" t="s">
        <v>1259</v>
      </c>
      <c r="K310" s="220" t="str">
        <f>_xlfn.XLOOKUP(J310,[1]Sheet1!$A:$A,[1]Sheet1!$B:$B,"")</f>
        <v>#ERROR!</v>
      </c>
      <c r="L310" s="105" t="s">
        <v>1260</v>
      </c>
      <c r="M310" s="105" t="s">
        <v>1261</v>
      </c>
      <c r="N310" s="110" t="s">
        <v>201</v>
      </c>
      <c r="O310" s="104" t="s">
        <v>147</v>
      </c>
      <c r="P310" s="285">
        <v>633.3</v>
      </c>
      <c r="Q310" s="103" t="s">
        <v>96</v>
      </c>
      <c r="R310" s="110"/>
      <c r="S310" s="285">
        <v>1.0</v>
      </c>
      <c r="T310" s="284"/>
      <c r="U310" s="134" t="s">
        <v>1218</v>
      </c>
      <c r="V310" s="279">
        <v>0.0</v>
      </c>
      <c r="W310" s="113">
        <v>60.0</v>
      </c>
      <c r="X310" s="113">
        <v>14.0</v>
      </c>
      <c r="Y310" s="113">
        <v>14.0</v>
      </c>
      <c r="Z310" s="113" t="s">
        <v>148</v>
      </c>
      <c r="AA310" s="114">
        <f t="shared" si="482"/>
        <v>17866.77206</v>
      </c>
      <c r="AB310" s="115"/>
      <c r="AC310" s="116">
        <f t="shared" si="433"/>
        <v>15185.59627</v>
      </c>
      <c r="AD310" s="117">
        <f t="shared" si="244"/>
        <v>16328.59814</v>
      </c>
      <c r="AE310" s="116"/>
      <c r="AF310" s="116" t="str">
        <f t="shared" si="94"/>
        <v>#REF!</v>
      </c>
      <c r="AG310" s="210" t="str">
        <f t="shared" si="95"/>
        <v>#REF!</v>
      </c>
      <c r="AH310" s="120" t="str">
        <f t="shared" si="96"/>
        <v>#REF!</v>
      </c>
      <c r="AI310" s="121">
        <v>0.07</v>
      </c>
      <c r="AJ310" s="121">
        <v>0.07</v>
      </c>
      <c r="AK310" s="122">
        <v>0.3</v>
      </c>
      <c r="AL310" s="123">
        <f t="shared" si="11"/>
        <v>4555.678882</v>
      </c>
      <c r="AM310" s="122" t="s">
        <v>13</v>
      </c>
      <c r="AN310" s="178">
        <f t="shared" si="434"/>
        <v>15185.59627</v>
      </c>
      <c r="AO310" s="112">
        <f t="shared" si="435"/>
        <v>0.3</v>
      </c>
      <c r="AP310" s="127"/>
      <c r="AQ310" s="128">
        <f t="shared" si="483"/>
        <v>13063.87634</v>
      </c>
      <c r="AR310" s="125">
        <f t="shared" si="484"/>
        <v>11430.0187</v>
      </c>
      <c r="AS310" s="126">
        <f t="shared" si="437"/>
        <v>0.2688172043</v>
      </c>
      <c r="AT310" s="126">
        <f t="shared" si="438"/>
        <v>0.247311828</v>
      </c>
      <c r="AU310" s="129"/>
      <c r="AV310" s="39" t="s">
        <v>149</v>
      </c>
      <c r="AW310" s="217"/>
      <c r="AX310" s="217"/>
      <c r="AY310" s="286">
        <v>4865.0</v>
      </c>
      <c r="AZ310" s="217"/>
      <c r="BA310" s="214"/>
      <c r="BB310" s="130"/>
      <c r="BC310" s="137">
        <f t="shared" si="485"/>
        <v>10564.7</v>
      </c>
      <c r="BD310" s="132">
        <f t="shared" si="486"/>
        <v>10629.91739</v>
      </c>
      <c r="BE310" s="173"/>
      <c r="BF310" s="264"/>
      <c r="BG310" s="49"/>
      <c r="BH310" s="118">
        <f t="shared" ref="BH310:BH354" si="491">AC310/0.3</f>
        <v>50618.65424</v>
      </c>
      <c r="BI310" s="118">
        <f t="shared" ref="BI310:BI432" si="492">BH310*0.6</f>
        <v>30371.19255</v>
      </c>
      <c r="BJ310" s="118">
        <f t="shared" ref="BJ310:BJ354" si="493">BH310*0.5</f>
        <v>25309.32712</v>
      </c>
      <c r="BK310" s="118">
        <f t="shared" ref="BK310:BK354" si="494">BH310*0.4</f>
        <v>20247.4617</v>
      </c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</row>
    <row r="311" ht="14.25" customHeight="1">
      <c r="A311" s="105" t="s">
        <v>84</v>
      </c>
      <c r="B311" s="103" t="s">
        <v>120</v>
      </c>
      <c r="C311" s="103" t="s">
        <v>85</v>
      </c>
      <c r="D311" s="105" t="s">
        <v>86</v>
      </c>
      <c r="E311" s="105" t="s">
        <v>1211</v>
      </c>
      <c r="F311" s="105" t="s">
        <v>1212</v>
      </c>
      <c r="G311" s="106"/>
      <c r="H311" s="110">
        <v>20.0</v>
      </c>
      <c r="I311" s="107" t="s">
        <v>1262</v>
      </c>
      <c r="J311" s="220" t="s">
        <v>1263</v>
      </c>
      <c r="K311" s="220" t="str">
        <f>_xlfn.XLOOKUP(J311,[1]Sheet1!$A:$A,[1]Sheet1!$B:$B,"")</f>
        <v>#ERROR!</v>
      </c>
      <c r="L311" s="105" t="s">
        <v>1264</v>
      </c>
      <c r="M311" s="105" t="s">
        <v>1265</v>
      </c>
      <c r="N311" s="110" t="s">
        <v>201</v>
      </c>
      <c r="O311" s="104" t="s">
        <v>147</v>
      </c>
      <c r="P311" s="285">
        <v>1265.9</v>
      </c>
      <c r="Q311" s="103" t="s">
        <v>96</v>
      </c>
      <c r="R311" s="110"/>
      <c r="S311" s="285">
        <v>1.0</v>
      </c>
      <c r="T311" s="284"/>
      <c r="U311" s="134" t="s">
        <v>1218</v>
      </c>
      <c r="V311" s="279">
        <v>0.0</v>
      </c>
      <c r="W311" s="113">
        <v>60.0</v>
      </c>
      <c r="X311" s="113">
        <v>14.0</v>
      </c>
      <c r="Y311" s="113">
        <v>14.0</v>
      </c>
      <c r="Z311" s="113" t="s">
        <v>148</v>
      </c>
      <c r="AA311" s="114">
        <f t="shared" si="482"/>
        <v>34410.53676</v>
      </c>
      <c r="AB311" s="115"/>
      <c r="AC311" s="116">
        <f t="shared" si="433"/>
        <v>29160.45342</v>
      </c>
      <c r="AD311" s="117">
        <f t="shared" si="244"/>
        <v>31355.32625</v>
      </c>
      <c r="AE311" s="116"/>
      <c r="AF311" s="116" t="str">
        <f t="shared" si="94"/>
        <v>#REF!</v>
      </c>
      <c r="AG311" s="210" t="str">
        <f t="shared" si="95"/>
        <v>#REF!</v>
      </c>
      <c r="AH311" s="120" t="str">
        <f t="shared" si="96"/>
        <v>#REF!</v>
      </c>
      <c r="AI311" s="121">
        <v>0.07</v>
      </c>
      <c r="AJ311" s="121">
        <v>0.07</v>
      </c>
      <c r="AK311" s="122">
        <v>0.3</v>
      </c>
      <c r="AL311" s="123">
        <f t="shared" si="11"/>
        <v>8748.136025</v>
      </c>
      <c r="AM311" s="122" t="s">
        <v>13</v>
      </c>
      <c r="AN311" s="178">
        <f t="shared" si="434"/>
        <v>29160.45342</v>
      </c>
      <c r="AO311" s="112">
        <f t="shared" si="435"/>
        <v>0.3</v>
      </c>
      <c r="AP311" s="127"/>
      <c r="AQ311" s="128">
        <f t="shared" si="483"/>
        <v>25160.39247</v>
      </c>
      <c r="AR311" s="125">
        <f t="shared" si="484"/>
        <v>21948.72838</v>
      </c>
      <c r="AS311" s="126">
        <f t="shared" si="437"/>
        <v>0.2688172043</v>
      </c>
      <c r="AT311" s="126">
        <f t="shared" si="438"/>
        <v>0.247311828</v>
      </c>
      <c r="AU311" s="129"/>
      <c r="AV311" s="39" t="s">
        <v>149</v>
      </c>
      <c r="AW311" s="217"/>
      <c r="AX311" s="217"/>
      <c r="AY311" s="286">
        <v>8954.0</v>
      </c>
      <c r="AZ311" s="217"/>
      <c r="BA311" s="214"/>
      <c r="BB311" s="130"/>
      <c r="BC311" s="137">
        <f t="shared" si="485"/>
        <v>20347.1</v>
      </c>
      <c r="BD311" s="132">
        <f t="shared" si="486"/>
        <v>20412.31739</v>
      </c>
      <c r="BE311" s="173"/>
      <c r="BF311" s="264"/>
      <c r="BG311" s="49"/>
      <c r="BH311" s="118">
        <f t="shared" si="491"/>
        <v>97201.51139</v>
      </c>
      <c r="BI311" s="118">
        <f t="shared" si="492"/>
        <v>58320.90683</v>
      </c>
      <c r="BJ311" s="118">
        <f t="shared" si="493"/>
        <v>48600.75569</v>
      </c>
      <c r="BK311" s="118">
        <f t="shared" si="494"/>
        <v>38880.60455</v>
      </c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</row>
    <row r="312" ht="14.25" customHeight="1">
      <c r="A312" s="103" t="s">
        <v>84</v>
      </c>
      <c r="B312" s="103" t="s">
        <v>120</v>
      </c>
      <c r="C312" s="103" t="s">
        <v>120</v>
      </c>
      <c r="D312" s="103" t="s">
        <v>1266</v>
      </c>
      <c r="E312" s="103" t="s">
        <v>1267</v>
      </c>
      <c r="F312" s="104" t="s">
        <v>1267</v>
      </c>
      <c r="G312" s="110" t="s">
        <v>1268</v>
      </c>
      <c r="H312" s="110"/>
      <c r="I312" s="107"/>
      <c r="J312" s="220" t="s">
        <v>1269</v>
      </c>
      <c r="K312" s="220" t="str">
        <f>_xlfn.XLOOKUP(J312,[1]Sheet1!$A:$A,[1]Sheet1!$B:$B,"")</f>
        <v>#ERROR!</v>
      </c>
      <c r="L312" s="103" t="s">
        <v>1270</v>
      </c>
      <c r="M312" s="103" t="s">
        <v>1271</v>
      </c>
      <c r="N312" s="110"/>
      <c r="O312" s="104" t="s">
        <v>95</v>
      </c>
      <c r="P312" s="110"/>
      <c r="Q312" s="104" t="s">
        <v>1272</v>
      </c>
      <c r="R312" s="110" t="s">
        <v>555</v>
      </c>
      <c r="S312" s="110">
        <v>51840.0</v>
      </c>
      <c r="T312" s="284" t="s">
        <v>1273</v>
      </c>
      <c r="U312" s="134" t="s">
        <v>1274</v>
      </c>
      <c r="V312" s="279">
        <v>0.03</v>
      </c>
      <c r="W312" s="113">
        <v>30.0</v>
      </c>
      <c r="X312" s="110">
        <v>45.0</v>
      </c>
      <c r="Y312" s="110">
        <v>55.0</v>
      </c>
      <c r="Z312" s="110" t="s">
        <v>99</v>
      </c>
      <c r="AA312" s="114">
        <f t="shared" ref="AA312:AA334" si="496">AQ312/(1-(AK312+2%))</f>
        <v>0.497642419</v>
      </c>
      <c r="AB312" s="115"/>
      <c r="AC312" s="212">
        <f t="shared" si="433"/>
        <v>0.3937480175</v>
      </c>
      <c r="AD312" s="213">
        <f t="shared" si="244"/>
        <v>0.423384965</v>
      </c>
      <c r="AE312" s="212"/>
      <c r="AF312" s="212" t="str">
        <f t="shared" si="94"/>
        <v>#REF!</v>
      </c>
      <c r="AG312" s="210" t="str">
        <f t="shared" si="95"/>
        <v>#REF!</v>
      </c>
      <c r="AH312" s="120" t="str">
        <f t="shared" si="96"/>
        <v>#REF!</v>
      </c>
      <c r="AI312" s="121">
        <f t="shared" ref="AI312:AI880" si="497">AJ312</f>
        <v>0.1</v>
      </c>
      <c r="AJ312" s="121">
        <v>0.1</v>
      </c>
      <c r="AK312" s="122">
        <v>0.33</v>
      </c>
      <c r="AL312" s="123">
        <f t="shared" si="11"/>
        <v>0.1299368458</v>
      </c>
      <c r="AM312" s="122" t="s">
        <v>10</v>
      </c>
      <c r="AN312" s="125">
        <f t="shared" si="434"/>
        <v>0.3937480175</v>
      </c>
      <c r="AO312" s="112">
        <f t="shared" si="435"/>
        <v>0.33</v>
      </c>
      <c r="AP312" s="127"/>
      <c r="AQ312" s="128">
        <f t="shared" ref="AQ312:AR312" si="495">BC312/(1-AI312)</f>
        <v>0.3234675724</v>
      </c>
      <c r="AR312" s="139">
        <f t="shared" si="495"/>
        <v>0.2931235241</v>
      </c>
      <c r="AS312" s="126">
        <f t="shared" si="437"/>
        <v>0.35</v>
      </c>
      <c r="AT312" s="126">
        <f t="shared" si="438"/>
        <v>0.2555555556</v>
      </c>
      <c r="AU312" s="129"/>
      <c r="AV312" s="39" t="s">
        <v>1275</v>
      </c>
      <c r="AW312" s="140"/>
      <c r="AX312" s="140"/>
      <c r="AY312" s="140"/>
      <c r="AZ312" s="140"/>
      <c r="BA312" s="130">
        <v>2.0</v>
      </c>
      <c r="BB312" s="130">
        <f t="shared" ref="BB312:BB334" si="499">AZ312+BA312</f>
        <v>2</v>
      </c>
      <c r="BC312" s="131">
        <f t="shared" ref="BC312:BC334" si="500">(AZ312+BA312)/$F$5</f>
        <v>0.2911208151</v>
      </c>
      <c r="BD312" s="132">
        <f t="shared" ref="BD312:BD334" si="501">(BC312/$F$6)+(($F$9+$G$9)/40/S312)+BC312*V312</f>
        <v>0.2638111717</v>
      </c>
      <c r="BE312" s="39"/>
      <c r="BF312" s="264">
        <v>8.5367E9</v>
      </c>
      <c r="BG312" s="49"/>
      <c r="BH312" s="212">
        <f t="shared" si="491"/>
        <v>1.312493392</v>
      </c>
      <c r="BI312" s="212">
        <f t="shared" si="492"/>
        <v>0.7874960349</v>
      </c>
      <c r="BJ312" s="212">
        <f t="shared" si="493"/>
        <v>0.6562466958</v>
      </c>
      <c r="BK312" s="212">
        <f t="shared" si="494"/>
        <v>0.5249973566</v>
      </c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</row>
    <row r="313" ht="14.25" customHeight="1">
      <c r="A313" s="103" t="s">
        <v>84</v>
      </c>
      <c r="B313" s="103" t="s">
        <v>120</v>
      </c>
      <c r="C313" s="103" t="s">
        <v>120</v>
      </c>
      <c r="D313" s="103" t="s">
        <v>1266</v>
      </c>
      <c r="E313" s="103" t="s">
        <v>1267</v>
      </c>
      <c r="F313" s="104" t="s">
        <v>1267</v>
      </c>
      <c r="G313" s="110" t="s">
        <v>1268</v>
      </c>
      <c r="H313" s="110"/>
      <c r="I313" s="107"/>
      <c r="J313" s="220" t="s">
        <v>1276</v>
      </c>
      <c r="K313" s="220" t="str">
        <f>_xlfn.XLOOKUP(J313,[1]Sheet1!$A:$A,[1]Sheet1!$B:$B,"")</f>
        <v>#ERROR!</v>
      </c>
      <c r="L313" s="103" t="s">
        <v>1277</v>
      </c>
      <c r="M313" s="103" t="s">
        <v>1278</v>
      </c>
      <c r="N313" s="110"/>
      <c r="O313" s="104" t="s">
        <v>95</v>
      </c>
      <c r="P313" s="110"/>
      <c r="Q313" s="104" t="s">
        <v>1272</v>
      </c>
      <c r="R313" s="110" t="s">
        <v>555</v>
      </c>
      <c r="S313" s="110">
        <v>51840.0</v>
      </c>
      <c r="T313" s="251" t="s">
        <v>1279</v>
      </c>
      <c r="U313" s="134" t="s">
        <v>1274</v>
      </c>
      <c r="V313" s="279">
        <v>0.03</v>
      </c>
      <c r="W313" s="113">
        <v>30.0</v>
      </c>
      <c r="X313" s="110">
        <v>45.0</v>
      </c>
      <c r="Y313" s="110">
        <v>55.0</v>
      </c>
      <c r="Z313" s="110" t="s">
        <v>99</v>
      </c>
      <c r="AA313" s="114">
        <f t="shared" si="496"/>
        <v>0.497642419</v>
      </c>
      <c r="AB313" s="115"/>
      <c r="AC313" s="212">
        <f t="shared" si="433"/>
        <v>0.3937480175</v>
      </c>
      <c r="AD313" s="213">
        <f t="shared" si="244"/>
        <v>0.423384965</v>
      </c>
      <c r="AE313" s="212"/>
      <c r="AF313" s="212" t="str">
        <f t="shared" si="94"/>
        <v>#REF!</v>
      </c>
      <c r="AG313" s="210" t="str">
        <f t="shared" si="95"/>
        <v>#REF!</v>
      </c>
      <c r="AH313" s="120" t="str">
        <f t="shared" si="96"/>
        <v>#REF!</v>
      </c>
      <c r="AI313" s="121">
        <f t="shared" si="497"/>
        <v>0.1</v>
      </c>
      <c r="AJ313" s="121">
        <v>0.1</v>
      </c>
      <c r="AK313" s="122">
        <v>0.33</v>
      </c>
      <c r="AL313" s="123">
        <f t="shared" si="11"/>
        <v>0.1299368458</v>
      </c>
      <c r="AM313" s="122" t="s">
        <v>10</v>
      </c>
      <c r="AN313" s="125">
        <f t="shared" si="434"/>
        <v>0.3937480175</v>
      </c>
      <c r="AO313" s="112">
        <f t="shared" si="435"/>
        <v>0.33</v>
      </c>
      <c r="AP313" s="127"/>
      <c r="AQ313" s="128">
        <f t="shared" ref="AQ313:AR313" si="498">BC313/(1-AI313)</f>
        <v>0.3234675724</v>
      </c>
      <c r="AR313" s="139">
        <f t="shared" si="498"/>
        <v>0.2931235241</v>
      </c>
      <c r="AS313" s="126">
        <f t="shared" si="437"/>
        <v>0.35</v>
      </c>
      <c r="AT313" s="126">
        <f t="shared" si="438"/>
        <v>0.2555555556</v>
      </c>
      <c r="AU313" s="129"/>
      <c r="AV313" s="39" t="s">
        <v>1275</v>
      </c>
      <c r="AW313" s="140"/>
      <c r="AX313" s="140"/>
      <c r="AY313" s="140"/>
      <c r="AZ313" s="140"/>
      <c r="BA313" s="130">
        <v>2.0</v>
      </c>
      <c r="BB313" s="130">
        <f t="shared" si="499"/>
        <v>2</v>
      </c>
      <c r="BC313" s="131">
        <f t="shared" si="500"/>
        <v>0.2911208151</v>
      </c>
      <c r="BD313" s="132">
        <f t="shared" si="501"/>
        <v>0.2638111717</v>
      </c>
      <c r="BE313" s="39"/>
      <c r="BF313" s="264">
        <v>8.5367E9</v>
      </c>
      <c r="BG313" s="49"/>
      <c r="BH313" s="212">
        <f t="shared" si="491"/>
        <v>1.312493392</v>
      </c>
      <c r="BI313" s="212">
        <f t="shared" si="492"/>
        <v>0.7874960349</v>
      </c>
      <c r="BJ313" s="212">
        <f t="shared" si="493"/>
        <v>0.6562466958</v>
      </c>
      <c r="BK313" s="212">
        <f t="shared" si="494"/>
        <v>0.5249973566</v>
      </c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</row>
    <row r="314" ht="14.25" customHeight="1">
      <c r="A314" s="103" t="s">
        <v>84</v>
      </c>
      <c r="B314" s="103" t="s">
        <v>120</v>
      </c>
      <c r="C314" s="103" t="s">
        <v>120</v>
      </c>
      <c r="D314" s="103" t="s">
        <v>1266</v>
      </c>
      <c r="E314" s="103" t="s">
        <v>1267</v>
      </c>
      <c r="F314" s="104" t="s">
        <v>1267</v>
      </c>
      <c r="G314" s="110" t="s">
        <v>1280</v>
      </c>
      <c r="H314" s="110"/>
      <c r="I314" s="107"/>
      <c r="J314" s="220" t="s">
        <v>1281</v>
      </c>
      <c r="K314" s="220" t="str">
        <f>_xlfn.XLOOKUP(J314,[1]Sheet1!$A:$A,[1]Sheet1!$B:$B,"")</f>
        <v>#ERROR!</v>
      </c>
      <c r="L314" s="103" t="s">
        <v>1282</v>
      </c>
      <c r="M314" s="103" t="s">
        <v>1283</v>
      </c>
      <c r="N314" s="110"/>
      <c r="O314" s="104" t="s">
        <v>95</v>
      </c>
      <c r="P314" s="110"/>
      <c r="Q314" s="104" t="s">
        <v>1272</v>
      </c>
      <c r="R314" s="110" t="s">
        <v>555</v>
      </c>
      <c r="S314" s="110">
        <v>51840.0</v>
      </c>
      <c r="T314" s="251" t="e">
        <v>#N/A</v>
      </c>
      <c r="U314" s="134" t="s">
        <v>1274</v>
      </c>
      <c r="V314" s="279">
        <v>0.03</v>
      </c>
      <c r="W314" s="113">
        <v>30.0</v>
      </c>
      <c r="X314" s="110">
        <v>45.0</v>
      </c>
      <c r="Y314" s="110">
        <v>55.0</v>
      </c>
      <c r="Z314" s="110" t="s">
        <v>99</v>
      </c>
      <c r="AA314" s="114">
        <f t="shared" si="496"/>
        <v>0.497642419</v>
      </c>
      <c r="AB314" s="115"/>
      <c r="AC314" s="212">
        <f t="shared" si="433"/>
        <v>0.3937480175</v>
      </c>
      <c r="AD314" s="213">
        <f t="shared" si="244"/>
        <v>0.423384965</v>
      </c>
      <c r="AE314" s="212"/>
      <c r="AF314" s="212" t="str">
        <f t="shared" si="94"/>
        <v>#REF!</v>
      </c>
      <c r="AG314" s="210" t="str">
        <f t="shared" si="95"/>
        <v>#REF!</v>
      </c>
      <c r="AH314" s="120" t="str">
        <f t="shared" si="96"/>
        <v>#REF!</v>
      </c>
      <c r="AI314" s="121">
        <f t="shared" si="497"/>
        <v>0.1</v>
      </c>
      <c r="AJ314" s="121">
        <v>0.1</v>
      </c>
      <c r="AK314" s="122">
        <v>0.33</v>
      </c>
      <c r="AL314" s="123">
        <f t="shared" si="11"/>
        <v>0.1299368458</v>
      </c>
      <c r="AM314" s="122" t="s">
        <v>10</v>
      </c>
      <c r="AN314" s="125">
        <f t="shared" si="434"/>
        <v>0.3937480175</v>
      </c>
      <c r="AO314" s="112">
        <f t="shared" si="435"/>
        <v>0.33</v>
      </c>
      <c r="AP314" s="127"/>
      <c r="AQ314" s="128">
        <f t="shared" ref="AQ314:AR314" si="502">BC314/(1-AI314)</f>
        <v>0.3234675724</v>
      </c>
      <c r="AR314" s="139">
        <f t="shared" si="502"/>
        <v>0.2931235241</v>
      </c>
      <c r="AS314" s="126">
        <f t="shared" si="437"/>
        <v>0.35</v>
      </c>
      <c r="AT314" s="126">
        <f t="shared" si="438"/>
        <v>0.2555555556</v>
      </c>
      <c r="AU314" s="129"/>
      <c r="AV314" s="39" t="s">
        <v>1275</v>
      </c>
      <c r="AW314" s="140"/>
      <c r="AX314" s="140"/>
      <c r="AY314" s="140"/>
      <c r="AZ314" s="140"/>
      <c r="BA314" s="130">
        <v>2.0</v>
      </c>
      <c r="BB314" s="130">
        <f t="shared" si="499"/>
        <v>2</v>
      </c>
      <c r="BC314" s="131">
        <f t="shared" si="500"/>
        <v>0.2911208151</v>
      </c>
      <c r="BD314" s="132">
        <f t="shared" si="501"/>
        <v>0.2638111717</v>
      </c>
      <c r="BE314" s="39"/>
      <c r="BF314" s="264">
        <v>8.5367E9</v>
      </c>
      <c r="BG314" s="49"/>
      <c r="BH314" s="224">
        <f t="shared" si="491"/>
        <v>1.312493392</v>
      </c>
      <c r="BI314" s="224">
        <f t="shared" si="492"/>
        <v>0.7874960349</v>
      </c>
      <c r="BJ314" s="224">
        <f t="shared" si="493"/>
        <v>0.6562466958</v>
      </c>
      <c r="BK314" s="224">
        <f t="shared" si="494"/>
        <v>0.5249973566</v>
      </c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</row>
    <row r="315" ht="14.25" customHeight="1">
      <c r="A315" s="103" t="s">
        <v>84</v>
      </c>
      <c r="B315" s="103" t="s">
        <v>120</v>
      </c>
      <c r="C315" s="103" t="s">
        <v>120</v>
      </c>
      <c r="D315" s="103" t="s">
        <v>1266</v>
      </c>
      <c r="E315" s="103" t="s">
        <v>1267</v>
      </c>
      <c r="F315" s="104" t="s">
        <v>1267</v>
      </c>
      <c r="G315" s="110" t="s">
        <v>1280</v>
      </c>
      <c r="H315" s="110"/>
      <c r="I315" s="107"/>
      <c r="J315" s="220" t="s">
        <v>1284</v>
      </c>
      <c r="K315" s="220" t="str">
        <f>_xlfn.XLOOKUP(J315,[1]Sheet1!$A:$A,[1]Sheet1!$B:$B,"")</f>
        <v>#ERROR!</v>
      </c>
      <c r="L315" s="103" t="s">
        <v>1285</v>
      </c>
      <c r="M315" s="103" t="s">
        <v>1286</v>
      </c>
      <c r="N315" s="110"/>
      <c r="O315" s="104" t="s">
        <v>95</v>
      </c>
      <c r="P315" s="110"/>
      <c r="Q315" s="104" t="s">
        <v>1287</v>
      </c>
      <c r="R315" s="110" t="s">
        <v>555</v>
      </c>
      <c r="S315" s="110">
        <v>25920.0</v>
      </c>
      <c r="T315" s="251" t="e">
        <v>#N/A</v>
      </c>
      <c r="U315" s="134" t="s">
        <v>1274</v>
      </c>
      <c r="V315" s="279">
        <v>0.03</v>
      </c>
      <c r="W315" s="113">
        <v>30.0</v>
      </c>
      <c r="X315" s="110">
        <v>45.0</v>
      </c>
      <c r="Y315" s="110">
        <v>55.0</v>
      </c>
      <c r="Z315" s="110" t="s">
        <v>99</v>
      </c>
      <c r="AA315" s="114">
        <f t="shared" si="496"/>
        <v>0.9952848381</v>
      </c>
      <c r="AB315" s="115"/>
      <c r="AC315" s="212">
        <f t="shared" si="433"/>
        <v>0.7874960349</v>
      </c>
      <c r="AD315" s="213">
        <f t="shared" si="244"/>
        <v>0.84676993</v>
      </c>
      <c r="AE315" s="212"/>
      <c r="AF315" s="212" t="str">
        <f t="shared" si="94"/>
        <v>#REF!</v>
      </c>
      <c r="AG315" s="210" t="str">
        <f t="shared" si="95"/>
        <v>#REF!</v>
      </c>
      <c r="AH315" s="120" t="str">
        <f t="shared" si="96"/>
        <v>#REF!</v>
      </c>
      <c r="AI315" s="121">
        <f t="shared" si="497"/>
        <v>0.1</v>
      </c>
      <c r="AJ315" s="121">
        <v>0.1</v>
      </c>
      <c r="AK315" s="122">
        <v>0.33</v>
      </c>
      <c r="AL315" s="123">
        <f t="shared" si="11"/>
        <v>0.2598736915</v>
      </c>
      <c r="AM315" s="122" t="s">
        <v>10</v>
      </c>
      <c r="AN315" s="125">
        <f t="shared" si="434"/>
        <v>0.7874960349</v>
      </c>
      <c r="AO315" s="112">
        <f t="shared" si="435"/>
        <v>0.33</v>
      </c>
      <c r="AP315" s="127"/>
      <c r="AQ315" s="128">
        <f t="shared" ref="AQ315:AR315" si="503">BC315/(1-AI315)</f>
        <v>0.6469351448</v>
      </c>
      <c r="AR315" s="139">
        <f t="shared" si="503"/>
        <v>0.5862470482</v>
      </c>
      <c r="AS315" s="126">
        <f t="shared" si="437"/>
        <v>0.35</v>
      </c>
      <c r="AT315" s="126">
        <f t="shared" si="438"/>
        <v>0.2555555556</v>
      </c>
      <c r="AU315" s="129"/>
      <c r="AV315" s="39" t="s">
        <v>1275</v>
      </c>
      <c r="AW315" s="140"/>
      <c r="AX315" s="140"/>
      <c r="AY315" s="140"/>
      <c r="AZ315" s="140"/>
      <c r="BA315" s="130">
        <v>4.0</v>
      </c>
      <c r="BB315" s="130">
        <f t="shared" si="499"/>
        <v>4</v>
      </c>
      <c r="BC315" s="131">
        <f t="shared" si="500"/>
        <v>0.5822416303</v>
      </c>
      <c r="BD315" s="132">
        <f t="shared" si="501"/>
        <v>0.5276223434</v>
      </c>
      <c r="BE315" s="39"/>
      <c r="BF315" s="264"/>
      <c r="BG315" s="49"/>
      <c r="BH315" s="224">
        <f t="shared" si="491"/>
        <v>2.624986783</v>
      </c>
      <c r="BI315" s="224">
        <f t="shared" si="492"/>
        <v>1.57499207</v>
      </c>
      <c r="BJ315" s="224">
        <f t="shared" si="493"/>
        <v>1.312493392</v>
      </c>
      <c r="BK315" s="224">
        <f t="shared" si="494"/>
        <v>1.049994713</v>
      </c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</row>
    <row r="316" ht="14.25" customHeight="1">
      <c r="A316" s="103" t="s">
        <v>84</v>
      </c>
      <c r="B316" s="103" t="s">
        <v>120</v>
      </c>
      <c r="C316" s="103" t="s">
        <v>120</v>
      </c>
      <c r="D316" s="103" t="s">
        <v>1266</v>
      </c>
      <c r="E316" s="103" t="s">
        <v>1267</v>
      </c>
      <c r="F316" s="104" t="s">
        <v>1267</v>
      </c>
      <c r="G316" s="110" t="s">
        <v>1288</v>
      </c>
      <c r="H316" s="110"/>
      <c r="I316" s="107"/>
      <c r="J316" s="220" t="s">
        <v>1289</v>
      </c>
      <c r="K316" s="220" t="str">
        <f>_xlfn.XLOOKUP(J316,[1]Sheet1!$A:$A,[1]Sheet1!$B:$B,"")</f>
        <v>#ERROR!</v>
      </c>
      <c r="L316" s="103" t="s">
        <v>1290</v>
      </c>
      <c r="M316" s="103" t="s">
        <v>1291</v>
      </c>
      <c r="N316" s="110"/>
      <c r="O316" s="104" t="s">
        <v>95</v>
      </c>
      <c r="P316" s="110"/>
      <c r="Q316" s="104" t="s">
        <v>1287</v>
      </c>
      <c r="R316" s="110" t="s">
        <v>555</v>
      </c>
      <c r="S316" s="110">
        <v>25920.0</v>
      </c>
      <c r="T316" s="251" t="s">
        <v>1292</v>
      </c>
      <c r="U316" s="134" t="s">
        <v>1274</v>
      </c>
      <c r="V316" s="279">
        <v>0.03</v>
      </c>
      <c r="W316" s="113">
        <v>30.0</v>
      </c>
      <c r="X316" s="110">
        <v>45.0</v>
      </c>
      <c r="Y316" s="110">
        <v>55.0</v>
      </c>
      <c r="Z316" s="110" t="s">
        <v>99</v>
      </c>
      <c r="AA316" s="114">
        <f t="shared" si="496"/>
        <v>0.3732318143</v>
      </c>
      <c r="AB316" s="115"/>
      <c r="AC316" s="212">
        <f t="shared" si="433"/>
        <v>0.2989099167</v>
      </c>
      <c r="AD316" s="213">
        <f t="shared" si="244"/>
        <v>0.3214085126</v>
      </c>
      <c r="AE316" s="212"/>
      <c r="AF316" s="212" t="str">
        <f t="shared" si="94"/>
        <v>#REF!</v>
      </c>
      <c r="AG316" s="210" t="str">
        <f t="shared" si="95"/>
        <v>#REF!</v>
      </c>
      <c r="AH316" s="120" t="str">
        <f t="shared" si="96"/>
        <v>#REF!</v>
      </c>
      <c r="AI316" s="121">
        <f t="shared" si="497"/>
        <v>0.1</v>
      </c>
      <c r="AJ316" s="121">
        <v>0.1</v>
      </c>
      <c r="AK316" s="122">
        <v>0.33</v>
      </c>
      <c r="AL316" s="123">
        <f t="shared" si="11"/>
        <v>0.09864027252</v>
      </c>
      <c r="AM316" s="122" t="s">
        <v>10</v>
      </c>
      <c r="AN316" s="125">
        <f t="shared" si="434"/>
        <v>0.2989099167</v>
      </c>
      <c r="AO316" s="112">
        <f t="shared" si="435"/>
        <v>0.33</v>
      </c>
      <c r="AP316" s="127"/>
      <c r="AQ316" s="128">
        <f t="shared" ref="AQ316:AR316" si="504">BC316/(1-AI316)</f>
        <v>0.2426006793</v>
      </c>
      <c r="AR316" s="139">
        <f t="shared" si="504"/>
        <v>0.2225218269</v>
      </c>
      <c r="AS316" s="126">
        <f t="shared" si="437"/>
        <v>0.35</v>
      </c>
      <c r="AT316" s="126">
        <f t="shared" si="438"/>
        <v>0.2555555556</v>
      </c>
      <c r="AU316" s="129"/>
      <c r="AV316" s="39" t="s">
        <v>1275</v>
      </c>
      <c r="AW316" s="140"/>
      <c r="AX316" s="140"/>
      <c r="AY316" s="140"/>
      <c r="AZ316" s="140"/>
      <c r="BA316" s="130">
        <v>1.5</v>
      </c>
      <c r="BB316" s="130">
        <f t="shared" si="499"/>
        <v>1.5</v>
      </c>
      <c r="BC316" s="131">
        <f t="shared" si="500"/>
        <v>0.2183406114</v>
      </c>
      <c r="BD316" s="132">
        <f t="shared" si="501"/>
        <v>0.2002696442</v>
      </c>
      <c r="BE316" s="39"/>
      <c r="BF316" s="264">
        <v>8.5367E9</v>
      </c>
      <c r="BG316" s="49"/>
      <c r="BH316" s="212">
        <f t="shared" si="491"/>
        <v>0.9963663891</v>
      </c>
      <c r="BI316" s="212">
        <f t="shared" si="492"/>
        <v>0.5978198335</v>
      </c>
      <c r="BJ316" s="212">
        <f t="shared" si="493"/>
        <v>0.4981831946</v>
      </c>
      <c r="BK316" s="212">
        <f t="shared" si="494"/>
        <v>0.3985465556</v>
      </c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</row>
    <row r="317" ht="14.25" customHeight="1">
      <c r="A317" s="103" t="s">
        <v>84</v>
      </c>
      <c r="B317" s="103" t="s">
        <v>120</v>
      </c>
      <c r="C317" s="103" t="s">
        <v>120</v>
      </c>
      <c r="D317" s="103" t="s">
        <v>1266</v>
      </c>
      <c r="E317" s="103" t="s">
        <v>1267</v>
      </c>
      <c r="F317" s="104" t="s">
        <v>1267</v>
      </c>
      <c r="G317" s="110" t="s">
        <v>1288</v>
      </c>
      <c r="H317" s="110"/>
      <c r="I317" s="107"/>
      <c r="J317" s="220" t="s">
        <v>1293</v>
      </c>
      <c r="K317" s="220" t="str">
        <f>_xlfn.XLOOKUP(J317,[1]Sheet1!$A:$A,[1]Sheet1!$B:$B,"")</f>
        <v>#ERROR!</v>
      </c>
      <c r="L317" s="103" t="s">
        <v>1294</v>
      </c>
      <c r="M317" s="103" t="s">
        <v>1295</v>
      </c>
      <c r="N317" s="110"/>
      <c r="O317" s="104" t="s">
        <v>95</v>
      </c>
      <c r="P317" s="110"/>
      <c r="Q317" s="104" t="s">
        <v>1287</v>
      </c>
      <c r="R317" s="110" t="s">
        <v>555</v>
      </c>
      <c r="S317" s="110">
        <v>25920.0</v>
      </c>
      <c r="T317" s="251" t="s">
        <v>1296</v>
      </c>
      <c r="U317" s="134" t="s">
        <v>1274</v>
      </c>
      <c r="V317" s="279">
        <v>0.03</v>
      </c>
      <c r="W317" s="113">
        <v>30.0</v>
      </c>
      <c r="X317" s="110">
        <v>45.0</v>
      </c>
      <c r="Y317" s="110">
        <v>55.0</v>
      </c>
      <c r="Z317" s="110" t="s">
        <v>99</v>
      </c>
      <c r="AA317" s="114">
        <f t="shared" si="496"/>
        <v>0.3732318143</v>
      </c>
      <c r="AB317" s="115"/>
      <c r="AC317" s="212">
        <f t="shared" si="433"/>
        <v>0.2989099167</v>
      </c>
      <c r="AD317" s="213">
        <f t="shared" si="244"/>
        <v>0.3214085126</v>
      </c>
      <c r="AE317" s="212"/>
      <c r="AF317" s="212" t="str">
        <f t="shared" si="94"/>
        <v>#REF!</v>
      </c>
      <c r="AG317" s="210" t="str">
        <f t="shared" si="95"/>
        <v>#REF!</v>
      </c>
      <c r="AH317" s="120" t="str">
        <f t="shared" si="96"/>
        <v>#REF!</v>
      </c>
      <c r="AI317" s="121">
        <f t="shared" si="497"/>
        <v>0.1</v>
      </c>
      <c r="AJ317" s="121">
        <v>0.1</v>
      </c>
      <c r="AK317" s="122">
        <v>0.33</v>
      </c>
      <c r="AL317" s="123">
        <f t="shared" si="11"/>
        <v>0.09864027252</v>
      </c>
      <c r="AM317" s="122" t="s">
        <v>10</v>
      </c>
      <c r="AN317" s="125">
        <f t="shared" si="434"/>
        <v>0.2989099167</v>
      </c>
      <c r="AO317" s="112">
        <f t="shared" si="435"/>
        <v>0.33</v>
      </c>
      <c r="AP317" s="127"/>
      <c r="AQ317" s="128">
        <f t="shared" ref="AQ317:AR317" si="505">BC317/(1-AI317)</f>
        <v>0.2426006793</v>
      </c>
      <c r="AR317" s="139">
        <f t="shared" si="505"/>
        <v>0.2225218269</v>
      </c>
      <c r="AS317" s="126">
        <f t="shared" si="437"/>
        <v>0.35</v>
      </c>
      <c r="AT317" s="126">
        <f t="shared" si="438"/>
        <v>0.2555555556</v>
      </c>
      <c r="AU317" s="129"/>
      <c r="AV317" s="39" t="s">
        <v>1275</v>
      </c>
      <c r="AW317" s="140"/>
      <c r="AX317" s="140"/>
      <c r="AY317" s="140"/>
      <c r="AZ317" s="140"/>
      <c r="BA317" s="130">
        <v>1.5</v>
      </c>
      <c r="BB317" s="130">
        <f t="shared" si="499"/>
        <v>1.5</v>
      </c>
      <c r="BC317" s="131">
        <f t="shared" si="500"/>
        <v>0.2183406114</v>
      </c>
      <c r="BD317" s="132">
        <f t="shared" si="501"/>
        <v>0.2002696442</v>
      </c>
      <c r="BE317" s="39"/>
      <c r="BF317" s="264">
        <v>8.5367E9</v>
      </c>
      <c r="BG317" s="49"/>
      <c r="BH317" s="212">
        <f t="shared" si="491"/>
        <v>0.9963663891</v>
      </c>
      <c r="BI317" s="212">
        <f t="shared" si="492"/>
        <v>0.5978198335</v>
      </c>
      <c r="BJ317" s="212">
        <f t="shared" si="493"/>
        <v>0.4981831946</v>
      </c>
      <c r="BK317" s="212">
        <f t="shared" si="494"/>
        <v>0.3985465556</v>
      </c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</row>
    <row r="318" ht="14.25" customHeight="1">
      <c r="A318" s="103" t="s">
        <v>84</v>
      </c>
      <c r="B318" s="103" t="s">
        <v>120</v>
      </c>
      <c r="C318" s="103" t="s">
        <v>120</v>
      </c>
      <c r="D318" s="103" t="s">
        <v>1266</v>
      </c>
      <c r="E318" s="103" t="s">
        <v>1267</v>
      </c>
      <c r="F318" s="104" t="s">
        <v>1267</v>
      </c>
      <c r="G318" s="110" t="s">
        <v>1297</v>
      </c>
      <c r="H318" s="110"/>
      <c r="I318" s="107"/>
      <c r="J318" s="220" t="s">
        <v>1298</v>
      </c>
      <c r="K318" s="220" t="str">
        <f>_xlfn.XLOOKUP(J318,[1]Sheet1!$A:$A,[1]Sheet1!$B:$B,"")</f>
        <v>#ERROR!</v>
      </c>
      <c r="L318" s="103" t="s">
        <v>1299</v>
      </c>
      <c r="M318" s="103" t="s">
        <v>1300</v>
      </c>
      <c r="N318" s="110"/>
      <c r="O318" s="104" t="s">
        <v>95</v>
      </c>
      <c r="P318" s="110"/>
      <c r="Q318" s="104" t="s">
        <v>1287</v>
      </c>
      <c r="R318" s="110" t="s">
        <v>555</v>
      </c>
      <c r="S318" s="110">
        <v>25920.0</v>
      </c>
      <c r="T318" s="251" t="e">
        <v>#N/A</v>
      </c>
      <c r="U318" s="134" t="s">
        <v>1274</v>
      </c>
      <c r="V318" s="279">
        <v>0.03</v>
      </c>
      <c r="W318" s="113">
        <v>30.0</v>
      </c>
      <c r="X318" s="110">
        <v>45.0</v>
      </c>
      <c r="Y318" s="110">
        <v>55.0</v>
      </c>
      <c r="Z318" s="110" t="s">
        <v>99</v>
      </c>
      <c r="AA318" s="114">
        <f t="shared" si="496"/>
        <v>0.3732318143</v>
      </c>
      <c r="AB318" s="115"/>
      <c r="AC318" s="212">
        <f t="shared" si="433"/>
        <v>0.2989099167</v>
      </c>
      <c r="AD318" s="213">
        <f t="shared" si="244"/>
        <v>0.3214085126</v>
      </c>
      <c r="AE318" s="212"/>
      <c r="AF318" s="212" t="str">
        <f t="shared" si="94"/>
        <v>#REF!</v>
      </c>
      <c r="AG318" s="210" t="str">
        <f t="shared" si="95"/>
        <v>#REF!</v>
      </c>
      <c r="AH318" s="120" t="str">
        <f t="shared" si="96"/>
        <v>#REF!</v>
      </c>
      <c r="AI318" s="121">
        <f t="shared" si="497"/>
        <v>0.1</v>
      </c>
      <c r="AJ318" s="121">
        <v>0.1</v>
      </c>
      <c r="AK318" s="122">
        <v>0.33</v>
      </c>
      <c r="AL318" s="123">
        <f t="shared" si="11"/>
        <v>0.09864027252</v>
      </c>
      <c r="AM318" s="122" t="s">
        <v>10</v>
      </c>
      <c r="AN318" s="125">
        <f t="shared" si="434"/>
        <v>0.2989099167</v>
      </c>
      <c r="AO318" s="112">
        <f t="shared" si="435"/>
        <v>0.33</v>
      </c>
      <c r="AP318" s="127"/>
      <c r="AQ318" s="128">
        <f t="shared" ref="AQ318:AR318" si="506">BC318/(1-AI318)</f>
        <v>0.2426006793</v>
      </c>
      <c r="AR318" s="139">
        <f t="shared" si="506"/>
        <v>0.2225218269</v>
      </c>
      <c r="AS318" s="126">
        <f t="shared" si="437"/>
        <v>0.35</v>
      </c>
      <c r="AT318" s="126">
        <f t="shared" si="438"/>
        <v>0.2555555556</v>
      </c>
      <c r="AU318" s="129"/>
      <c r="AV318" s="39" t="s">
        <v>1275</v>
      </c>
      <c r="AW318" s="140"/>
      <c r="AX318" s="140"/>
      <c r="AY318" s="140"/>
      <c r="AZ318" s="140"/>
      <c r="BA318" s="130">
        <v>1.5</v>
      </c>
      <c r="BB318" s="130">
        <f t="shared" si="499"/>
        <v>1.5</v>
      </c>
      <c r="BC318" s="131">
        <f t="shared" si="500"/>
        <v>0.2183406114</v>
      </c>
      <c r="BD318" s="132">
        <f t="shared" si="501"/>
        <v>0.2002696442</v>
      </c>
      <c r="BE318" s="39"/>
      <c r="BF318" s="264">
        <v>8.5367E9</v>
      </c>
      <c r="BG318" s="49"/>
      <c r="BH318" s="224">
        <f t="shared" si="491"/>
        <v>0.9963663891</v>
      </c>
      <c r="BI318" s="224">
        <f t="shared" si="492"/>
        <v>0.5978198335</v>
      </c>
      <c r="BJ318" s="224">
        <f t="shared" si="493"/>
        <v>0.4981831946</v>
      </c>
      <c r="BK318" s="224">
        <f t="shared" si="494"/>
        <v>0.3985465556</v>
      </c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</row>
    <row r="319" ht="14.25" customHeight="1">
      <c r="A319" s="103" t="s">
        <v>84</v>
      </c>
      <c r="B319" s="103" t="s">
        <v>120</v>
      </c>
      <c r="C319" s="103" t="s">
        <v>120</v>
      </c>
      <c r="D319" s="103" t="s">
        <v>1266</v>
      </c>
      <c r="E319" s="103" t="s">
        <v>1267</v>
      </c>
      <c r="F319" s="104" t="s">
        <v>1267</v>
      </c>
      <c r="G319" s="110" t="s">
        <v>1288</v>
      </c>
      <c r="H319" s="110"/>
      <c r="I319" s="107"/>
      <c r="J319" s="220" t="s">
        <v>1301</v>
      </c>
      <c r="K319" s="220" t="str">
        <f>_xlfn.XLOOKUP(J319,[1]Sheet1!$A:$A,[1]Sheet1!$B:$B,"")</f>
        <v>#ERROR!</v>
      </c>
      <c r="L319" s="103" t="s">
        <v>1302</v>
      </c>
      <c r="M319" s="103" t="s">
        <v>1303</v>
      </c>
      <c r="N319" s="110"/>
      <c r="O319" s="104" t="s">
        <v>95</v>
      </c>
      <c r="P319" s="110"/>
      <c r="Q319" s="104" t="s">
        <v>1287</v>
      </c>
      <c r="R319" s="110" t="s">
        <v>555</v>
      </c>
      <c r="S319" s="110">
        <v>25920.0</v>
      </c>
      <c r="T319" s="251" t="e">
        <v>#N/A</v>
      </c>
      <c r="U319" s="134" t="s">
        <v>1274</v>
      </c>
      <c r="V319" s="279">
        <v>0.03</v>
      </c>
      <c r="W319" s="113">
        <v>30.0</v>
      </c>
      <c r="X319" s="113">
        <v>45.0</v>
      </c>
      <c r="Y319" s="113">
        <v>55.0</v>
      </c>
      <c r="Z319" s="113" t="s">
        <v>99</v>
      </c>
      <c r="AA319" s="114">
        <f t="shared" si="496"/>
        <v>0.1741748467</v>
      </c>
      <c r="AB319" s="115"/>
      <c r="AC319" s="212">
        <v>0.26</v>
      </c>
      <c r="AD319" s="213">
        <f t="shared" si="244"/>
        <v>0.2795698925</v>
      </c>
      <c r="AE319" s="212"/>
      <c r="AF319" s="212" t="str">
        <f t="shared" si="94"/>
        <v>#REF!</v>
      </c>
      <c r="AG319" s="210" t="str">
        <f t="shared" si="95"/>
        <v>#REF!</v>
      </c>
      <c r="AH319" s="120" t="str">
        <f t="shared" si="96"/>
        <v>#REF!</v>
      </c>
      <c r="AI319" s="121">
        <f t="shared" si="497"/>
        <v>0.1</v>
      </c>
      <c r="AJ319" s="121">
        <v>0.1</v>
      </c>
      <c r="AK319" s="122">
        <v>0.33</v>
      </c>
      <c r="AL319" s="123">
        <f t="shared" si="11"/>
        <v>0.0858</v>
      </c>
      <c r="AM319" s="122" t="s">
        <v>10</v>
      </c>
      <c r="AN319" s="125">
        <f t="shared" si="434"/>
        <v>0.26</v>
      </c>
      <c r="AO319" s="112">
        <f t="shared" si="435"/>
        <v>0.6326277674</v>
      </c>
      <c r="AP319" s="127"/>
      <c r="AQ319" s="128">
        <f t="shared" ref="AQ319:AR319" si="507">BC319/(1-AI319)</f>
        <v>0.1132136503</v>
      </c>
      <c r="AR319" s="139">
        <f t="shared" si="507"/>
        <v>0.1061297561</v>
      </c>
      <c r="AS319" s="126">
        <f t="shared" si="437"/>
        <v>0.35</v>
      </c>
      <c r="AT319" s="126">
        <f t="shared" si="438"/>
        <v>0.5918086305</v>
      </c>
      <c r="AU319" s="129"/>
      <c r="AV319" s="39" t="s">
        <v>1275</v>
      </c>
      <c r="AW319" s="217"/>
      <c r="AX319" s="140"/>
      <c r="AY319" s="140"/>
      <c r="AZ319" s="217"/>
      <c r="BA319" s="214">
        <v>0.7</v>
      </c>
      <c r="BB319" s="130">
        <f t="shared" si="499"/>
        <v>0.7</v>
      </c>
      <c r="BC319" s="131">
        <f t="shared" si="500"/>
        <v>0.1018922853</v>
      </c>
      <c r="BD319" s="132">
        <f t="shared" si="501"/>
        <v>0.09551678047</v>
      </c>
      <c r="BE319" s="173"/>
      <c r="BF319" s="264"/>
      <c r="BG319" s="49"/>
      <c r="BH319" s="224">
        <f t="shared" si="491"/>
        <v>0.8666666667</v>
      </c>
      <c r="BI319" s="224">
        <f t="shared" si="492"/>
        <v>0.52</v>
      </c>
      <c r="BJ319" s="224">
        <f t="shared" si="493"/>
        <v>0.4333333333</v>
      </c>
      <c r="BK319" s="224">
        <f t="shared" si="494"/>
        <v>0.3466666667</v>
      </c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</row>
    <row r="320" ht="14.25" customHeight="1">
      <c r="A320" s="103" t="s">
        <v>84</v>
      </c>
      <c r="B320" s="103" t="s">
        <v>120</v>
      </c>
      <c r="C320" s="103" t="s">
        <v>120</v>
      </c>
      <c r="D320" s="103" t="s">
        <v>1266</v>
      </c>
      <c r="E320" s="103" t="s">
        <v>1267</v>
      </c>
      <c r="F320" s="104" t="s">
        <v>1267</v>
      </c>
      <c r="G320" s="110" t="s">
        <v>1288</v>
      </c>
      <c r="H320" s="110"/>
      <c r="I320" s="107"/>
      <c r="J320" s="220" t="s">
        <v>1304</v>
      </c>
      <c r="K320" s="220" t="str">
        <f>_xlfn.XLOOKUP(J320,[1]Sheet1!$A:$A,[1]Sheet1!$B:$B,"")</f>
        <v>#ERROR!</v>
      </c>
      <c r="L320" s="103" t="s">
        <v>1305</v>
      </c>
      <c r="M320" s="103" t="s">
        <v>1303</v>
      </c>
      <c r="N320" s="110"/>
      <c r="O320" s="104" t="s">
        <v>95</v>
      </c>
      <c r="P320" s="110"/>
      <c r="Q320" s="104" t="s">
        <v>1287</v>
      </c>
      <c r="R320" s="110" t="s">
        <v>555</v>
      </c>
      <c r="S320" s="110">
        <v>25920.0</v>
      </c>
      <c r="T320" s="251" t="e">
        <v>#N/A</v>
      </c>
      <c r="U320" s="134" t="s">
        <v>1274</v>
      </c>
      <c r="V320" s="279">
        <v>0.03</v>
      </c>
      <c r="W320" s="113">
        <v>30.0</v>
      </c>
      <c r="X320" s="113">
        <v>45.0</v>
      </c>
      <c r="Y320" s="113">
        <v>55.0</v>
      </c>
      <c r="Z320" s="113" t="s">
        <v>99</v>
      </c>
      <c r="AA320" s="114">
        <f t="shared" si="496"/>
        <v>0.1741748467</v>
      </c>
      <c r="AB320" s="115"/>
      <c r="AC320" s="212">
        <v>0.26</v>
      </c>
      <c r="AD320" s="213">
        <f t="shared" si="244"/>
        <v>0.2795698925</v>
      </c>
      <c r="AE320" s="212"/>
      <c r="AF320" s="212" t="str">
        <f t="shared" si="94"/>
        <v>#REF!</v>
      </c>
      <c r="AG320" s="210" t="str">
        <f t="shared" si="95"/>
        <v>#REF!</v>
      </c>
      <c r="AH320" s="120" t="str">
        <f t="shared" si="96"/>
        <v>#REF!</v>
      </c>
      <c r="AI320" s="121">
        <f t="shared" si="497"/>
        <v>0.1</v>
      </c>
      <c r="AJ320" s="121">
        <v>0.1</v>
      </c>
      <c r="AK320" s="122">
        <v>0.33</v>
      </c>
      <c r="AL320" s="123">
        <f t="shared" si="11"/>
        <v>0.0858</v>
      </c>
      <c r="AM320" s="122" t="s">
        <v>10</v>
      </c>
      <c r="AN320" s="125">
        <f t="shared" si="434"/>
        <v>0.26</v>
      </c>
      <c r="AO320" s="112">
        <f t="shared" si="435"/>
        <v>0.6326277674</v>
      </c>
      <c r="AP320" s="127"/>
      <c r="AQ320" s="128">
        <f t="shared" ref="AQ320:AR320" si="508">BC320/(1-AI320)</f>
        <v>0.1132136503</v>
      </c>
      <c r="AR320" s="139">
        <f t="shared" si="508"/>
        <v>0.1061297561</v>
      </c>
      <c r="AS320" s="126">
        <f t="shared" si="437"/>
        <v>0.35</v>
      </c>
      <c r="AT320" s="126">
        <f t="shared" si="438"/>
        <v>0.5918086305</v>
      </c>
      <c r="AU320" s="129"/>
      <c r="AV320" s="39" t="s">
        <v>1275</v>
      </c>
      <c r="AW320" s="217"/>
      <c r="AX320" s="140"/>
      <c r="AY320" s="140"/>
      <c r="AZ320" s="217"/>
      <c r="BA320" s="214">
        <v>0.7</v>
      </c>
      <c r="BB320" s="130">
        <f t="shared" si="499"/>
        <v>0.7</v>
      </c>
      <c r="BC320" s="131">
        <f t="shared" si="500"/>
        <v>0.1018922853</v>
      </c>
      <c r="BD320" s="132">
        <f t="shared" si="501"/>
        <v>0.09551678047</v>
      </c>
      <c r="BE320" s="173"/>
      <c r="BF320" s="264"/>
      <c r="BG320" s="49"/>
      <c r="BH320" s="224">
        <f t="shared" si="491"/>
        <v>0.8666666667</v>
      </c>
      <c r="BI320" s="224">
        <f t="shared" si="492"/>
        <v>0.52</v>
      </c>
      <c r="BJ320" s="224">
        <f t="shared" si="493"/>
        <v>0.4333333333</v>
      </c>
      <c r="BK320" s="224">
        <f t="shared" si="494"/>
        <v>0.3466666667</v>
      </c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</row>
    <row r="321" ht="14.25" customHeight="1">
      <c r="A321" s="103" t="s">
        <v>84</v>
      </c>
      <c r="B321" s="103" t="s">
        <v>120</v>
      </c>
      <c r="C321" s="103" t="s">
        <v>120</v>
      </c>
      <c r="D321" s="103" t="s">
        <v>1266</v>
      </c>
      <c r="E321" s="103" t="s">
        <v>1306</v>
      </c>
      <c r="F321" s="104" t="s">
        <v>1307</v>
      </c>
      <c r="G321" s="110"/>
      <c r="H321" s="110"/>
      <c r="I321" s="107"/>
      <c r="J321" s="108" t="s">
        <v>1308</v>
      </c>
      <c r="K321" s="108" t="str">
        <f>_xlfn.XLOOKUP(J321,[1]Sheet1!$A:$A,[1]Sheet1!$B:$B,"")</f>
        <v>#ERROR!</v>
      </c>
      <c r="L321" s="109" t="s">
        <v>1309</v>
      </c>
      <c r="M321" s="103" t="s">
        <v>1310</v>
      </c>
      <c r="N321" s="110"/>
      <c r="O321" s="104" t="s">
        <v>95</v>
      </c>
      <c r="P321" s="110"/>
      <c r="Q321" s="104" t="s">
        <v>554</v>
      </c>
      <c r="R321" s="110" t="s">
        <v>1176</v>
      </c>
      <c r="S321" s="110">
        <v>1800.0</v>
      </c>
      <c r="T321" s="251" t="s">
        <v>1311</v>
      </c>
      <c r="U321" s="134" t="s">
        <v>509</v>
      </c>
      <c r="V321" s="279">
        <v>0.017</v>
      </c>
      <c r="W321" s="113">
        <v>30.0</v>
      </c>
      <c r="X321" s="110">
        <v>45.0</v>
      </c>
      <c r="Y321" s="110">
        <v>55.0</v>
      </c>
      <c r="Z321" s="110" t="s">
        <v>99</v>
      </c>
      <c r="AA321" s="114">
        <f t="shared" si="496"/>
        <v>1.278218633</v>
      </c>
      <c r="AB321" s="115"/>
      <c r="AC321" s="212">
        <f t="shared" ref="AC321:AC334" si="510">BD321/(1-AK321)</f>
        <v>1.074835388</v>
      </c>
      <c r="AD321" s="213">
        <f t="shared" si="244"/>
        <v>1.155736976</v>
      </c>
      <c r="AE321" s="212"/>
      <c r="AF321" s="212" t="str">
        <f t="shared" si="94"/>
        <v>#REF!</v>
      </c>
      <c r="AG321" s="210" t="str">
        <f t="shared" si="95"/>
        <v>#REF!</v>
      </c>
      <c r="AH321" s="120" t="str">
        <f t="shared" si="96"/>
        <v>#REF!</v>
      </c>
      <c r="AI321" s="121">
        <f t="shared" si="497"/>
        <v>0.1</v>
      </c>
      <c r="AJ321" s="121">
        <v>0.1</v>
      </c>
      <c r="AK321" s="122">
        <v>0.36</v>
      </c>
      <c r="AL321" s="123">
        <f t="shared" si="11"/>
        <v>0.3869407395</v>
      </c>
      <c r="AM321" s="122" t="s">
        <v>10</v>
      </c>
      <c r="AN321" s="125">
        <f t="shared" si="434"/>
        <v>1.074835388</v>
      </c>
      <c r="AO321" s="112">
        <f t="shared" si="435"/>
        <v>0.36</v>
      </c>
      <c r="AP321" s="127"/>
      <c r="AQ321" s="128">
        <f t="shared" ref="AQ321:AR321" si="509">BC321/(1-AI321)</f>
        <v>0.7924955523</v>
      </c>
      <c r="AR321" s="139">
        <f t="shared" si="509"/>
        <v>0.7643273867</v>
      </c>
      <c r="AS321" s="126">
        <f t="shared" si="437"/>
        <v>0.38</v>
      </c>
      <c r="AT321" s="126">
        <f t="shared" si="438"/>
        <v>0.2888888889</v>
      </c>
      <c r="AU321" s="129"/>
      <c r="AV321" s="39" t="s">
        <v>1275</v>
      </c>
      <c r="AW321" s="130"/>
      <c r="AX321" s="140"/>
      <c r="AY321" s="140"/>
      <c r="AZ321" s="130"/>
      <c r="BA321" s="130">
        <v>4.9</v>
      </c>
      <c r="BB321" s="130">
        <f t="shared" si="499"/>
        <v>4.9</v>
      </c>
      <c r="BC321" s="131">
        <f t="shared" si="500"/>
        <v>0.7132459971</v>
      </c>
      <c r="BD321" s="132">
        <f t="shared" si="501"/>
        <v>0.687894648</v>
      </c>
      <c r="BE321" s="288" t="s">
        <v>1312</v>
      </c>
      <c r="BF321" s="134"/>
      <c r="BG321" s="49"/>
      <c r="BH321" s="212">
        <f t="shared" si="491"/>
        <v>3.582784625</v>
      </c>
      <c r="BI321" s="212">
        <f t="shared" si="492"/>
        <v>2.149670775</v>
      </c>
      <c r="BJ321" s="212">
        <f t="shared" si="493"/>
        <v>1.791392313</v>
      </c>
      <c r="BK321" s="212">
        <f t="shared" si="494"/>
        <v>1.43311385</v>
      </c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</row>
    <row r="322" ht="14.25" customHeight="1">
      <c r="A322" s="289" t="s">
        <v>84</v>
      </c>
      <c r="B322" s="289" t="s">
        <v>120</v>
      </c>
      <c r="C322" s="289" t="s">
        <v>120</v>
      </c>
      <c r="D322" s="289" t="s">
        <v>1266</v>
      </c>
      <c r="E322" s="289" t="s">
        <v>1306</v>
      </c>
      <c r="F322" s="290" t="s">
        <v>1307</v>
      </c>
      <c r="G322" s="291"/>
      <c r="H322" s="291"/>
      <c r="I322" s="107"/>
      <c r="J322" s="292" t="s">
        <v>1313</v>
      </c>
      <c r="K322" s="292" t="str">
        <f>_xlfn.XLOOKUP(J322,[1]Sheet1!$A:$A,[1]Sheet1!$B:$B,"")</f>
        <v>#ERROR!</v>
      </c>
      <c r="L322" s="293" t="s">
        <v>1314</v>
      </c>
      <c r="M322" s="289" t="s">
        <v>1315</v>
      </c>
      <c r="N322" s="291"/>
      <c r="O322" s="290" t="s">
        <v>95</v>
      </c>
      <c r="P322" s="291"/>
      <c r="Q322" s="290" t="s">
        <v>554</v>
      </c>
      <c r="R322" s="291" t="s">
        <v>1176</v>
      </c>
      <c r="S322" s="291">
        <v>90000.0</v>
      </c>
      <c r="T322" s="294" t="s">
        <v>1316</v>
      </c>
      <c r="U322" s="295" t="s">
        <v>509</v>
      </c>
      <c r="V322" s="296">
        <v>0.017</v>
      </c>
      <c r="W322" s="297">
        <v>30.0</v>
      </c>
      <c r="X322" s="291">
        <v>45.0</v>
      </c>
      <c r="Y322" s="291">
        <v>55.0</v>
      </c>
      <c r="Z322" s="291" t="s">
        <v>99</v>
      </c>
      <c r="AA322" s="114">
        <f t="shared" si="496"/>
        <v>0.03404921814</v>
      </c>
      <c r="AB322" s="298"/>
      <c r="AC322" s="299">
        <f t="shared" si="510"/>
        <v>0.02813045159</v>
      </c>
      <c r="AD322" s="213">
        <f t="shared" si="244"/>
        <v>0.03024779741</v>
      </c>
      <c r="AE322" s="299"/>
      <c r="AF322" s="299" t="str">
        <f t="shared" si="94"/>
        <v>#REF!</v>
      </c>
      <c r="AG322" s="300" t="str">
        <f t="shared" si="95"/>
        <v>#REF!</v>
      </c>
      <c r="AH322" s="120" t="str">
        <f t="shared" si="96"/>
        <v>#REF!</v>
      </c>
      <c r="AI322" s="301">
        <f t="shared" si="497"/>
        <v>0.1</v>
      </c>
      <c r="AJ322" s="301">
        <v>0.1</v>
      </c>
      <c r="AK322" s="301">
        <v>0.41000000000000003</v>
      </c>
      <c r="AL322" s="123">
        <f t="shared" si="11"/>
        <v>0.01153348515</v>
      </c>
      <c r="AM322" s="301" t="s">
        <v>10</v>
      </c>
      <c r="AN322" s="302">
        <f t="shared" si="434"/>
        <v>0.02813045159</v>
      </c>
      <c r="AO322" s="301">
        <f t="shared" si="435"/>
        <v>0.41</v>
      </c>
      <c r="AP322" s="127"/>
      <c r="AQ322" s="303">
        <f t="shared" ref="AQ322:AR322" si="511">BC322/(1-AI322)</f>
        <v>0.01940805434</v>
      </c>
      <c r="AR322" s="304">
        <f t="shared" si="511"/>
        <v>0.01844107382</v>
      </c>
      <c r="AS322" s="305">
        <f t="shared" si="437"/>
        <v>0.43</v>
      </c>
      <c r="AT322" s="305">
        <f t="shared" si="438"/>
        <v>0.3444444444</v>
      </c>
      <c r="AU322" s="129"/>
      <c r="AV322" s="306" t="s">
        <v>1275</v>
      </c>
      <c r="AW322" s="307"/>
      <c r="AX322" s="308"/>
      <c r="AY322" s="308"/>
      <c r="AZ322" s="307"/>
      <c r="BA322" s="307">
        <v>0.12</v>
      </c>
      <c r="BB322" s="307">
        <f t="shared" si="499"/>
        <v>0.12</v>
      </c>
      <c r="BC322" s="309">
        <f t="shared" si="500"/>
        <v>0.01746724891</v>
      </c>
      <c r="BD322" s="310">
        <f t="shared" si="501"/>
        <v>0.01659696644</v>
      </c>
      <c r="BE322" s="311"/>
      <c r="BF322" s="295"/>
      <c r="BG322" s="312"/>
      <c r="BH322" s="299">
        <f t="shared" si="491"/>
        <v>0.09376817196</v>
      </c>
      <c r="BI322" s="299">
        <f t="shared" si="492"/>
        <v>0.05626090318</v>
      </c>
      <c r="BJ322" s="299">
        <f t="shared" si="493"/>
        <v>0.04688408598</v>
      </c>
      <c r="BK322" s="299">
        <f t="shared" si="494"/>
        <v>0.03750726878</v>
      </c>
      <c r="BL322" s="49"/>
      <c r="BM322" s="312"/>
      <c r="BN322" s="312"/>
      <c r="BO322" s="312"/>
      <c r="BP322" s="312"/>
      <c r="BQ322" s="312"/>
      <c r="BR322" s="312"/>
      <c r="BS322" s="312"/>
      <c r="BT322" s="312"/>
      <c r="BU322" s="312"/>
      <c r="BV322" s="312"/>
      <c r="BW322" s="312"/>
      <c r="BX322" s="312"/>
      <c r="BY322" s="312"/>
      <c r="BZ322" s="312"/>
      <c r="CA322" s="312"/>
      <c r="CB322" s="312"/>
      <c r="CC322" s="312"/>
      <c r="CD322" s="312"/>
      <c r="CE322" s="312"/>
      <c r="CF322" s="312"/>
    </row>
    <row r="323" ht="14.25" customHeight="1">
      <c r="A323" s="103" t="s">
        <v>84</v>
      </c>
      <c r="B323" s="103" t="s">
        <v>120</v>
      </c>
      <c r="C323" s="103" t="s">
        <v>120</v>
      </c>
      <c r="D323" s="103" t="s">
        <v>1266</v>
      </c>
      <c r="E323" s="103" t="s">
        <v>1317</v>
      </c>
      <c r="F323" s="104" t="s">
        <v>1318</v>
      </c>
      <c r="G323" s="110" t="s">
        <v>1319</v>
      </c>
      <c r="H323" s="110"/>
      <c r="I323" s="107"/>
      <c r="J323" s="220" t="s">
        <v>1320</v>
      </c>
      <c r="K323" s="220" t="str">
        <f>_xlfn.XLOOKUP(J323,[1]Sheet1!$A:$A,[1]Sheet1!$B:$B,"")</f>
        <v>#ERROR!</v>
      </c>
      <c r="L323" s="103" t="s">
        <v>1321</v>
      </c>
      <c r="M323" s="103" t="s">
        <v>1322</v>
      </c>
      <c r="N323" s="110"/>
      <c r="O323" s="104" t="s">
        <v>95</v>
      </c>
      <c r="P323" s="110"/>
      <c r="Q323" s="104" t="s">
        <v>1323</v>
      </c>
      <c r="R323" s="110" t="s">
        <v>1324</v>
      </c>
      <c r="S323" s="110">
        <v>2160.0</v>
      </c>
      <c r="T323" s="110" t="e">
        <v>#N/A</v>
      </c>
      <c r="U323" s="313">
        <v>8.5447E9</v>
      </c>
      <c r="V323" s="112">
        <v>0.0</v>
      </c>
      <c r="W323" s="113">
        <v>30.0</v>
      </c>
      <c r="X323" s="110">
        <v>45.0</v>
      </c>
      <c r="Y323" s="110">
        <v>55.0</v>
      </c>
      <c r="Z323" s="110" t="s">
        <v>99</v>
      </c>
      <c r="AA323" s="114">
        <f t="shared" si="496"/>
        <v>2.403612884</v>
      </c>
      <c r="AB323" s="115"/>
      <c r="AC323" s="212">
        <f t="shared" si="510"/>
        <v>1.894035403</v>
      </c>
      <c r="AD323" s="213">
        <f t="shared" si="244"/>
        <v>2.036597207</v>
      </c>
      <c r="AE323" s="212"/>
      <c r="AF323" s="212" t="str">
        <f t="shared" si="94"/>
        <v>#REF!</v>
      </c>
      <c r="AG323" s="210" t="str">
        <f t="shared" si="95"/>
        <v>#REF!</v>
      </c>
      <c r="AH323" s="120" t="str">
        <f t="shared" si="96"/>
        <v>#REF!</v>
      </c>
      <c r="AI323" s="121">
        <f t="shared" si="497"/>
        <v>0.1</v>
      </c>
      <c r="AJ323" s="121">
        <v>0.1</v>
      </c>
      <c r="AK323" s="122">
        <v>0.33</v>
      </c>
      <c r="AL323" s="123">
        <f t="shared" si="11"/>
        <v>0.6250316829</v>
      </c>
      <c r="AM323" s="122" t="s">
        <v>10</v>
      </c>
      <c r="AN323" s="125">
        <f t="shared" si="434"/>
        <v>1.894035403</v>
      </c>
      <c r="AO323" s="112">
        <f t="shared" si="435"/>
        <v>0.33</v>
      </c>
      <c r="AP323" s="127"/>
      <c r="AQ323" s="128">
        <f t="shared" ref="AQ323:AR323" si="512">BC323/(1-AI323)</f>
        <v>1.562348375</v>
      </c>
      <c r="AR323" s="139">
        <f t="shared" si="512"/>
        <v>1.410004133</v>
      </c>
      <c r="AS323" s="126">
        <f t="shared" si="437"/>
        <v>0.35</v>
      </c>
      <c r="AT323" s="126">
        <f t="shared" si="438"/>
        <v>0.2555555556</v>
      </c>
      <c r="AU323" s="129"/>
      <c r="AV323" s="39" t="s">
        <v>1275</v>
      </c>
      <c r="AW323" s="130"/>
      <c r="AX323" s="140"/>
      <c r="AY323" s="140"/>
      <c r="AZ323" s="130"/>
      <c r="BA323" s="130">
        <v>9.66</v>
      </c>
      <c r="BB323" s="130">
        <f t="shared" si="499"/>
        <v>9.66</v>
      </c>
      <c r="BC323" s="131">
        <f t="shared" si="500"/>
        <v>1.406113537</v>
      </c>
      <c r="BD323" s="132">
        <f t="shared" si="501"/>
        <v>1.26900372</v>
      </c>
      <c r="BE323" s="39"/>
      <c r="BF323" s="134">
        <v>8.5447E9</v>
      </c>
      <c r="BG323" s="49"/>
      <c r="BH323" s="212">
        <f t="shared" si="491"/>
        <v>6.313451343</v>
      </c>
      <c r="BI323" s="212">
        <f t="shared" si="492"/>
        <v>3.788070806</v>
      </c>
      <c r="BJ323" s="212">
        <f t="shared" si="493"/>
        <v>3.156725671</v>
      </c>
      <c r="BK323" s="212">
        <f t="shared" si="494"/>
        <v>2.525380537</v>
      </c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</row>
    <row r="324" ht="14.25" customHeight="1">
      <c r="A324" s="103" t="s">
        <v>84</v>
      </c>
      <c r="B324" s="103" t="s">
        <v>120</v>
      </c>
      <c r="C324" s="103" t="s">
        <v>120</v>
      </c>
      <c r="D324" s="103" t="s">
        <v>1266</v>
      </c>
      <c r="E324" s="103" t="s">
        <v>1317</v>
      </c>
      <c r="F324" s="104" t="s">
        <v>1318</v>
      </c>
      <c r="G324" s="110" t="s">
        <v>1319</v>
      </c>
      <c r="H324" s="110"/>
      <c r="I324" s="107"/>
      <c r="J324" s="220" t="s">
        <v>1325</v>
      </c>
      <c r="K324" s="220" t="str">
        <f>_xlfn.XLOOKUP(J324,[1]Sheet1!$A:$A,[1]Sheet1!$B:$B,"")</f>
        <v>#ERROR!</v>
      </c>
      <c r="L324" s="103" t="s">
        <v>1326</v>
      </c>
      <c r="M324" s="103" t="s">
        <v>1327</v>
      </c>
      <c r="N324" s="110"/>
      <c r="O324" s="104" t="s">
        <v>95</v>
      </c>
      <c r="P324" s="110"/>
      <c r="Q324" s="104" t="s">
        <v>1323</v>
      </c>
      <c r="R324" s="110" t="s">
        <v>1324</v>
      </c>
      <c r="S324" s="110">
        <v>1920.0</v>
      </c>
      <c r="T324" s="110" t="e">
        <v>#N/A</v>
      </c>
      <c r="U324" s="110">
        <v>8.5447E9</v>
      </c>
      <c r="V324" s="112">
        <v>0.0</v>
      </c>
      <c r="W324" s="113">
        <v>30.0</v>
      </c>
      <c r="X324" s="110">
        <v>45.0</v>
      </c>
      <c r="Y324" s="110">
        <v>55.0</v>
      </c>
      <c r="Z324" s="110" t="s">
        <v>99</v>
      </c>
      <c r="AA324" s="114">
        <f t="shared" si="496"/>
        <v>2.644969457</v>
      </c>
      <c r="AB324" s="115"/>
      <c r="AC324" s="212">
        <f t="shared" si="510"/>
        <v>2.085922084</v>
      </c>
      <c r="AD324" s="213">
        <f t="shared" si="244"/>
        <v>2.242926972</v>
      </c>
      <c r="AE324" s="212"/>
      <c r="AF324" s="212" t="str">
        <f t="shared" si="94"/>
        <v>#REF!</v>
      </c>
      <c r="AG324" s="210" t="str">
        <f t="shared" si="95"/>
        <v>#REF!</v>
      </c>
      <c r="AH324" s="120" t="str">
        <f t="shared" si="96"/>
        <v>#REF!</v>
      </c>
      <c r="AI324" s="121">
        <f t="shared" si="497"/>
        <v>0.1</v>
      </c>
      <c r="AJ324" s="121">
        <v>0.1</v>
      </c>
      <c r="AK324" s="122">
        <v>0.33</v>
      </c>
      <c r="AL324" s="123">
        <f t="shared" si="11"/>
        <v>0.6883542878</v>
      </c>
      <c r="AM324" s="122" t="s">
        <v>10</v>
      </c>
      <c r="AN324" s="125">
        <f t="shared" si="434"/>
        <v>2.085922084</v>
      </c>
      <c r="AO324" s="112">
        <f t="shared" si="435"/>
        <v>0.33</v>
      </c>
      <c r="AP324" s="127"/>
      <c r="AQ324" s="128">
        <f t="shared" ref="AQ324:AR324" si="513">BC324/(1-AI324)</f>
        <v>1.719230147</v>
      </c>
      <c r="AR324" s="139">
        <f t="shared" si="513"/>
        <v>1.552853107</v>
      </c>
      <c r="AS324" s="126">
        <f t="shared" si="437"/>
        <v>0.35</v>
      </c>
      <c r="AT324" s="126">
        <f t="shared" si="438"/>
        <v>0.2555555556</v>
      </c>
      <c r="AU324" s="129"/>
      <c r="AV324" s="39" t="s">
        <v>1275</v>
      </c>
      <c r="AW324" s="130"/>
      <c r="AX324" s="140"/>
      <c r="AY324" s="140"/>
      <c r="AZ324" s="130"/>
      <c r="BA324" s="130">
        <v>10.63</v>
      </c>
      <c r="BB324" s="130">
        <f t="shared" si="499"/>
        <v>10.63</v>
      </c>
      <c r="BC324" s="131">
        <f t="shared" si="500"/>
        <v>1.547307132</v>
      </c>
      <c r="BD324" s="132">
        <f t="shared" si="501"/>
        <v>1.397567796</v>
      </c>
      <c r="BE324" s="39"/>
      <c r="BF324" s="134">
        <v>8.5447E9</v>
      </c>
      <c r="BG324" s="49"/>
      <c r="BH324" s="212">
        <f t="shared" si="491"/>
        <v>6.953073614</v>
      </c>
      <c r="BI324" s="212">
        <f t="shared" si="492"/>
        <v>4.171844168</v>
      </c>
      <c r="BJ324" s="212">
        <f t="shared" si="493"/>
        <v>3.476536807</v>
      </c>
      <c r="BK324" s="212">
        <f t="shared" si="494"/>
        <v>2.781229445</v>
      </c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</row>
    <row r="325" ht="14.25" customHeight="1">
      <c r="A325" s="103" t="s">
        <v>84</v>
      </c>
      <c r="B325" s="103" t="s">
        <v>120</v>
      </c>
      <c r="C325" s="103" t="s">
        <v>120</v>
      </c>
      <c r="D325" s="103" t="s">
        <v>1266</v>
      </c>
      <c r="E325" s="103" t="s">
        <v>1317</v>
      </c>
      <c r="F325" s="104" t="s">
        <v>1318</v>
      </c>
      <c r="G325" s="110" t="s">
        <v>1319</v>
      </c>
      <c r="H325" s="110"/>
      <c r="I325" s="107"/>
      <c r="J325" s="220" t="s">
        <v>1328</v>
      </c>
      <c r="K325" s="220" t="str">
        <f>_xlfn.XLOOKUP(J325,[1]Sheet1!$A:$A,[1]Sheet1!$B:$B,"")</f>
        <v>#ERROR!</v>
      </c>
      <c r="L325" s="103" t="s">
        <v>1329</v>
      </c>
      <c r="M325" s="103" t="s">
        <v>1330</v>
      </c>
      <c r="N325" s="110"/>
      <c r="O325" s="104" t="s">
        <v>95</v>
      </c>
      <c r="P325" s="110"/>
      <c r="Q325" s="104" t="s">
        <v>1323</v>
      </c>
      <c r="R325" s="110" t="s">
        <v>1324</v>
      </c>
      <c r="S325" s="110">
        <v>1920.0</v>
      </c>
      <c r="T325" s="110" t="e">
        <v>#N/A</v>
      </c>
      <c r="U325" s="110">
        <v>8.5447E9</v>
      </c>
      <c r="V325" s="112">
        <v>0.0</v>
      </c>
      <c r="W325" s="113">
        <v>30.0</v>
      </c>
      <c r="X325" s="110">
        <v>45.0</v>
      </c>
      <c r="Y325" s="110">
        <v>55.0</v>
      </c>
      <c r="Z325" s="110" t="s">
        <v>99</v>
      </c>
      <c r="AA325" s="114">
        <f t="shared" si="496"/>
        <v>2.883837818</v>
      </c>
      <c r="AB325" s="115"/>
      <c r="AC325" s="212">
        <f t="shared" si="510"/>
        <v>2.267282229</v>
      </c>
      <c r="AD325" s="213">
        <f t="shared" si="244"/>
        <v>2.43793788</v>
      </c>
      <c r="AE325" s="212"/>
      <c r="AF325" s="212" t="str">
        <f t="shared" si="94"/>
        <v>#REF!</v>
      </c>
      <c r="AG325" s="210" t="str">
        <f t="shared" si="95"/>
        <v>#REF!</v>
      </c>
      <c r="AH325" s="120" t="str">
        <f t="shared" si="96"/>
        <v>#REF!</v>
      </c>
      <c r="AI325" s="121">
        <f t="shared" si="497"/>
        <v>0.1</v>
      </c>
      <c r="AJ325" s="121">
        <v>0.1</v>
      </c>
      <c r="AK325" s="122">
        <v>0.33</v>
      </c>
      <c r="AL325" s="123">
        <f t="shared" si="11"/>
        <v>0.7482031354</v>
      </c>
      <c r="AM325" s="122" t="s">
        <v>10</v>
      </c>
      <c r="AN325" s="125">
        <f t="shared" si="434"/>
        <v>2.267282229</v>
      </c>
      <c r="AO325" s="112">
        <f t="shared" si="435"/>
        <v>0.33</v>
      </c>
      <c r="AP325" s="127"/>
      <c r="AQ325" s="128">
        <f t="shared" ref="AQ325:AR325" si="514">BC325/(1-AI325)</f>
        <v>1.874494582</v>
      </c>
      <c r="AR325" s="139">
        <f t="shared" si="514"/>
        <v>1.687865659</v>
      </c>
      <c r="AS325" s="126">
        <f t="shared" si="437"/>
        <v>0.35</v>
      </c>
      <c r="AT325" s="126">
        <f t="shared" si="438"/>
        <v>0.2555555556</v>
      </c>
      <c r="AU325" s="129"/>
      <c r="AV325" s="39" t="s">
        <v>1275</v>
      </c>
      <c r="AW325" s="130"/>
      <c r="AX325" s="140"/>
      <c r="AY325" s="140"/>
      <c r="AZ325" s="130"/>
      <c r="BA325" s="130">
        <v>11.59</v>
      </c>
      <c r="BB325" s="130">
        <f t="shared" si="499"/>
        <v>11.59</v>
      </c>
      <c r="BC325" s="131">
        <f t="shared" si="500"/>
        <v>1.687045124</v>
      </c>
      <c r="BD325" s="132">
        <f t="shared" si="501"/>
        <v>1.519079093</v>
      </c>
      <c r="BE325" s="39"/>
      <c r="BF325" s="134">
        <v>8.5447E9</v>
      </c>
      <c r="BG325" s="49"/>
      <c r="BH325" s="212">
        <f t="shared" si="491"/>
        <v>7.557607428</v>
      </c>
      <c r="BI325" s="212">
        <f t="shared" si="492"/>
        <v>4.534564457</v>
      </c>
      <c r="BJ325" s="212">
        <f t="shared" si="493"/>
        <v>3.778803714</v>
      </c>
      <c r="BK325" s="212">
        <f t="shared" si="494"/>
        <v>3.023042971</v>
      </c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</row>
    <row r="326" ht="14.25" customHeight="1">
      <c r="A326" s="103" t="s">
        <v>84</v>
      </c>
      <c r="B326" s="103" t="s">
        <v>120</v>
      </c>
      <c r="C326" s="103" t="s">
        <v>120</v>
      </c>
      <c r="D326" s="103" t="s">
        <v>1266</v>
      </c>
      <c r="E326" s="103" t="s">
        <v>1317</v>
      </c>
      <c r="F326" s="104" t="s">
        <v>1318</v>
      </c>
      <c r="G326" s="110" t="s">
        <v>1319</v>
      </c>
      <c r="H326" s="110"/>
      <c r="I326" s="107"/>
      <c r="J326" s="220" t="s">
        <v>1331</v>
      </c>
      <c r="K326" s="220" t="str">
        <f>_xlfn.XLOOKUP(J326,[1]Sheet1!$A:$A,[1]Sheet1!$B:$B,"")</f>
        <v>#ERROR!</v>
      </c>
      <c r="L326" s="103" t="s">
        <v>1332</v>
      </c>
      <c r="M326" s="103" t="s">
        <v>1333</v>
      </c>
      <c r="N326" s="110"/>
      <c r="O326" s="104" t="s">
        <v>95</v>
      </c>
      <c r="P326" s="110"/>
      <c r="Q326" s="104" t="s">
        <v>1323</v>
      </c>
      <c r="R326" s="110" t="s">
        <v>1324</v>
      </c>
      <c r="S326" s="110">
        <v>1440.0</v>
      </c>
      <c r="T326" s="110" t="e">
        <v>#N/A</v>
      </c>
      <c r="U326" s="110">
        <v>8.5447E9</v>
      </c>
      <c r="V326" s="112">
        <v>0.0</v>
      </c>
      <c r="W326" s="113">
        <v>30.0</v>
      </c>
      <c r="X326" s="110">
        <v>45.0</v>
      </c>
      <c r="Y326" s="110">
        <v>55.0</v>
      </c>
      <c r="Z326" s="110" t="s">
        <v>99</v>
      </c>
      <c r="AA326" s="114">
        <f t="shared" si="496"/>
        <v>3.34913348</v>
      </c>
      <c r="AB326" s="115"/>
      <c r="AC326" s="212">
        <f t="shared" si="510"/>
        <v>2.646468783</v>
      </c>
      <c r="AD326" s="213">
        <f t="shared" si="244"/>
        <v>2.845665358</v>
      </c>
      <c r="AE326" s="212"/>
      <c r="AF326" s="212" t="str">
        <f t="shared" si="94"/>
        <v>#REF!</v>
      </c>
      <c r="AG326" s="210" t="str">
        <f t="shared" si="95"/>
        <v>#REF!</v>
      </c>
      <c r="AH326" s="120" t="str">
        <f t="shared" si="96"/>
        <v>#REF!</v>
      </c>
      <c r="AI326" s="121">
        <f t="shared" si="497"/>
        <v>0.1</v>
      </c>
      <c r="AJ326" s="121">
        <v>0.1</v>
      </c>
      <c r="AK326" s="122">
        <v>0.33</v>
      </c>
      <c r="AL326" s="123">
        <f t="shared" si="11"/>
        <v>0.8733346983</v>
      </c>
      <c r="AM326" s="122" t="s">
        <v>10</v>
      </c>
      <c r="AN326" s="125">
        <f t="shared" si="434"/>
        <v>2.646468783</v>
      </c>
      <c r="AO326" s="112">
        <f t="shared" si="435"/>
        <v>0.33</v>
      </c>
      <c r="AP326" s="127"/>
      <c r="AQ326" s="128">
        <f t="shared" ref="AQ326:AR326" si="515">BC326/(1-AI326)</f>
        <v>2.176936762</v>
      </c>
      <c r="AR326" s="139">
        <f t="shared" si="515"/>
        <v>1.970148983</v>
      </c>
      <c r="AS326" s="126">
        <f t="shared" si="437"/>
        <v>0.35</v>
      </c>
      <c r="AT326" s="126">
        <f t="shared" si="438"/>
        <v>0.2555555556</v>
      </c>
      <c r="AU326" s="129"/>
      <c r="AV326" s="39" t="s">
        <v>1275</v>
      </c>
      <c r="AW326" s="130"/>
      <c r="AX326" s="140"/>
      <c r="AY326" s="140"/>
      <c r="AZ326" s="130"/>
      <c r="BA326" s="130">
        <v>13.46</v>
      </c>
      <c r="BB326" s="130">
        <f t="shared" si="499"/>
        <v>13.46</v>
      </c>
      <c r="BC326" s="131">
        <f t="shared" si="500"/>
        <v>1.959243086</v>
      </c>
      <c r="BD326" s="132">
        <f t="shared" si="501"/>
        <v>1.773134084</v>
      </c>
      <c r="BE326" s="39"/>
      <c r="BF326" s="134">
        <v>8.5447E9</v>
      </c>
      <c r="BG326" s="49"/>
      <c r="BH326" s="212">
        <f t="shared" si="491"/>
        <v>8.821562609</v>
      </c>
      <c r="BI326" s="212">
        <f t="shared" si="492"/>
        <v>5.292937565</v>
      </c>
      <c r="BJ326" s="212">
        <f t="shared" si="493"/>
        <v>4.410781304</v>
      </c>
      <c r="BK326" s="212">
        <f t="shared" si="494"/>
        <v>3.528625043</v>
      </c>
      <c r="BL326" s="49"/>
      <c r="BM326" s="49"/>
      <c r="BN326" s="49"/>
      <c r="BO326" s="49"/>
      <c r="BP326" s="49"/>
      <c r="BQ326" s="49"/>
      <c r="BR326" s="49"/>
      <c r="BS326" s="49"/>
      <c r="BT326" s="49"/>
      <c r="BU326" s="49"/>
      <c r="BV326" s="49"/>
      <c r="BW326" s="49"/>
      <c r="BX326" s="49"/>
      <c r="BY326" s="49"/>
      <c r="BZ326" s="49"/>
      <c r="CA326" s="49"/>
      <c r="CB326" s="49"/>
      <c r="CC326" s="49"/>
      <c r="CD326" s="49"/>
      <c r="CE326" s="49"/>
      <c r="CF326" s="49"/>
    </row>
    <row r="327" ht="14.25" customHeight="1">
      <c r="A327" s="103" t="s">
        <v>84</v>
      </c>
      <c r="B327" s="103" t="s">
        <v>120</v>
      </c>
      <c r="C327" s="103" t="s">
        <v>120</v>
      </c>
      <c r="D327" s="103" t="s">
        <v>1266</v>
      </c>
      <c r="E327" s="103" t="s">
        <v>1317</v>
      </c>
      <c r="F327" s="104" t="s">
        <v>1318</v>
      </c>
      <c r="G327" s="110" t="s">
        <v>1319</v>
      </c>
      <c r="H327" s="110"/>
      <c r="I327" s="107"/>
      <c r="J327" s="220" t="s">
        <v>1334</v>
      </c>
      <c r="K327" s="220" t="str">
        <f>_xlfn.XLOOKUP(J327,[1]Sheet1!$A:$A,[1]Sheet1!$B:$B,"")</f>
        <v>#ERROR!</v>
      </c>
      <c r="L327" s="103" t="s">
        <v>1335</v>
      </c>
      <c r="M327" s="103" t="s">
        <v>1336</v>
      </c>
      <c r="N327" s="110"/>
      <c r="O327" s="104" t="s">
        <v>95</v>
      </c>
      <c r="P327" s="110"/>
      <c r="Q327" s="104" t="s">
        <v>1323</v>
      </c>
      <c r="R327" s="110" t="s">
        <v>1324</v>
      </c>
      <c r="S327" s="110">
        <v>720.0</v>
      </c>
      <c r="T327" s="110" t="e">
        <v>#N/A</v>
      </c>
      <c r="U327" s="110">
        <v>8.5447E9</v>
      </c>
      <c r="V327" s="112">
        <v>0.0</v>
      </c>
      <c r="W327" s="113">
        <v>30.0</v>
      </c>
      <c r="X327" s="110">
        <v>45.0</v>
      </c>
      <c r="Y327" s="110">
        <v>55.0</v>
      </c>
      <c r="Z327" s="110" t="s">
        <v>99</v>
      </c>
      <c r="AA327" s="114">
        <f t="shared" si="496"/>
        <v>4.896801403</v>
      </c>
      <c r="AB327" s="115"/>
      <c r="AC327" s="212">
        <f t="shared" si="510"/>
        <v>3.925179809</v>
      </c>
      <c r="AD327" s="213">
        <f t="shared" si="244"/>
        <v>4.220623451</v>
      </c>
      <c r="AE327" s="212"/>
      <c r="AF327" s="212" t="str">
        <f t="shared" si="94"/>
        <v>#REF!</v>
      </c>
      <c r="AG327" s="210" t="str">
        <f t="shared" si="95"/>
        <v>#REF!</v>
      </c>
      <c r="AH327" s="120" t="str">
        <f t="shared" si="96"/>
        <v>#REF!</v>
      </c>
      <c r="AI327" s="121">
        <f t="shared" si="497"/>
        <v>0.1</v>
      </c>
      <c r="AJ327" s="121">
        <v>0.1</v>
      </c>
      <c r="AK327" s="122">
        <v>0.33</v>
      </c>
      <c r="AL327" s="123">
        <f t="shared" si="11"/>
        <v>1.295309337</v>
      </c>
      <c r="AM327" s="122" t="s">
        <v>10</v>
      </c>
      <c r="AN327" s="125">
        <f t="shared" si="434"/>
        <v>3.925179809</v>
      </c>
      <c r="AO327" s="112">
        <f t="shared" si="435"/>
        <v>0.33</v>
      </c>
      <c r="AP327" s="127"/>
      <c r="AQ327" s="128">
        <f t="shared" ref="AQ327:AR327" si="516">BC327/(1-AI327)</f>
        <v>3.182920912</v>
      </c>
      <c r="AR327" s="139">
        <f t="shared" si="516"/>
        <v>2.922078303</v>
      </c>
      <c r="AS327" s="126">
        <f t="shared" si="437"/>
        <v>0.35</v>
      </c>
      <c r="AT327" s="126">
        <f t="shared" si="438"/>
        <v>0.2555555556</v>
      </c>
      <c r="AU327" s="129"/>
      <c r="AV327" s="39" t="s">
        <v>1275</v>
      </c>
      <c r="AW327" s="130"/>
      <c r="AX327" s="140"/>
      <c r="AY327" s="140"/>
      <c r="AZ327" s="130"/>
      <c r="BA327" s="130">
        <v>19.68</v>
      </c>
      <c r="BB327" s="130">
        <f t="shared" si="499"/>
        <v>19.68</v>
      </c>
      <c r="BC327" s="131">
        <f t="shared" si="500"/>
        <v>2.864628821</v>
      </c>
      <c r="BD327" s="132">
        <f t="shared" si="501"/>
        <v>2.629870472</v>
      </c>
      <c r="BE327" s="39"/>
      <c r="BF327" s="134">
        <v>8.5447E9</v>
      </c>
      <c r="BG327" s="49"/>
      <c r="BH327" s="224">
        <f t="shared" si="491"/>
        <v>13.0839327</v>
      </c>
      <c r="BI327" s="224">
        <f t="shared" si="492"/>
        <v>7.850359619</v>
      </c>
      <c r="BJ327" s="224">
        <f t="shared" si="493"/>
        <v>6.541966349</v>
      </c>
      <c r="BK327" s="224">
        <f t="shared" si="494"/>
        <v>5.233573079</v>
      </c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</row>
    <row r="328" ht="14.25" customHeight="1">
      <c r="A328" s="103" t="s">
        <v>84</v>
      </c>
      <c r="B328" s="103" t="s">
        <v>120</v>
      </c>
      <c r="C328" s="103" t="s">
        <v>120</v>
      </c>
      <c r="D328" s="103" t="s">
        <v>1266</v>
      </c>
      <c r="E328" s="103" t="s">
        <v>1317</v>
      </c>
      <c r="F328" s="104" t="s">
        <v>1318</v>
      </c>
      <c r="G328" s="110" t="s">
        <v>1319</v>
      </c>
      <c r="H328" s="110"/>
      <c r="I328" s="107"/>
      <c r="J328" s="220" t="s">
        <v>1337</v>
      </c>
      <c r="K328" s="220" t="str">
        <f>_xlfn.XLOOKUP(J328,[1]Sheet1!$A:$A,[1]Sheet1!$B:$B,"")</f>
        <v>#ERROR!</v>
      </c>
      <c r="L328" s="103" t="s">
        <v>1338</v>
      </c>
      <c r="M328" s="103" t="s">
        <v>1339</v>
      </c>
      <c r="N328" s="110"/>
      <c r="O328" s="104" t="s">
        <v>95</v>
      </c>
      <c r="P328" s="110"/>
      <c r="Q328" s="104" t="s">
        <v>1323</v>
      </c>
      <c r="R328" s="110" t="s">
        <v>1324</v>
      </c>
      <c r="S328" s="110">
        <v>480.0</v>
      </c>
      <c r="T328" s="110" t="e">
        <v>#N/A</v>
      </c>
      <c r="U328" s="110">
        <v>8.5447E9</v>
      </c>
      <c r="V328" s="112">
        <v>0.0</v>
      </c>
      <c r="W328" s="113">
        <v>30.0</v>
      </c>
      <c r="X328" s="110">
        <v>45.0</v>
      </c>
      <c r="Y328" s="110">
        <v>55.0</v>
      </c>
      <c r="Z328" s="110" t="s">
        <v>99</v>
      </c>
      <c r="AA328" s="114">
        <f t="shared" si="496"/>
        <v>6.290200177</v>
      </c>
      <c r="AB328" s="115"/>
      <c r="AC328" s="212">
        <f t="shared" si="510"/>
        <v>5.08676241</v>
      </c>
      <c r="AD328" s="213">
        <f t="shared" si="244"/>
        <v>5.469637</v>
      </c>
      <c r="AE328" s="212"/>
      <c r="AF328" s="212" t="str">
        <f t="shared" si="94"/>
        <v>#REF!</v>
      </c>
      <c r="AG328" s="210" t="str">
        <f t="shared" si="95"/>
        <v>#REF!</v>
      </c>
      <c r="AH328" s="120" t="str">
        <f t="shared" si="96"/>
        <v>#REF!</v>
      </c>
      <c r="AI328" s="121">
        <f t="shared" si="497"/>
        <v>0.1</v>
      </c>
      <c r="AJ328" s="121">
        <v>0.1</v>
      </c>
      <c r="AK328" s="122">
        <v>0.33</v>
      </c>
      <c r="AL328" s="123">
        <f t="shared" si="11"/>
        <v>1.678631595</v>
      </c>
      <c r="AM328" s="122" t="s">
        <v>10</v>
      </c>
      <c r="AN328" s="125">
        <f t="shared" si="434"/>
        <v>5.08676241</v>
      </c>
      <c r="AO328" s="112">
        <f t="shared" si="435"/>
        <v>0.33</v>
      </c>
      <c r="AP328" s="127"/>
      <c r="AQ328" s="128">
        <f t="shared" ref="AQ328:AR328" si="517">BC328/(1-AI328)</f>
        <v>4.088630115</v>
      </c>
      <c r="AR328" s="139">
        <f t="shared" si="517"/>
        <v>3.786812016</v>
      </c>
      <c r="AS328" s="126">
        <f t="shared" si="437"/>
        <v>0.35</v>
      </c>
      <c r="AT328" s="126">
        <f t="shared" si="438"/>
        <v>0.2555555556</v>
      </c>
      <c r="AU328" s="129"/>
      <c r="AV328" s="39" t="s">
        <v>1275</v>
      </c>
      <c r="AW328" s="130"/>
      <c r="AX328" s="140"/>
      <c r="AY328" s="140"/>
      <c r="AZ328" s="130"/>
      <c r="BA328" s="130">
        <v>25.28</v>
      </c>
      <c r="BB328" s="130">
        <f t="shared" si="499"/>
        <v>25.28</v>
      </c>
      <c r="BC328" s="131">
        <f t="shared" si="500"/>
        <v>3.679767103</v>
      </c>
      <c r="BD328" s="132">
        <f t="shared" si="501"/>
        <v>3.408130815</v>
      </c>
      <c r="BE328" s="39"/>
      <c r="BF328" s="134">
        <v>8.5447E9</v>
      </c>
      <c r="BG328" s="49"/>
      <c r="BH328" s="224">
        <f t="shared" si="491"/>
        <v>16.9558747</v>
      </c>
      <c r="BI328" s="224">
        <f t="shared" si="492"/>
        <v>10.17352482</v>
      </c>
      <c r="BJ328" s="224">
        <f t="shared" si="493"/>
        <v>8.47793735</v>
      </c>
      <c r="BK328" s="224">
        <f t="shared" si="494"/>
        <v>6.78234988</v>
      </c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  <c r="CB328" s="49"/>
      <c r="CC328" s="49"/>
      <c r="CD328" s="49"/>
      <c r="CE328" s="49"/>
      <c r="CF328" s="49"/>
    </row>
    <row r="329" ht="14.25" customHeight="1">
      <c r="A329" s="103" t="s">
        <v>84</v>
      </c>
      <c r="B329" s="103" t="s">
        <v>120</v>
      </c>
      <c r="C329" s="103" t="s">
        <v>120</v>
      </c>
      <c r="D329" s="103" t="s">
        <v>1266</v>
      </c>
      <c r="E329" s="103" t="s">
        <v>1317</v>
      </c>
      <c r="F329" s="104" t="s">
        <v>1340</v>
      </c>
      <c r="G329" s="110" t="s">
        <v>1319</v>
      </c>
      <c r="H329" s="110"/>
      <c r="I329" s="107"/>
      <c r="J329" s="220" t="s">
        <v>1341</v>
      </c>
      <c r="K329" s="220" t="str">
        <f>_xlfn.XLOOKUP(J329,[1]Sheet1!$A:$A,[1]Sheet1!$B:$B,"")</f>
        <v>#ERROR!</v>
      </c>
      <c r="L329" s="103" t="s">
        <v>1342</v>
      </c>
      <c r="M329" s="103" t="s">
        <v>1343</v>
      </c>
      <c r="N329" s="110"/>
      <c r="O329" s="104" t="s">
        <v>95</v>
      </c>
      <c r="P329" s="110"/>
      <c r="Q329" s="104" t="s">
        <v>1323</v>
      </c>
      <c r="R329" s="110" t="s">
        <v>1324</v>
      </c>
      <c r="S329" s="110">
        <v>2160.0</v>
      </c>
      <c r="T329" s="110" t="s">
        <v>1344</v>
      </c>
      <c r="U329" s="110">
        <v>8.5447E9</v>
      </c>
      <c r="V329" s="112">
        <v>0.0</v>
      </c>
      <c r="W329" s="113">
        <v>30.0</v>
      </c>
      <c r="X329" s="110">
        <v>45.0</v>
      </c>
      <c r="Y329" s="110">
        <v>55.0</v>
      </c>
      <c r="Z329" s="110" t="s">
        <v>99</v>
      </c>
      <c r="AA329" s="114">
        <f t="shared" si="496"/>
        <v>2.403612884</v>
      </c>
      <c r="AB329" s="115"/>
      <c r="AC329" s="212">
        <f t="shared" si="510"/>
        <v>1.894035403</v>
      </c>
      <c r="AD329" s="213">
        <f t="shared" si="244"/>
        <v>2.036597207</v>
      </c>
      <c r="AE329" s="212"/>
      <c r="AF329" s="212" t="str">
        <f t="shared" si="94"/>
        <v>#REF!</v>
      </c>
      <c r="AG329" s="210" t="str">
        <f t="shared" si="95"/>
        <v>#REF!</v>
      </c>
      <c r="AH329" s="120" t="str">
        <f t="shared" si="96"/>
        <v>#REF!</v>
      </c>
      <c r="AI329" s="121">
        <f t="shared" si="497"/>
        <v>0.1</v>
      </c>
      <c r="AJ329" s="121">
        <v>0.1</v>
      </c>
      <c r="AK329" s="122">
        <v>0.33</v>
      </c>
      <c r="AL329" s="123">
        <f t="shared" si="11"/>
        <v>0.6250316829</v>
      </c>
      <c r="AM329" s="122" t="s">
        <v>10</v>
      </c>
      <c r="AN329" s="125">
        <f t="shared" si="434"/>
        <v>1.894035403</v>
      </c>
      <c r="AO329" s="112">
        <f t="shared" si="435"/>
        <v>0.33</v>
      </c>
      <c r="AP329" s="127"/>
      <c r="AQ329" s="128">
        <f t="shared" ref="AQ329:AR329" si="518">BC329/(1-AI329)</f>
        <v>1.562348375</v>
      </c>
      <c r="AR329" s="139">
        <f t="shared" si="518"/>
        <v>1.410004133</v>
      </c>
      <c r="AS329" s="126">
        <f t="shared" si="437"/>
        <v>0.35</v>
      </c>
      <c r="AT329" s="126">
        <f t="shared" si="438"/>
        <v>0.2555555556</v>
      </c>
      <c r="AU329" s="129"/>
      <c r="AV329" s="39" t="s">
        <v>1275</v>
      </c>
      <c r="AW329" s="130"/>
      <c r="AX329" s="140"/>
      <c r="AY329" s="140"/>
      <c r="AZ329" s="130"/>
      <c r="BA329" s="130">
        <v>9.66</v>
      </c>
      <c r="BB329" s="130">
        <f t="shared" si="499"/>
        <v>9.66</v>
      </c>
      <c r="BC329" s="131">
        <f t="shared" si="500"/>
        <v>1.406113537</v>
      </c>
      <c r="BD329" s="132">
        <f t="shared" si="501"/>
        <v>1.26900372</v>
      </c>
      <c r="BE329" s="39"/>
      <c r="BF329" s="134">
        <v>8.5447E9</v>
      </c>
      <c r="BG329" s="49"/>
      <c r="BH329" s="212">
        <f t="shared" si="491"/>
        <v>6.313451343</v>
      </c>
      <c r="BI329" s="212">
        <f t="shared" si="492"/>
        <v>3.788070806</v>
      </c>
      <c r="BJ329" s="212">
        <f t="shared" si="493"/>
        <v>3.156725671</v>
      </c>
      <c r="BK329" s="212">
        <f t="shared" si="494"/>
        <v>2.525380537</v>
      </c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</row>
    <row r="330" ht="14.25" customHeight="1">
      <c r="A330" s="103" t="s">
        <v>84</v>
      </c>
      <c r="B330" s="103" t="s">
        <v>120</v>
      </c>
      <c r="C330" s="103" t="s">
        <v>120</v>
      </c>
      <c r="D330" s="103" t="s">
        <v>1266</v>
      </c>
      <c r="E330" s="103" t="s">
        <v>1317</v>
      </c>
      <c r="F330" s="104" t="s">
        <v>1340</v>
      </c>
      <c r="G330" s="110" t="s">
        <v>1319</v>
      </c>
      <c r="H330" s="110"/>
      <c r="I330" s="107"/>
      <c r="J330" s="220" t="s">
        <v>1345</v>
      </c>
      <c r="K330" s="220" t="str">
        <f>_xlfn.XLOOKUP(J330,[1]Sheet1!$A:$A,[1]Sheet1!$B:$B,"")</f>
        <v>#ERROR!</v>
      </c>
      <c r="L330" s="103" t="s">
        <v>1346</v>
      </c>
      <c r="M330" s="103" t="s">
        <v>1347</v>
      </c>
      <c r="N330" s="110"/>
      <c r="O330" s="104" t="s">
        <v>95</v>
      </c>
      <c r="P330" s="110"/>
      <c r="Q330" s="104" t="s">
        <v>1323</v>
      </c>
      <c r="R330" s="110" t="s">
        <v>1324</v>
      </c>
      <c r="S330" s="110">
        <v>1920.0</v>
      </c>
      <c r="T330" s="110" t="e">
        <v>#N/A</v>
      </c>
      <c r="U330" s="110">
        <v>8.5447E9</v>
      </c>
      <c r="V330" s="112">
        <v>0.0</v>
      </c>
      <c r="W330" s="113">
        <v>30.0</v>
      </c>
      <c r="X330" s="110">
        <v>45.0</v>
      </c>
      <c r="Y330" s="110">
        <v>55.0</v>
      </c>
      <c r="Z330" s="110" t="s">
        <v>99</v>
      </c>
      <c r="AA330" s="114">
        <f t="shared" si="496"/>
        <v>2.644969457</v>
      </c>
      <c r="AB330" s="115"/>
      <c r="AC330" s="212">
        <f t="shared" si="510"/>
        <v>2.085922084</v>
      </c>
      <c r="AD330" s="213">
        <f t="shared" si="244"/>
        <v>2.242926972</v>
      </c>
      <c r="AE330" s="212"/>
      <c r="AF330" s="212" t="str">
        <f t="shared" si="94"/>
        <v>#REF!</v>
      </c>
      <c r="AG330" s="210" t="str">
        <f t="shared" si="95"/>
        <v>#REF!</v>
      </c>
      <c r="AH330" s="120" t="str">
        <f t="shared" si="96"/>
        <v>#REF!</v>
      </c>
      <c r="AI330" s="121">
        <f t="shared" si="497"/>
        <v>0.1</v>
      </c>
      <c r="AJ330" s="121">
        <v>0.1</v>
      </c>
      <c r="AK330" s="122">
        <v>0.33</v>
      </c>
      <c r="AL330" s="123">
        <f t="shared" si="11"/>
        <v>0.6883542878</v>
      </c>
      <c r="AM330" s="122" t="s">
        <v>10</v>
      </c>
      <c r="AN330" s="125">
        <f t="shared" si="434"/>
        <v>2.085922084</v>
      </c>
      <c r="AO330" s="112">
        <f t="shared" si="435"/>
        <v>0.33</v>
      </c>
      <c r="AP330" s="127"/>
      <c r="AQ330" s="128">
        <f t="shared" ref="AQ330:AR330" si="519">BC330/(1-AI330)</f>
        <v>1.719230147</v>
      </c>
      <c r="AR330" s="139">
        <f t="shared" si="519"/>
        <v>1.552853107</v>
      </c>
      <c r="AS330" s="126">
        <f t="shared" si="437"/>
        <v>0.35</v>
      </c>
      <c r="AT330" s="126">
        <f t="shared" si="438"/>
        <v>0.2555555556</v>
      </c>
      <c r="AU330" s="129"/>
      <c r="AV330" s="39" t="s">
        <v>1275</v>
      </c>
      <c r="AW330" s="130"/>
      <c r="AX330" s="140"/>
      <c r="AY330" s="140"/>
      <c r="AZ330" s="130"/>
      <c r="BA330" s="130">
        <v>10.63</v>
      </c>
      <c r="BB330" s="130">
        <f t="shared" si="499"/>
        <v>10.63</v>
      </c>
      <c r="BC330" s="131">
        <f t="shared" si="500"/>
        <v>1.547307132</v>
      </c>
      <c r="BD330" s="132">
        <f t="shared" si="501"/>
        <v>1.397567796</v>
      </c>
      <c r="BE330" s="39"/>
      <c r="BF330" s="134">
        <v>8.5447E9</v>
      </c>
      <c r="BG330" s="49"/>
      <c r="BH330" s="212">
        <f t="shared" si="491"/>
        <v>6.953073614</v>
      </c>
      <c r="BI330" s="212">
        <f t="shared" si="492"/>
        <v>4.171844168</v>
      </c>
      <c r="BJ330" s="212">
        <f t="shared" si="493"/>
        <v>3.476536807</v>
      </c>
      <c r="BK330" s="212">
        <f t="shared" si="494"/>
        <v>2.781229445</v>
      </c>
      <c r="BL330" s="49"/>
      <c r="BM330" s="49"/>
      <c r="BN330" s="49"/>
      <c r="BO330" s="49"/>
      <c r="BP330" s="49"/>
      <c r="BQ330" s="49"/>
      <c r="BR330" s="49"/>
      <c r="BS330" s="49"/>
      <c r="BT330" s="49"/>
      <c r="BU330" s="49"/>
      <c r="BV330" s="49"/>
      <c r="BW330" s="49"/>
      <c r="BX330" s="49"/>
      <c r="BY330" s="49"/>
      <c r="BZ330" s="49"/>
      <c r="CA330" s="49"/>
      <c r="CB330" s="49"/>
      <c r="CC330" s="49"/>
      <c r="CD330" s="49"/>
      <c r="CE330" s="49"/>
      <c r="CF330" s="49"/>
    </row>
    <row r="331" ht="14.25" customHeight="1">
      <c r="A331" s="103" t="s">
        <v>84</v>
      </c>
      <c r="B331" s="103" t="s">
        <v>120</v>
      </c>
      <c r="C331" s="103" t="s">
        <v>120</v>
      </c>
      <c r="D331" s="103" t="s">
        <v>1266</v>
      </c>
      <c r="E331" s="103" t="s">
        <v>1317</v>
      </c>
      <c r="F331" s="104" t="s">
        <v>1340</v>
      </c>
      <c r="G331" s="110" t="s">
        <v>1319</v>
      </c>
      <c r="H331" s="110"/>
      <c r="I331" s="107"/>
      <c r="J331" s="220" t="s">
        <v>1348</v>
      </c>
      <c r="K331" s="220" t="str">
        <f>_xlfn.XLOOKUP(J331,[1]Sheet1!$A:$A,[1]Sheet1!$B:$B,"")</f>
        <v>#ERROR!</v>
      </c>
      <c r="L331" s="103" t="s">
        <v>1349</v>
      </c>
      <c r="M331" s="103" t="s">
        <v>1350</v>
      </c>
      <c r="N331" s="110"/>
      <c r="O331" s="104" t="s">
        <v>95</v>
      </c>
      <c r="P331" s="110"/>
      <c r="Q331" s="104" t="s">
        <v>1323</v>
      </c>
      <c r="R331" s="110" t="s">
        <v>1324</v>
      </c>
      <c r="S331" s="110">
        <v>1920.0</v>
      </c>
      <c r="T331" s="110" t="s">
        <v>1351</v>
      </c>
      <c r="U331" s="110">
        <v>8.5447E9</v>
      </c>
      <c r="V331" s="112">
        <v>0.0</v>
      </c>
      <c r="W331" s="113">
        <v>30.0</v>
      </c>
      <c r="X331" s="110">
        <v>45.0</v>
      </c>
      <c r="Y331" s="110">
        <v>55.0</v>
      </c>
      <c r="Z331" s="110" t="s">
        <v>99</v>
      </c>
      <c r="AA331" s="114">
        <f t="shared" si="496"/>
        <v>2.883837818</v>
      </c>
      <c r="AB331" s="115"/>
      <c r="AC331" s="212">
        <f t="shared" si="510"/>
        <v>2.267282229</v>
      </c>
      <c r="AD331" s="213">
        <f t="shared" si="244"/>
        <v>2.43793788</v>
      </c>
      <c r="AE331" s="212"/>
      <c r="AF331" s="212" t="str">
        <f t="shared" si="94"/>
        <v>#REF!</v>
      </c>
      <c r="AG331" s="210" t="str">
        <f t="shared" si="95"/>
        <v>#REF!</v>
      </c>
      <c r="AH331" s="120" t="str">
        <f t="shared" si="96"/>
        <v>#REF!</v>
      </c>
      <c r="AI331" s="121">
        <f t="shared" si="497"/>
        <v>0.1</v>
      </c>
      <c r="AJ331" s="121">
        <v>0.1</v>
      </c>
      <c r="AK331" s="122">
        <v>0.33</v>
      </c>
      <c r="AL331" s="123">
        <f t="shared" si="11"/>
        <v>0.7482031354</v>
      </c>
      <c r="AM331" s="122" t="s">
        <v>10</v>
      </c>
      <c r="AN331" s="125">
        <f t="shared" si="434"/>
        <v>2.267282229</v>
      </c>
      <c r="AO331" s="112">
        <f t="shared" si="435"/>
        <v>0.33</v>
      </c>
      <c r="AP331" s="127"/>
      <c r="AQ331" s="128">
        <f t="shared" ref="AQ331:AR331" si="520">BC331/(1-AI331)</f>
        <v>1.874494582</v>
      </c>
      <c r="AR331" s="139">
        <f t="shared" si="520"/>
        <v>1.687865659</v>
      </c>
      <c r="AS331" s="126">
        <f t="shared" si="437"/>
        <v>0.35</v>
      </c>
      <c r="AT331" s="126">
        <f t="shared" si="438"/>
        <v>0.2555555556</v>
      </c>
      <c r="AU331" s="129"/>
      <c r="AV331" s="39" t="s">
        <v>1275</v>
      </c>
      <c r="AW331" s="130"/>
      <c r="AX331" s="140"/>
      <c r="AY331" s="140"/>
      <c r="AZ331" s="130"/>
      <c r="BA331" s="130">
        <v>11.59</v>
      </c>
      <c r="BB331" s="130">
        <f t="shared" si="499"/>
        <v>11.59</v>
      </c>
      <c r="BC331" s="131">
        <f t="shared" si="500"/>
        <v>1.687045124</v>
      </c>
      <c r="BD331" s="132">
        <f t="shared" si="501"/>
        <v>1.519079093</v>
      </c>
      <c r="BE331" s="39"/>
      <c r="BF331" s="134">
        <v>8.5447E9</v>
      </c>
      <c r="BG331" s="49"/>
      <c r="BH331" s="212">
        <f t="shared" si="491"/>
        <v>7.557607428</v>
      </c>
      <c r="BI331" s="212">
        <f t="shared" si="492"/>
        <v>4.534564457</v>
      </c>
      <c r="BJ331" s="212">
        <f t="shared" si="493"/>
        <v>3.778803714</v>
      </c>
      <c r="BK331" s="212">
        <f t="shared" si="494"/>
        <v>3.023042971</v>
      </c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</row>
    <row r="332" ht="14.25" customHeight="1">
      <c r="A332" s="103" t="s">
        <v>84</v>
      </c>
      <c r="B332" s="103" t="s">
        <v>120</v>
      </c>
      <c r="C332" s="103" t="s">
        <v>120</v>
      </c>
      <c r="D332" s="103" t="s">
        <v>1266</v>
      </c>
      <c r="E332" s="103" t="s">
        <v>1317</v>
      </c>
      <c r="F332" s="104" t="s">
        <v>1340</v>
      </c>
      <c r="G332" s="110" t="s">
        <v>1319</v>
      </c>
      <c r="H332" s="110"/>
      <c r="I332" s="107"/>
      <c r="J332" s="220" t="s">
        <v>1352</v>
      </c>
      <c r="K332" s="220" t="str">
        <f>_xlfn.XLOOKUP(J332,[1]Sheet1!$A:$A,[1]Sheet1!$B:$B,"")</f>
        <v>#ERROR!</v>
      </c>
      <c r="L332" s="103" t="s">
        <v>1353</v>
      </c>
      <c r="M332" s="103" t="s">
        <v>1354</v>
      </c>
      <c r="N332" s="110"/>
      <c r="O332" s="104" t="s">
        <v>95</v>
      </c>
      <c r="P332" s="110"/>
      <c r="Q332" s="104" t="s">
        <v>1323</v>
      </c>
      <c r="R332" s="110" t="s">
        <v>1324</v>
      </c>
      <c r="S332" s="110">
        <v>1440.0</v>
      </c>
      <c r="T332" s="110" t="e">
        <v>#N/A</v>
      </c>
      <c r="U332" s="110">
        <v>8.5447E9</v>
      </c>
      <c r="V332" s="112">
        <v>0.0</v>
      </c>
      <c r="W332" s="113">
        <v>30.0</v>
      </c>
      <c r="X332" s="110">
        <v>45.0</v>
      </c>
      <c r="Y332" s="110">
        <v>55.0</v>
      </c>
      <c r="Z332" s="110" t="s">
        <v>99</v>
      </c>
      <c r="AA332" s="114">
        <f t="shared" si="496"/>
        <v>3.34913348</v>
      </c>
      <c r="AB332" s="115"/>
      <c r="AC332" s="212">
        <f t="shared" si="510"/>
        <v>2.646468783</v>
      </c>
      <c r="AD332" s="213">
        <f t="shared" si="244"/>
        <v>2.845665358</v>
      </c>
      <c r="AE332" s="212"/>
      <c r="AF332" s="212" t="str">
        <f t="shared" si="94"/>
        <v>#REF!</v>
      </c>
      <c r="AG332" s="210" t="str">
        <f t="shared" si="95"/>
        <v>#REF!</v>
      </c>
      <c r="AH332" s="120" t="str">
        <f t="shared" si="96"/>
        <v>#REF!</v>
      </c>
      <c r="AI332" s="121">
        <f t="shared" si="497"/>
        <v>0.1</v>
      </c>
      <c r="AJ332" s="121">
        <v>0.1</v>
      </c>
      <c r="AK332" s="122">
        <v>0.33</v>
      </c>
      <c r="AL332" s="123">
        <f t="shared" si="11"/>
        <v>0.8733346983</v>
      </c>
      <c r="AM332" s="122" t="s">
        <v>10</v>
      </c>
      <c r="AN332" s="125">
        <f t="shared" si="434"/>
        <v>2.646468783</v>
      </c>
      <c r="AO332" s="112">
        <f t="shared" si="435"/>
        <v>0.33</v>
      </c>
      <c r="AP332" s="127"/>
      <c r="AQ332" s="128">
        <f t="shared" ref="AQ332:AR332" si="521">BC332/(1-AI332)</f>
        <v>2.176936762</v>
      </c>
      <c r="AR332" s="139">
        <f t="shared" si="521"/>
        <v>1.970148983</v>
      </c>
      <c r="AS332" s="126">
        <f t="shared" si="437"/>
        <v>0.35</v>
      </c>
      <c r="AT332" s="126">
        <f t="shared" si="438"/>
        <v>0.2555555556</v>
      </c>
      <c r="AU332" s="129"/>
      <c r="AV332" s="39" t="s">
        <v>1275</v>
      </c>
      <c r="AW332" s="130"/>
      <c r="AX332" s="140"/>
      <c r="AY332" s="140"/>
      <c r="AZ332" s="130"/>
      <c r="BA332" s="130">
        <v>13.46</v>
      </c>
      <c r="BB332" s="130">
        <f t="shared" si="499"/>
        <v>13.46</v>
      </c>
      <c r="BC332" s="131">
        <f t="shared" si="500"/>
        <v>1.959243086</v>
      </c>
      <c r="BD332" s="132">
        <f t="shared" si="501"/>
        <v>1.773134084</v>
      </c>
      <c r="BE332" s="39"/>
      <c r="BF332" s="134">
        <v>8.5447E9</v>
      </c>
      <c r="BG332" s="49"/>
      <c r="BH332" s="212">
        <f t="shared" si="491"/>
        <v>8.821562609</v>
      </c>
      <c r="BI332" s="212">
        <f t="shared" si="492"/>
        <v>5.292937565</v>
      </c>
      <c r="BJ332" s="212">
        <f t="shared" si="493"/>
        <v>4.410781304</v>
      </c>
      <c r="BK332" s="212">
        <f t="shared" si="494"/>
        <v>3.528625043</v>
      </c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</row>
    <row r="333" ht="14.25" customHeight="1">
      <c r="A333" s="103" t="s">
        <v>84</v>
      </c>
      <c r="B333" s="103" t="s">
        <v>120</v>
      </c>
      <c r="C333" s="103" t="s">
        <v>120</v>
      </c>
      <c r="D333" s="103" t="s">
        <v>1266</v>
      </c>
      <c r="E333" s="103" t="s">
        <v>1317</v>
      </c>
      <c r="F333" s="104" t="s">
        <v>1340</v>
      </c>
      <c r="G333" s="110" t="s">
        <v>1319</v>
      </c>
      <c r="H333" s="110"/>
      <c r="I333" s="107"/>
      <c r="J333" s="220" t="s">
        <v>1355</v>
      </c>
      <c r="K333" s="220" t="s">
        <v>1356</v>
      </c>
      <c r="L333" s="103" t="s">
        <v>1357</v>
      </c>
      <c r="M333" s="103" t="s">
        <v>1358</v>
      </c>
      <c r="N333" s="110"/>
      <c r="O333" s="104" t="s">
        <v>95</v>
      </c>
      <c r="P333" s="110"/>
      <c r="Q333" s="104" t="s">
        <v>1323</v>
      </c>
      <c r="R333" s="110" t="s">
        <v>1324</v>
      </c>
      <c r="S333" s="110">
        <v>720.0</v>
      </c>
      <c r="T333" s="110" t="e">
        <v>#N/A</v>
      </c>
      <c r="U333" s="110">
        <v>8.5447E9</v>
      </c>
      <c r="V333" s="112">
        <v>0.0</v>
      </c>
      <c r="W333" s="113">
        <v>30.0</v>
      </c>
      <c r="X333" s="110">
        <v>45.0</v>
      </c>
      <c r="Y333" s="110">
        <v>55.0</v>
      </c>
      <c r="Z333" s="110" t="s">
        <v>99</v>
      </c>
      <c r="AA333" s="114">
        <f t="shared" si="496"/>
        <v>4.896801403</v>
      </c>
      <c r="AB333" s="115"/>
      <c r="AC333" s="212">
        <f t="shared" si="510"/>
        <v>3.925179809</v>
      </c>
      <c r="AD333" s="213">
        <f t="shared" si="244"/>
        <v>4.220623451</v>
      </c>
      <c r="AE333" s="212"/>
      <c r="AF333" s="212" t="str">
        <f t="shared" si="94"/>
        <v>#REF!</v>
      </c>
      <c r="AG333" s="210" t="str">
        <f t="shared" si="95"/>
        <v>#REF!</v>
      </c>
      <c r="AH333" s="120" t="str">
        <f t="shared" si="96"/>
        <v>#REF!</v>
      </c>
      <c r="AI333" s="121">
        <f t="shared" si="497"/>
        <v>0.1</v>
      </c>
      <c r="AJ333" s="121">
        <v>0.1</v>
      </c>
      <c r="AK333" s="122">
        <v>0.33</v>
      </c>
      <c r="AL333" s="123">
        <f t="shared" si="11"/>
        <v>1.295309337</v>
      </c>
      <c r="AM333" s="122" t="s">
        <v>10</v>
      </c>
      <c r="AN333" s="125">
        <f t="shared" si="434"/>
        <v>3.925179809</v>
      </c>
      <c r="AO333" s="112">
        <f t="shared" si="435"/>
        <v>0.33</v>
      </c>
      <c r="AP333" s="127"/>
      <c r="AQ333" s="128">
        <f t="shared" ref="AQ333:AR333" si="522">BC333/(1-AI333)</f>
        <v>3.182920912</v>
      </c>
      <c r="AR333" s="139">
        <f t="shared" si="522"/>
        <v>2.922078303</v>
      </c>
      <c r="AS333" s="126">
        <f t="shared" si="437"/>
        <v>0.35</v>
      </c>
      <c r="AT333" s="126">
        <f t="shared" si="438"/>
        <v>0.2555555556</v>
      </c>
      <c r="AU333" s="129"/>
      <c r="AV333" s="39" t="s">
        <v>1275</v>
      </c>
      <c r="AW333" s="130"/>
      <c r="AX333" s="140"/>
      <c r="AY333" s="140"/>
      <c r="AZ333" s="130"/>
      <c r="BA333" s="130">
        <v>19.68</v>
      </c>
      <c r="BB333" s="130">
        <f t="shared" si="499"/>
        <v>19.68</v>
      </c>
      <c r="BC333" s="131">
        <f t="shared" si="500"/>
        <v>2.864628821</v>
      </c>
      <c r="BD333" s="132">
        <f t="shared" si="501"/>
        <v>2.629870472</v>
      </c>
      <c r="BE333" s="39"/>
      <c r="BF333" s="134">
        <v>8.5447E9</v>
      </c>
      <c r="BG333" s="49"/>
      <c r="BH333" s="224">
        <f t="shared" si="491"/>
        <v>13.0839327</v>
      </c>
      <c r="BI333" s="224">
        <f t="shared" si="492"/>
        <v>7.850359619</v>
      </c>
      <c r="BJ333" s="224">
        <f t="shared" si="493"/>
        <v>6.541966349</v>
      </c>
      <c r="BK333" s="224">
        <f t="shared" si="494"/>
        <v>5.233573079</v>
      </c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</row>
    <row r="334" ht="14.25" customHeight="1">
      <c r="A334" s="103" t="s">
        <v>84</v>
      </c>
      <c r="B334" s="103" t="s">
        <v>120</v>
      </c>
      <c r="C334" s="103" t="s">
        <v>120</v>
      </c>
      <c r="D334" s="103" t="s">
        <v>1266</v>
      </c>
      <c r="E334" s="103" t="s">
        <v>1317</v>
      </c>
      <c r="F334" s="104" t="s">
        <v>1340</v>
      </c>
      <c r="G334" s="110" t="s">
        <v>1319</v>
      </c>
      <c r="H334" s="110"/>
      <c r="I334" s="107"/>
      <c r="J334" s="220" t="s">
        <v>1359</v>
      </c>
      <c r="K334" s="220" t="s">
        <v>1360</v>
      </c>
      <c r="L334" s="103" t="s">
        <v>1361</v>
      </c>
      <c r="M334" s="103" t="s">
        <v>1362</v>
      </c>
      <c r="N334" s="110"/>
      <c r="O334" s="104" t="s">
        <v>95</v>
      </c>
      <c r="P334" s="110"/>
      <c r="Q334" s="104" t="s">
        <v>1323</v>
      </c>
      <c r="R334" s="110" t="s">
        <v>1324</v>
      </c>
      <c r="S334" s="110">
        <v>480.0</v>
      </c>
      <c r="T334" s="110" t="e">
        <v>#N/A</v>
      </c>
      <c r="U334" s="110">
        <v>8.5447E9</v>
      </c>
      <c r="V334" s="112">
        <v>0.0</v>
      </c>
      <c r="W334" s="113">
        <v>30.0</v>
      </c>
      <c r="X334" s="110">
        <v>45.0</v>
      </c>
      <c r="Y334" s="110">
        <v>55.0</v>
      </c>
      <c r="Z334" s="110" t="s">
        <v>99</v>
      </c>
      <c r="AA334" s="114">
        <f t="shared" si="496"/>
        <v>6.290200177</v>
      </c>
      <c r="AB334" s="115"/>
      <c r="AC334" s="212">
        <f t="shared" si="510"/>
        <v>5.08676241</v>
      </c>
      <c r="AD334" s="213">
        <f t="shared" si="244"/>
        <v>5.469637</v>
      </c>
      <c r="AE334" s="212"/>
      <c r="AF334" s="212" t="str">
        <f t="shared" si="94"/>
        <v>#REF!</v>
      </c>
      <c r="AG334" s="210" t="str">
        <f t="shared" si="95"/>
        <v>#REF!</v>
      </c>
      <c r="AH334" s="120" t="str">
        <f t="shared" si="96"/>
        <v>#REF!</v>
      </c>
      <c r="AI334" s="121">
        <f t="shared" si="497"/>
        <v>0.1</v>
      </c>
      <c r="AJ334" s="121">
        <v>0.1</v>
      </c>
      <c r="AK334" s="122">
        <v>0.33</v>
      </c>
      <c r="AL334" s="123">
        <f t="shared" si="11"/>
        <v>1.678631595</v>
      </c>
      <c r="AM334" s="122" t="s">
        <v>10</v>
      </c>
      <c r="AN334" s="125">
        <f t="shared" si="434"/>
        <v>5.08676241</v>
      </c>
      <c r="AO334" s="112">
        <f t="shared" si="435"/>
        <v>0.33</v>
      </c>
      <c r="AP334" s="127"/>
      <c r="AQ334" s="128">
        <f t="shared" ref="AQ334:AR334" si="523">BC334/(1-AI334)</f>
        <v>4.088630115</v>
      </c>
      <c r="AR334" s="139">
        <f t="shared" si="523"/>
        <v>3.786812016</v>
      </c>
      <c r="AS334" s="126">
        <f t="shared" si="437"/>
        <v>0.35</v>
      </c>
      <c r="AT334" s="126">
        <f t="shared" si="438"/>
        <v>0.2555555556</v>
      </c>
      <c r="AU334" s="129"/>
      <c r="AV334" s="39" t="s">
        <v>1275</v>
      </c>
      <c r="AW334" s="130"/>
      <c r="AX334" s="140"/>
      <c r="AY334" s="140"/>
      <c r="AZ334" s="130"/>
      <c r="BA334" s="130">
        <v>25.28</v>
      </c>
      <c r="BB334" s="130">
        <f t="shared" si="499"/>
        <v>25.28</v>
      </c>
      <c r="BC334" s="131">
        <f t="shared" si="500"/>
        <v>3.679767103</v>
      </c>
      <c r="BD334" s="132">
        <f t="shared" si="501"/>
        <v>3.408130815</v>
      </c>
      <c r="BE334" s="39"/>
      <c r="BF334" s="134">
        <v>8.5447E9</v>
      </c>
      <c r="BG334" s="49"/>
      <c r="BH334" s="224">
        <f t="shared" si="491"/>
        <v>16.9558747</v>
      </c>
      <c r="BI334" s="224">
        <f t="shared" si="492"/>
        <v>10.17352482</v>
      </c>
      <c r="BJ334" s="224">
        <f t="shared" si="493"/>
        <v>8.47793735</v>
      </c>
      <c r="BK334" s="224">
        <f t="shared" si="494"/>
        <v>6.78234988</v>
      </c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</row>
    <row r="335" ht="14.25" customHeight="1">
      <c r="A335" s="103" t="s">
        <v>84</v>
      </c>
      <c r="B335" s="103" t="s">
        <v>120</v>
      </c>
      <c r="C335" s="103" t="s">
        <v>120</v>
      </c>
      <c r="D335" s="103" t="s">
        <v>1266</v>
      </c>
      <c r="E335" s="103" t="s">
        <v>1317</v>
      </c>
      <c r="F335" s="104" t="s">
        <v>1340</v>
      </c>
      <c r="G335" s="110" t="s">
        <v>1319</v>
      </c>
      <c r="H335" s="110"/>
      <c r="I335" s="107"/>
      <c r="J335" s="220" t="s">
        <v>1363</v>
      </c>
      <c r="K335" s="220" t="s">
        <v>1364</v>
      </c>
      <c r="L335" s="103" t="s">
        <v>1365</v>
      </c>
      <c r="M335" s="103" t="s">
        <v>1366</v>
      </c>
      <c r="N335" s="110"/>
      <c r="O335" s="104" t="s">
        <v>95</v>
      </c>
      <c r="P335" s="110"/>
      <c r="Q335" s="104" t="s">
        <v>1323</v>
      </c>
      <c r="R335" s="110" t="s">
        <v>1324</v>
      </c>
      <c r="S335" s="110"/>
      <c r="T335" s="110"/>
      <c r="U335" s="110">
        <v>8.5447E9</v>
      </c>
      <c r="V335" s="112">
        <v>0.0</v>
      </c>
      <c r="W335" s="113">
        <v>30.0</v>
      </c>
      <c r="X335" s="110">
        <v>45.0</v>
      </c>
      <c r="Y335" s="110">
        <v>55.0</v>
      </c>
      <c r="Z335" s="110" t="s">
        <v>99</v>
      </c>
      <c r="AA335" s="114"/>
      <c r="AB335" s="115"/>
      <c r="AC335" s="212"/>
      <c r="AD335" s="213">
        <f t="shared" si="244"/>
        <v>0</v>
      </c>
      <c r="AE335" s="212"/>
      <c r="AF335" s="212" t="str">
        <f t="shared" si="94"/>
        <v>#REF!</v>
      </c>
      <c r="AG335" s="210" t="str">
        <f t="shared" si="95"/>
        <v>#REF!</v>
      </c>
      <c r="AH335" s="120" t="str">
        <f t="shared" si="96"/>
        <v>#REF!</v>
      </c>
      <c r="AI335" s="121">
        <f t="shared" si="497"/>
        <v>0.1</v>
      </c>
      <c r="AJ335" s="121">
        <v>0.1</v>
      </c>
      <c r="AK335" s="122">
        <v>0.33</v>
      </c>
      <c r="AL335" s="123">
        <f t="shared" si="11"/>
        <v>0</v>
      </c>
      <c r="AM335" s="122" t="s">
        <v>10</v>
      </c>
      <c r="AN335" s="125"/>
      <c r="AO335" s="112"/>
      <c r="AP335" s="127"/>
      <c r="AQ335" s="128"/>
      <c r="AR335" s="139"/>
      <c r="AS335" s="126"/>
      <c r="AT335" s="126"/>
      <c r="AU335" s="129"/>
      <c r="AV335" s="39" t="s">
        <v>1275</v>
      </c>
      <c r="AW335" s="130"/>
      <c r="AX335" s="140"/>
      <c r="AY335" s="140"/>
      <c r="AZ335" s="130"/>
      <c r="BA335" s="130"/>
      <c r="BB335" s="130">
        <v>36.48</v>
      </c>
      <c r="BC335" s="131"/>
      <c r="BD335" s="132"/>
      <c r="BE335" s="39"/>
      <c r="BF335" s="134">
        <v>8.5447E9</v>
      </c>
      <c r="BG335" s="49"/>
      <c r="BH335" s="224">
        <f t="shared" si="491"/>
        <v>0</v>
      </c>
      <c r="BI335" s="224">
        <f t="shared" si="492"/>
        <v>0</v>
      </c>
      <c r="BJ335" s="224">
        <f t="shared" si="493"/>
        <v>0</v>
      </c>
      <c r="BK335" s="224">
        <f t="shared" si="494"/>
        <v>0</v>
      </c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</row>
    <row r="336" ht="14.25" customHeight="1">
      <c r="A336" s="103" t="s">
        <v>84</v>
      </c>
      <c r="B336" s="103" t="s">
        <v>120</v>
      </c>
      <c r="C336" s="103" t="s">
        <v>120</v>
      </c>
      <c r="D336" s="103" t="s">
        <v>1266</v>
      </c>
      <c r="E336" s="103" t="s">
        <v>1317</v>
      </c>
      <c r="F336" s="104" t="s">
        <v>1367</v>
      </c>
      <c r="G336" s="110" t="s">
        <v>1319</v>
      </c>
      <c r="H336" s="110"/>
      <c r="I336" s="107"/>
      <c r="J336" s="220" t="s">
        <v>1368</v>
      </c>
      <c r="K336" s="220" t="str">
        <f>_xlfn.XLOOKUP(J336,[1]Sheet1!$A:$A,[1]Sheet1!$B:$B,"")</f>
        <v>#ERROR!</v>
      </c>
      <c r="L336" s="103" t="s">
        <v>1369</v>
      </c>
      <c r="M336" s="103" t="s">
        <v>1370</v>
      </c>
      <c r="N336" s="110"/>
      <c r="O336" s="104" t="s">
        <v>95</v>
      </c>
      <c r="P336" s="110"/>
      <c r="Q336" s="104" t="s">
        <v>1323</v>
      </c>
      <c r="R336" s="110" t="s">
        <v>1324</v>
      </c>
      <c r="S336" s="110">
        <v>2160.0</v>
      </c>
      <c r="T336" s="110" t="s">
        <v>1371</v>
      </c>
      <c r="U336" s="110">
        <v>8.5447E9</v>
      </c>
      <c r="V336" s="112">
        <v>0.0</v>
      </c>
      <c r="W336" s="113">
        <v>30.0</v>
      </c>
      <c r="X336" s="110">
        <v>45.0</v>
      </c>
      <c r="Y336" s="110">
        <v>55.0</v>
      </c>
      <c r="Z336" s="110" t="s">
        <v>99</v>
      </c>
      <c r="AA336" s="114">
        <f t="shared" ref="AA336:AA341" si="525">AQ336/(1-(AK336+2%))</f>
        <v>2.403612884</v>
      </c>
      <c r="AB336" s="115"/>
      <c r="AC336" s="212">
        <f t="shared" ref="AC336:AC341" si="526">BD336/(1-AK336)</f>
        <v>1.894035403</v>
      </c>
      <c r="AD336" s="213">
        <f t="shared" si="244"/>
        <v>2.036597207</v>
      </c>
      <c r="AE336" s="212"/>
      <c r="AF336" s="212" t="str">
        <f t="shared" si="94"/>
        <v>#REF!</v>
      </c>
      <c r="AG336" s="210" t="str">
        <f t="shared" si="95"/>
        <v>#REF!</v>
      </c>
      <c r="AH336" s="120" t="str">
        <f t="shared" si="96"/>
        <v>#REF!</v>
      </c>
      <c r="AI336" s="121">
        <f t="shared" si="497"/>
        <v>0.1</v>
      </c>
      <c r="AJ336" s="121">
        <v>0.1</v>
      </c>
      <c r="AK336" s="122">
        <v>0.33</v>
      </c>
      <c r="AL336" s="123">
        <f t="shared" si="11"/>
        <v>0.6250316829</v>
      </c>
      <c r="AM336" s="122" t="s">
        <v>10</v>
      </c>
      <c r="AN336" s="125">
        <f t="shared" ref="AN336:AN341" si="527">AC336</f>
        <v>1.894035403</v>
      </c>
      <c r="AO336" s="112">
        <f t="shared" ref="AO336:AO341" si="528">1-(BD336/AN336)</f>
        <v>0.33</v>
      </c>
      <c r="AP336" s="127"/>
      <c r="AQ336" s="128">
        <f t="shared" ref="AQ336:AR336" si="524">BC336/(1-AI336)</f>
        <v>1.562348375</v>
      </c>
      <c r="AR336" s="139">
        <f t="shared" si="524"/>
        <v>1.410004133</v>
      </c>
      <c r="AS336" s="126">
        <f t="shared" ref="AS336:AS341" si="530">1-(AQ336/AA336)</f>
        <v>0.35</v>
      </c>
      <c r="AT336" s="126">
        <f t="shared" ref="AT336:AT341" si="531">1-(AR336/AC336)</f>
        <v>0.2555555556</v>
      </c>
      <c r="AU336" s="129"/>
      <c r="AV336" s="39" t="s">
        <v>1275</v>
      </c>
      <c r="AW336" s="130"/>
      <c r="AX336" s="140"/>
      <c r="AY336" s="140"/>
      <c r="AZ336" s="130"/>
      <c r="BA336" s="130">
        <v>9.66</v>
      </c>
      <c r="BB336" s="130">
        <f t="shared" ref="BB336:BB341" si="532">AZ336+BA336</f>
        <v>9.66</v>
      </c>
      <c r="BC336" s="131">
        <f t="shared" ref="BC336:BC341" si="533">(AZ336+BA336)/$F$5</f>
        <v>1.406113537</v>
      </c>
      <c r="BD336" s="132">
        <f t="shared" ref="BD336:BD341" si="534">(BC336/$F$6)+(($F$9+$G$9)/40/S336)+BC336*V336</f>
        <v>1.26900372</v>
      </c>
      <c r="BE336" s="39"/>
      <c r="BF336" s="134">
        <v>8.5447E9</v>
      </c>
      <c r="BG336" s="49"/>
      <c r="BH336" s="212">
        <f t="shared" si="491"/>
        <v>6.313451343</v>
      </c>
      <c r="BI336" s="212">
        <f t="shared" si="492"/>
        <v>3.788070806</v>
      </c>
      <c r="BJ336" s="212">
        <f t="shared" si="493"/>
        <v>3.156725671</v>
      </c>
      <c r="BK336" s="212">
        <f t="shared" si="494"/>
        <v>2.525380537</v>
      </c>
      <c r="BL336" s="49"/>
      <c r="BM336" s="49"/>
      <c r="BN336" s="49"/>
      <c r="BO336" s="49"/>
      <c r="BP336" s="49"/>
      <c r="BQ336" s="49"/>
      <c r="BR336" s="49"/>
      <c r="BS336" s="49"/>
      <c r="BT336" s="49"/>
      <c r="BU336" s="49"/>
      <c r="BV336" s="49"/>
      <c r="BW336" s="49"/>
      <c r="BX336" s="49"/>
      <c r="BY336" s="49"/>
      <c r="BZ336" s="49"/>
      <c r="CA336" s="49"/>
      <c r="CB336" s="49"/>
      <c r="CC336" s="49"/>
      <c r="CD336" s="49"/>
      <c r="CE336" s="49"/>
      <c r="CF336" s="49"/>
    </row>
    <row r="337" ht="14.25" customHeight="1">
      <c r="A337" s="103" t="s">
        <v>84</v>
      </c>
      <c r="B337" s="103" t="s">
        <v>120</v>
      </c>
      <c r="C337" s="103" t="s">
        <v>120</v>
      </c>
      <c r="D337" s="103" t="s">
        <v>1266</v>
      </c>
      <c r="E337" s="103" t="s">
        <v>1317</v>
      </c>
      <c r="F337" s="104" t="s">
        <v>1367</v>
      </c>
      <c r="G337" s="110" t="s">
        <v>1319</v>
      </c>
      <c r="H337" s="110"/>
      <c r="I337" s="107"/>
      <c r="J337" s="220" t="s">
        <v>1372</v>
      </c>
      <c r="K337" s="220" t="str">
        <f>_xlfn.XLOOKUP(J337,[1]Sheet1!$A:$A,[1]Sheet1!$B:$B,"")</f>
        <v>#ERROR!</v>
      </c>
      <c r="L337" s="103" t="s">
        <v>1373</v>
      </c>
      <c r="M337" s="103" t="s">
        <v>1374</v>
      </c>
      <c r="N337" s="110"/>
      <c r="O337" s="104" t="s">
        <v>95</v>
      </c>
      <c r="P337" s="110"/>
      <c r="Q337" s="104" t="s">
        <v>1323</v>
      </c>
      <c r="R337" s="110" t="s">
        <v>1324</v>
      </c>
      <c r="S337" s="110">
        <v>1920.0</v>
      </c>
      <c r="T337" s="110" t="e">
        <v>#N/A</v>
      </c>
      <c r="U337" s="110">
        <v>8.5447E9</v>
      </c>
      <c r="V337" s="112">
        <v>0.0</v>
      </c>
      <c r="W337" s="113">
        <v>30.0</v>
      </c>
      <c r="X337" s="110">
        <v>45.0</v>
      </c>
      <c r="Y337" s="110">
        <v>55.0</v>
      </c>
      <c r="Z337" s="110" t="s">
        <v>99</v>
      </c>
      <c r="AA337" s="114">
        <f t="shared" si="525"/>
        <v>2.644969457</v>
      </c>
      <c r="AB337" s="115"/>
      <c r="AC337" s="212">
        <f t="shared" si="526"/>
        <v>2.085922084</v>
      </c>
      <c r="AD337" s="213">
        <f t="shared" si="244"/>
        <v>2.242926972</v>
      </c>
      <c r="AE337" s="212"/>
      <c r="AF337" s="212" t="str">
        <f t="shared" si="94"/>
        <v>#REF!</v>
      </c>
      <c r="AG337" s="210" t="str">
        <f t="shared" si="95"/>
        <v>#REF!</v>
      </c>
      <c r="AH337" s="120" t="str">
        <f t="shared" si="96"/>
        <v>#REF!</v>
      </c>
      <c r="AI337" s="121">
        <f t="shared" si="497"/>
        <v>0.1</v>
      </c>
      <c r="AJ337" s="121">
        <v>0.1</v>
      </c>
      <c r="AK337" s="122">
        <v>0.33</v>
      </c>
      <c r="AL337" s="123">
        <f t="shared" si="11"/>
        <v>0.6883542878</v>
      </c>
      <c r="AM337" s="122" t="s">
        <v>10</v>
      </c>
      <c r="AN337" s="125">
        <f t="shared" si="527"/>
        <v>2.085922084</v>
      </c>
      <c r="AO337" s="112">
        <f t="shared" si="528"/>
        <v>0.33</v>
      </c>
      <c r="AP337" s="127"/>
      <c r="AQ337" s="128">
        <f t="shared" ref="AQ337:AR337" si="529">BC337/(1-AI337)</f>
        <v>1.719230147</v>
      </c>
      <c r="AR337" s="139">
        <f t="shared" si="529"/>
        <v>1.552853107</v>
      </c>
      <c r="AS337" s="126">
        <f t="shared" si="530"/>
        <v>0.35</v>
      </c>
      <c r="AT337" s="126">
        <f t="shared" si="531"/>
        <v>0.2555555556</v>
      </c>
      <c r="AU337" s="129"/>
      <c r="AV337" s="39" t="s">
        <v>1275</v>
      </c>
      <c r="AW337" s="130"/>
      <c r="AX337" s="140"/>
      <c r="AY337" s="140"/>
      <c r="AZ337" s="130"/>
      <c r="BA337" s="130">
        <v>10.63</v>
      </c>
      <c r="BB337" s="130">
        <f t="shared" si="532"/>
        <v>10.63</v>
      </c>
      <c r="BC337" s="131">
        <f t="shared" si="533"/>
        <v>1.547307132</v>
      </c>
      <c r="BD337" s="132">
        <f t="shared" si="534"/>
        <v>1.397567796</v>
      </c>
      <c r="BE337" s="39"/>
      <c r="BF337" s="134">
        <v>8.5447E9</v>
      </c>
      <c r="BG337" s="49"/>
      <c r="BH337" s="212">
        <f t="shared" si="491"/>
        <v>6.953073614</v>
      </c>
      <c r="BI337" s="212">
        <f t="shared" si="492"/>
        <v>4.171844168</v>
      </c>
      <c r="BJ337" s="212">
        <f t="shared" si="493"/>
        <v>3.476536807</v>
      </c>
      <c r="BK337" s="212">
        <f t="shared" si="494"/>
        <v>2.781229445</v>
      </c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</row>
    <row r="338" ht="14.25" customHeight="1">
      <c r="A338" s="103" t="s">
        <v>84</v>
      </c>
      <c r="B338" s="103" t="s">
        <v>120</v>
      </c>
      <c r="C338" s="103" t="s">
        <v>120</v>
      </c>
      <c r="D338" s="103" t="s">
        <v>1266</v>
      </c>
      <c r="E338" s="103" t="s">
        <v>1317</v>
      </c>
      <c r="F338" s="104" t="s">
        <v>1367</v>
      </c>
      <c r="G338" s="110" t="s">
        <v>1319</v>
      </c>
      <c r="H338" s="110"/>
      <c r="I338" s="107"/>
      <c r="J338" s="220" t="s">
        <v>1375</v>
      </c>
      <c r="K338" s="220" t="str">
        <f>_xlfn.XLOOKUP(J338,[1]Sheet1!$A:$A,[1]Sheet1!$B:$B,"")</f>
        <v>#ERROR!</v>
      </c>
      <c r="L338" s="103" t="s">
        <v>1376</v>
      </c>
      <c r="M338" s="103" t="s">
        <v>1377</v>
      </c>
      <c r="N338" s="110"/>
      <c r="O338" s="104" t="s">
        <v>95</v>
      </c>
      <c r="P338" s="110"/>
      <c r="Q338" s="104" t="s">
        <v>1323</v>
      </c>
      <c r="R338" s="110" t="s">
        <v>1324</v>
      </c>
      <c r="S338" s="110">
        <v>1920.0</v>
      </c>
      <c r="T338" s="110" t="s">
        <v>1378</v>
      </c>
      <c r="U338" s="110">
        <v>8.5447E9</v>
      </c>
      <c r="V338" s="112">
        <v>0.0</v>
      </c>
      <c r="W338" s="113">
        <v>30.0</v>
      </c>
      <c r="X338" s="110">
        <v>45.0</v>
      </c>
      <c r="Y338" s="110">
        <v>55.0</v>
      </c>
      <c r="Z338" s="110" t="s">
        <v>99</v>
      </c>
      <c r="AA338" s="114">
        <f t="shared" si="525"/>
        <v>2.883837818</v>
      </c>
      <c r="AB338" s="115"/>
      <c r="AC338" s="212">
        <f t="shared" si="526"/>
        <v>2.267282229</v>
      </c>
      <c r="AD338" s="213">
        <f t="shared" si="244"/>
        <v>2.43793788</v>
      </c>
      <c r="AE338" s="212"/>
      <c r="AF338" s="212" t="str">
        <f t="shared" si="94"/>
        <v>#REF!</v>
      </c>
      <c r="AG338" s="210" t="str">
        <f t="shared" si="95"/>
        <v>#REF!</v>
      </c>
      <c r="AH338" s="120" t="str">
        <f t="shared" si="96"/>
        <v>#REF!</v>
      </c>
      <c r="AI338" s="121">
        <f t="shared" si="497"/>
        <v>0.1</v>
      </c>
      <c r="AJ338" s="121">
        <v>0.1</v>
      </c>
      <c r="AK338" s="122">
        <v>0.33</v>
      </c>
      <c r="AL338" s="123">
        <f t="shared" si="11"/>
        <v>0.7482031354</v>
      </c>
      <c r="AM338" s="122" t="s">
        <v>10</v>
      </c>
      <c r="AN338" s="125">
        <f t="shared" si="527"/>
        <v>2.267282229</v>
      </c>
      <c r="AO338" s="112">
        <f t="shared" si="528"/>
        <v>0.33</v>
      </c>
      <c r="AP338" s="127"/>
      <c r="AQ338" s="128">
        <f t="shared" ref="AQ338:AR338" si="535">BC338/(1-AI338)</f>
        <v>1.874494582</v>
      </c>
      <c r="AR338" s="139">
        <f t="shared" si="535"/>
        <v>1.687865659</v>
      </c>
      <c r="AS338" s="126">
        <f t="shared" si="530"/>
        <v>0.35</v>
      </c>
      <c r="AT338" s="126">
        <f t="shared" si="531"/>
        <v>0.2555555556</v>
      </c>
      <c r="AU338" s="129"/>
      <c r="AV338" s="39" t="s">
        <v>1275</v>
      </c>
      <c r="AW338" s="130"/>
      <c r="AX338" s="140"/>
      <c r="AY338" s="140"/>
      <c r="AZ338" s="130"/>
      <c r="BA338" s="130">
        <v>11.59</v>
      </c>
      <c r="BB338" s="130">
        <f t="shared" si="532"/>
        <v>11.59</v>
      </c>
      <c r="BC338" s="131">
        <f t="shared" si="533"/>
        <v>1.687045124</v>
      </c>
      <c r="BD338" s="132">
        <f t="shared" si="534"/>
        <v>1.519079093</v>
      </c>
      <c r="BE338" s="39"/>
      <c r="BF338" s="134">
        <v>8.5447E9</v>
      </c>
      <c r="BG338" s="49"/>
      <c r="BH338" s="212">
        <f t="shared" si="491"/>
        <v>7.557607428</v>
      </c>
      <c r="BI338" s="212">
        <f t="shared" si="492"/>
        <v>4.534564457</v>
      </c>
      <c r="BJ338" s="212">
        <f t="shared" si="493"/>
        <v>3.778803714</v>
      </c>
      <c r="BK338" s="212">
        <f t="shared" si="494"/>
        <v>3.023042971</v>
      </c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  <c r="CB338" s="49"/>
      <c r="CC338" s="49"/>
      <c r="CD338" s="49"/>
      <c r="CE338" s="49"/>
      <c r="CF338" s="49"/>
    </row>
    <row r="339" ht="14.25" customHeight="1">
      <c r="A339" s="103" t="s">
        <v>84</v>
      </c>
      <c r="B339" s="103" t="s">
        <v>120</v>
      </c>
      <c r="C339" s="103" t="s">
        <v>120</v>
      </c>
      <c r="D339" s="103" t="s">
        <v>1266</v>
      </c>
      <c r="E339" s="103" t="s">
        <v>1317</v>
      </c>
      <c r="F339" s="104" t="s">
        <v>1367</v>
      </c>
      <c r="G339" s="110" t="s">
        <v>1319</v>
      </c>
      <c r="H339" s="110"/>
      <c r="I339" s="107"/>
      <c r="J339" s="220" t="s">
        <v>1379</v>
      </c>
      <c r="K339" s="220" t="str">
        <f>_xlfn.XLOOKUP(J339,[1]Sheet1!$A:$A,[1]Sheet1!$B:$B,"")</f>
        <v>#ERROR!</v>
      </c>
      <c r="L339" s="103" t="s">
        <v>1380</v>
      </c>
      <c r="M339" s="103" t="s">
        <v>1381</v>
      </c>
      <c r="N339" s="110"/>
      <c r="O339" s="104" t="s">
        <v>95</v>
      </c>
      <c r="P339" s="110"/>
      <c r="Q339" s="104" t="s">
        <v>1323</v>
      </c>
      <c r="R339" s="110" t="s">
        <v>1324</v>
      </c>
      <c r="S339" s="110">
        <v>1440.0</v>
      </c>
      <c r="T339" s="110" t="s">
        <v>1382</v>
      </c>
      <c r="U339" s="110">
        <v>8.5447E9</v>
      </c>
      <c r="V339" s="112">
        <v>0.0</v>
      </c>
      <c r="W339" s="113">
        <v>30.0</v>
      </c>
      <c r="X339" s="110">
        <v>45.0</v>
      </c>
      <c r="Y339" s="110">
        <v>55.0</v>
      </c>
      <c r="Z339" s="110" t="s">
        <v>99</v>
      </c>
      <c r="AA339" s="114">
        <f t="shared" si="525"/>
        <v>3.34913348</v>
      </c>
      <c r="AB339" s="115"/>
      <c r="AC339" s="212">
        <f t="shared" si="526"/>
        <v>2.646468783</v>
      </c>
      <c r="AD339" s="213">
        <f t="shared" si="244"/>
        <v>2.845665358</v>
      </c>
      <c r="AE339" s="212"/>
      <c r="AF339" s="212" t="str">
        <f t="shared" si="94"/>
        <v>#REF!</v>
      </c>
      <c r="AG339" s="210" t="str">
        <f t="shared" si="95"/>
        <v>#REF!</v>
      </c>
      <c r="AH339" s="120" t="str">
        <f t="shared" si="96"/>
        <v>#REF!</v>
      </c>
      <c r="AI339" s="121">
        <f t="shared" si="497"/>
        <v>0.1</v>
      </c>
      <c r="AJ339" s="121">
        <v>0.1</v>
      </c>
      <c r="AK339" s="122">
        <v>0.33</v>
      </c>
      <c r="AL339" s="123">
        <f t="shared" si="11"/>
        <v>0.8733346983</v>
      </c>
      <c r="AM339" s="122" t="s">
        <v>10</v>
      </c>
      <c r="AN339" s="125">
        <f t="shared" si="527"/>
        <v>2.646468783</v>
      </c>
      <c r="AO339" s="112">
        <f t="shared" si="528"/>
        <v>0.33</v>
      </c>
      <c r="AP339" s="127"/>
      <c r="AQ339" s="128">
        <f t="shared" ref="AQ339:AR339" si="536">BC339/(1-AI339)</f>
        <v>2.176936762</v>
      </c>
      <c r="AR339" s="139">
        <f t="shared" si="536"/>
        <v>1.970148983</v>
      </c>
      <c r="AS339" s="126">
        <f t="shared" si="530"/>
        <v>0.35</v>
      </c>
      <c r="AT339" s="126">
        <f t="shared" si="531"/>
        <v>0.2555555556</v>
      </c>
      <c r="AU339" s="129"/>
      <c r="AV339" s="39" t="s">
        <v>1275</v>
      </c>
      <c r="AW339" s="130"/>
      <c r="AX339" s="140"/>
      <c r="AY339" s="140"/>
      <c r="AZ339" s="130"/>
      <c r="BA339" s="130">
        <v>13.46</v>
      </c>
      <c r="BB339" s="130">
        <f t="shared" si="532"/>
        <v>13.46</v>
      </c>
      <c r="BC339" s="131">
        <f t="shared" si="533"/>
        <v>1.959243086</v>
      </c>
      <c r="BD339" s="132">
        <f t="shared" si="534"/>
        <v>1.773134084</v>
      </c>
      <c r="BE339" s="39"/>
      <c r="BF339" s="134">
        <v>8.5447E9</v>
      </c>
      <c r="BG339" s="49"/>
      <c r="BH339" s="212">
        <f t="shared" si="491"/>
        <v>8.821562609</v>
      </c>
      <c r="BI339" s="212">
        <f t="shared" si="492"/>
        <v>5.292937565</v>
      </c>
      <c r="BJ339" s="212">
        <f t="shared" si="493"/>
        <v>4.410781304</v>
      </c>
      <c r="BK339" s="212">
        <f t="shared" si="494"/>
        <v>3.528625043</v>
      </c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</row>
    <row r="340" ht="14.25" customHeight="1">
      <c r="A340" s="103" t="s">
        <v>84</v>
      </c>
      <c r="B340" s="103" t="s">
        <v>120</v>
      </c>
      <c r="C340" s="103" t="s">
        <v>120</v>
      </c>
      <c r="D340" s="103" t="s">
        <v>1266</v>
      </c>
      <c r="E340" s="103" t="s">
        <v>1317</v>
      </c>
      <c r="F340" s="104" t="s">
        <v>1367</v>
      </c>
      <c r="G340" s="110" t="s">
        <v>1319</v>
      </c>
      <c r="H340" s="110"/>
      <c r="I340" s="107"/>
      <c r="J340" s="220" t="s">
        <v>1383</v>
      </c>
      <c r="K340" s="220" t="s">
        <v>1384</v>
      </c>
      <c r="L340" s="103" t="s">
        <v>1385</v>
      </c>
      <c r="M340" s="103" t="s">
        <v>1386</v>
      </c>
      <c r="N340" s="110"/>
      <c r="O340" s="104" t="s">
        <v>95</v>
      </c>
      <c r="P340" s="110"/>
      <c r="Q340" s="104" t="s">
        <v>1323</v>
      </c>
      <c r="R340" s="110" t="s">
        <v>1324</v>
      </c>
      <c r="S340" s="110">
        <v>720.0</v>
      </c>
      <c r="T340" s="110" t="e">
        <v>#N/A</v>
      </c>
      <c r="U340" s="110">
        <v>8.5447E9</v>
      </c>
      <c r="V340" s="112">
        <v>0.0</v>
      </c>
      <c r="W340" s="113">
        <v>30.0</v>
      </c>
      <c r="X340" s="110">
        <v>45.0</v>
      </c>
      <c r="Y340" s="110">
        <v>55.0</v>
      </c>
      <c r="Z340" s="110" t="s">
        <v>99</v>
      </c>
      <c r="AA340" s="114">
        <f t="shared" si="525"/>
        <v>4.896801403</v>
      </c>
      <c r="AB340" s="115"/>
      <c r="AC340" s="212">
        <f t="shared" si="526"/>
        <v>3.925179809</v>
      </c>
      <c r="AD340" s="213">
        <f t="shared" si="244"/>
        <v>4.220623451</v>
      </c>
      <c r="AE340" s="212"/>
      <c r="AF340" s="212" t="str">
        <f t="shared" si="94"/>
        <v>#REF!</v>
      </c>
      <c r="AG340" s="210" t="str">
        <f t="shared" si="95"/>
        <v>#REF!</v>
      </c>
      <c r="AH340" s="120" t="str">
        <f t="shared" si="96"/>
        <v>#REF!</v>
      </c>
      <c r="AI340" s="121">
        <f t="shared" si="497"/>
        <v>0.1</v>
      </c>
      <c r="AJ340" s="121">
        <v>0.1</v>
      </c>
      <c r="AK340" s="122">
        <v>0.33</v>
      </c>
      <c r="AL340" s="123">
        <f t="shared" si="11"/>
        <v>1.295309337</v>
      </c>
      <c r="AM340" s="122" t="s">
        <v>10</v>
      </c>
      <c r="AN340" s="125">
        <f t="shared" si="527"/>
        <v>3.925179809</v>
      </c>
      <c r="AO340" s="112">
        <f t="shared" si="528"/>
        <v>0.33</v>
      </c>
      <c r="AP340" s="127"/>
      <c r="AQ340" s="128">
        <f t="shared" ref="AQ340:AR340" si="537">BC340/(1-AI340)</f>
        <v>3.182920912</v>
      </c>
      <c r="AR340" s="139">
        <f t="shared" si="537"/>
        <v>2.922078303</v>
      </c>
      <c r="AS340" s="126">
        <f t="shared" si="530"/>
        <v>0.35</v>
      </c>
      <c r="AT340" s="126">
        <f t="shared" si="531"/>
        <v>0.2555555556</v>
      </c>
      <c r="AU340" s="129"/>
      <c r="AV340" s="39" t="s">
        <v>1275</v>
      </c>
      <c r="AW340" s="130"/>
      <c r="AX340" s="140"/>
      <c r="AY340" s="140"/>
      <c r="AZ340" s="130"/>
      <c r="BA340" s="130">
        <v>19.68</v>
      </c>
      <c r="BB340" s="130">
        <f t="shared" si="532"/>
        <v>19.68</v>
      </c>
      <c r="BC340" s="131">
        <f t="shared" si="533"/>
        <v>2.864628821</v>
      </c>
      <c r="BD340" s="132">
        <f t="shared" si="534"/>
        <v>2.629870472</v>
      </c>
      <c r="BE340" s="39"/>
      <c r="BF340" s="134">
        <v>8.5447E9</v>
      </c>
      <c r="BG340" s="49"/>
      <c r="BH340" s="224">
        <f t="shared" si="491"/>
        <v>13.0839327</v>
      </c>
      <c r="BI340" s="224">
        <f t="shared" si="492"/>
        <v>7.850359619</v>
      </c>
      <c r="BJ340" s="224">
        <f t="shared" si="493"/>
        <v>6.541966349</v>
      </c>
      <c r="BK340" s="224">
        <f t="shared" si="494"/>
        <v>5.233573079</v>
      </c>
      <c r="BL340" s="49"/>
      <c r="BM340" s="49"/>
      <c r="BN340" s="49"/>
      <c r="BO340" s="49"/>
      <c r="BP340" s="49"/>
      <c r="BQ340" s="49"/>
      <c r="BR340" s="49"/>
      <c r="BS340" s="49"/>
      <c r="BT340" s="49"/>
      <c r="BU340" s="49"/>
      <c r="BV340" s="49"/>
      <c r="BW340" s="49"/>
      <c r="BX340" s="49"/>
      <c r="BY340" s="49"/>
      <c r="BZ340" s="49"/>
      <c r="CA340" s="49"/>
      <c r="CB340" s="49"/>
      <c r="CC340" s="49"/>
      <c r="CD340" s="49"/>
      <c r="CE340" s="49"/>
      <c r="CF340" s="49"/>
    </row>
    <row r="341" ht="14.25" customHeight="1">
      <c r="A341" s="103" t="s">
        <v>84</v>
      </c>
      <c r="B341" s="103" t="s">
        <v>120</v>
      </c>
      <c r="C341" s="103" t="s">
        <v>120</v>
      </c>
      <c r="D341" s="103" t="s">
        <v>1266</v>
      </c>
      <c r="E341" s="103" t="s">
        <v>1317</v>
      </c>
      <c r="F341" s="104" t="s">
        <v>1367</v>
      </c>
      <c r="G341" s="110" t="s">
        <v>1319</v>
      </c>
      <c r="H341" s="110"/>
      <c r="I341" s="107"/>
      <c r="J341" s="220" t="s">
        <v>1387</v>
      </c>
      <c r="K341" s="220" t="s">
        <v>1388</v>
      </c>
      <c r="L341" s="103" t="s">
        <v>1389</v>
      </c>
      <c r="M341" s="103" t="s">
        <v>1390</v>
      </c>
      <c r="N341" s="110"/>
      <c r="O341" s="104" t="s">
        <v>95</v>
      </c>
      <c r="P341" s="110"/>
      <c r="Q341" s="104" t="s">
        <v>1323</v>
      </c>
      <c r="R341" s="110" t="s">
        <v>1324</v>
      </c>
      <c r="S341" s="110">
        <v>480.0</v>
      </c>
      <c r="T341" s="110" t="e">
        <v>#N/A</v>
      </c>
      <c r="U341" s="110">
        <v>8.5447E9</v>
      </c>
      <c r="V341" s="112">
        <v>0.0</v>
      </c>
      <c r="W341" s="113">
        <v>30.0</v>
      </c>
      <c r="X341" s="110">
        <v>45.0</v>
      </c>
      <c r="Y341" s="110">
        <v>55.0</v>
      </c>
      <c r="Z341" s="110" t="s">
        <v>99</v>
      </c>
      <c r="AA341" s="114">
        <f t="shared" si="525"/>
        <v>6.290200177</v>
      </c>
      <c r="AB341" s="115"/>
      <c r="AC341" s="212">
        <f t="shared" si="526"/>
        <v>5.08676241</v>
      </c>
      <c r="AD341" s="213">
        <f t="shared" si="244"/>
        <v>5.469637</v>
      </c>
      <c r="AE341" s="212"/>
      <c r="AF341" s="212" t="str">
        <f t="shared" si="94"/>
        <v>#REF!</v>
      </c>
      <c r="AG341" s="210" t="str">
        <f t="shared" si="95"/>
        <v>#REF!</v>
      </c>
      <c r="AH341" s="120" t="str">
        <f t="shared" si="96"/>
        <v>#REF!</v>
      </c>
      <c r="AI341" s="121">
        <f t="shared" si="497"/>
        <v>0.1</v>
      </c>
      <c r="AJ341" s="121">
        <v>0.1</v>
      </c>
      <c r="AK341" s="122">
        <v>0.33</v>
      </c>
      <c r="AL341" s="123">
        <f t="shared" si="11"/>
        <v>1.678631595</v>
      </c>
      <c r="AM341" s="122" t="s">
        <v>10</v>
      </c>
      <c r="AN341" s="125">
        <f t="shared" si="527"/>
        <v>5.08676241</v>
      </c>
      <c r="AO341" s="112">
        <f t="shared" si="528"/>
        <v>0.33</v>
      </c>
      <c r="AP341" s="127"/>
      <c r="AQ341" s="128">
        <f t="shared" ref="AQ341:AR341" si="538">BC341/(1-AI341)</f>
        <v>4.088630115</v>
      </c>
      <c r="AR341" s="139">
        <f t="shared" si="538"/>
        <v>3.786812016</v>
      </c>
      <c r="AS341" s="126">
        <f t="shared" si="530"/>
        <v>0.35</v>
      </c>
      <c r="AT341" s="126">
        <f t="shared" si="531"/>
        <v>0.2555555556</v>
      </c>
      <c r="AU341" s="129"/>
      <c r="AV341" s="39" t="s">
        <v>1275</v>
      </c>
      <c r="AW341" s="130"/>
      <c r="AX341" s="140"/>
      <c r="AY341" s="140"/>
      <c r="AZ341" s="130"/>
      <c r="BA341" s="130">
        <v>25.28</v>
      </c>
      <c r="BB341" s="130">
        <f t="shared" si="532"/>
        <v>25.28</v>
      </c>
      <c r="BC341" s="131">
        <f t="shared" si="533"/>
        <v>3.679767103</v>
      </c>
      <c r="BD341" s="132">
        <f t="shared" si="534"/>
        <v>3.408130815</v>
      </c>
      <c r="BE341" s="39"/>
      <c r="BF341" s="134">
        <v>8.5447E9</v>
      </c>
      <c r="BG341" s="49"/>
      <c r="BH341" s="224">
        <f t="shared" si="491"/>
        <v>16.9558747</v>
      </c>
      <c r="BI341" s="224">
        <f t="shared" si="492"/>
        <v>10.17352482</v>
      </c>
      <c r="BJ341" s="224">
        <f t="shared" si="493"/>
        <v>8.47793735</v>
      </c>
      <c r="BK341" s="224">
        <f t="shared" si="494"/>
        <v>6.78234988</v>
      </c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</row>
    <row r="342" ht="14.25" customHeight="1">
      <c r="A342" s="103" t="s">
        <v>84</v>
      </c>
      <c r="B342" s="103" t="s">
        <v>120</v>
      </c>
      <c r="C342" s="103" t="s">
        <v>120</v>
      </c>
      <c r="D342" s="103" t="s">
        <v>1266</v>
      </c>
      <c r="E342" s="103" t="s">
        <v>1317</v>
      </c>
      <c r="F342" s="104" t="s">
        <v>1367</v>
      </c>
      <c r="G342" s="110" t="s">
        <v>1319</v>
      </c>
      <c r="H342" s="110"/>
      <c r="I342" s="107"/>
      <c r="J342" s="220" t="s">
        <v>1391</v>
      </c>
      <c r="K342" s="220" t="s">
        <v>1392</v>
      </c>
      <c r="L342" s="103" t="s">
        <v>1393</v>
      </c>
      <c r="M342" s="103" t="s">
        <v>1394</v>
      </c>
      <c r="N342" s="110"/>
      <c r="O342" s="104" t="s">
        <v>95</v>
      </c>
      <c r="P342" s="110"/>
      <c r="Q342" s="104" t="s">
        <v>1323</v>
      </c>
      <c r="R342" s="110" t="s">
        <v>1324</v>
      </c>
      <c r="S342" s="110"/>
      <c r="T342" s="110"/>
      <c r="U342" s="110">
        <v>8.5447E9</v>
      </c>
      <c r="V342" s="112">
        <v>0.0</v>
      </c>
      <c r="W342" s="113">
        <v>30.0</v>
      </c>
      <c r="X342" s="110">
        <v>45.0</v>
      </c>
      <c r="Y342" s="110">
        <v>55.0</v>
      </c>
      <c r="Z342" s="110" t="s">
        <v>99</v>
      </c>
      <c r="AA342" s="114"/>
      <c r="AB342" s="115"/>
      <c r="AC342" s="212"/>
      <c r="AD342" s="213">
        <f t="shared" si="244"/>
        <v>0</v>
      </c>
      <c r="AE342" s="212"/>
      <c r="AF342" s="212" t="str">
        <f t="shared" si="94"/>
        <v>#REF!</v>
      </c>
      <c r="AG342" s="210" t="str">
        <f t="shared" si="95"/>
        <v>#REF!</v>
      </c>
      <c r="AH342" s="120" t="str">
        <f t="shared" si="96"/>
        <v>#REF!</v>
      </c>
      <c r="AI342" s="121">
        <f t="shared" si="497"/>
        <v>0.1</v>
      </c>
      <c r="AJ342" s="121">
        <v>0.1</v>
      </c>
      <c r="AK342" s="122">
        <v>0.33</v>
      </c>
      <c r="AL342" s="123">
        <f t="shared" si="11"/>
        <v>0</v>
      </c>
      <c r="AM342" s="122" t="s">
        <v>10</v>
      </c>
      <c r="AN342" s="125"/>
      <c r="AO342" s="112"/>
      <c r="AP342" s="127"/>
      <c r="AQ342" s="128"/>
      <c r="AR342" s="139"/>
      <c r="AS342" s="126"/>
      <c r="AT342" s="126"/>
      <c r="AU342" s="129"/>
      <c r="AV342" s="39" t="s">
        <v>1275</v>
      </c>
      <c r="AW342" s="130"/>
      <c r="AX342" s="140"/>
      <c r="AY342" s="140"/>
      <c r="AZ342" s="130"/>
      <c r="BA342" s="130"/>
      <c r="BB342" s="130">
        <v>36.48</v>
      </c>
      <c r="BC342" s="131"/>
      <c r="BD342" s="132"/>
      <c r="BE342" s="39"/>
      <c r="BF342" s="134">
        <v>8.5447E9</v>
      </c>
      <c r="BG342" s="49"/>
      <c r="BH342" s="224">
        <f t="shared" si="491"/>
        <v>0</v>
      </c>
      <c r="BI342" s="224">
        <f t="shared" si="492"/>
        <v>0</v>
      </c>
      <c r="BJ342" s="224">
        <f t="shared" si="493"/>
        <v>0</v>
      </c>
      <c r="BK342" s="224">
        <f t="shared" si="494"/>
        <v>0</v>
      </c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  <c r="CB342" s="49"/>
      <c r="CC342" s="49"/>
      <c r="CD342" s="49"/>
      <c r="CE342" s="49"/>
      <c r="CF342" s="49"/>
    </row>
    <row r="343" ht="14.25" customHeight="1">
      <c r="A343" s="103" t="s">
        <v>84</v>
      </c>
      <c r="B343" s="103" t="s">
        <v>120</v>
      </c>
      <c r="C343" s="103" t="s">
        <v>120</v>
      </c>
      <c r="D343" s="103" t="s">
        <v>1266</v>
      </c>
      <c r="E343" s="103" t="s">
        <v>1317</v>
      </c>
      <c r="F343" s="104" t="s">
        <v>1318</v>
      </c>
      <c r="G343" s="110" t="s">
        <v>1395</v>
      </c>
      <c r="H343" s="110"/>
      <c r="I343" s="107"/>
      <c r="J343" s="220" t="s">
        <v>1396</v>
      </c>
      <c r="K343" s="220" t="str">
        <f>_xlfn.XLOOKUP(J343,[1]Sheet1!$A:$A,[1]Sheet1!$B:$B,"")</f>
        <v>#ERROR!</v>
      </c>
      <c r="L343" s="103" t="s">
        <v>1397</v>
      </c>
      <c r="M343" s="103" t="s">
        <v>1398</v>
      </c>
      <c r="N343" s="110"/>
      <c r="O343" s="104" t="s">
        <v>95</v>
      </c>
      <c r="P343" s="110"/>
      <c r="Q343" s="104" t="s">
        <v>1323</v>
      </c>
      <c r="R343" s="110" t="s">
        <v>1324</v>
      </c>
      <c r="S343" s="110">
        <v>2160.0</v>
      </c>
      <c r="T343" s="110" t="e">
        <v>#N/A</v>
      </c>
      <c r="U343" s="110">
        <v>8.5447E9</v>
      </c>
      <c r="V343" s="112">
        <v>0.0</v>
      </c>
      <c r="W343" s="113">
        <v>30.0</v>
      </c>
      <c r="X343" s="110">
        <v>45.0</v>
      </c>
      <c r="Y343" s="110">
        <v>55.0</v>
      </c>
      <c r="Z343" s="110" t="s">
        <v>99</v>
      </c>
      <c r="AA343" s="114">
        <f t="shared" ref="AA343:AA354" si="540">AQ343/(1-(AK343+2%))</f>
        <v>2.575299519</v>
      </c>
      <c r="AB343" s="115"/>
      <c r="AC343" s="212">
        <f t="shared" ref="AC343:AC354" si="541">BD343/(1-AK343)</f>
        <v>2.024388007</v>
      </c>
      <c r="AD343" s="213">
        <f t="shared" si="244"/>
        <v>2.176761297</v>
      </c>
      <c r="AE343" s="212"/>
      <c r="AF343" s="212" t="str">
        <f t="shared" si="94"/>
        <v>#REF!</v>
      </c>
      <c r="AG343" s="210" t="str">
        <f t="shared" si="95"/>
        <v>#REF!</v>
      </c>
      <c r="AH343" s="120" t="str">
        <f t="shared" si="96"/>
        <v>#REF!</v>
      </c>
      <c r="AI343" s="121">
        <f t="shared" si="497"/>
        <v>0.1</v>
      </c>
      <c r="AJ343" s="121">
        <v>0.1</v>
      </c>
      <c r="AK343" s="122">
        <v>0.33</v>
      </c>
      <c r="AL343" s="123">
        <f t="shared" si="11"/>
        <v>0.6680480422</v>
      </c>
      <c r="AM343" s="122" t="s">
        <v>10</v>
      </c>
      <c r="AN343" s="125">
        <f t="shared" ref="AN343:AN354" si="542">AC343</f>
        <v>2.024388007</v>
      </c>
      <c r="AO343" s="112">
        <f t="shared" ref="AO343:AO354" si="543">1-(BD343/AN343)</f>
        <v>0.33</v>
      </c>
      <c r="AP343" s="127"/>
      <c r="AQ343" s="128">
        <f t="shared" ref="AQ343:AR343" si="539">BC343/(1-AI343)</f>
        <v>1.673944687</v>
      </c>
      <c r="AR343" s="139">
        <f t="shared" si="539"/>
        <v>1.507044405</v>
      </c>
      <c r="AS343" s="126">
        <f t="shared" ref="AS343:AS354" si="545">1-(AQ343/AA343)</f>
        <v>0.35</v>
      </c>
      <c r="AT343" s="126">
        <f t="shared" ref="AT343:AT354" si="546">1-(AR343/AC343)</f>
        <v>0.2555555556</v>
      </c>
      <c r="AU343" s="129"/>
      <c r="AV343" s="39" t="s">
        <v>1275</v>
      </c>
      <c r="AW343" s="130"/>
      <c r="AX343" s="140"/>
      <c r="AY343" s="140"/>
      <c r="AZ343" s="130"/>
      <c r="BA343" s="130">
        <v>10.35</v>
      </c>
      <c r="BB343" s="130">
        <f t="shared" ref="BB343:BB354" si="547">AZ343+BA343</f>
        <v>10.35</v>
      </c>
      <c r="BC343" s="131">
        <f t="shared" ref="BC343:BC354" si="548">(AZ343+BA343)/$F$5</f>
        <v>1.506550218</v>
      </c>
      <c r="BD343" s="132">
        <f t="shared" ref="BD343:BD354" si="549">(BC343/$F$6)+(($F$9+$G$9)/40/S343)+BC343*V343</f>
        <v>1.356339964</v>
      </c>
      <c r="BE343" s="39"/>
      <c r="BF343" s="134">
        <v>8.5447E9</v>
      </c>
      <c r="BG343" s="49"/>
      <c r="BH343" s="212">
        <f t="shared" si="491"/>
        <v>6.747960022</v>
      </c>
      <c r="BI343" s="212">
        <f t="shared" si="492"/>
        <v>4.048776013</v>
      </c>
      <c r="BJ343" s="212">
        <f t="shared" si="493"/>
        <v>3.373980011</v>
      </c>
      <c r="BK343" s="212">
        <f t="shared" si="494"/>
        <v>2.699184009</v>
      </c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</row>
    <row r="344" ht="14.25" customHeight="1">
      <c r="A344" s="103" t="s">
        <v>84</v>
      </c>
      <c r="B344" s="103" t="s">
        <v>120</v>
      </c>
      <c r="C344" s="103" t="s">
        <v>120</v>
      </c>
      <c r="D344" s="103" t="s">
        <v>1266</v>
      </c>
      <c r="E344" s="103" t="s">
        <v>1317</v>
      </c>
      <c r="F344" s="104" t="s">
        <v>1318</v>
      </c>
      <c r="G344" s="110" t="s">
        <v>1395</v>
      </c>
      <c r="H344" s="110"/>
      <c r="I344" s="107"/>
      <c r="J344" s="220" t="s">
        <v>1399</v>
      </c>
      <c r="K344" s="220" t="str">
        <f>_xlfn.XLOOKUP(J344,[1]Sheet1!$A:$A,[1]Sheet1!$B:$B,"")</f>
        <v>#ERROR!</v>
      </c>
      <c r="L344" s="103" t="s">
        <v>1400</v>
      </c>
      <c r="M344" s="103" t="s">
        <v>1401</v>
      </c>
      <c r="N344" s="110"/>
      <c r="O344" s="104" t="s">
        <v>95</v>
      </c>
      <c r="P344" s="110"/>
      <c r="Q344" s="104" t="s">
        <v>1323</v>
      </c>
      <c r="R344" s="110" t="s">
        <v>1324</v>
      </c>
      <c r="S344" s="110">
        <v>1920.0</v>
      </c>
      <c r="T344" s="110" t="e">
        <v>#N/A</v>
      </c>
      <c r="U344" s="110">
        <v>8.5447E9</v>
      </c>
      <c r="V344" s="112">
        <v>0.0</v>
      </c>
      <c r="W344" s="113">
        <v>30.0</v>
      </c>
      <c r="X344" s="110">
        <v>45.0</v>
      </c>
      <c r="Y344" s="110">
        <v>55.0</v>
      </c>
      <c r="Z344" s="110" t="s">
        <v>99</v>
      </c>
      <c r="AA344" s="114">
        <f t="shared" si="540"/>
        <v>2.970925242</v>
      </c>
      <c r="AB344" s="115"/>
      <c r="AC344" s="212">
        <f t="shared" si="541"/>
        <v>2.333403114</v>
      </c>
      <c r="AD344" s="213">
        <f t="shared" si="244"/>
        <v>2.509035607</v>
      </c>
      <c r="AE344" s="212"/>
      <c r="AF344" s="212" t="str">
        <f t="shared" si="94"/>
        <v>#REF!</v>
      </c>
      <c r="AG344" s="210" t="str">
        <f t="shared" si="95"/>
        <v>#REF!</v>
      </c>
      <c r="AH344" s="120" t="str">
        <f t="shared" si="96"/>
        <v>#REF!</v>
      </c>
      <c r="AI344" s="121">
        <f t="shared" si="497"/>
        <v>0.1</v>
      </c>
      <c r="AJ344" s="121">
        <v>0.1</v>
      </c>
      <c r="AK344" s="122">
        <v>0.33</v>
      </c>
      <c r="AL344" s="123">
        <f t="shared" si="11"/>
        <v>0.7700230278</v>
      </c>
      <c r="AM344" s="122" t="s">
        <v>10</v>
      </c>
      <c r="AN344" s="125">
        <f t="shared" si="542"/>
        <v>2.333403114</v>
      </c>
      <c r="AO344" s="112">
        <f t="shared" si="543"/>
        <v>0.33</v>
      </c>
      <c r="AP344" s="127"/>
      <c r="AQ344" s="128">
        <f t="shared" ref="AQ344:AR344" si="544">BC344/(1-AI344)</f>
        <v>1.931101407</v>
      </c>
      <c r="AR344" s="139">
        <f t="shared" si="544"/>
        <v>1.737088985</v>
      </c>
      <c r="AS344" s="126">
        <f t="shared" si="545"/>
        <v>0.35</v>
      </c>
      <c r="AT344" s="126">
        <f t="shared" si="546"/>
        <v>0.2555555556</v>
      </c>
      <c r="AU344" s="129"/>
      <c r="AV344" s="39" t="s">
        <v>1275</v>
      </c>
      <c r="AW344" s="130"/>
      <c r="AX344" s="140"/>
      <c r="AY344" s="140"/>
      <c r="AZ344" s="130"/>
      <c r="BA344" s="130">
        <v>11.94</v>
      </c>
      <c r="BB344" s="130">
        <f t="shared" si="547"/>
        <v>11.94</v>
      </c>
      <c r="BC344" s="131">
        <f t="shared" si="548"/>
        <v>1.737991266</v>
      </c>
      <c r="BD344" s="132">
        <f t="shared" si="549"/>
        <v>1.563380087</v>
      </c>
      <c r="BE344" s="39"/>
      <c r="BF344" s="134">
        <v>8.5447E9</v>
      </c>
      <c r="BG344" s="49"/>
      <c r="BH344" s="212">
        <f t="shared" si="491"/>
        <v>7.778010382</v>
      </c>
      <c r="BI344" s="212">
        <f t="shared" si="492"/>
        <v>4.666806229</v>
      </c>
      <c r="BJ344" s="212">
        <f t="shared" si="493"/>
        <v>3.889005191</v>
      </c>
      <c r="BK344" s="212">
        <f t="shared" si="494"/>
        <v>3.111204153</v>
      </c>
      <c r="BL344" s="49"/>
      <c r="BM344" s="49"/>
      <c r="BN344" s="49"/>
      <c r="BO344" s="49"/>
      <c r="BP344" s="49"/>
      <c r="BQ344" s="49"/>
      <c r="BR344" s="49"/>
      <c r="BS344" s="49"/>
      <c r="BT344" s="49"/>
      <c r="BU344" s="49"/>
      <c r="BV344" s="49"/>
      <c r="BW344" s="49"/>
      <c r="BX344" s="49"/>
      <c r="BY344" s="49"/>
      <c r="BZ344" s="49"/>
      <c r="CA344" s="49"/>
      <c r="CB344" s="49"/>
      <c r="CC344" s="49"/>
      <c r="CD344" s="49"/>
      <c r="CE344" s="49"/>
      <c r="CF344" s="49"/>
    </row>
    <row r="345" ht="14.25" customHeight="1">
      <c r="A345" s="103" t="s">
        <v>84</v>
      </c>
      <c r="B345" s="103" t="s">
        <v>120</v>
      </c>
      <c r="C345" s="103" t="s">
        <v>120</v>
      </c>
      <c r="D345" s="103" t="s">
        <v>1266</v>
      </c>
      <c r="E345" s="103" t="s">
        <v>1317</v>
      </c>
      <c r="F345" s="104" t="s">
        <v>1318</v>
      </c>
      <c r="G345" s="110" t="s">
        <v>1395</v>
      </c>
      <c r="H345" s="110"/>
      <c r="I345" s="107"/>
      <c r="J345" s="220" t="s">
        <v>1402</v>
      </c>
      <c r="K345" s="220" t="str">
        <f>_xlfn.XLOOKUP(J345,[1]Sheet1!$A:$A,[1]Sheet1!$B:$B,"")</f>
        <v>#ERROR!</v>
      </c>
      <c r="L345" s="103" t="s">
        <v>1403</v>
      </c>
      <c r="M345" s="103" t="s">
        <v>1404</v>
      </c>
      <c r="N345" s="110"/>
      <c r="O345" s="104" t="s">
        <v>95</v>
      </c>
      <c r="P345" s="110"/>
      <c r="Q345" s="104" t="s">
        <v>1323</v>
      </c>
      <c r="R345" s="110" t="s">
        <v>1324</v>
      </c>
      <c r="S345" s="110">
        <v>1920.0</v>
      </c>
      <c r="T345" s="110" t="e">
        <v>#N/A</v>
      </c>
      <c r="U345" s="110">
        <v>8.5447E9</v>
      </c>
      <c r="V345" s="112">
        <v>0.0</v>
      </c>
      <c r="W345" s="113">
        <v>30.0</v>
      </c>
      <c r="X345" s="110">
        <v>45.0</v>
      </c>
      <c r="Y345" s="110">
        <v>55.0</v>
      </c>
      <c r="Z345" s="110" t="s">
        <v>99</v>
      </c>
      <c r="AA345" s="114">
        <f t="shared" si="540"/>
        <v>3.381480237</v>
      </c>
      <c r="AB345" s="115"/>
      <c r="AC345" s="212">
        <f t="shared" si="541"/>
        <v>2.645115863</v>
      </c>
      <c r="AD345" s="213">
        <f t="shared" si="244"/>
        <v>2.844210605</v>
      </c>
      <c r="AE345" s="212"/>
      <c r="AF345" s="212" t="str">
        <f t="shared" si="94"/>
        <v>#REF!</v>
      </c>
      <c r="AG345" s="210" t="str">
        <f t="shared" si="95"/>
        <v>#REF!</v>
      </c>
      <c r="AH345" s="120" t="str">
        <f t="shared" si="96"/>
        <v>#REF!</v>
      </c>
      <c r="AI345" s="121">
        <f t="shared" si="497"/>
        <v>0.1</v>
      </c>
      <c r="AJ345" s="121">
        <v>0.1</v>
      </c>
      <c r="AK345" s="122">
        <v>0.33</v>
      </c>
      <c r="AL345" s="123">
        <f t="shared" si="11"/>
        <v>0.8728882347</v>
      </c>
      <c r="AM345" s="122" t="s">
        <v>10</v>
      </c>
      <c r="AN345" s="125">
        <f t="shared" si="542"/>
        <v>2.645115863</v>
      </c>
      <c r="AO345" s="112">
        <f t="shared" si="543"/>
        <v>0.33</v>
      </c>
      <c r="AP345" s="127"/>
      <c r="AQ345" s="128">
        <f t="shared" ref="AQ345:AR345" si="550">BC345/(1-AI345)</f>
        <v>2.197962154</v>
      </c>
      <c r="AR345" s="139">
        <f t="shared" si="550"/>
        <v>1.969141809</v>
      </c>
      <c r="AS345" s="126">
        <f t="shared" si="545"/>
        <v>0.35</v>
      </c>
      <c r="AT345" s="126">
        <f t="shared" si="546"/>
        <v>0.2555555556</v>
      </c>
      <c r="AU345" s="129"/>
      <c r="AV345" s="39" t="s">
        <v>1275</v>
      </c>
      <c r="AW345" s="130"/>
      <c r="AX345" s="140"/>
      <c r="AY345" s="140"/>
      <c r="AZ345" s="130"/>
      <c r="BA345" s="130">
        <v>13.59</v>
      </c>
      <c r="BB345" s="130">
        <f t="shared" si="547"/>
        <v>13.59</v>
      </c>
      <c r="BC345" s="131">
        <f t="shared" si="548"/>
        <v>1.978165939</v>
      </c>
      <c r="BD345" s="132">
        <f t="shared" si="549"/>
        <v>1.772227628</v>
      </c>
      <c r="BE345" s="39"/>
      <c r="BF345" s="134">
        <v>8.5447E9</v>
      </c>
      <c r="BG345" s="49"/>
      <c r="BH345" s="212">
        <f t="shared" si="491"/>
        <v>8.817052876</v>
      </c>
      <c r="BI345" s="212">
        <f t="shared" si="492"/>
        <v>5.290231725</v>
      </c>
      <c r="BJ345" s="212">
        <f t="shared" si="493"/>
        <v>4.408526438</v>
      </c>
      <c r="BK345" s="212">
        <f t="shared" si="494"/>
        <v>3.52682115</v>
      </c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</row>
    <row r="346" ht="14.25" customHeight="1">
      <c r="A346" s="103" t="s">
        <v>84</v>
      </c>
      <c r="B346" s="103" t="s">
        <v>120</v>
      </c>
      <c r="C346" s="103" t="s">
        <v>120</v>
      </c>
      <c r="D346" s="103" t="s">
        <v>1266</v>
      </c>
      <c r="E346" s="103" t="s">
        <v>1317</v>
      </c>
      <c r="F346" s="104" t="s">
        <v>1318</v>
      </c>
      <c r="G346" s="110" t="s">
        <v>1395</v>
      </c>
      <c r="H346" s="110"/>
      <c r="I346" s="107"/>
      <c r="J346" s="220" t="s">
        <v>1405</v>
      </c>
      <c r="K346" s="220" t="str">
        <f>_xlfn.XLOOKUP(J346,[1]Sheet1!$A:$A,[1]Sheet1!$B:$B,"")</f>
        <v>#ERROR!</v>
      </c>
      <c r="L346" s="103" t="s">
        <v>1406</v>
      </c>
      <c r="M346" s="103" t="s">
        <v>1407</v>
      </c>
      <c r="N346" s="110"/>
      <c r="O346" s="104" t="s">
        <v>95</v>
      </c>
      <c r="P346" s="110"/>
      <c r="Q346" s="104" t="s">
        <v>1323</v>
      </c>
      <c r="R346" s="110" t="s">
        <v>1324</v>
      </c>
      <c r="S346" s="110">
        <v>1440.0</v>
      </c>
      <c r="T346" s="110" t="e">
        <v>#N/A</v>
      </c>
      <c r="U346" s="110">
        <v>8.5447E9</v>
      </c>
      <c r="V346" s="112">
        <v>0.0</v>
      </c>
      <c r="W346" s="113">
        <v>30.0</v>
      </c>
      <c r="X346" s="110">
        <v>45.0</v>
      </c>
      <c r="Y346" s="110">
        <v>55.0</v>
      </c>
      <c r="Z346" s="110" t="s">
        <v>99</v>
      </c>
      <c r="AA346" s="114">
        <f t="shared" si="540"/>
        <v>4.190149168</v>
      </c>
      <c r="AB346" s="115"/>
      <c r="AC346" s="212">
        <f t="shared" si="541"/>
        <v>3.285007624</v>
      </c>
      <c r="AD346" s="213">
        <f t="shared" si="244"/>
        <v>3.532266263</v>
      </c>
      <c r="AE346" s="212"/>
      <c r="AF346" s="212" t="str">
        <f t="shared" si="94"/>
        <v>#REF!</v>
      </c>
      <c r="AG346" s="210" t="str">
        <f t="shared" si="95"/>
        <v>#REF!</v>
      </c>
      <c r="AH346" s="120" t="str">
        <f t="shared" si="96"/>
        <v>#REF!</v>
      </c>
      <c r="AI346" s="121">
        <f t="shared" si="497"/>
        <v>0.1</v>
      </c>
      <c r="AJ346" s="121">
        <v>0.1</v>
      </c>
      <c r="AK346" s="122">
        <v>0.33</v>
      </c>
      <c r="AL346" s="123">
        <f t="shared" si="11"/>
        <v>1.084052516</v>
      </c>
      <c r="AM346" s="122" t="s">
        <v>10</v>
      </c>
      <c r="AN346" s="125">
        <f t="shared" si="542"/>
        <v>3.285007624</v>
      </c>
      <c r="AO346" s="112">
        <f t="shared" si="543"/>
        <v>0.33</v>
      </c>
      <c r="AP346" s="127"/>
      <c r="AQ346" s="128">
        <f t="shared" ref="AQ346:AR346" si="551">BC346/(1-AI346)</f>
        <v>2.723596959</v>
      </c>
      <c r="AR346" s="139">
        <f t="shared" si="551"/>
        <v>2.445505676</v>
      </c>
      <c r="AS346" s="126">
        <f t="shared" si="545"/>
        <v>0.35</v>
      </c>
      <c r="AT346" s="126">
        <f t="shared" si="546"/>
        <v>0.2555555556</v>
      </c>
      <c r="AU346" s="129"/>
      <c r="AV346" s="39" t="s">
        <v>1275</v>
      </c>
      <c r="AW346" s="130"/>
      <c r="AX346" s="140"/>
      <c r="AY346" s="140"/>
      <c r="AZ346" s="130"/>
      <c r="BA346" s="130">
        <v>16.84</v>
      </c>
      <c r="BB346" s="130">
        <f t="shared" si="547"/>
        <v>16.84</v>
      </c>
      <c r="BC346" s="131">
        <f t="shared" si="548"/>
        <v>2.451237263</v>
      </c>
      <c r="BD346" s="132">
        <f t="shared" si="549"/>
        <v>2.200955108</v>
      </c>
      <c r="BE346" s="39"/>
      <c r="BF346" s="134">
        <v>8.5447E9</v>
      </c>
      <c r="BG346" s="49"/>
      <c r="BH346" s="212">
        <f t="shared" si="491"/>
        <v>10.95002541</v>
      </c>
      <c r="BI346" s="212">
        <f t="shared" si="492"/>
        <v>6.570015249</v>
      </c>
      <c r="BJ346" s="212">
        <f t="shared" si="493"/>
        <v>5.475012707</v>
      </c>
      <c r="BK346" s="212">
        <f t="shared" si="494"/>
        <v>4.380010166</v>
      </c>
      <c r="BL346" s="49"/>
      <c r="BM346" s="49"/>
      <c r="BN346" s="49"/>
      <c r="BO346" s="49"/>
      <c r="BP346" s="49"/>
      <c r="BQ346" s="49"/>
      <c r="BR346" s="49"/>
      <c r="BS346" s="49"/>
      <c r="BT346" s="49"/>
      <c r="BU346" s="49"/>
      <c r="BV346" s="49"/>
      <c r="BW346" s="49"/>
      <c r="BX346" s="49"/>
      <c r="BY346" s="49"/>
      <c r="BZ346" s="49"/>
      <c r="CA346" s="49"/>
      <c r="CB346" s="49"/>
      <c r="CC346" s="49"/>
      <c r="CD346" s="49"/>
      <c r="CE346" s="49"/>
      <c r="CF346" s="49"/>
    </row>
    <row r="347" ht="14.25" customHeight="1">
      <c r="A347" s="103" t="s">
        <v>84</v>
      </c>
      <c r="B347" s="103" t="s">
        <v>120</v>
      </c>
      <c r="C347" s="103" t="s">
        <v>120</v>
      </c>
      <c r="D347" s="103" t="s">
        <v>1266</v>
      </c>
      <c r="E347" s="103" t="s">
        <v>1317</v>
      </c>
      <c r="F347" s="104" t="s">
        <v>1318</v>
      </c>
      <c r="G347" s="110" t="s">
        <v>1395</v>
      </c>
      <c r="H347" s="110"/>
      <c r="I347" s="107"/>
      <c r="J347" s="220" t="s">
        <v>1408</v>
      </c>
      <c r="K347" s="220" t="str">
        <f>_xlfn.XLOOKUP(J347,[1]Sheet1!$A:$A,[1]Sheet1!$B:$B,"")</f>
        <v>#ERROR!</v>
      </c>
      <c r="L347" s="103" t="s">
        <v>1409</v>
      </c>
      <c r="M347" s="103" t="s">
        <v>1410</v>
      </c>
      <c r="N347" s="110"/>
      <c r="O347" s="104" t="s">
        <v>95</v>
      </c>
      <c r="P347" s="110"/>
      <c r="Q347" s="104" t="s">
        <v>1323</v>
      </c>
      <c r="R347" s="110" t="s">
        <v>1324</v>
      </c>
      <c r="S347" s="110">
        <v>720.0</v>
      </c>
      <c r="T347" s="110" t="e">
        <v>#N/A</v>
      </c>
      <c r="U347" s="110">
        <v>8.5447E9</v>
      </c>
      <c r="V347" s="112">
        <v>0.0</v>
      </c>
      <c r="W347" s="113">
        <v>30.0</v>
      </c>
      <c r="X347" s="110">
        <v>45.0</v>
      </c>
      <c r="Y347" s="110">
        <v>55.0</v>
      </c>
      <c r="Z347" s="110" t="s">
        <v>99</v>
      </c>
      <c r="AA347" s="114">
        <f t="shared" si="540"/>
        <v>6.339964419</v>
      </c>
      <c r="AB347" s="115"/>
      <c r="AC347" s="212">
        <f t="shared" si="541"/>
        <v>5.020897349</v>
      </c>
      <c r="AD347" s="213">
        <f t="shared" si="244"/>
        <v>5.398814353</v>
      </c>
      <c r="AE347" s="212"/>
      <c r="AF347" s="212" t="str">
        <f t="shared" si="94"/>
        <v>#REF!</v>
      </c>
      <c r="AG347" s="210" t="str">
        <f t="shared" si="95"/>
        <v>#REF!</v>
      </c>
      <c r="AH347" s="120" t="str">
        <f t="shared" si="96"/>
        <v>#REF!</v>
      </c>
      <c r="AI347" s="121">
        <f t="shared" si="497"/>
        <v>0.1</v>
      </c>
      <c r="AJ347" s="121">
        <v>0.1</v>
      </c>
      <c r="AK347" s="122">
        <v>0.33</v>
      </c>
      <c r="AL347" s="123">
        <f t="shared" si="11"/>
        <v>1.656896125</v>
      </c>
      <c r="AM347" s="122" t="s">
        <v>10</v>
      </c>
      <c r="AN347" s="125">
        <f t="shared" si="542"/>
        <v>5.020897349</v>
      </c>
      <c r="AO347" s="112">
        <f t="shared" si="543"/>
        <v>0.33</v>
      </c>
      <c r="AP347" s="127"/>
      <c r="AQ347" s="128">
        <f t="shared" ref="AQ347:AR347" si="552">BC347/(1-AI347)</f>
        <v>4.120976872</v>
      </c>
      <c r="AR347" s="139">
        <f t="shared" si="552"/>
        <v>3.737779137</v>
      </c>
      <c r="AS347" s="126">
        <f t="shared" si="545"/>
        <v>0.35</v>
      </c>
      <c r="AT347" s="126">
        <f t="shared" si="546"/>
        <v>0.2555555556</v>
      </c>
      <c r="AU347" s="129"/>
      <c r="AV347" s="39" t="s">
        <v>1275</v>
      </c>
      <c r="AW347" s="130"/>
      <c r="AX347" s="140"/>
      <c r="AY347" s="140"/>
      <c r="AZ347" s="130"/>
      <c r="BA347" s="130">
        <v>25.48</v>
      </c>
      <c r="BB347" s="130">
        <f t="shared" si="547"/>
        <v>25.48</v>
      </c>
      <c r="BC347" s="131">
        <f t="shared" si="548"/>
        <v>3.708879185</v>
      </c>
      <c r="BD347" s="132">
        <f t="shared" si="549"/>
        <v>3.364001224</v>
      </c>
      <c r="BE347" s="39"/>
      <c r="BF347" s="134">
        <v>8.5447E9</v>
      </c>
      <c r="BG347" s="49"/>
      <c r="BH347" s="224">
        <f t="shared" si="491"/>
        <v>16.7363245</v>
      </c>
      <c r="BI347" s="224">
        <f t="shared" si="492"/>
        <v>10.0417947</v>
      </c>
      <c r="BJ347" s="224">
        <f t="shared" si="493"/>
        <v>8.368162248</v>
      </c>
      <c r="BK347" s="224">
        <f t="shared" si="494"/>
        <v>6.694529798</v>
      </c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  <c r="CB347" s="49"/>
      <c r="CC347" s="49"/>
      <c r="CD347" s="49"/>
      <c r="CE347" s="49"/>
      <c r="CF347" s="49"/>
    </row>
    <row r="348" ht="14.25" customHeight="1">
      <c r="A348" s="103" t="s">
        <v>84</v>
      </c>
      <c r="B348" s="103" t="s">
        <v>120</v>
      </c>
      <c r="C348" s="103" t="s">
        <v>120</v>
      </c>
      <c r="D348" s="103" t="s">
        <v>1266</v>
      </c>
      <c r="E348" s="103" t="s">
        <v>1317</v>
      </c>
      <c r="F348" s="104" t="s">
        <v>1318</v>
      </c>
      <c r="G348" s="110" t="s">
        <v>1395</v>
      </c>
      <c r="H348" s="110"/>
      <c r="I348" s="107"/>
      <c r="J348" s="220" t="s">
        <v>1411</v>
      </c>
      <c r="K348" s="220" t="str">
        <f>_xlfn.XLOOKUP(J348,[1]Sheet1!$A:$A,[1]Sheet1!$B:$B,"")</f>
        <v>#ERROR!</v>
      </c>
      <c r="L348" s="103" t="s">
        <v>1412</v>
      </c>
      <c r="M348" s="103" t="s">
        <v>1413</v>
      </c>
      <c r="N348" s="110"/>
      <c r="O348" s="104" t="s">
        <v>95</v>
      </c>
      <c r="P348" s="110"/>
      <c r="Q348" s="104" t="s">
        <v>1323</v>
      </c>
      <c r="R348" s="110" t="s">
        <v>1324</v>
      </c>
      <c r="S348" s="110">
        <v>480.0</v>
      </c>
      <c r="T348" s="110" t="e">
        <v>#N/A</v>
      </c>
      <c r="U348" s="110">
        <v>8.5447E9</v>
      </c>
      <c r="V348" s="112">
        <v>0.0</v>
      </c>
      <c r="W348" s="113">
        <v>30.0</v>
      </c>
      <c r="X348" s="110">
        <v>45.0</v>
      </c>
      <c r="Y348" s="110">
        <v>55.0</v>
      </c>
      <c r="Z348" s="110" t="s">
        <v>99</v>
      </c>
      <c r="AA348" s="114">
        <f t="shared" si="540"/>
        <v>8.454944699</v>
      </c>
      <c r="AB348" s="115"/>
      <c r="AC348" s="212">
        <f t="shared" si="541"/>
        <v>6.730338718</v>
      </c>
      <c r="AD348" s="213">
        <f t="shared" si="244"/>
        <v>7.236923353</v>
      </c>
      <c r="AE348" s="212"/>
      <c r="AF348" s="212" t="str">
        <f t="shared" si="94"/>
        <v>#REF!</v>
      </c>
      <c r="AG348" s="210" t="str">
        <f t="shared" si="95"/>
        <v>#REF!</v>
      </c>
      <c r="AH348" s="120" t="str">
        <f t="shared" si="96"/>
        <v>#REF!</v>
      </c>
      <c r="AI348" s="121">
        <f t="shared" si="497"/>
        <v>0.1</v>
      </c>
      <c r="AJ348" s="121">
        <v>0.1</v>
      </c>
      <c r="AK348" s="122">
        <v>0.33</v>
      </c>
      <c r="AL348" s="123">
        <f t="shared" si="11"/>
        <v>2.221011777</v>
      </c>
      <c r="AM348" s="122" t="s">
        <v>10</v>
      </c>
      <c r="AN348" s="125">
        <f t="shared" si="542"/>
        <v>6.730338718</v>
      </c>
      <c r="AO348" s="112">
        <f t="shared" si="543"/>
        <v>0.33</v>
      </c>
      <c r="AP348" s="127"/>
      <c r="AQ348" s="128">
        <f t="shared" ref="AQ348:AR348" si="553">BC348/(1-AI348)</f>
        <v>5.495714055</v>
      </c>
      <c r="AR348" s="139">
        <f t="shared" si="553"/>
        <v>5.010363268</v>
      </c>
      <c r="AS348" s="126">
        <f t="shared" si="545"/>
        <v>0.35</v>
      </c>
      <c r="AT348" s="126">
        <f t="shared" si="546"/>
        <v>0.2555555556</v>
      </c>
      <c r="AU348" s="129"/>
      <c r="AV348" s="39" t="s">
        <v>1275</v>
      </c>
      <c r="AW348" s="130"/>
      <c r="AX348" s="140"/>
      <c r="AY348" s="140"/>
      <c r="AZ348" s="130"/>
      <c r="BA348" s="130">
        <v>33.98</v>
      </c>
      <c r="BB348" s="130">
        <f t="shared" si="547"/>
        <v>33.98</v>
      </c>
      <c r="BC348" s="131">
        <f t="shared" si="548"/>
        <v>4.946142649</v>
      </c>
      <c r="BD348" s="132">
        <f t="shared" si="549"/>
        <v>4.509326941</v>
      </c>
      <c r="BE348" s="39"/>
      <c r="BF348" s="134">
        <v>8.5447E9</v>
      </c>
      <c r="BG348" s="49"/>
      <c r="BH348" s="224">
        <f t="shared" si="491"/>
        <v>22.43446239</v>
      </c>
      <c r="BI348" s="224">
        <f t="shared" si="492"/>
        <v>13.46067744</v>
      </c>
      <c r="BJ348" s="224">
        <f t="shared" si="493"/>
        <v>11.2172312</v>
      </c>
      <c r="BK348" s="224">
        <f t="shared" si="494"/>
        <v>8.973784958</v>
      </c>
      <c r="BL348" s="49"/>
      <c r="BM348" s="49"/>
      <c r="BN348" s="49"/>
      <c r="BO348" s="49"/>
      <c r="BP348" s="49"/>
      <c r="BQ348" s="49"/>
      <c r="BR348" s="49"/>
      <c r="BS348" s="49"/>
      <c r="BT348" s="49"/>
      <c r="BU348" s="49"/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</row>
    <row r="349" ht="14.25" customHeight="1">
      <c r="A349" s="103" t="s">
        <v>84</v>
      </c>
      <c r="B349" s="103" t="s">
        <v>120</v>
      </c>
      <c r="C349" s="103" t="s">
        <v>120</v>
      </c>
      <c r="D349" s="103" t="s">
        <v>1266</v>
      </c>
      <c r="E349" s="103" t="s">
        <v>1317</v>
      </c>
      <c r="F349" s="104" t="s">
        <v>1340</v>
      </c>
      <c r="G349" s="110" t="s">
        <v>1395</v>
      </c>
      <c r="H349" s="110"/>
      <c r="I349" s="107"/>
      <c r="J349" s="220" t="s">
        <v>1414</v>
      </c>
      <c r="K349" s="220" t="str">
        <f>_xlfn.XLOOKUP(J349,[1]Sheet1!$A:$A,[1]Sheet1!$B:$B,"")</f>
        <v>#ERROR!</v>
      </c>
      <c r="L349" s="103" t="s">
        <v>1415</v>
      </c>
      <c r="M349" s="103" t="s">
        <v>1416</v>
      </c>
      <c r="N349" s="110"/>
      <c r="O349" s="104" t="s">
        <v>95</v>
      </c>
      <c r="P349" s="110"/>
      <c r="Q349" s="104" t="s">
        <v>1323</v>
      </c>
      <c r="R349" s="110" t="s">
        <v>1324</v>
      </c>
      <c r="S349" s="110">
        <v>2160.0</v>
      </c>
      <c r="T349" s="110" t="e">
        <v>#N/A</v>
      </c>
      <c r="U349" s="110">
        <v>8.5447E9</v>
      </c>
      <c r="V349" s="112">
        <v>0.0</v>
      </c>
      <c r="W349" s="113">
        <v>30.0</v>
      </c>
      <c r="X349" s="110">
        <v>45.0</v>
      </c>
      <c r="Y349" s="110">
        <v>55.0</v>
      </c>
      <c r="Z349" s="110" t="s">
        <v>99</v>
      </c>
      <c r="AA349" s="114">
        <f t="shared" si="540"/>
        <v>2.575299519</v>
      </c>
      <c r="AB349" s="115"/>
      <c r="AC349" s="212">
        <f t="shared" si="541"/>
        <v>2.024388007</v>
      </c>
      <c r="AD349" s="213">
        <f t="shared" si="244"/>
        <v>2.176761297</v>
      </c>
      <c r="AE349" s="212"/>
      <c r="AF349" s="212" t="str">
        <f t="shared" si="94"/>
        <v>#REF!</v>
      </c>
      <c r="AG349" s="210" t="str">
        <f t="shared" si="95"/>
        <v>#REF!</v>
      </c>
      <c r="AH349" s="120" t="str">
        <f t="shared" si="96"/>
        <v>#REF!</v>
      </c>
      <c r="AI349" s="121">
        <f t="shared" si="497"/>
        <v>0.1</v>
      </c>
      <c r="AJ349" s="121">
        <v>0.1</v>
      </c>
      <c r="AK349" s="122">
        <v>0.33</v>
      </c>
      <c r="AL349" s="123">
        <f t="shared" si="11"/>
        <v>0.6680480422</v>
      </c>
      <c r="AM349" s="122" t="s">
        <v>10</v>
      </c>
      <c r="AN349" s="125">
        <f t="shared" si="542"/>
        <v>2.024388007</v>
      </c>
      <c r="AO349" s="112">
        <f t="shared" si="543"/>
        <v>0.33</v>
      </c>
      <c r="AP349" s="127"/>
      <c r="AQ349" s="128">
        <f t="shared" ref="AQ349:AR349" si="554">BC349/(1-AI349)</f>
        <v>1.673944687</v>
      </c>
      <c r="AR349" s="139">
        <f t="shared" si="554"/>
        <v>1.507044405</v>
      </c>
      <c r="AS349" s="126">
        <f t="shared" si="545"/>
        <v>0.35</v>
      </c>
      <c r="AT349" s="126">
        <f t="shared" si="546"/>
        <v>0.2555555556</v>
      </c>
      <c r="AU349" s="129"/>
      <c r="AV349" s="39" t="s">
        <v>1275</v>
      </c>
      <c r="AW349" s="130"/>
      <c r="AX349" s="140"/>
      <c r="AY349" s="140"/>
      <c r="AZ349" s="130"/>
      <c r="BA349" s="130">
        <v>10.35</v>
      </c>
      <c r="BB349" s="130">
        <f t="shared" si="547"/>
        <v>10.35</v>
      </c>
      <c r="BC349" s="131">
        <f t="shared" si="548"/>
        <v>1.506550218</v>
      </c>
      <c r="BD349" s="132">
        <f t="shared" si="549"/>
        <v>1.356339964</v>
      </c>
      <c r="BE349" s="39"/>
      <c r="BF349" s="134">
        <v>8.5447E9</v>
      </c>
      <c r="BG349" s="49"/>
      <c r="BH349" s="212">
        <f t="shared" si="491"/>
        <v>6.747960022</v>
      </c>
      <c r="BI349" s="212">
        <f t="shared" si="492"/>
        <v>4.048776013</v>
      </c>
      <c r="BJ349" s="212">
        <f t="shared" si="493"/>
        <v>3.373980011</v>
      </c>
      <c r="BK349" s="212">
        <f t="shared" si="494"/>
        <v>2.699184009</v>
      </c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</row>
    <row r="350" ht="14.25" customHeight="1">
      <c r="A350" s="103" t="s">
        <v>84</v>
      </c>
      <c r="B350" s="103" t="s">
        <v>120</v>
      </c>
      <c r="C350" s="103" t="s">
        <v>120</v>
      </c>
      <c r="D350" s="103" t="s">
        <v>1266</v>
      </c>
      <c r="E350" s="103" t="s">
        <v>1317</v>
      </c>
      <c r="F350" s="104" t="s">
        <v>1340</v>
      </c>
      <c r="G350" s="110" t="s">
        <v>1395</v>
      </c>
      <c r="H350" s="110"/>
      <c r="I350" s="107"/>
      <c r="J350" s="220" t="s">
        <v>1417</v>
      </c>
      <c r="K350" s="220" t="str">
        <f>_xlfn.XLOOKUP(J350,[1]Sheet1!$A:$A,[1]Sheet1!$B:$B,"")</f>
        <v>#ERROR!</v>
      </c>
      <c r="L350" s="103" t="s">
        <v>1418</v>
      </c>
      <c r="M350" s="103" t="s">
        <v>1419</v>
      </c>
      <c r="N350" s="110"/>
      <c r="O350" s="104" t="s">
        <v>95</v>
      </c>
      <c r="P350" s="110"/>
      <c r="Q350" s="104" t="s">
        <v>1323</v>
      </c>
      <c r="R350" s="110" t="s">
        <v>1324</v>
      </c>
      <c r="S350" s="110">
        <v>1920.0</v>
      </c>
      <c r="T350" s="110" t="e">
        <v>#N/A</v>
      </c>
      <c r="U350" s="110">
        <v>8.5447E9</v>
      </c>
      <c r="V350" s="112">
        <v>0.0</v>
      </c>
      <c r="W350" s="113">
        <v>30.0</v>
      </c>
      <c r="X350" s="110">
        <v>45.0</v>
      </c>
      <c r="Y350" s="110">
        <v>55.0</v>
      </c>
      <c r="Z350" s="110" t="s">
        <v>99</v>
      </c>
      <c r="AA350" s="114">
        <f t="shared" si="540"/>
        <v>2.970925242</v>
      </c>
      <c r="AB350" s="115"/>
      <c r="AC350" s="212">
        <f t="shared" si="541"/>
        <v>2.333403114</v>
      </c>
      <c r="AD350" s="213">
        <f t="shared" si="244"/>
        <v>2.509035607</v>
      </c>
      <c r="AE350" s="212"/>
      <c r="AF350" s="212" t="str">
        <f t="shared" si="94"/>
        <v>#REF!</v>
      </c>
      <c r="AG350" s="210" t="str">
        <f t="shared" si="95"/>
        <v>#REF!</v>
      </c>
      <c r="AH350" s="120" t="str">
        <f t="shared" si="96"/>
        <v>#REF!</v>
      </c>
      <c r="AI350" s="121">
        <f t="shared" si="497"/>
        <v>0.1</v>
      </c>
      <c r="AJ350" s="121">
        <v>0.1</v>
      </c>
      <c r="AK350" s="122">
        <v>0.33</v>
      </c>
      <c r="AL350" s="123">
        <f t="shared" si="11"/>
        <v>0.7700230278</v>
      </c>
      <c r="AM350" s="122" t="s">
        <v>10</v>
      </c>
      <c r="AN350" s="125">
        <f t="shared" si="542"/>
        <v>2.333403114</v>
      </c>
      <c r="AO350" s="112">
        <f t="shared" si="543"/>
        <v>0.33</v>
      </c>
      <c r="AP350" s="127"/>
      <c r="AQ350" s="128">
        <f t="shared" ref="AQ350:AR350" si="555">BC350/(1-AI350)</f>
        <v>1.931101407</v>
      </c>
      <c r="AR350" s="139">
        <f t="shared" si="555"/>
        <v>1.737088985</v>
      </c>
      <c r="AS350" s="126">
        <f t="shared" si="545"/>
        <v>0.35</v>
      </c>
      <c r="AT350" s="126">
        <f t="shared" si="546"/>
        <v>0.2555555556</v>
      </c>
      <c r="AU350" s="129"/>
      <c r="AV350" s="39" t="s">
        <v>1275</v>
      </c>
      <c r="AW350" s="130"/>
      <c r="AX350" s="140"/>
      <c r="AY350" s="140"/>
      <c r="AZ350" s="130"/>
      <c r="BA350" s="130">
        <v>11.94</v>
      </c>
      <c r="BB350" s="130">
        <f t="shared" si="547"/>
        <v>11.94</v>
      </c>
      <c r="BC350" s="131">
        <f t="shared" si="548"/>
        <v>1.737991266</v>
      </c>
      <c r="BD350" s="132">
        <f t="shared" si="549"/>
        <v>1.563380087</v>
      </c>
      <c r="BE350" s="39"/>
      <c r="BF350" s="134">
        <v>8.5447E9</v>
      </c>
      <c r="BG350" s="49"/>
      <c r="BH350" s="212">
        <f t="shared" si="491"/>
        <v>7.778010382</v>
      </c>
      <c r="BI350" s="212">
        <f t="shared" si="492"/>
        <v>4.666806229</v>
      </c>
      <c r="BJ350" s="212">
        <f t="shared" si="493"/>
        <v>3.889005191</v>
      </c>
      <c r="BK350" s="212">
        <f t="shared" si="494"/>
        <v>3.111204153</v>
      </c>
      <c r="BL350" s="49"/>
      <c r="BM350" s="49"/>
      <c r="BN350" s="49"/>
      <c r="BO350" s="49"/>
      <c r="BP350" s="49"/>
      <c r="BQ350" s="49"/>
      <c r="BR350" s="49"/>
      <c r="BS350" s="49"/>
      <c r="BT350" s="49"/>
      <c r="BU350" s="49"/>
      <c r="BV350" s="49"/>
      <c r="BW350" s="49"/>
      <c r="BX350" s="49"/>
      <c r="BY350" s="49"/>
      <c r="BZ350" s="49"/>
      <c r="CA350" s="49"/>
      <c r="CB350" s="49"/>
      <c r="CC350" s="49"/>
      <c r="CD350" s="49"/>
      <c r="CE350" s="49"/>
      <c r="CF350" s="49"/>
    </row>
    <row r="351" ht="14.25" customHeight="1">
      <c r="A351" s="103" t="s">
        <v>84</v>
      </c>
      <c r="B351" s="103" t="s">
        <v>120</v>
      </c>
      <c r="C351" s="103" t="s">
        <v>120</v>
      </c>
      <c r="D351" s="103" t="s">
        <v>1266</v>
      </c>
      <c r="E351" s="103" t="s">
        <v>1317</v>
      </c>
      <c r="F351" s="104" t="s">
        <v>1340</v>
      </c>
      <c r="G351" s="110" t="s">
        <v>1395</v>
      </c>
      <c r="H351" s="110"/>
      <c r="I351" s="107"/>
      <c r="J351" s="220" t="s">
        <v>1420</v>
      </c>
      <c r="K351" s="220" t="str">
        <f>_xlfn.XLOOKUP(J351,[1]Sheet1!$A:$A,[1]Sheet1!$B:$B,"")</f>
        <v>#ERROR!</v>
      </c>
      <c r="L351" s="103" t="s">
        <v>1421</v>
      </c>
      <c r="M351" s="103" t="s">
        <v>1422</v>
      </c>
      <c r="N351" s="110"/>
      <c r="O351" s="104" t="s">
        <v>95</v>
      </c>
      <c r="P351" s="110"/>
      <c r="Q351" s="104" t="s">
        <v>1323</v>
      </c>
      <c r="R351" s="110" t="s">
        <v>1324</v>
      </c>
      <c r="S351" s="110">
        <v>1920.0</v>
      </c>
      <c r="T351" s="110" t="e">
        <v>#N/A</v>
      </c>
      <c r="U351" s="110">
        <v>8.5447E9</v>
      </c>
      <c r="V351" s="112">
        <v>0.0</v>
      </c>
      <c r="W351" s="113">
        <v>30.0</v>
      </c>
      <c r="X351" s="110">
        <v>45.0</v>
      </c>
      <c r="Y351" s="110">
        <v>55.0</v>
      </c>
      <c r="Z351" s="110" t="s">
        <v>99</v>
      </c>
      <c r="AA351" s="114">
        <f t="shared" si="540"/>
        <v>3.381480237</v>
      </c>
      <c r="AB351" s="115"/>
      <c r="AC351" s="212">
        <f t="shared" si="541"/>
        <v>2.645115863</v>
      </c>
      <c r="AD351" s="213">
        <f t="shared" si="244"/>
        <v>2.844210605</v>
      </c>
      <c r="AE351" s="212"/>
      <c r="AF351" s="212" t="str">
        <f t="shared" si="94"/>
        <v>#REF!</v>
      </c>
      <c r="AG351" s="210" t="str">
        <f t="shared" si="95"/>
        <v>#REF!</v>
      </c>
      <c r="AH351" s="120" t="str">
        <f t="shared" si="96"/>
        <v>#REF!</v>
      </c>
      <c r="AI351" s="121">
        <f t="shared" si="497"/>
        <v>0.1</v>
      </c>
      <c r="AJ351" s="121">
        <v>0.1</v>
      </c>
      <c r="AK351" s="122">
        <v>0.33</v>
      </c>
      <c r="AL351" s="123">
        <f t="shared" si="11"/>
        <v>0.8728882347</v>
      </c>
      <c r="AM351" s="122" t="s">
        <v>10</v>
      </c>
      <c r="AN351" s="125">
        <f t="shared" si="542"/>
        <v>2.645115863</v>
      </c>
      <c r="AO351" s="112">
        <f t="shared" si="543"/>
        <v>0.33</v>
      </c>
      <c r="AP351" s="127"/>
      <c r="AQ351" s="128">
        <f t="shared" ref="AQ351:AR351" si="556">BC351/(1-AI351)</f>
        <v>2.197962154</v>
      </c>
      <c r="AR351" s="139">
        <f t="shared" si="556"/>
        <v>1.969141809</v>
      </c>
      <c r="AS351" s="126">
        <f t="shared" si="545"/>
        <v>0.35</v>
      </c>
      <c r="AT351" s="126">
        <f t="shared" si="546"/>
        <v>0.2555555556</v>
      </c>
      <c r="AU351" s="129"/>
      <c r="AV351" s="39" t="s">
        <v>1275</v>
      </c>
      <c r="AW351" s="130"/>
      <c r="AX351" s="140"/>
      <c r="AY351" s="140"/>
      <c r="AZ351" s="130"/>
      <c r="BA351" s="130">
        <v>13.59</v>
      </c>
      <c r="BB351" s="130">
        <f t="shared" si="547"/>
        <v>13.59</v>
      </c>
      <c r="BC351" s="131">
        <f t="shared" si="548"/>
        <v>1.978165939</v>
      </c>
      <c r="BD351" s="132">
        <f t="shared" si="549"/>
        <v>1.772227628</v>
      </c>
      <c r="BE351" s="39"/>
      <c r="BF351" s="134">
        <v>8.5447E9</v>
      </c>
      <c r="BG351" s="49"/>
      <c r="BH351" s="212">
        <f t="shared" si="491"/>
        <v>8.817052876</v>
      </c>
      <c r="BI351" s="212">
        <f t="shared" si="492"/>
        <v>5.290231725</v>
      </c>
      <c r="BJ351" s="212">
        <f t="shared" si="493"/>
        <v>4.408526438</v>
      </c>
      <c r="BK351" s="212">
        <f t="shared" si="494"/>
        <v>3.52682115</v>
      </c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</row>
    <row r="352" ht="14.25" customHeight="1">
      <c r="A352" s="103" t="s">
        <v>84</v>
      </c>
      <c r="B352" s="103" t="s">
        <v>120</v>
      </c>
      <c r="C352" s="103" t="s">
        <v>120</v>
      </c>
      <c r="D352" s="103" t="s">
        <v>1266</v>
      </c>
      <c r="E352" s="103" t="s">
        <v>1317</v>
      </c>
      <c r="F352" s="104" t="s">
        <v>1340</v>
      </c>
      <c r="G352" s="110" t="s">
        <v>1395</v>
      </c>
      <c r="H352" s="110"/>
      <c r="I352" s="107"/>
      <c r="J352" s="220" t="s">
        <v>1423</v>
      </c>
      <c r="K352" s="220" t="str">
        <f>_xlfn.XLOOKUP(J352,[1]Sheet1!$A:$A,[1]Sheet1!$B:$B,"")</f>
        <v>#ERROR!</v>
      </c>
      <c r="L352" s="103" t="s">
        <v>1424</v>
      </c>
      <c r="M352" s="103" t="s">
        <v>1425</v>
      </c>
      <c r="N352" s="110"/>
      <c r="O352" s="104" t="s">
        <v>95</v>
      </c>
      <c r="P352" s="110"/>
      <c r="Q352" s="104" t="s">
        <v>1323</v>
      </c>
      <c r="R352" s="110" t="s">
        <v>1324</v>
      </c>
      <c r="S352" s="110">
        <v>1440.0</v>
      </c>
      <c r="T352" s="110" t="e">
        <v>#N/A</v>
      </c>
      <c r="U352" s="110">
        <v>8.5447E9</v>
      </c>
      <c r="V352" s="112">
        <v>0.0</v>
      </c>
      <c r="W352" s="113">
        <v>30.0</v>
      </c>
      <c r="X352" s="110">
        <v>45.0</v>
      </c>
      <c r="Y352" s="110">
        <v>55.0</v>
      </c>
      <c r="Z352" s="110" t="s">
        <v>99</v>
      </c>
      <c r="AA352" s="114">
        <f t="shared" si="540"/>
        <v>4.190149168</v>
      </c>
      <c r="AB352" s="115"/>
      <c r="AC352" s="212">
        <f t="shared" si="541"/>
        <v>3.285007624</v>
      </c>
      <c r="AD352" s="213">
        <f t="shared" si="244"/>
        <v>3.532266263</v>
      </c>
      <c r="AE352" s="212"/>
      <c r="AF352" s="212" t="str">
        <f t="shared" si="94"/>
        <v>#REF!</v>
      </c>
      <c r="AG352" s="210" t="str">
        <f t="shared" si="95"/>
        <v>#REF!</v>
      </c>
      <c r="AH352" s="120" t="str">
        <f t="shared" si="96"/>
        <v>#REF!</v>
      </c>
      <c r="AI352" s="121">
        <f t="shared" si="497"/>
        <v>0.1</v>
      </c>
      <c r="AJ352" s="121">
        <v>0.1</v>
      </c>
      <c r="AK352" s="122">
        <v>0.33</v>
      </c>
      <c r="AL352" s="123">
        <f t="shared" si="11"/>
        <v>1.084052516</v>
      </c>
      <c r="AM352" s="122" t="s">
        <v>10</v>
      </c>
      <c r="AN352" s="125">
        <f t="shared" si="542"/>
        <v>3.285007624</v>
      </c>
      <c r="AO352" s="112">
        <f t="shared" si="543"/>
        <v>0.33</v>
      </c>
      <c r="AP352" s="127"/>
      <c r="AQ352" s="128">
        <f t="shared" ref="AQ352:AR352" si="557">BC352/(1-AI352)</f>
        <v>2.723596959</v>
      </c>
      <c r="AR352" s="139">
        <f t="shared" si="557"/>
        <v>2.445505676</v>
      </c>
      <c r="AS352" s="126">
        <f t="shared" si="545"/>
        <v>0.35</v>
      </c>
      <c r="AT352" s="126">
        <f t="shared" si="546"/>
        <v>0.2555555556</v>
      </c>
      <c r="AU352" s="129"/>
      <c r="AV352" s="39" t="s">
        <v>1275</v>
      </c>
      <c r="AW352" s="130"/>
      <c r="AX352" s="140"/>
      <c r="AY352" s="140"/>
      <c r="AZ352" s="130"/>
      <c r="BA352" s="130">
        <v>16.84</v>
      </c>
      <c r="BB352" s="130">
        <f t="shared" si="547"/>
        <v>16.84</v>
      </c>
      <c r="BC352" s="131">
        <f t="shared" si="548"/>
        <v>2.451237263</v>
      </c>
      <c r="BD352" s="132">
        <f t="shared" si="549"/>
        <v>2.200955108</v>
      </c>
      <c r="BE352" s="39"/>
      <c r="BF352" s="134">
        <v>8.5447E9</v>
      </c>
      <c r="BG352" s="49"/>
      <c r="BH352" s="212">
        <f t="shared" si="491"/>
        <v>10.95002541</v>
      </c>
      <c r="BI352" s="212">
        <f t="shared" si="492"/>
        <v>6.570015249</v>
      </c>
      <c r="BJ352" s="212">
        <f t="shared" si="493"/>
        <v>5.475012707</v>
      </c>
      <c r="BK352" s="212">
        <f t="shared" si="494"/>
        <v>4.380010166</v>
      </c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</row>
    <row r="353" ht="14.25" customHeight="1">
      <c r="A353" s="103" t="s">
        <v>84</v>
      </c>
      <c r="B353" s="103" t="s">
        <v>120</v>
      </c>
      <c r="C353" s="103" t="s">
        <v>120</v>
      </c>
      <c r="D353" s="103" t="s">
        <v>1266</v>
      </c>
      <c r="E353" s="103" t="s">
        <v>1317</v>
      </c>
      <c r="F353" s="104" t="s">
        <v>1340</v>
      </c>
      <c r="G353" s="110" t="s">
        <v>1395</v>
      </c>
      <c r="H353" s="110"/>
      <c r="I353" s="107"/>
      <c r="J353" s="220" t="s">
        <v>1426</v>
      </c>
      <c r="K353" s="220" t="s">
        <v>1427</v>
      </c>
      <c r="L353" s="103" t="s">
        <v>1428</v>
      </c>
      <c r="M353" s="103" t="s">
        <v>1429</v>
      </c>
      <c r="N353" s="110"/>
      <c r="O353" s="104" t="s">
        <v>95</v>
      </c>
      <c r="P353" s="110"/>
      <c r="Q353" s="104" t="s">
        <v>1323</v>
      </c>
      <c r="R353" s="110" t="s">
        <v>1324</v>
      </c>
      <c r="S353" s="110">
        <v>720.0</v>
      </c>
      <c r="T353" s="110" t="e">
        <v>#N/A</v>
      </c>
      <c r="U353" s="110">
        <v>8.5447E9</v>
      </c>
      <c r="V353" s="112">
        <v>0.0</v>
      </c>
      <c r="W353" s="113">
        <v>30.0</v>
      </c>
      <c r="X353" s="110">
        <v>45.0</v>
      </c>
      <c r="Y353" s="110">
        <v>55.0</v>
      </c>
      <c r="Z353" s="110" t="s">
        <v>99</v>
      </c>
      <c r="AA353" s="114">
        <f t="shared" si="540"/>
        <v>6.339964419</v>
      </c>
      <c r="AB353" s="115"/>
      <c r="AC353" s="212">
        <f t="shared" si="541"/>
        <v>5.020897349</v>
      </c>
      <c r="AD353" s="213">
        <f t="shared" si="244"/>
        <v>5.398814353</v>
      </c>
      <c r="AE353" s="212"/>
      <c r="AF353" s="212" t="str">
        <f t="shared" si="94"/>
        <v>#REF!</v>
      </c>
      <c r="AG353" s="210" t="str">
        <f t="shared" si="95"/>
        <v>#REF!</v>
      </c>
      <c r="AH353" s="120" t="str">
        <f t="shared" si="96"/>
        <v>#REF!</v>
      </c>
      <c r="AI353" s="121">
        <f t="shared" si="497"/>
        <v>0.1</v>
      </c>
      <c r="AJ353" s="121">
        <v>0.1</v>
      </c>
      <c r="AK353" s="122">
        <v>0.33</v>
      </c>
      <c r="AL353" s="123">
        <f t="shared" si="11"/>
        <v>1.656896125</v>
      </c>
      <c r="AM353" s="122" t="s">
        <v>10</v>
      </c>
      <c r="AN353" s="125">
        <f t="shared" si="542"/>
        <v>5.020897349</v>
      </c>
      <c r="AO353" s="112">
        <f t="shared" si="543"/>
        <v>0.33</v>
      </c>
      <c r="AP353" s="127"/>
      <c r="AQ353" s="128">
        <f t="shared" ref="AQ353:AR353" si="558">BC353/(1-AI353)</f>
        <v>4.120976872</v>
      </c>
      <c r="AR353" s="139">
        <f t="shared" si="558"/>
        <v>3.737779137</v>
      </c>
      <c r="AS353" s="126">
        <f t="shared" si="545"/>
        <v>0.35</v>
      </c>
      <c r="AT353" s="126">
        <f t="shared" si="546"/>
        <v>0.2555555556</v>
      </c>
      <c r="AU353" s="129"/>
      <c r="AV353" s="39" t="s">
        <v>1275</v>
      </c>
      <c r="AW353" s="130"/>
      <c r="AX353" s="140"/>
      <c r="AY353" s="140"/>
      <c r="AZ353" s="130"/>
      <c r="BA353" s="130">
        <v>25.48</v>
      </c>
      <c r="BB353" s="130">
        <f t="shared" si="547"/>
        <v>25.48</v>
      </c>
      <c r="BC353" s="131">
        <f t="shared" si="548"/>
        <v>3.708879185</v>
      </c>
      <c r="BD353" s="132">
        <f t="shared" si="549"/>
        <v>3.364001224</v>
      </c>
      <c r="BE353" s="39"/>
      <c r="BF353" s="134">
        <v>8.5447E9</v>
      </c>
      <c r="BG353" s="49"/>
      <c r="BH353" s="224">
        <f t="shared" si="491"/>
        <v>16.7363245</v>
      </c>
      <c r="BI353" s="224">
        <f t="shared" si="492"/>
        <v>10.0417947</v>
      </c>
      <c r="BJ353" s="224">
        <f t="shared" si="493"/>
        <v>8.368162248</v>
      </c>
      <c r="BK353" s="224">
        <f t="shared" si="494"/>
        <v>6.694529798</v>
      </c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</row>
    <row r="354" ht="14.25" customHeight="1">
      <c r="A354" s="103" t="s">
        <v>84</v>
      </c>
      <c r="B354" s="103" t="s">
        <v>120</v>
      </c>
      <c r="C354" s="103" t="s">
        <v>120</v>
      </c>
      <c r="D354" s="103" t="s">
        <v>1266</v>
      </c>
      <c r="E354" s="103" t="s">
        <v>1317</v>
      </c>
      <c r="F354" s="104" t="s">
        <v>1340</v>
      </c>
      <c r="G354" s="110" t="s">
        <v>1395</v>
      </c>
      <c r="H354" s="110"/>
      <c r="I354" s="107"/>
      <c r="J354" s="220" t="s">
        <v>1430</v>
      </c>
      <c r="K354" s="220" t="s">
        <v>1431</v>
      </c>
      <c r="L354" s="103" t="s">
        <v>1432</v>
      </c>
      <c r="M354" s="103" t="s">
        <v>1433</v>
      </c>
      <c r="N354" s="110"/>
      <c r="O354" s="104" t="s">
        <v>95</v>
      </c>
      <c r="P354" s="110"/>
      <c r="Q354" s="104" t="s">
        <v>1323</v>
      </c>
      <c r="R354" s="110" t="s">
        <v>1324</v>
      </c>
      <c r="S354" s="110">
        <v>480.0</v>
      </c>
      <c r="T354" s="110" t="e">
        <v>#N/A</v>
      </c>
      <c r="U354" s="110">
        <v>8.5447E9</v>
      </c>
      <c r="V354" s="112">
        <v>0.0</v>
      </c>
      <c r="W354" s="113">
        <v>30.0</v>
      </c>
      <c r="X354" s="110">
        <v>45.0</v>
      </c>
      <c r="Y354" s="110">
        <v>55.0</v>
      </c>
      <c r="Z354" s="110" t="s">
        <v>99</v>
      </c>
      <c r="AA354" s="114">
        <f t="shared" si="540"/>
        <v>8.454944699</v>
      </c>
      <c r="AB354" s="115"/>
      <c r="AC354" s="212">
        <f t="shared" si="541"/>
        <v>6.730338718</v>
      </c>
      <c r="AD354" s="213">
        <f t="shared" si="244"/>
        <v>7.236923353</v>
      </c>
      <c r="AE354" s="212"/>
      <c r="AF354" s="212" t="str">
        <f t="shared" si="94"/>
        <v>#REF!</v>
      </c>
      <c r="AG354" s="210" t="str">
        <f t="shared" si="95"/>
        <v>#REF!</v>
      </c>
      <c r="AH354" s="120" t="str">
        <f t="shared" si="96"/>
        <v>#REF!</v>
      </c>
      <c r="AI354" s="121">
        <f t="shared" si="497"/>
        <v>0.1</v>
      </c>
      <c r="AJ354" s="121">
        <v>0.1</v>
      </c>
      <c r="AK354" s="122">
        <v>0.33</v>
      </c>
      <c r="AL354" s="123">
        <f t="shared" si="11"/>
        <v>2.221011777</v>
      </c>
      <c r="AM354" s="122" t="s">
        <v>10</v>
      </c>
      <c r="AN354" s="125">
        <f t="shared" si="542"/>
        <v>6.730338718</v>
      </c>
      <c r="AO354" s="112">
        <f t="shared" si="543"/>
        <v>0.33</v>
      </c>
      <c r="AP354" s="127"/>
      <c r="AQ354" s="128">
        <f t="shared" ref="AQ354:AR354" si="559">BC354/(1-AI354)</f>
        <v>5.495714055</v>
      </c>
      <c r="AR354" s="139">
        <f t="shared" si="559"/>
        <v>5.010363268</v>
      </c>
      <c r="AS354" s="126">
        <f t="shared" si="545"/>
        <v>0.35</v>
      </c>
      <c r="AT354" s="126">
        <f t="shared" si="546"/>
        <v>0.2555555556</v>
      </c>
      <c r="AU354" s="129"/>
      <c r="AV354" s="39" t="s">
        <v>1275</v>
      </c>
      <c r="AW354" s="130"/>
      <c r="AX354" s="140"/>
      <c r="AY354" s="140"/>
      <c r="AZ354" s="130"/>
      <c r="BA354" s="130">
        <v>33.98</v>
      </c>
      <c r="BB354" s="130">
        <f t="shared" si="547"/>
        <v>33.98</v>
      </c>
      <c r="BC354" s="131">
        <f t="shared" si="548"/>
        <v>4.946142649</v>
      </c>
      <c r="BD354" s="132">
        <f t="shared" si="549"/>
        <v>4.509326941</v>
      </c>
      <c r="BE354" s="39"/>
      <c r="BF354" s="134">
        <v>8.5447E9</v>
      </c>
      <c r="BG354" s="49"/>
      <c r="BH354" s="224">
        <f t="shared" si="491"/>
        <v>22.43446239</v>
      </c>
      <c r="BI354" s="224">
        <f t="shared" si="492"/>
        <v>13.46067744</v>
      </c>
      <c r="BJ354" s="224">
        <f t="shared" si="493"/>
        <v>11.2172312</v>
      </c>
      <c r="BK354" s="224">
        <f t="shared" si="494"/>
        <v>8.973784958</v>
      </c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</row>
    <row r="355" ht="14.25" customHeight="1">
      <c r="A355" s="103" t="s">
        <v>84</v>
      </c>
      <c r="B355" s="103" t="s">
        <v>120</v>
      </c>
      <c r="C355" s="103" t="s">
        <v>120</v>
      </c>
      <c r="D355" s="103" t="s">
        <v>1266</v>
      </c>
      <c r="E355" s="103" t="s">
        <v>1317</v>
      </c>
      <c r="F355" s="104" t="s">
        <v>1340</v>
      </c>
      <c r="G355" s="110" t="s">
        <v>1395</v>
      </c>
      <c r="H355" s="110"/>
      <c r="I355" s="107"/>
      <c r="J355" s="220" t="s">
        <v>1434</v>
      </c>
      <c r="K355" s="220" t="s">
        <v>1435</v>
      </c>
      <c r="L355" s="103" t="s">
        <v>1436</v>
      </c>
      <c r="M355" s="103" t="s">
        <v>1437</v>
      </c>
      <c r="N355" s="110"/>
      <c r="O355" s="104" t="s">
        <v>95</v>
      </c>
      <c r="P355" s="110"/>
      <c r="Q355" s="104" t="s">
        <v>1323</v>
      </c>
      <c r="R355" s="110" t="s">
        <v>1324</v>
      </c>
      <c r="S355" s="110"/>
      <c r="T355" s="110"/>
      <c r="U355" s="110">
        <v>8.5447E9</v>
      </c>
      <c r="V355" s="112">
        <v>0.0</v>
      </c>
      <c r="W355" s="113">
        <v>30.0</v>
      </c>
      <c r="X355" s="110">
        <v>45.0</v>
      </c>
      <c r="Y355" s="110">
        <v>55.0</v>
      </c>
      <c r="Z355" s="110" t="s">
        <v>99</v>
      </c>
      <c r="AA355" s="114"/>
      <c r="AB355" s="115"/>
      <c r="AC355" s="212"/>
      <c r="AD355" s="213">
        <f t="shared" si="244"/>
        <v>0</v>
      </c>
      <c r="AE355" s="212"/>
      <c r="AF355" s="212" t="str">
        <f t="shared" si="94"/>
        <v>#REF!</v>
      </c>
      <c r="AG355" s="210" t="str">
        <f t="shared" si="95"/>
        <v>#REF!</v>
      </c>
      <c r="AH355" s="120" t="str">
        <f t="shared" si="96"/>
        <v>#REF!</v>
      </c>
      <c r="AI355" s="121">
        <f t="shared" si="497"/>
        <v>0.1</v>
      </c>
      <c r="AJ355" s="121">
        <v>0.1</v>
      </c>
      <c r="AK355" s="122">
        <v>0.33</v>
      </c>
      <c r="AL355" s="123">
        <f t="shared" si="11"/>
        <v>0</v>
      </c>
      <c r="AM355" s="122" t="s">
        <v>10</v>
      </c>
      <c r="AN355" s="125"/>
      <c r="AO355" s="112"/>
      <c r="AP355" s="127"/>
      <c r="AQ355" s="128"/>
      <c r="AR355" s="139"/>
      <c r="AS355" s="126"/>
      <c r="AT355" s="126"/>
      <c r="AU355" s="129"/>
      <c r="AV355" s="39" t="s">
        <v>1275</v>
      </c>
      <c r="AW355" s="130"/>
      <c r="AX355" s="140"/>
      <c r="AY355" s="140"/>
      <c r="AZ355" s="130"/>
      <c r="BA355" s="130"/>
      <c r="BB355" s="130">
        <v>50.98</v>
      </c>
      <c r="BC355" s="131"/>
      <c r="BD355" s="132"/>
      <c r="BE355" s="39"/>
      <c r="BF355" s="134">
        <v>8.5447E9</v>
      </c>
      <c r="BG355" s="49"/>
      <c r="BH355" s="224"/>
      <c r="BI355" s="224">
        <f t="shared" si="492"/>
        <v>0</v>
      </c>
      <c r="BJ355" s="224"/>
      <c r="BK355" s="224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</row>
    <row r="356" ht="14.25" customHeight="1">
      <c r="A356" s="103" t="s">
        <v>84</v>
      </c>
      <c r="B356" s="103" t="s">
        <v>120</v>
      </c>
      <c r="C356" s="103" t="s">
        <v>120</v>
      </c>
      <c r="D356" s="103" t="s">
        <v>1266</v>
      </c>
      <c r="E356" s="103" t="s">
        <v>1317</v>
      </c>
      <c r="F356" s="104" t="s">
        <v>1367</v>
      </c>
      <c r="G356" s="110" t="s">
        <v>1395</v>
      </c>
      <c r="H356" s="110"/>
      <c r="I356" s="107"/>
      <c r="J356" s="220" t="s">
        <v>1438</v>
      </c>
      <c r="K356" s="220" t="str">
        <f>_xlfn.XLOOKUP(J356,[1]Sheet1!$A:$A,[1]Sheet1!$B:$B,"")</f>
        <v>#ERROR!</v>
      </c>
      <c r="L356" s="103" t="s">
        <v>1439</v>
      </c>
      <c r="M356" s="103" t="s">
        <v>1440</v>
      </c>
      <c r="N356" s="110"/>
      <c r="O356" s="104" t="s">
        <v>95</v>
      </c>
      <c r="P356" s="110"/>
      <c r="Q356" s="104" t="s">
        <v>1323</v>
      </c>
      <c r="R356" s="110" t="s">
        <v>1324</v>
      </c>
      <c r="S356" s="110">
        <v>2160.0</v>
      </c>
      <c r="T356" s="110" t="s">
        <v>1441</v>
      </c>
      <c r="U356" s="110">
        <v>8.5447E9</v>
      </c>
      <c r="V356" s="112">
        <v>0.0</v>
      </c>
      <c r="W356" s="113">
        <v>30.0</v>
      </c>
      <c r="X356" s="110">
        <v>45.0</v>
      </c>
      <c r="Y356" s="110">
        <v>55.0</v>
      </c>
      <c r="Z356" s="110" t="s">
        <v>99</v>
      </c>
      <c r="AA356" s="114">
        <f t="shared" ref="AA356:AA392" si="561">AQ356/(1-(AK356+2%))</f>
        <v>2.575299519</v>
      </c>
      <c r="AB356" s="115"/>
      <c r="AC356" s="212">
        <f t="shared" ref="AC356:AC361" si="562">BD356/(1-AK356)</f>
        <v>2.024388007</v>
      </c>
      <c r="AD356" s="213">
        <f t="shared" si="244"/>
        <v>2.176761297</v>
      </c>
      <c r="AE356" s="212"/>
      <c r="AF356" s="212" t="str">
        <f t="shared" si="94"/>
        <v>#REF!</v>
      </c>
      <c r="AG356" s="210" t="str">
        <f t="shared" si="95"/>
        <v>#REF!</v>
      </c>
      <c r="AH356" s="120" t="str">
        <f t="shared" si="96"/>
        <v>#REF!</v>
      </c>
      <c r="AI356" s="121">
        <f t="shared" si="497"/>
        <v>0.1</v>
      </c>
      <c r="AJ356" s="121">
        <v>0.1</v>
      </c>
      <c r="AK356" s="122">
        <v>0.33</v>
      </c>
      <c r="AL356" s="123">
        <f t="shared" si="11"/>
        <v>0.6680480422</v>
      </c>
      <c r="AM356" s="122" t="s">
        <v>10</v>
      </c>
      <c r="AN356" s="125">
        <f t="shared" ref="AN356:AN361" si="563">AC356</f>
        <v>2.024388007</v>
      </c>
      <c r="AO356" s="112">
        <f t="shared" ref="AO356:AO361" si="564">1-(BD356/AN356)</f>
        <v>0.33</v>
      </c>
      <c r="AP356" s="127"/>
      <c r="AQ356" s="128">
        <f t="shared" ref="AQ356:AR356" si="560">BC356/(1-AI356)</f>
        <v>1.673944687</v>
      </c>
      <c r="AR356" s="139">
        <f t="shared" si="560"/>
        <v>1.507044405</v>
      </c>
      <c r="AS356" s="126">
        <f t="shared" ref="AS356:AS361" si="566">1-(AQ356/AA356)</f>
        <v>0.35</v>
      </c>
      <c r="AT356" s="126">
        <f t="shared" ref="AT356:AT361" si="567">1-(AR356/AC356)</f>
        <v>0.2555555556</v>
      </c>
      <c r="AU356" s="129"/>
      <c r="AV356" s="39" t="s">
        <v>1275</v>
      </c>
      <c r="AW356" s="130"/>
      <c r="AX356" s="140"/>
      <c r="AY356" s="140"/>
      <c r="AZ356" s="130"/>
      <c r="BA356" s="130">
        <v>10.35</v>
      </c>
      <c r="BB356" s="130">
        <f t="shared" ref="BB356:BB361" si="568">AZ356+BA356</f>
        <v>10.35</v>
      </c>
      <c r="BC356" s="131">
        <f t="shared" ref="BC356:BC361" si="569">(AZ356+BA356)/$F$5</f>
        <v>1.506550218</v>
      </c>
      <c r="BD356" s="132">
        <f t="shared" ref="BD356:BD361" si="570">(BC356/$F$6)+(($F$9+$G$9)/40/S356)+BC356*V356</f>
        <v>1.356339964</v>
      </c>
      <c r="BE356" s="39"/>
      <c r="BF356" s="134">
        <v>8.5447E9</v>
      </c>
      <c r="BG356" s="49"/>
      <c r="BH356" s="212">
        <f t="shared" ref="BH356:BH432" si="571">AC356/0.3</f>
        <v>6.747960022</v>
      </c>
      <c r="BI356" s="212">
        <f t="shared" si="492"/>
        <v>4.048776013</v>
      </c>
      <c r="BJ356" s="212">
        <f t="shared" ref="BJ356:BJ432" si="572">BH356*0.5</f>
        <v>3.373980011</v>
      </c>
      <c r="BK356" s="212">
        <f t="shared" ref="BK356:BK432" si="573">BH356*0.4</f>
        <v>2.699184009</v>
      </c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</row>
    <row r="357" ht="14.25" customHeight="1">
      <c r="A357" s="103" t="s">
        <v>84</v>
      </c>
      <c r="B357" s="103" t="s">
        <v>120</v>
      </c>
      <c r="C357" s="103" t="s">
        <v>120</v>
      </c>
      <c r="D357" s="103" t="s">
        <v>1266</v>
      </c>
      <c r="E357" s="103" t="s">
        <v>1317</v>
      </c>
      <c r="F357" s="104" t="s">
        <v>1367</v>
      </c>
      <c r="G357" s="110" t="s">
        <v>1395</v>
      </c>
      <c r="H357" s="110"/>
      <c r="I357" s="107"/>
      <c r="J357" s="220" t="s">
        <v>1442</v>
      </c>
      <c r="K357" s="220" t="str">
        <f>_xlfn.XLOOKUP(J357,[1]Sheet1!$A:$A,[1]Sheet1!$B:$B,"")</f>
        <v>#ERROR!</v>
      </c>
      <c r="L357" s="103" t="s">
        <v>1443</v>
      </c>
      <c r="M357" s="103" t="s">
        <v>1444</v>
      </c>
      <c r="N357" s="110"/>
      <c r="O357" s="104" t="s">
        <v>95</v>
      </c>
      <c r="P357" s="110"/>
      <c r="Q357" s="104" t="s">
        <v>1323</v>
      </c>
      <c r="R357" s="110" t="s">
        <v>1324</v>
      </c>
      <c r="S357" s="110">
        <v>1920.0</v>
      </c>
      <c r="T357" s="110" t="s">
        <v>1445</v>
      </c>
      <c r="U357" s="110">
        <v>8.5447E9</v>
      </c>
      <c r="V357" s="112">
        <v>0.0</v>
      </c>
      <c r="W357" s="113">
        <v>30.0</v>
      </c>
      <c r="X357" s="110">
        <v>45.0</v>
      </c>
      <c r="Y357" s="110">
        <v>55.0</v>
      </c>
      <c r="Z357" s="110" t="s">
        <v>99</v>
      </c>
      <c r="AA357" s="114">
        <f t="shared" si="561"/>
        <v>2.970925242</v>
      </c>
      <c r="AB357" s="115"/>
      <c r="AC357" s="212">
        <f t="shared" si="562"/>
        <v>2.333403114</v>
      </c>
      <c r="AD357" s="213">
        <f t="shared" si="244"/>
        <v>2.509035607</v>
      </c>
      <c r="AE357" s="212"/>
      <c r="AF357" s="212" t="str">
        <f t="shared" si="94"/>
        <v>#REF!</v>
      </c>
      <c r="AG357" s="210" t="str">
        <f t="shared" si="95"/>
        <v>#REF!</v>
      </c>
      <c r="AH357" s="120" t="str">
        <f t="shared" si="96"/>
        <v>#REF!</v>
      </c>
      <c r="AI357" s="121">
        <f t="shared" si="497"/>
        <v>0.1</v>
      </c>
      <c r="AJ357" s="121">
        <v>0.1</v>
      </c>
      <c r="AK357" s="122">
        <v>0.33</v>
      </c>
      <c r="AL357" s="123">
        <f t="shared" si="11"/>
        <v>0.7700230278</v>
      </c>
      <c r="AM357" s="122" t="s">
        <v>10</v>
      </c>
      <c r="AN357" s="125">
        <f t="shared" si="563"/>
        <v>2.333403114</v>
      </c>
      <c r="AO357" s="112">
        <f t="shared" si="564"/>
        <v>0.33</v>
      </c>
      <c r="AP357" s="127"/>
      <c r="AQ357" s="128">
        <f t="shared" ref="AQ357:AR357" si="565">BC357/(1-AI357)</f>
        <v>1.931101407</v>
      </c>
      <c r="AR357" s="139">
        <f t="shared" si="565"/>
        <v>1.737088985</v>
      </c>
      <c r="AS357" s="126">
        <f t="shared" si="566"/>
        <v>0.35</v>
      </c>
      <c r="AT357" s="126">
        <f t="shared" si="567"/>
        <v>0.2555555556</v>
      </c>
      <c r="AU357" s="129"/>
      <c r="AV357" s="39" t="s">
        <v>1275</v>
      </c>
      <c r="AW357" s="130"/>
      <c r="AX357" s="140"/>
      <c r="AY357" s="140"/>
      <c r="AZ357" s="130"/>
      <c r="BA357" s="130">
        <v>11.94</v>
      </c>
      <c r="BB357" s="130">
        <f t="shared" si="568"/>
        <v>11.94</v>
      </c>
      <c r="BC357" s="131">
        <f t="shared" si="569"/>
        <v>1.737991266</v>
      </c>
      <c r="BD357" s="132">
        <f t="shared" si="570"/>
        <v>1.563380087</v>
      </c>
      <c r="BE357" s="39"/>
      <c r="BF357" s="134">
        <v>8.5447E9</v>
      </c>
      <c r="BG357" s="49"/>
      <c r="BH357" s="212">
        <f t="shared" si="571"/>
        <v>7.778010382</v>
      </c>
      <c r="BI357" s="212">
        <f t="shared" si="492"/>
        <v>4.666806229</v>
      </c>
      <c r="BJ357" s="212">
        <f t="shared" si="572"/>
        <v>3.889005191</v>
      </c>
      <c r="BK357" s="212">
        <f t="shared" si="573"/>
        <v>3.111204153</v>
      </c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</row>
    <row r="358" ht="14.25" customHeight="1">
      <c r="A358" s="103" t="s">
        <v>84</v>
      </c>
      <c r="B358" s="103" t="s">
        <v>120</v>
      </c>
      <c r="C358" s="103" t="s">
        <v>120</v>
      </c>
      <c r="D358" s="103" t="s">
        <v>1266</v>
      </c>
      <c r="E358" s="103" t="s">
        <v>1317</v>
      </c>
      <c r="F358" s="104" t="s">
        <v>1367</v>
      </c>
      <c r="G358" s="110" t="s">
        <v>1395</v>
      </c>
      <c r="H358" s="110"/>
      <c r="I358" s="107"/>
      <c r="J358" s="220" t="s">
        <v>1446</v>
      </c>
      <c r="K358" s="220" t="str">
        <f>_xlfn.XLOOKUP(J358,[1]Sheet1!$A:$A,[1]Sheet1!$B:$B,"")</f>
        <v>#ERROR!</v>
      </c>
      <c r="L358" s="103" t="s">
        <v>1447</v>
      </c>
      <c r="M358" s="103" t="s">
        <v>1448</v>
      </c>
      <c r="N358" s="110"/>
      <c r="O358" s="104" t="s">
        <v>95</v>
      </c>
      <c r="P358" s="110"/>
      <c r="Q358" s="104" t="s">
        <v>1323</v>
      </c>
      <c r="R358" s="110" t="s">
        <v>1324</v>
      </c>
      <c r="S358" s="110">
        <v>1920.0</v>
      </c>
      <c r="T358" s="110" t="s">
        <v>1449</v>
      </c>
      <c r="U358" s="110">
        <v>8.5447E9</v>
      </c>
      <c r="V358" s="112">
        <v>0.0</v>
      </c>
      <c r="W358" s="113">
        <v>30.0</v>
      </c>
      <c r="X358" s="110">
        <v>45.0</v>
      </c>
      <c r="Y358" s="110">
        <v>55.0</v>
      </c>
      <c r="Z358" s="110" t="s">
        <v>99</v>
      </c>
      <c r="AA358" s="114">
        <f t="shared" si="561"/>
        <v>3.381480237</v>
      </c>
      <c r="AB358" s="115"/>
      <c r="AC358" s="212">
        <f t="shared" si="562"/>
        <v>2.645115863</v>
      </c>
      <c r="AD358" s="213">
        <f t="shared" si="244"/>
        <v>2.844210605</v>
      </c>
      <c r="AE358" s="212"/>
      <c r="AF358" s="212" t="str">
        <f t="shared" si="94"/>
        <v>#REF!</v>
      </c>
      <c r="AG358" s="210" t="str">
        <f t="shared" si="95"/>
        <v>#REF!</v>
      </c>
      <c r="AH358" s="120" t="str">
        <f t="shared" si="96"/>
        <v>#REF!</v>
      </c>
      <c r="AI358" s="121">
        <f t="shared" si="497"/>
        <v>0.1</v>
      </c>
      <c r="AJ358" s="121">
        <v>0.1</v>
      </c>
      <c r="AK358" s="122">
        <v>0.33</v>
      </c>
      <c r="AL358" s="123">
        <f t="shared" si="11"/>
        <v>0.8728882347</v>
      </c>
      <c r="AM358" s="122" t="s">
        <v>10</v>
      </c>
      <c r="AN358" s="125">
        <f t="shared" si="563"/>
        <v>2.645115863</v>
      </c>
      <c r="AO358" s="112">
        <f t="shared" si="564"/>
        <v>0.33</v>
      </c>
      <c r="AP358" s="127"/>
      <c r="AQ358" s="128">
        <f t="shared" ref="AQ358:AR358" si="574">BC358/(1-AI358)</f>
        <v>2.197962154</v>
      </c>
      <c r="AR358" s="139">
        <f t="shared" si="574"/>
        <v>1.969141809</v>
      </c>
      <c r="AS358" s="126">
        <f t="shared" si="566"/>
        <v>0.35</v>
      </c>
      <c r="AT358" s="126">
        <f t="shared" si="567"/>
        <v>0.2555555556</v>
      </c>
      <c r="AU358" s="129"/>
      <c r="AV358" s="39" t="s">
        <v>1275</v>
      </c>
      <c r="AW358" s="130"/>
      <c r="AX358" s="140"/>
      <c r="AY358" s="140"/>
      <c r="AZ358" s="130"/>
      <c r="BA358" s="130">
        <v>13.59</v>
      </c>
      <c r="BB358" s="130">
        <f t="shared" si="568"/>
        <v>13.59</v>
      </c>
      <c r="BC358" s="131">
        <f t="shared" si="569"/>
        <v>1.978165939</v>
      </c>
      <c r="BD358" s="132">
        <f t="shared" si="570"/>
        <v>1.772227628</v>
      </c>
      <c r="BE358" s="39"/>
      <c r="BF358" s="134">
        <v>8.5447E9</v>
      </c>
      <c r="BG358" s="49"/>
      <c r="BH358" s="212">
        <f t="shared" si="571"/>
        <v>8.817052876</v>
      </c>
      <c r="BI358" s="212">
        <f t="shared" si="492"/>
        <v>5.290231725</v>
      </c>
      <c r="BJ358" s="212">
        <f t="shared" si="572"/>
        <v>4.408526438</v>
      </c>
      <c r="BK358" s="212">
        <f t="shared" si="573"/>
        <v>3.52682115</v>
      </c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</row>
    <row r="359" ht="14.25" customHeight="1">
      <c r="A359" s="103" t="s">
        <v>84</v>
      </c>
      <c r="B359" s="103" t="s">
        <v>120</v>
      </c>
      <c r="C359" s="103" t="s">
        <v>120</v>
      </c>
      <c r="D359" s="103" t="s">
        <v>1266</v>
      </c>
      <c r="E359" s="103" t="s">
        <v>1317</v>
      </c>
      <c r="F359" s="104" t="s">
        <v>1367</v>
      </c>
      <c r="G359" s="110" t="s">
        <v>1395</v>
      </c>
      <c r="H359" s="110"/>
      <c r="I359" s="107"/>
      <c r="J359" s="220" t="s">
        <v>1450</v>
      </c>
      <c r="K359" s="220" t="str">
        <f>_xlfn.XLOOKUP(J359,[1]Sheet1!$A:$A,[1]Sheet1!$B:$B,"")</f>
        <v>#ERROR!</v>
      </c>
      <c r="L359" s="103" t="s">
        <v>1451</v>
      </c>
      <c r="M359" s="103" t="s">
        <v>1452</v>
      </c>
      <c r="N359" s="110"/>
      <c r="O359" s="104" t="s">
        <v>95</v>
      </c>
      <c r="P359" s="110"/>
      <c r="Q359" s="104" t="s">
        <v>1323</v>
      </c>
      <c r="R359" s="110" t="s">
        <v>1324</v>
      </c>
      <c r="S359" s="110">
        <v>1440.0</v>
      </c>
      <c r="T359" s="110" t="s">
        <v>1453</v>
      </c>
      <c r="U359" s="110">
        <v>8.5447E9</v>
      </c>
      <c r="V359" s="112">
        <v>0.0</v>
      </c>
      <c r="W359" s="113">
        <v>30.0</v>
      </c>
      <c r="X359" s="110">
        <v>45.0</v>
      </c>
      <c r="Y359" s="110">
        <v>55.0</v>
      </c>
      <c r="Z359" s="110" t="s">
        <v>99</v>
      </c>
      <c r="AA359" s="114">
        <f t="shared" si="561"/>
        <v>4.190149168</v>
      </c>
      <c r="AB359" s="115"/>
      <c r="AC359" s="212">
        <f t="shared" si="562"/>
        <v>3.285007624</v>
      </c>
      <c r="AD359" s="213">
        <f t="shared" si="244"/>
        <v>3.532266263</v>
      </c>
      <c r="AE359" s="212"/>
      <c r="AF359" s="212" t="str">
        <f t="shared" si="94"/>
        <v>#REF!</v>
      </c>
      <c r="AG359" s="210" t="str">
        <f t="shared" si="95"/>
        <v>#REF!</v>
      </c>
      <c r="AH359" s="120" t="str">
        <f t="shared" si="96"/>
        <v>#REF!</v>
      </c>
      <c r="AI359" s="121">
        <f t="shared" si="497"/>
        <v>0.1</v>
      </c>
      <c r="AJ359" s="121">
        <v>0.1</v>
      </c>
      <c r="AK359" s="122">
        <v>0.33</v>
      </c>
      <c r="AL359" s="123">
        <f t="shared" si="11"/>
        <v>1.084052516</v>
      </c>
      <c r="AM359" s="122" t="s">
        <v>10</v>
      </c>
      <c r="AN359" s="125">
        <f t="shared" si="563"/>
        <v>3.285007624</v>
      </c>
      <c r="AO359" s="112">
        <f t="shared" si="564"/>
        <v>0.33</v>
      </c>
      <c r="AP359" s="127"/>
      <c r="AQ359" s="128">
        <f t="shared" ref="AQ359:AR359" si="575">BC359/(1-AI359)</f>
        <v>2.723596959</v>
      </c>
      <c r="AR359" s="139">
        <f t="shared" si="575"/>
        <v>2.445505676</v>
      </c>
      <c r="AS359" s="126">
        <f t="shared" si="566"/>
        <v>0.35</v>
      </c>
      <c r="AT359" s="126">
        <f t="shared" si="567"/>
        <v>0.2555555556</v>
      </c>
      <c r="AU359" s="129"/>
      <c r="AV359" s="39" t="s">
        <v>1275</v>
      </c>
      <c r="AW359" s="130"/>
      <c r="AX359" s="140"/>
      <c r="AY359" s="140"/>
      <c r="AZ359" s="130"/>
      <c r="BA359" s="130">
        <v>16.84</v>
      </c>
      <c r="BB359" s="130">
        <f t="shared" si="568"/>
        <v>16.84</v>
      </c>
      <c r="BC359" s="131">
        <f t="shared" si="569"/>
        <v>2.451237263</v>
      </c>
      <c r="BD359" s="132">
        <f t="shared" si="570"/>
        <v>2.200955108</v>
      </c>
      <c r="BE359" s="39"/>
      <c r="BF359" s="134">
        <v>8.5447E9</v>
      </c>
      <c r="BG359" s="49"/>
      <c r="BH359" s="212">
        <f t="shared" si="571"/>
        <v>10.95002541</v>
      </c>
      <c r="BI359" s="212">
        <f t="shared" si="492"/>
        <v>6.570015249</v>
      </c>
      <c r="BJ359" s="212">
        <f t="shared" si="572"/>
        <v>5.475012707</v>
      </c>
      <c r="BK359" s="212">
        <f t="shared" si="573"/>
        <v>4.380010166</v>
      </c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</row>
    <row r="360" ht="14.25" customHeight="1">
      <c r="A360" s="103" t="s">
        <v>84</v>
      </c>
      <c r="B360" s="103" t="s">
        <v>120</v>
      </c>
      <c r="C360" s="103" t="s">
        <v>120</v>
      </c>
      <c r="D360" s="103" t="s">
        <v>1266</v>
      </c>
      <c r="E360" s="103" t="s">
        <v>1317</v>
      </c>
      <c r="F360" s="104" t="s">
        <v>1367</v>
      </c>
      <c r="G360" s="110" t="s">
        <v>1395</v>
      </c>
      <c r="H360" s="110"/>
      <c r="I360" s="107"/>
      <c r="J360" s="220" t="s">
        <v>1454</v>
      </c>
      <c r="K360" s="220" t="s">
        <v>1455</v>
      </c>
      <c r="L360" s="103" t="s">
        <v>1456</v>
      </c>
      <c r="M360" s="103" t="s">
        <v>1457</v>
      </c>
      <c r="N360" s="110"/>
      <c r="O360" s="104" t="s">
        <v>95</v>
      </c>
      <c r="P360" s="110"/>
      <c r="Q360" s="104" t="s">
        <v>1323</v>
      </c>
      <c r="R360" s="110" t="s">
        <v>1324</v>
      </c>
      <c r="S360" s="110">
        <v>720.0</v>
      </c>
      <c r="T360" s="110" t="e">
        <v>#N/A</v>
      </c>
      <c r="U360" s="110">
        <v>8.5447E9</v>
      </c>
      <c r="V360" s="112">
        <v>0.0</v>
      </c>
      <c r="W360" s="113">
        <v>30.0</v>
      </c>
      <c r="X360" s="110">
        <v>45.0</v>
      </c>
      <c r="Y360" s="110">
        <v>55.0</v>
      </c>
      <c r="Z360" s="110" t="s">
        <v>99</v>
      </c>
      <c r="AA360" s="114">
        <f t="shared" si="561"/>
        <v>6.339964419</v>
      </c>
      <c r="AB360" s="115"/>
      <c r="AC360" s="212">
        <f t="shared" si="562"/>
        <v>5.020897349</v>
      </c>
      <c r="AD360" s="213">
        <f t="shared" si="244"/>
        <v>5.398814353</v>
      </c>
      <c r="AE360" s="212"/>
      <c r="AF360" s="212" t="str">
        <f t="shared" si="94"/>
        <v>#REF!</v>
      </c>
      <c r="AG360" s="210" t="str">
        <f t="shared" si="95"/>
        <v>#REF!</v>
      </c>
      <c r="AH360" s="120" t="str">
        <f t="shared" si="96"/>
        <v>#REF!</v>
      </c>
      <c r="AI360" s="121">
        <f t="shared" si="497"/>
        <v>0.1</v>
      </c>
      <c r="AJ360" s="121">
        <v>0.1</v>
      </c>
      <c r="AK360" s="122">
        <v>0.33</v>
      </c>
      <c r="AL360" s="123">
        <f t="shared" si="11"/>
        <v>1.656896125</v>
      </c>
      <c r="AM360" s="122" t="s">
        <v>10</v>
      </c>
      <c r="AN360" s="125">
        <f t="shared" si="563"/>
        <v>5.020897349</v>
      </c>
      <c r="AO360" s="112">
        <f t="shared" si="564"/>
        <v>0.33</v>
      </c>
      <c r="AP360" s="127"/>
      <c r="AQ360" s="128">
        <f t="shared" ref="AQ360:AR360" si="576">BC360/(1-AI360)</f>
        <v>4.120976872</v>
      </c>
      <c r="AR360" s="139">
        <f t="shared" si="576"/>
        <v>3.737779137</v>
      </c>
      <c r="AS360" s="126">
        <f t="shared" si="566"/>
        <v>0.35</v>
      </c>
      <c r="AT360" s="126">
        <f t="shared" si="567"/>
        <v>0.2555555556</v>
      </c>
      <c r="AU360" s="129"/>
      <c r="AV360" s="39" t="s">
        <v>1275</v>
      </c>
      <c r="AW360" s="130"/>
      <c r="AX360" s="140"/>
      <c r="AY360" s="140"/>
      <c r="AZ360" s="130"/>
      <c r="BA360" s="130">
        <v>25.48</v>
      </c>
      <c r="BB360" s="130">
        <f t="shared" si="568"/>
        <v>25.48</v>
      </c>
      <c r="BC360" s="131">
        <f t="shared" si="569"/>
        <v>3.708879185</v>
      </c>
      <c r="BD360" s="132">
        <f t="shared" si="570"/>
        <v>3.364001224</v>
      </c>
      <c r="BE360" s="39"/>
      <c r="BF360" s="134">
        <v>8.5447E9</v>
      </c>
      <c r="BG360" s="49"/>
      <c r="BH360" s="224">
        <f t="shared" si="571"/>
        <v>16.7363245</v>
      </c>
      <c r="BI360" s="224">
        <f t="shared" si="492"/>
        <v>10.0417947</v>
      </c>
      <c r="BJ360" s="224">
        <f t="shared" si="572"/>
        <v>8.368162248</v>
      </c>
      <c r="BK360" s="224">
        <f t="shared" si="573"/>
        <v>6.694529798</v>
      </c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</row>
    <row r="361" ht="14.25" customHeight="1">
      <c r="A361" s="103" t="s">
        <v>84</v>
      </c>
      <c r="B361" s="103" t="s">
        <v>120</v>
      </c>
      <c r="C361" s="103" t="s">
        <v>120</v>
      </c>
      <c r="D361" s="103" t="s">
        <v>1266</v>
      </c>
      <c r="E361" s="103" t="s">
        <v>1317</v>
      </c>
      <c r="F361" s="104" t="s">
        <v>1367</v>
      </c>
      <c r="G361" s="110" t="s">
        <v>1395</v>
      </c>
      <c r="H361" s="110"/>
      <c r="I361" s="107"/>
      <c r="J361" s="220" t="s">
        <v>1458</v>
      </c>
      <c r="K361" s="220" t="s">
        <v>1459</v>
      </c>
      <c r="L361" s="103" t="s">
        <v>1460</v>
      </c>
      <c r="M361" s="103" t="s">
        <v>1461</v>
      </c>
      <c r="N361" s="110"/>
      <c r="O361" s="104" t="s">
        <v>95</v>
      </c>
      <c r="P361" s="110"/>
      <c r="Q361" s="104" t="s">
        <v>1323</v>
      </c>
      <c r="R361" s="110" t="s">
        <v>1324</v>
      </c>
      <c r="S361" s="110">
        <v>480.0</v>
      </c>
      <c r="T361" s="110" t="e">
        <v>#N/A</v>
      </c>
      <c r="U361" s="110">
        <v>8.5447E9</v>
      </c>
      <c r="V361" s="112">
        <v>0.0</v>
      </c>
      <c r="W361" s="113">
        <v>30.0</v>
      </c>
      <c r="X361" s="110">
        <v>45.0</v>
      </c>
      <c r="Y361" s="110">
        <v>55.0</v>
      </c>
      <c r="Z361" s="110" t="s">
        <v>99</v>
      </c>
      <c r="AA361" s="114">
        <f t="shared" si="561"/>
        <v>8.454944699</v>
      </c>
      <c r="AB361" s="115"/>
      <c r="AC361" s="212">
        <f t="shared" si="562"/>
        <v>6.730338718</v>
      </c>
      <c r="AD361" s="213">
        <f t="shared" si="244"/>
        <v>7.236923353</v>
      </c>
      <c r="AE361" s="212"/>
      <c r="AF361" s="212" t="str">
        <f t="shared" si="94"/>
        <v>#REF!</v>
      </c>
      <c r="AG361" s="210" t="str">
        <f t="shared" si="95"/>
        <v>#REF!</v>
      </c>
      <c r="AH361" s="120" t="str">
        <f t="shared" si="96"/>
        <v>#REF!</v>
      </c>
      <c r="AI361" s="121">
        <f t="shared" si="497"/>
        <v>0.1</v>
      </c>
      <c r="AJ361" s="121">
        <v>0.1</v>
      </c>
      <c r="AK361" s="122">
        <v>0.33</v>
      </c>
      <c r="AL361" s="123">
        <f t="shared" si="11"/>
        <v>2.221011777</v>
      </c>
      <c r="AM361" s="122" t="s">
        <v>10</v>
      </c>
      <c r="AN361" s="125">
        <f t="shared" si="563"/>
        <v>6.730338718</v>
      </c>
      <c r="AO361" s="112">
        <f t="shared" si="564"/>
        <v>0.33</v>
      </c>
      <c r="AP361" s="127"/>
      <c r="AQ361" s="128">
        <f t="shared" ref="AQ361:AR361" si="577">BC361/(1-AI361)</f>
        <v>5.495714055</v>
      </c>
      <c r="AR361" s="139">
        <f t="shared" si="577"/>
        <v>5.010363268</v>
      </c>
      <c r="AS361" s="126">
        <f t="shared" si="566"/>
        <v>0.35</v>
      </c>
      <c r="AT361" s="126">
        <f t="shared" si="567"/>
        <v>0.2555555556</v>
      </c>
      <c r="AU361" s="129"/>
      <c r="AV361" s="39" t="s">
        <v>1275</v>
      </c>
      <c r="AW361" s="130"/>
      <c r="AX361" s="140"/>
      <c r="AY361" s="140"/>
      <c r="AZ361" s="130"/>
      <c r="BA361" s="130">
        <v>33.98</v>
      </c>
      <c r="BB361" s="130">
        <f t="shared" si="568"/>
        <v>33.98</v>
      </c>
      <c r="BC361" s="131">
        <f t="shared" si="569"/>
        <v>4.946142649</v>
      </c>
      <c r="BD361" s="132">
        <f t="shared" si="570"/>
        <v>4.509326941</v>
      </c>
      <c r="BE361" s="39"/>
      <c r="BF361" s="134">
        <v>8.5447E9</v>
      </c>
      <c r="BG361" s="49"/>
      <c r="BH361" s="224">
        <f t="shared" si="571"/>
        <v>22.43446239</v>
      </c>
      <c r="BI361" s="224">
        <f t="shared" si="492"/>
        <v>13.46067744</v>
      </c>
      <c r="BJ361" s="224">
        <f t="shared" si="572"/>
        <v>11.2172312</v>
      </c>
      <c r="BK361" s="224">
        <f t="shared" si="573"/>
        <v>8.973784958</v>
      </c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</row>
    <row r="362" ht="14.25" customHeight="1">
      <c r="A362" s="103" t="s">
        <v>84</v>
      </c>
      <c r="B362" s="103" t="s">
        <v>120</v>
      </c>
      <c r="C362" s="103" t="s">
        <v>120</v>
      </c>
      <c r="D362" s="103" t="s">
        <v>1266</v>
      </c>
      <c r="E362" s="103" t="s">
        <v>1317</v>
      </c>
      <c r="F362" s="104" t="s">
        <v>1367</v>
      </c>
      <c r="G362" s="110" t="s">
        <v>1395</v>
      </c>
      <c r="H362" s="110"/>
      <c r="I362" s="107"/>
      <c r="J362" s="220" t="s">
        <v>1462</v>
      </c>
      <c r="K362" s="220" t="s">
        <v>1435</v>
      </c>
      <c r="L362" s="103" t="s">
        <v>1463</v>
      </c>
      <c r="M362" s="103" t="s">
        <v>1464</v>
      </c>
      <c r="N362" s="110"/>
      <c r="O362" s="104" t="s">
        <v>95</v>
      </c>
      <c r="P362" s="110"/>
      <c r="Q362" s="104" t="s">
        <v>1323</v>
      </c>
      <c r="R362" s="110" t="s">
        <v>1324</v>
      </c>
      <c r="S362" s="110"/>
      <c r="T362" s="110"/>
      <c r="U362" s="110">
        <v>8.5447E9</v>
      </c>
      <c r="V362" s="112">
        <v>0.0</v>
      </c>
      <c r="W362" s="113">
        <v>30.0</v>
      </c>
      <c r="X362" s="110">
        <v>45.0</v>
      </c>
      <c r="Y362" s="110">
        <v>55.0</v>
      </c>
      <c r="Z362" s="110" t="s">
        <v>99</v>
      </c>
      <c r="AA362" s="114">
        <f t="shared" si="561"/>
        <v>0</v>
      </c>
      <c r="AB362" s="115"/>
      <c r="AC362" s="212"/>
      <c r="AD362" s="213">
        <f t="shared" si="244"/>
        <v>0</v>
      </c>
      <c r="AE362" s="212"/>
      <c r="AF362" s="212" t="str">
        <f t="shared" si="94"/>
        <v>#REF!</v>
      </c>
      <c r="AG362" s="210" t="str">
        <f t="shared" si="95"/>
        <v>#REF!</v>
      </c>
      <c r="AH362" s="120" t="str">
        <f t="shared" si="96"/>
        <v>#REF!</v>
      </c>
      <c r="AI362" s="121">
        <f t="shared" si="497"/>
        <v>0.1</v>
      </c>
      <c r="AJ362" s="121">
        <v>0.1</v>
      </c>
      <c r="AK362" s="122">
        <v>0.33</v>
      </c>
      <c r="AL362" s="123">
        <f t="shared" si="11"/>
        <v>0</v>
      </c>
      <c r="AM362" s="122" t="s">
        <v>10</v>
      </c>
      <c r="AN362" s="125"/>
      <c r="AO362" s="112"/>
      <c r="AP362" s="127"/>
      <c r="AQ362" s="128"/>
      <c r="AR362" s="139"/>
      <c r="AS362" s="126"/>
      <c r="AT362" s="126"/>
      <c r="AU362" s="129"/>
      <c r="AV362" s="39" t="s">
        <v>1275</v>
      </c>
      <c r="AW362" s="130"/>
      <c r="AX362" s="140"/>
      <c r="AY362" s="140"/>
      <c r="AZ362" s="130"/>
      <c r="BA362" s="130"/>
      <c r="BB362" s="130">
        <v>50.98</v>
      </c>
      <c r="BC362" s="131"/>
      <c r="BD362" s="132"/>
      <c r="BE362" s="39"/>
      <c r="BF362" s="134">
        <v>8.5447E9</v>
      </c>
      <c r="BG362" s="49"/>
      <c r="BH362" s="224">
        <f t="shared" si="571"/>
        <v>0</v>
      </c>
      <c r="BI362" s="224">
        <f t="shared" si="492"/>
        <v>0</v>
      </c>
      <c r="BJ362" s="224">
        <f t="shared" si="572"/>
        <v>0</v>
      </c>
      <c r="BK362" s="224">
        <f t="shared" si="573"/>
        <v>0</v>
      </c>
      <c r="BL362" s="49"/>
      <c r="BM362" s="49"/>
      <c r="BN362" s="49"/>
      <c r="BO362" s="49"/>
      <c r="BP362" s="49"/>
      <c r="BQ362" s="49"/>
      <c r="BR362" s="49"/>
      <c r="BS362" s="49"/>
      <c r="BT362" s="49"/>
      <c r="BU362" s="49"/>
      <c r="BV362" s="49"/>
      <c r="BW362" s="49"/>
      <c r="BX362" s="49"/>
      <c r="BY362" s="49"/>
      <c r="BZ362" s="49"/>
      <c r="CA362" s="49"/>
      <c r="CB362" s="49"/>
      <c r="CC362" s="49"/>
      <c r="CD362" s="49"/>
      <c r="CE362" s="49"/>
      <c r="CF362" s="49"/>
    </row>
    <row r="363" ht="14.25" customHeight="1">
      <c r="A363" s="103" t="s">
        <v>84</v>
      </c>
      <c r="B363" s="103" t="s">
        <v>120</v>
      </c>
      <c r="C363" s="103" t="s">
        <v>120</v>
      </c>
      <c r="D363" s="103" t="s">
        <v>1266</v>
      </c>
      <c r="E363" s="103" t="s">
        <v>1317</v>
      </c>
      <c r="F363" s="104" t="s">
        <v>1318</v>
      </c>
      <c r="G363" s="110" t="s">
        <v>1465</v>
      </c>
      <c r="H363" s="110"/>
      <c r="I363" s="107"/>
      <c r="J363" s="220" t="s">
        <v>1466</v>
      </c>
      <c r="K363" s="220" t="str">
        <f>_xlfn.XLOOKUP(J363,[1]Sheet1!$A:$A,[1]Sheet1!$B:$B,"")</f>
        <v>#ERROR!</v>
      </c>
      <c r="L363" s="103" t="s">
        <v>1467</v>
      </c>
      <c r="M363" s="103" t="s">
        <v>1468</v>
      </c>
      <c r="N363" s="110"/>
      <c r="O363" s="104" t="s">
        <v>95</v>
      </c>
      <c r="P363" s="110"/>
      <c r="Q363" s="104" t="s">
        <v>1323</v>
      </c>
      <c r="R363" s="110" t="s">
        <v>1324</v>
      </c>
      <c r="S363" s="110">
        <v>2160.0</v>
      </c>
      <c r="T363" s="110" t="e">
        <v>#N/A</v>
      </c>
      <c r="U363" s="110">
        <v>8.5447E9</v>
      </c>
      <c r="V363" s="112">
        <v>0.0</v>
      </c>
      <c r="W363" s="113">
        <v>30.0</v>
      </c>
      <c r="X363" s="110">
        <v>45.0</v>
      </c>
      <c r="Y363" s="110">
        <v>55.0</v>
      </c>
      <c r="Z363" s="110" t="s">
        <v>99</v>
      </c>
      <c r="AA363" s="114">
        <f t="shared" si="561"/>
        <v>2.627551973</v>
      </c>
      <c r="AB363" s="115"/>
      <c r="AC363" s="212">
        <f t="shared" ref="AC363:AC392" si="579">BD363/(1-AK363)</f>
        <v>2.064060538</v>
      </c>
      <c r="AD363" s="213">
        <f t="shared" si="244"/>
        <v>2.219419934</v>
      </c>
      <c r="AE363" s="212"/>
      <c r="AF363" s="212" t="str">
        <f t="shared" si="94"/>
        <v>#REF!</v>
      </c>
      <c r="AG363" s="210" t="str">
        <f t="shared" si="95"/>
        <v>#REF!</v>
      </c>
      <c r="AH363" s="120" t="str">
        <f t="shared" si="96"/>
        <v>#REF!</v>
      </c>
      <c r="AI363" s="121">
        <f t="shared" si="497"/>
        <v>0.1</v>
      </c>
      <c r="AJ363" s="121">
        <v>0.1</v>
      </c>
      <c r="AK363" s="122">
        <v>0.33</v>
      </c>
      <c r="AL363" s="123">
        <f t="shared" si="11"/>
        <v>0.6811399776</v>
      </c>
      <c r="AM363" s="122" t="s">
        <v>10</v>
      </c>
      <c r="AN363" s="125">
        <f t="shared" ref="AN363:AN392" si="580">AC363</f>
        <v>2.064060538</v>
      </c>
      <c r="AO363" s="112">
        <f t="shared" ref="AO363:AO392" si="581">1-(BD363/AN363)</f>
        <v>0.33</v>
      </c>
      <c r="AP363" s="127"/>
      <c r="AQ363" s="128">
        <f t="shared" ref="AQ363:AR363" si="578">BC363/(1-AI363)</f>
        <v>1.707908782</v>
      </c>
      <c r="AR363" s="139">
        <f t="shared" si="578"/>
        <v>1.536578401</v>
      </c>
      <c r="AS363" s="126">
        <f t="shared" ref="AS363:AS392" si="583">1-(AQ363/AA363)</f>
        <v>0.35</v>
      </c>
      <c r="AT363" s="126">
        <f t="shared" ref="AT363:AT392" si="584">1-(AR363/AC363)</f>
        <v>0.2555555556</v>
      </c>
      <c r="AU363" s="129"/>
      <c r="AV363" s="39" t="s">
        <v>1275</v>
      </c>
      <c r="AW363" s="130"/>
      <c r="AX363" s="140"/>
      <c r="AY363" s="140"/>
      <c r="AZ363" s="130"/>
      <c r="BA363" s="130">
        <v>10.56</v>
      </c>
      <c r="BB363" s="130">
        <f t="shared" ref="BB363:BB469" si="585">AZ363+BA363</f>
        <v>10.56</v>
      </c>
      <c r="BC363" s="131">
        <f t="shared" ref="BC363:BC399" si="586">(AZ363+BA363)/$F$5</f>
        <v>1.537117904</v>
      </c>
      <c r="BD363" s="132">
        <f t="shared" ref="BD363:BD399" si="587">(BC363/$F$6)+(($F$9+$G$9)/40/S363)+BC363*V363</f>
        <v>1.382920561</v>
      </c>
      <c r="BE363" s="39"/>
      <c r="BF363" s="134">
        <v>8.5447E9</v>
      </c>
      <c r="BG363" s="49"/>
      <c r="BH363" s="212">
        <f t="shared" si="571"/>
        <v>6.880201794</v>
      </c>
      <c r="BI363" s="212">
        <f t="shared" si="492"/>
        <v>4.128121076</v>
      </c>
      <c r="BJ363" s="212">
        <f t="shared" si="572"/>
        <v>3.440100897</v>
      </c>
      <c r="BK363" s="212">
        <f t="shared" si="573"/>
        <v>2.752080718</v>
      </c>
      <c r="BL363" s="49"/>
      <c r="BM363" s="49"/>
      <c r="BN363" s="49"/>
      <c r="BO363" s="49"/>
      <c r="BP363" s="49"/>
      <c r="BQ363" s="49"/>
      <c r="BR363" s="49"/>
      <c r="BS363" s="49"/>
      <c r="BT363" s="49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</row>
    <row r="364" ht="14.25" customHeight="1">
      <c r="A364" s="103" t="s">
        <v>84</v>
      </c>
      <c r="B364" s="103" t="s">
        <v>120</v>
      </c>
      <c r="C364" s="103" t="s">
        <v>120</v>
      </c>
      <c r="D364" s="103" t="s">
        <v>1266</v>
      </c>
      <c r="E364" s="103" t="s">
        <v>1317</v>
      </c>
      <c r="F364" s="104" t="s">
        <v>1318</v>
      </c>
      <c r="G364" s="110" t="s">
        <v>1465</v>
      </c>
      <c r="H364" s="110"/>
      <c r="I364" s="107"/>
      <c r="J364" s="220" t="s">
        <v>1469</v>
      </c>
      <c r="K364" s="220" t="str">
        <f>_xlfn.XLOOKUP(J364,[1]Sheet1!$A:$A,[1]Sheet1!$B:$B,"")</f>
        <v>#ERROR!</v>
      </c>
      <c r="L364" s="103" t="s">
        <v>1470</v>
      </c>
      <c r="M364" s="103" t="s">
        <v>1471</v>
      </c>
      <c r="N364" s="110"/>
      <c r="O364" s="104" t="s">
        <v>95</v>
      </c>
      <c r="P364" s="110"/>
      <c r="Q364" s="104" t="s">
        <v>1323</v>
      </c>
      <c r="R364" s="110" t="s">
        <v>1324</v>
      </c>
      <c r="S364" s="110">
        <v>1920.0</v>
      </c>
      <c r="T364" s="110" t="e">
        <v>#N/A</v>
      </c>
      <c r="U364" s="110">
        <v>8.5447E9</v>
      </c>
      <c r="V364" s="112">
        <v>0.0</v>
      </c>
      <c r="W364" s="113">
        <v>30.0</v>
      </c>
      <c r="X364" s="110">
        <v>45.0</v>
      </c>
      <c r="Y364" s="110">
        <v>55.0</v>
      </c>
      <c r="Z364" s="110" t="s">
        <v>99</v>
      </c>
      <c r="AA364" s="114">
        <f t="shared" si="561"/>
        <v>3.331715995</v>
      </c>
      <c r="AB364" s="115"/>
      <c r="AC364" s="212">
        <f t="shared" si="579"/>
        <v>2.607332499</v>
      </c>
      <c r="AD364" s="213">
        <f t="shared" si="244"/>
        <v>2.803583333</v>
      </c>
      <c r="AE364" s="212"/>
      <c r="AF364" s="212" t="str">
        <f t="shared" si="94"/>
        <v>#REF!</v>
      </c>
      <c r="AG364" s="210" t="str">
        <f t="shared" si="95"/>
        <v>#REF!</v>
      </c>
      <c r="AH364" s="120" t="str">
        <f t="shared" si="96"/>
        <v>#REF!</v>
      </c>
      <c r="AI364" s="121">
        <f t="shared" si="497"/>
        <v>0.1</v>
      </c>
      <c r="AJ364" s="121">
        <v>0.1</v>
      </c>
      <c r="AK364" s="122">
        <v>0.33</v>
      </c>
      <c r="AL364" s="123">
        <f t="shared" si="11"/>
        <v>0.8604197248</v>
      </c>
      <c r="AM364" s="122" t="s">
        <v>10</v>
      </c>
      <c r="AN364" s="125">
        <f t="shared" si="580"/>
        <v>2.607332499</v>
      </c>
      <c r="AO364" s="112">
        <f t="shared" si="581"/>
        <v>0.33</v>
      </c>
      <c r="AP364" s="127"/>
      <c r="AQ364" s="128">
        <f t="shared" ref="AQ364:AR364" si="582">BC364/(1-AI364)</f>
        <v>2.165615397</v>
      </c>
      <c r="AR364" s="139">
        <f t="shared" si="582"/>
        <v>1.941014194</v>
      </c>
      <c r="AS364" s="126">
        <f t="shared" si="583"/>
        <v>0.35</v>
      </c>
      <c r="AT364" s="126">
        <f t="shared" si="584"/>
        <v>0.2555555556</v>
      </c>
      <c r="AU364" s="129"/>
      <c r="AV364" s="39" t="s">
        <v>1275</v>
      </c>
      <c r="AW364" s="130"/>
      <c r="AX364" s="140"/>
      <c r="AY364" s="140"/>
      <c r="AZ364" s="130"/>
      <c r="BA364" s="130">
        <v>13.39</v>
      </c>
      <c r="BB364" s="130">
        <f t="shared" si="585"/>
        <v>13.39</v>
      </c>
      <c r="BC364" s="131">
        <f t="shared" si="586"/>
        <v>1.949053857</v>
      </c>
      <c r="BD364" s="132">
        <f t="shared" si="587"/>
        <v>1.746912775</v>
      </c>
      <c r="BE364" s="39"/>
      <c r="BF364" s="134">
        <v>8.5447E9</v>
      </c>
      <c r="BG364" s="49"/>
      <c r="BH364" s="212">
        <f t="shared" si="571"/>
        <v>8.691108331</v>
      </c>
      <c r="BI364" s="212">
        <f t="shared" si="492"/>
        <v>5.214664999</v>
      </c>
      <c r="BJ364" s="212">
        <f t="shared" si="572"/>
        <v>4.345554165</v>
      </c>
      <c r="BK364" s="212">
        <f t="shared" si="573"/>
        <v>3.476443332</v>
      </c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  <c r="CB364" s="49"/>
      <c r="CC364" s="49"/>
      <c r="CD364" s="49"/>
      <c r="CE364" s="49"/>
      <c r="CF364" s="49"/>
    </row>
    <row r="365" ht="14.25" customHeight="1">
      <c r="A365" s="103" t="s">
        <v>84</v>
      </c>
      <c r="B365" s="103" t="s">
        <v>120</v>
      </c>
      <c r="C365" s="103" t="s">
        <v>120</v>
      </c>
      <c r="D365" s="103" t="s">
        <v>1266</v>
      </c>
      <c r="E365" s="103" t="s">
        <v>1317</v>
      </c>
      <c r="F365" s="104" t="s">
        <v>1318</v>
      </c>
      <c r="G365" s="110" t="s">
        <v>1465</v>
      </c>
      <c r="H365" s="110"/>
      <c r="I365" s="107"/>
      <c r="J365" s="220" t="s">
        <v>1472</v>
      </c>
      <c r="K365" s="220" t="str">
        <f>_xlfn.XLOOKUP(J365,[1]Sheet1!$A:$A,[1]Sheet1!$B:$B,"")</f>
        <v>#ERROR!</v>
      </c>
      <c r="L365" s="103" t="s">
        <v>1473</v>
      </c>
      <c r="M365" s="103" t="s">
        <v>1474</v>
      </c>
      <c r="N365" s="110"/>
      <c r="O365" s="104" t="s">
        <v>95</v>
      </c>
      <c r="P365" s="110"/>
      <c r="Q365" s="104" t="s">
        <v>1323</v>
      </c>
      <c r="R365" s="110" t="s">
        <v>1324</v>
      </c>
      <c r="S365" s="110">
        <v>1920.0</v>
      </c>
      <c r="T365" s="110" t="e">
        <v>#N/A</v>
      </c>
      <c r="U365" s="110">
        <v>8.5447E9</v>
      </c>
      <c r="V365" s="112">
        <v>0.0</v>
      </c>
      <c r="W365" s="113">
        <v>30.0</v>
      </c>
      <c r="X365" s="110">
        <v>45.0</v>
      </c>
      <c r="Y365" s="110">
        <v>55.0</v>
      </c>
      <c r="Z365" s="110" t="s">
        <v>99</v>
      </c>
      <c r="AA365" s="114">
        <f t="shared" si="561"/>
        <v>4.035880018</v>
      </c>
      <c r="AB365" s="115"/>
      <c r="AC365" s="212">
        <f t="shared" si="579"/>
        <v>3.141967092</v>
      </c>
      <c r="AD365" s="213">
        <f t="shared" si="244"/>
        <v>3.378459238</v>
      </c>
      <c r="AE365" s="212"/>
      <c r="AF365" s="212" t="str">
        <f t="shared" si="94"/>
        <v>#REF!</v>
      </c>
      <c r="AG365" s="210" t="str">
        <f t="shared" si="95"/>
        <v>#REF!</v>
      </c>
      <c r="AH365" s="120" t="str">
        <f t="shared" si="96"/>
        <v>#REF!</v>
      </c>
      <c r="AI365" s="121">
        <f t="shared" si="497"/>
        <v>0.1</v>
      </c>
      <c r="AJ365" s="121">
        <v>0.1</v>
      </c>
      <c r="AK365" s="122">
        <v>0.33</v>
      </c>
      <c r="AL365" s="123">
        <f t="shared" si="11"/>
        <v>1.03684914</v>
      </c>
      <c r="AM365" s="122" t="s">
        <v>10</v>
      </c>
      <c r="AN365" s="125">
        <f t="shared" si="580"/>
        <v>3.141967092</v>
      </c>
      <c r="AO365" s="112">
        <f t="shared" si="581"/>
        <v>0.33</v>
      </c>
      <c r="AP365" s="127"/>
      <c r="AQ365" s="128">
        <f t="shared" ref="AQ365:AR365" si="588">BC365/(1-AI365)</f>
        <v>2.623322012</v>
      </c>
      <c r="AR365" s="139">
        <f t="shared" si="588"/>
        <v>2.339019946</v>
      </c>
      <c r="AS365" s="126">
        <f t="shared" si="583"/>
        <v>0.35</v>
      </c>
      <c r="AT365" s="126">
        <f t="shared" si="584"/>
        <v>0.2555555556</v>
      </c>
      <c r="AU365" s="129"/>
      <c r="AV365" s="39" t="s">
        <v>1275</v>
      </c>
      <c r="AW365" s="130"/>
      <c r="AX365" s="140"/>
      <c r="AY365" s="140"/>
      <c r="AZ365" s="130"/>
      <c r="BA365" s="130">
        <v>16.22</v>
      </c>
      <c r="BB365" s="130">
        <f t="shared" si="585"/>
        <v>16.22</v>
      </c>
      <c r="BC365" s="131">
        <f t="shared" si="586"/>
        <v>2.360989811</v>
      </c>
      <c r="BD365" s="132">
        <f t="shared" si="587"/>
        <v>2.105117951</v>
      </c>
      <c r="BE365" s="39"/>
      <c r="BF365" s="134">
        <v>8.5447E9</v>
      </c>
      <c r="BG365" s="49"/>
      <c r="BH365" s="212">
        <f t="shared" si="571"/>
        <v>10.47322364</v>
      </c>
      <c r="BI365" s="212">
        <f t="shared" si="492"/>
        <v>6.283934183</v>
      </c>
      <c r="BJ365" s="212">
        <f t="shared" si="572"/>
        <v>5.236611819</v>
      </c>
      <c r="BK365" s="212">
        <f t="shared" si="573"/>
        <v>4.189289456</v>
      </c>
      <c r="BL365" s="49"/>
      <c r="BM365" s="49"/>
      <c r="BN365" s="49"/>
      <c r="BO365" s="49"/>
      <c r="BP365" s="49"/>
      <c r="BQ365" s="49"/>
      <c r="BR365" s="49"/>
      <c r="BS365" s="49"/>
      <c r="BT365" s="49"/>
      <c r="BU365" s="49"/>
      <c r="BV365" s="49"/>
      <c r="BW365" s="49"/>
      <c r="BX365" s="49"/>
      <c r="BY365" s="49"/>
      <c r="BZ365" s="49"/>
      <c r="CA365" s="49"/>
      <c r="CB365" s="49"/>
      <c r="CC365" s="49"/>
      <c r="CD365" s="49"/>
      <c r="CE365" s="49"/>
      <c r="CF365" s="49"/>
    </row>
    <row r="366" ht="14.25" customHeight="1">
      <c r="A366" s="103" t="s">
        <v>84</v>
      </c>
      <c r="B366" s="103" t="s">
        <v>120</v>
      </c>
      <c r="C366" s="103" t="s">
        <v>120</v>
      </c>
      <c r="D366" s="103" t="s">
        <v>1266</v>
      </c>
      <c r="E366" s="103" t="s">
        <v>1317</v>
      </c>
      <c r="F366" s="104" t="s">
        <v>1318</v>
      </c>
      <c r="G366" s="110" t="s">
        <v>1465</v>
      </c>
      <c r="H366" s="110"/>
      <c r="I366" s="107"/>
      <c r="J366" s="220" t="s">
        <v>1475</v>
      </c>
      <c r="K366" s="220" t="str">
        <f>_xlfn.XLOOKUP(J366,[1]Sheet1!$A:$A,[1]Sheet1!$B:$B,"")</f>
        <v>#ERROR!</v>
      </c>
      <c r="L366" s="103" t="s">
        <v>1476</v>
      </c>
      <c r="M366" s="103" t="s">
        <v>1477</v>
      </c>
      <c r="N366" s="110"/>
      <c r="O366" s="104" t="s">
        <v>95</v>
      </c>
      <c r="P366" s="110"/>
      <c r="Q366" s="104" t="s">
        <v>1323</v>
      </c>
      <c r="R366" s="110" t="s">
        <v>1324</v>
      </c>
      <c r="S366" s="110">
        <v>1440.0</v>
      </c>
      <c r="T366" s="110" t="e">
        <v>#N/A</v>
      </c>
      <c r="U366" s="110">
        <v>8.5447E9</v>
      </c>
      <c r="V366" s="112">
        <v>0.0</v>
      </c>
      <c r="W366" s="113">
        <v>30.0</v>
      </c>
      <c r="X366" s="110">
        <v>45.0</v>
      </c>
      <c r="Y366" s="110">
        <v>55.0</v>
      </c>
      <c r="Z366" s="110" t="s">
        <v>99</v>
      </c>
      <c r="AA366" s="114">
        <f t="shared" si="561"/>
        <v>5.441719852</v>
      </c>
      <c r="AB366" s="115"/>
      <c r="AC366" s="212">
        <f t="shared" si="579"/>
        <v>4.235259214</v>
      </c>
      <c r="AD366" s="213">
        <f t="shared" si="244"/>
        <v>4.554042166</v>
      </c>
      <c r="AE366" s="212"/>
      <c r="AF366" s="212" t="str">
        <f t="shared" si="94"/>
        <v>#REF!</v>
      </c>
      <c r="AG366" s="210" t="str">
        <f t="shared" si="95"/>
        <v>#REF!</v>
      </c>
      <c r="AH366" s="120" t="str">
        <f t="shared" si="96"/>
        <v>#REF!</v>
      </c>
      <c r="AI366" s="121">
        <f t="shared" si="497"/>
        <v>0.1</v>
      </c>
      <c r="AJ366" s="121">
        <v>0.1</v>
      </c>
      <c r="AK366" s="122">
        <v>0.33</v>
      </c>
      <c r="AL366" s="123">
        <f t="shared" si="11"/>
        <v>1.397635541</v>
      </c>
      <c r="AM366" s="122" t="s">
        <v>10</v>
      </c>
      <c r="AN366" s="125">
        <f t="shared" si="580"/>
        <v>4.235259214</v>
      </c>
      <c r="AO366" s="112">
        <f t="shared" si="581"/>
        <v>0.33</v>
      </c>
      <c r="AP366" s="127"/>
      <c r="AQ366" s="128">
        <f t="shared" ref="AQ366:AR366" si="589">BC366/(1-AI366)</f>
        <v>3.537117904</v>
      </c>
      <c r="AR366" s="139">
        <f t="shared" si="589"/>
        <v>3.152915193</v>
      </c>
      <c r="AS366" s="126">
        <f t="shared" si="583"/>
        <v>0.35</v>
      </c>
      <c r="AT366" s="126">
        <f t="shared" si="584"/>
        <v>0.2555555556</v>
      </c>
      <c r="AU366" s="129"/>
      <c r="AV366" s="39" t="s">
        <v>1275</v>
      </c>
      <c r="AW366" s="130"/>
      <c r="AX366" s="140"/>
      <c r="AY366" s="140"/>
      <c r="AZ366" s="130"/>
      <c r="BA366" s="130">
        <v>21.87</v>
      </c>
      <c r="BB366" s="130">
        <f t="shared" si="585"/>
        <v>21.87</v>
      </c>
      <c r="BC366" s="131">
        <f t="shared" si="586"/>
        <v>3.183406114</v>
      </c>
      <c r="BD366" s="132">
        <f t="shared" si="587"/>
        <v>2.837623674</v>
      </c>
      <c r="BE366" s="39"/>
      <c r="BF366" s="134">
        <v>8.5447E9</v>
      </c>
      <c r="BG366" s="49"/>
      <c r="BH366" s="212">
        <f t="shared" si="571"/>
        <v>14.11753071</v>
      </c>
      <c r="BI366" s="212">
        <f t="shared" si="492"/>
        <v>8.470518429</v>
      </c>
      <c r="BJ366" s="212">
        <f t="shared" si="572"/>
        <v>7.058765357</v>
      </c>
      <c r="BK366" s="212">
        <f t="shared" si="573"/>
        <v>5.647012286</v>
      </c>
      <c r="BL366" s="49"/>
      <c r="BM366" s="49"/>
      <c r="BN366" s="49"/>
      <c r="BO366" s="49"/>
      <c r="BP366" s="49"/>
      <c r="BQ366" s="49"/>
      <c r="BR366" s="49"/>
      <c r="BS366" s="49"/>
      <c r="BT366" s="49"/>
      <c r="BU366" s="49"/>
      <c r="BV366" s="49"/>
      <c r="BW366" s="49"/>
      <c r="BX366" s="49"/>
      <c r="BY366" s="49"/>
      <c r="BZ366" s="49"/>
      <c r="CA366" s="49"/>
      <c r="CB366" s="49"/>
      <c r="CC366" s="49"/>
      <c r="CD366" s="49"/>
      <c r="CE366" s="49"/>
      <c r="CF366" s="49"/>
    </row>
    <row r="367" ht="14.25" customHeight="1">
      <c r="A367" s="103" t="s">
        <v>84</v>
      </c>
      <c r="B367" s="103" t="s">
        <v>120</v>
      </c>
      <c r="C367" s="103" t="s">
        <v>120</v>
      </c>
      <c r="D367" s="103" t="s">
        <v>1266</v>
      </c>
      <c r="E367" s="103" t="s">
        <v>1317</v>
      </c>
      <c r="F367" s="104" t="s">
        <v>1318</v>
      </c>
      <c r="G367" s="110" t="s">
        <v>1465</v>
      </c>
      <c r="H367" s="110"/>
      <c r="I367" s="107"/>
      <c r="J367" s="220" t="s">
        <v>1478</v>
      </c>
      <c r="K367" s="220" t="str">
        <f>_xlfn.XLOOKUP(J367,[1]Sheet1!$A:$A,[1]Sheet1!$B:$B,"")</f>
        <v>#ERROR!</v>
      </c>
      <c r="L367" s="103" t="s">
        <v>1479</v>
      </c>
      <c r="M367" s="103" t="s">
        <v>1480</v>
      </c>
      <c r="N367" s="110"/>
      <c r="O367" s="104" t="s">
        <v>95</v>
      </c>
      <c r="P367" s="110"/>
      <c r="Q367" s="104" t="s">
        <v>1323</v>
      </c>
      <c r="R367" s="110" t="s">
        <v>1324</v>
      </c>
      <c r="S367" s="110">
        <v>720.0</v>
      </c>
      <c r="T367" s="110" t="e">
        <v>#N/A</v>
      </c>
      <c r="U367" s="110">
        <v>8.5447E9</v>
      </c>
      <c r="V367" s="112">
        <v>0.0</v>
      </c>
      <c r="W367" s="113">
        <v>30.0</v>
      </c>
      <c r="X367" s="110">
        <v>45.0</v>
      </c>
      <c r="Y367" s="110">
        <v>55.0</v>
      </c>
      <c r="Z367" s="110" t="s">
        <v>99</v>
      </c>
      <c r="AA367" s="114">
        <f t="shared" si="561"/>
        <v>9.350701054</v>
      </c>
      <c r="AB367" s="115"/>
      <c r="AC367" s="212">
        <f t="shared" si="579"/>
        <v>7.306790835</v>
      </c>
      <c r="AD367" s="213">
        <f t="shared" si="244"/>
        <v>7.856764339</v>
      </c>
      <c r="AE367" s="212"/>
      <c r="AF367" s="212" t="str">
        <f t="shared" si="94"/>
        <v>#REF!</v>
      </c>
      <c r="AG367" s="210" t="str">
        <f t="shared" si="95"/>
        <v>#REF!</v>
      </c>
      <c r="AH367" s="120" t="str">
        <f t="shared" si="96"/>
        <v>#REF!</v>
      </c>
      <c r="AI367" s="121">
        <f t="shared" si="497"/>
        <v>0.1</v>
      </c>
      <c r="AJ367" s="121">
        <v>0.1</v>
      </c>
      <c r="AK367" s="122">
        <v>0.33</v>
      </c>
      <c r="AL367" s="123">
        <f t="shared" si="11"/>
        <v>2.411240976</v>
      </c>
      <c r="AM367" s="122" t="s">
        <v>10</v>
      </c>
      <c r="AN367" s="125">
        <f t="shared" si="580"/>
        <v>7.306790835</v>
      </c>
      <c r="AO367" s="112">
        <f t="shared" si="581"/>
        <v>0.33</v>
      </c>
      <c r="AP367" s="127"/>
      <c r="AQ367" s="128">
        <f t="shared" ref="AQ367:AR367" si="590">BC367/(1-AI367)</f>
        <v>6.077955685</v>
      </c>
      <c r="AR367" s="139">
        <f t="shared" si="590"/>
        <v>5.439499844</v>
      </c>
      <c r="AS367" s="126">
        <f t="shared" si="583"/>
        <v>0.35</v>
      </c>
      <c r="AT367" s="126">
        <f t="shared" si="584"/>
        <v>0.2555555556</v>
      </c>
      <c r="AU367" s="129"/>
      <c r="AV367" s="39" t="s">
        <v>1275</v>
      </c>
      <c r="AW367" s="130"/>
      <c r="AX367" s="140"/>
      <c r="AY367" s="140"/>
      <c r="AZ367" s="130"/>
      <c r="BA367" s="130">
        <v>37.58</v>
      </c>
      <c r="BB367" s="130">
        <f t="shared" si="585"/>
        <v>37.58</v>
      </c>
      <c r="BC367" s="131">
        <f t="shared" si="586"/>
        <v>5.470160116</v>
      </c>
      <c r="BD367" s="132">
        <f t="shared" si="587"/>
        <v>4.89554986</v>
      </c>
      <c r="BE367" s="39"/>
      <c r="BF367" s="134">
        <v>8.5447E9</v>
      </c>
      <c r="BG367" s="49"/>
      <c r="BH367" s="224">
        <f t="shared" si="571"/>
        <v>24.35596945</v>
      </c>
      <c r="BI367" s="224">
        <f t="shared" si="492"/>
        <v>14.61358167</v>
      </c>
      <c r="BJ367" s="224">
        <f t="shared" si="572"/>
        <v>12.17798473</v>
      </c>
      <c r="BK367" s="224">
        <f t="shared" si="573"/>
        <v>9.742387781</v>
      </c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</row>
    <row r="368" ht="14.25" customHeight="1">
      <c r="A368" s="103" t="s">
        <v>84</v>
      </c>
      <c r="B368" s="103" t="s">
        <v>120</v>
      </c>
      <c r="C368" s="103" t="s">
        <v>120</v>
      </c>
      <c r="D368" s="103" t="s">
        <v>1266</v>
      </c>
      <c r="E368" s="103" t="s">
        <v>1317</v>
      </c>
      <c r="F368" s="104" t="s">
        <v>1318</v>
      </c>
      <c r="G368" s="110" t="s">
        <v>1465</v>
      </c>
      <c r="H368" s="110"/>
      <c r="I368" s="107"/>
      <c r="J368" s="220" t="s">
        <v>1481</v>
      </c>
      <c r="K368" s="220" t="str">
        <f>_xlfn.XLOOKUP(J368,[1]Sheet1!$A:$A,[1]Sheet1!$B:$B,"")</f>
        <v>#ERROR!</v>
      </c>
      <c r="L368" s="103" t="s">
        <v>1482</v>
      </c>
      <c r="M368" s="103" t="s">
        <v>1483</v>
      </c>
      <c r="N368" s="110"/>
      <c r="O368" s="104" t="s">
        <v>95</v>
      </c>
      <c r="P368" s="110"/>
      <c r="Q368" s="104" t="s">
        <v>1323</v>
      </c>
      <c r="R368" s="110" t="s">
        <v>1324</v>
      </c>
      <c r="S368" s="110">
        <v>480.0</v>
      </c>
      <c r="T368" s="110" t="e">
        <v>#N/A</v>
      </c>
      <c r="U368" s="110">
        <v>8.5447E9</v>
      </c>
      <c r="V368" s="112">
        <v>0.0</v>
      </c>
      <c r="W368" s="113">
        <v>30.0</v>
      </c>
      <c r="X368" s="110">
        <v>45.0</v>
      </c>
      <c r="Y368" s="110">
        <v>55.0</v>
      </c>
      <c r="Z368" s="110" t="s">
        <v>99</v>
      </c>
      <c r="AA368" s="114">
        <f t="shared" si="561"/>
        <v>12.97104965</v>
      </c>
      <c r="AB368" s="115"/>
      <c r="AC368" s="212">
        <f t="shared" si="579"/>
        <v>10.15917895</v>
      </c>
      <c r="AD368" s="213">
        <f t="shared" si="244"/>
        <v>10.92384833</v>
      </c>
      <c r="AE368" s="212"/>
      <c r="AF368" s="212" t="str">
        <f t="shared" si="94"/>
        <v>#REF!</v>
      </c>
      <c r="AG368" s="210" t="str">
        <f t="shared" si="95"/>
        <v>#REF!</v>
      </c>
      <c r="AH368" s="120" t="str">
        <f t="shared" si="96"/>
        <v>#REF!</v>
      </c>
      <c r="AI368" s="121">
        <f t="shared" si="497"/>
        <v>0.1</v>
      </c>
      <c r="AJ368" s="121">
        <v>0.1</v>
      </c>
      <c r="AK368" s="122">
        <v>0.33</v>
      </c>
      <c r="AL368" s="123">
        <f t="shared" si="11"/>
        <v>3.352529053</v>
      </c>
      <c r="AM368" s="122" t="s">
        <v>10</v>
      </c>
      <c r="AN368" s="125">
        <f t="shared" si="580"/>
        <v>10.15917895</v>
      </c>
      <c r="AO368" s="112">
        <f t="shared" si="581"/>
        <v>0.33</v>
      </c>
      <c r="AP368" s="127"/>
      <c r="AQ368" s="128">
        <f t="shared" ref="AQ368:AR368" si="591">BC368/(1-AI368)</f>
        <v>8.431182274</v>
      </c>
      <c r="AR368" s="139">
        <f t="shared" si="591"/>
        <v>7.562944328</v>
      </c>
      <c r="AS368" s="126">
        <f t="shared" si="583"/>
        <v>0.35</v>
      </c>
      <c r="AT368" s="126">
        <f t="shared" si="584"/>
        <v>0.2555555556</v>
      </c>
      <c r="AU368" s="129"/>
      <c r="AV368" s="39" t="s">
        <v>1275</v>
      </c>
      <c r="AW368" s="130"/>
      <c r="AX368" s="140"/>
      <c r="AY368" s="140"/>
      <c r="AZ368" s="130"/>
      <c r="BA368" s="130">
        <v>52.13</v>
      </c>
      <c r="BB368" s="130">
        <f t="shared" si="585"/>
        <v>52.13</v>
      </c>
      <c r="BC368" s="131">
        <f t="shared" si="586"/>
        <v>7.588064047</v>
      </c>
      <c r="BD368" s="132">
        <f t="shared" si="587"/>
        <v>6.806649896</v>
      </c>
      <c r="BE368" s="39"/>
      <c r="BF368" s="134">
        <v>8.5447E9</v>
      </c>
      <c r="BG368" s="49"/>
      <c r="BH368" s="224">
        <f t="shared" si="571"/>
        <v>33.86392983</v>
      </c>
      <c r="BI368" s="224">
        <f t="shared" si="492"/>
        <v>20.3183579</v>
      </c>
      <c r="BJ368" s="224">
        <f t="shared" si="572"/>
        <v>16.93196491</v>
      </c>
      <c r="BK368" s="224">
        <f t="shared" si="573"/>
        <v>13.54557193</v>
      </c>
      <c r="BL368" s="49"/>
      <c r="BM368" s="49"/>
      <c r="BN368" s="49"/>
      <c r="BO368" s="49"/>
      <c r="BP368" s="49"/>
      <c r="BQ368" s="49"/>
      <c r="BR368" s="49"/>
      <c r="BS368" s="49"/>
      <c r="BT368" s="49"/>
      <c r="BU368" s="49"/>
      <c r="BV368" s="49"/>
      <c r="BW368" s="49"/>
      <c r="BX368" s="49"/>
      <c r="BY368" s="49"/>
      <c r="BZ368" s="49"/>
      <c r="CA368" s="49"/>
      <c r="CB368" s="49"/>
      <c r="CC368" s="49"/>
      <c r="CD368" s="49"/>
      <c r="CE368" s="49"/>
      <c r="CF368" s="49"/>
    </row>
    <row r="369" ht="14.25" customHeight="1">
      <c r="A369" s="103" t="s">
        <v>84</v>
      </c>
      <c r="B369" s="103" t="s">
        <v>120</v>
      </c>
      <c r="C369" s="103" t="s">
        <v>120</v>
      </c>
      <c r="D369" s="103" t="s">
        <v>1266</v>
      </c>
      <c r="E369" s="103" t="s">
        <v>1317</v>
      </c>
      <c r="F369" s="104" t="s">
        <v>1340</v>
      </c>
      <c r="G369" s="110" t="s">
        <v>1465</v>
      </c>
      <c r="H369" s="110"/>
      <c r="I369" s="107"/>
      <c r="J369" s="220" t="s">
        <v>1484</v>
      </c>
      <c r="K369" s="220" t="str">
        <f>_xlfn.XLOOKUP(J369,[1]Sheet1!$A:$A,[1]Sheet1!$B:$B,"")</f>
        <v>#ERROR!</v>
      </c>
      <c r="L369" s="103" t="s">
        <v>1485</v>
      </c>
      <c r="M369" s="103" t="s">
        <v>1486</v>
      </c>
      <c r="N369" s="110"/>
      <c r="O369" s="104" t="s">
        <v>95</v>
      </c>
      <c r="P369" s="110"/>
      <c r="Q369" s="104" t="s">
        <v>1323</v>
      </c>
      <c r="R369" s="110" t="s">
        <v>1324</v>
      </c>
      <c r="S369" s="110">
        <v>2160.0</v>
      </c>
      <c r="T369" s="110" t="e">
        <v>#N/A</v>
      </c>
      <c r="U369" s="110">
        <v>8.5447E9</v>
      </c>
      <c r="V369" s="112">
        <v>0.0</v>
      </c>
      <c r="W369" s="113">
        <v>30.0</v>
      </c>
      <c r="X369" s="110">
        <v>45.0</v>
      </c>
      <c r="Y369" s="110">
        <v>55.0</v>
      </c>
      <c r="Z369" s="110" t="s">
        <v>99</v>
      </c>
      <c r="AA369" s="114">
        <f t="shared" si="561"/>
        <v>2.627551973</v>
      </c>
      <c r="AB369" s="115"/>
      <c r="AC369" s="212">
        <f t="shared" si="579"/>
        <v>2.064060538</v>
      </c>
      <c r="AD369" s="213">
        <f t="shared" si="244"/>
        <v>2.219419934</v>
      </c>
      <c r="AE369" s="212"/>
      <c r="AF369" s="212" t="str">
        <f t="shared" si="94"/>
        <v>#REF!</v>
      </c>
      <c r="AG369" s="210" t="str">
        <f t="shared" si="95"/>
        <v>#REF!</v>
      </c>
      <c r="AH369" s="120" t="str">
        <f t="shared" si="96"/>
        <v>#REF!</v>
      </c>
      <c r="AI369" s="121">
        <f t="shared" si="497"/>
        <v>0.1</v>
      </c>
      <c r="AJ369" s="121">
        <v>0.1</v>
      </c>
      <c r="AK369" s="122">
        <v>0.33</v>
      </c>
      <c r="AL369" s="123">
        <f t="shared" si="11"/>
        <v>0.6811399776</v>
      </c>
      <c r="AM369" s="122" t="s">
        <v>10</v>
      </c>
      <c r="AN369" s="125">
        <f t="shared" si="580"/>
        <v>2.064060538</v>
      </c>
      <c r="AO369" s="112">
        <f t="shared" si="581"/>
        <v>0.33</v>
      </c>
      <c r="AP369" s="127"/>
      <c r="AQ369" s="128">
        <f t="shared" ref="AQ369:AR369" si="592">BC369/(1-AI369)</f>
        <v>1.707908782</v>
      </c>
      <c r="AR369" s="139">
        <f t="shared" si="592"/>
        <v>1.536578401</v>
      </c>
      <c r="AS369" s="126">
        <f t="shared" si="583"/>
        <v>0.35</v>
      </c>
      <c r="AT369" s="126">
        <f t="shared" si="584"/>
        <v>0.2555555556</v>
      </c>
      <c r="AU369" s="129"/>
      <c r="AV369" s="39" t="s">
        <v>1275</v>
      </c>
      <c r="AW369" s="130"/>
      <c r="AX369" s="140"/>
      <c r="AY369" s="140"/>
      <c r="AZ369" s="130"/>
      <c r="BA369" s="130">
        <v>10.56</v>
      </c>
      <c r="BB369" s="130">
        <f t="shared" si="585"/>
        <v>10.56</v>
      </c>
      <c r="BC369" s="131">
        <f t="shared" si="586"/>
        <v>1.537117904</v>
      </c>
      <c r="BD369" s="132">
        <f t="shared" si="587"/>
        <v>1.382920561</v>
      </c>
      <c r="BE369" s="39"/>
      <c r="BF369" s="134">
        <v>8.5447E9</v>
      </c>
      <c r="BG369" s="49"/>
      <c r="BH369" s="212">
        <f t="shared" si="571"/>
        <v>6.880201794</v>
      </c>
      <c r="BI369" s="212">
        <f t="shared" si="492"/>
        <v>4.128121076</v>
      </c>
      <c r="BJ369" s="212">
        <f t="shared" si="572"/>
        <v>3.440100897</v>
      </c>
      <c r="BK369" s="212">
        <f t="shared" si="573"/>
        <v>2.752080718</v>
      </c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</row>
    <row r="370" ht="14.25" customHeight="1">
      <c r="A370" s="103" t="s">
        <v>84</v>
      </c>
      <c r="B370" s="103" t="s">
        <v>120</v>
      </c>
      <c r="C370" s="103" t="s">
        <v>120</v>
      </c>
      <c r="D370" s="103" t="s">
        <v>1266</v>
      </c>
      <c r="E370" s="103" t="s">
        <v>1317</v>
      </c>
      <c r="F370" s="104" t="s">
        <v>1340</v>
      </c>
      <c r="G370" s="110" t="s">
        <v>1465</v>
      </c>
      <c r="H370" s="110"/>
      <c r="I370" s="107"/>
      <c r="J370" s="220" t="s">
        <v>1487</v>
      </c>
      <c r="K370" s="220" t="str">
        <f>_xlfn.XLOOKUP(J370,[1]Sheet1!$A:$A,[1]Sheet1!$B:$B,"")</f>
        <v>#ERROR!</v>
      </c>
      <c r="L370" s="103" t="s">
        <v>1488</v>
      </c>
      <c r="M370" s="103" t="s">
        <v>1489</v>
      </c>
      <c r="N370" s="110"/>
      <c r="O370" s="104" t="s">
        <v>95</v>
      </c>
      <c r="P370" s="110"/>
      <c r="Q370" s="104" t="s">
        <v>1323</v>
      </c>
      <c r="R370" s="110" t="s">
        <v>1324</v>
      </c>
      <c r="S370" s="110">
        <v>1920.0</v>
      </c>
      <c r="T370" s="110" t="e">
        <v>#N/A</v>
      </c>
      <c r="U370" s="110">
        <v>8.5447E9</v>
      </c>
      <c r="V370" s="112">
        <v>0.0</v>
      </c>
      <c r="W370" s="113">
        <v>30.0</v>
      </c>
      <c r="X370" s="110">
        <v>45.0</v>
      </c>
      <c r="Y370" s="110">
        <v>55.0</v>
      </c>
      <c r="Z370" s="110" t="s">
        <v>99</v>
      </c>
      <c r="AA370" s="114">
        <f t="shared" si="561"/>
        <v>3.331715995</v>
      </c>
      <c r="AB370" s="115"/>
      <c r="AC370" s="212">
        <f t="shared" si="579"/>
        <v>2.607332499</v>
      </c>
      <c r="AD370" s="213">
        <f t="shared" si="244"/>
        <v>2.803583333</v>
      </c>
      <c r="AE370" s="212"/>
      <c r="AF370" s="212" t="str">
        <f t="shared" si="94"/>
        <v>#REF!</v>
      </c>
      <c r="AG370" s="210" t="str">
        <f t="shared" si="95"/>
        <v>#REF!</v>
      </c>
      <c r="AH370" s="120" t="str">
        <f t="shared" si="96"/>
        <v>#REF!</v>
      </c>
      <c r="AI370" s="121">
        <f t="shared" si="497"/>
        <v>0.1</v>
      </c>
      <c r="AJ370" s="121">
        <v>0.1</v>
      </c>
      <c r="AK370" s="122">
        <v>0.33</v>
      </c>
      <c r="AL370" s="123">
        <f t="shared" si="11"/>
        <v>0.8604197248</v>
      </c>
      <c r="AM370" s="122" t="s">
        <v>10</v>
      </c>
      <c r="AN370" s="125">
        <f t="shared" si="580"/>
        <v>2.607332499</v>
      </c>
      <c r="AO370" s="112">
        <f t="shared" si="581"/>
        <v>0.33</v>
      </c>
      <c r="AP370" s="127"/>
      <c r="AQ370" s="128">
        <f t="shared" ref="AQ370:AR370" si="593">BC370/(1-AI370)</f>
        <v>2.165615397</v>
      </c>
      <c r="AR370" s="139">
        <f t="shared" si="593"/>
        <v>1.941014194</v>
      </c>
      <c r="AS370" s="126">
        <f t="shared" si="583"/>
        <v>0.35</v>
      </c>
      <c r="AT370" s="126">
        <f t="shared" si="584"/>
        <v>0.2555555556</v>
      </c>
      <c r="AU370" s="129"/>
      <c r="AV370" s="39" t="s">
        <v>1275</v>
      </c>
      <c r="AW370" s="130"/>
      <c r="AX370" s="140"/>
      <c r="AY370" s="140"/>
      <c r="AZ370" s="130"/>
      <c r="BA370" s="130">
        <v>13.39</v>
      </c>
      <c r="BB370" s="130">
        <f t="shared" si="585"/>
        <v>13.39</v>
      </c>
      <c r="BC370" s="131">
        <f t="shared" si="586"/>
        <v>1.949053857</v>
      </c>
      <c r="BD370" s="132">
        <f t="shared" si="587"/>
        <v>1.746912775</v>
      </c>
      <c r="BE370" s="39"/>
      <c r="BF370" s="134">
        <v>8.5447E9</v>
      </c>
      <c r="BG370" s="49"/>
      <c r="BH370" s="212">
        <f t="shared" si="571"/>
        <v>8.691108331</v>
      </c>
      <c r="BI370" s="212">
        <f t="shared" si="492"/>
        <v>5.214664999</v>
      </c>
      <c r="BJ370" s="212">
        <f t="shared" si="572"/>
        <v>4.345554165</v>
      </c>
      <c r="BK370" s="212">
        <f t="shared" si="573"/>
        <v>3.476443332</v>
      </c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  <c r="CB370" s="49"/>
      <c r="CC370" s="49"/>
      <c r="CD370" s="49"/>
      <c r="CE370" s="49"/>
      <c r="CF370" s="49"/>
    </row>
    <row r="371" ht="14.25" customHeight="1">
      <c r="A371" s="103" t="s">
        <v>84</v>
      </c>
      <c r="B371" s="103" t="s">
        <v>120</v>
      </c>
      <c r="C371" s="103" t="s">
        <v>120</v>
      </c>
      <c r="D371" s="103" t="s">
        <v>1266</v>
      </c>
      <c r="E371" s="103" t="s">
        <v>1317</v>
      </c>
      <c r="F371" s="104" t="s">
        <v>1340</v>
      </c>
      <c r="G371" s="110" t="s">
        <v>1465</v>
      </c>
      <c r="H371" s="110"/>
      <c r="I371" s="107"/>
      <c r="J371" s="220" t="s">
        <v>1490</v>
      </c>
      <c r="K371" s="220" t="str">
        <f>_xlfn.XLOOKUP(J371,[1]Sheet1!$A:$A,[1]Sheet1!$B:$B,"")</f>
        <v>#ERROR!</v>
      </c>
      <c r="L371" s="103" t="s">
        <v>1491</v>
      </c>
      <c r="M371" s="103" t="s">
        <v>1492</v>
      </c>
      <c r="N371" s="110"/>
      <c r="O371" s="104" t="s">
        <v>95</v>
      </c>
      <c r="P371" s="110"/>
      <c r="Q371" s="104" t="s">
        <v>1323</v>
      </c>
      <c r="R371" s="110" t="s">
        <v>1324</v>
      </c>
      <c r="S371" s="110">
        <v>1920.0</v>
      </c>
      <c r="T371" s="110" t="e">
        <v>#N/A</v>
      </c>
      <c r="U371" s="110">
        <v>8.5447E9</v>
      </c>
      <c r="V371" s="112">
        <v>0.0</v>
      </c>
      <c r="W371" s="113">
        <v>30.0</v>
      </c>
      <c r="X371" s="110">
        <v>45.0</v>
      </c>
      <c r="Y371" s="110">
        <v>55.0</v>
      </c>
      <c r="Z371" s="110" t="s">
        <v>99</v>
      </c>
      <c r="AA371" s="114">
        <f t="shared" si="561"/>
        <v>4.035880018</v>
      </c>
      <c r="AB371" s="115"/>
      <c r="AC371" s="212">
        <f t="shared" si="579"/>
        <v>3.141967092</v>
      </c>
      <c r="AD371" s="213">
        <f t="shared" si="244"/>
        <v>3.378459238</v>
      </c>
      <c r="AE371" s="212"/>
      <c r="AF371" s="212" t="str">
        <f t="shared" si="94"/>
        <v>#REF!</v>
      </c>
      <c r="AG371" s="210" t="str">
        <f t="shared" si="95"/>
        <v>#REF!</v>
      </c>
      <c r="AH371" s="120" t="str">
        <f t="shared" si="96"/>
        <v>#REF!</v>
      </c>
      <c r="AI371" s="121">
        <f t="shared" si="497"/>
        <v>0.1</v>
      </c>
      <c r="AJ371" s="121">
        <v>0.1</v>
      </c>
      <c r="AK371" s="122">
        <v>0.33</v>
      </c>
      <c r="AL371" s="123">
        <f t="shared" si="11"/>
        <v>1.03684914</v>
      </c>
      <c r="AM371" s="122" t="s">
        <v>10</v>
      </c>
      <c r="AN371" s="125">
        <f t="shared" si="580"/>
        <v>3.141967092</v>
      </c>
      <c r="AO371" s="112">
        <f t="shared" si="581"/>
        <v>0.33</v>
      </c>
      <c r="AP371" s="127"/>
      <c r="AQ371" s="128">
        <f t="shared" ref="AQ371:AR371" si="594">BC371/(1-AI371)</f>
        <v>2.623322012</v>
      </c>
      <c r="AR371" s="139">
        <f t="shared" si="594"/>
        <v>2.339019946</v>
      </c>
      <c r="AS371" s="126">
        <f t="shared" si="583"/>
        <v>0.35</v>
      </c>
      <c r="AT371" s="126">
        <f t="shared" si="584"/>
        <v>0.2555555556</v>
      </c>
      <c r="AU371" s="129"/>
      <c r="AV371" s="39" t="s">
        <v>1275</v>
      </c>
      <c r="AW371" s="130"/>
      <c r="AX371" s="140"/>
      <c r="AY371" s="140"/>
      <c r="AZ371" s="130"/>
      <c r="BA371" s="130">
        <v>16.22</v>
      </c>
      <c r="BB371" s="130">
        <f t="shared" si="585"/>
        <v>16.22</v>
      </c>
      <c r="BC371" s="131">
        <f t="shared" si="586"/>
        <v>2.360989811</v>
      </c>
      <c r="BD371" s="132">
        <f t="shared" si="587"/>
        <v>2.105117951</v>
      </c>
      <c r="BE371" s="39"/>
      <c r="BF371" s="134">
        <v>8.5447E9</v>
      </c>
      <c r="BG371" s="49"/>
      <c r="BH371" s="212">
        <f t="shared" si="571"/>
        <v>10.47322364</v>
      </c>
      <c r="BI371" s="212">
        <f t="shared" si="492"/>
        <v>6.283934183</v>
      </c>
      <c r="BJ371" s="212">
        <f t="shared" si="572"/>
        <v>5.236611819</v>
      </c>
      <c r="BK371" s="212">
        <f t="shared" si="573"/>
        <v>4.189289456</v>
      </c>
      <c r="BL371" s="49"/>
      <c r="BM371" s="49"/>
      <c r="BN371" s="49"/>
      <c r="BO371" s="49"/>
      <c r="BP371" s="49"/>
      <c r="BQ371" s="49"/>
      <c r="BR371" s="49"/>
      <c r="BS371" s="49"/>
      <c r="BT371" s="49"/>
      <c r="BU371" s="49"/>
      <c r="BV371" s="49"/>
      <c r="BW371" s="49"/>
      <c r="BX371" s="49"/>
      <c r="BY371" s="49"/>
      <c r="BZ371" s="49"/>
      <c r="CA371" s="49"/>
      <c r="CB371" s="49"/>
      <c r="CC371" s="49"/>
      <c r="CD371" s="49"/>
      <c r="CE371" s="49"/>
      <c r="CF371" s="49"/>
    </row>
    <row r="372" ht="14.25" customHeight="1">
      <c r="A372" s="103" t="s">
        <v>84</v>
      </c>
      <c r="B372" s="103" t="s">
        <v>120</v>
      </c>
      <c r="C372" s="103" t="s">
        <v>120</v>
      </c>
      <c r="D372" s="103" t="s">
        <v>1266</v>
      </c>
      <c r="E372" s="103" t="s">
        <v>1317</v>
      </c>
      <c r="F372" s="104" t="s">
        <v>1340</v>
      </c>
      <c r="G372" s="110" t="s">
        <v>1465</v>
      </c>
      <c r="H372" s="110"/>
      <c r="I372" s="107"/>
      <c r="J372" s="220" t="s">
        <v>1493</v>
      </c>
      <c r="K372" s="220" t="str">
        <f>_xlfn.XLOOKUP(J372,[1]Sheet1!$A:$A,[1]Sheet1!$B:$B,"")</f>
        <v>#ERROR!</v>
      </c>
      <c r="L372" s="103" t="s">
        <v>1494</v>
      </c>
      <c r="M372" s="103" t="s">
        <v>1495</v>
      </c>
      <c r="N372" s="110"/>
      <c r="O372" s="104" t="s">
        <v>95</v>
      </c>
      <c r="P372" s="110"/>
      <c r="Q372" s="104" t="s">
        <v>1323</v>
      </c>
      <c r="R372" s="110" t="s">
        <v>1324</v>
      </c>
      <c r="S372" s="110">
        <v>1440.0</v>
      </c>
      <c r="T372" s="110" t="e">
        <v>#N/A</v>
      </c>
      <c r="U372" s="110">
        <v>8.5447E9</v>
      </c>
      <c r="V372" s="112">
        <v>0.0</v>
      </c>
      <c r="W372" s="113">
        <v>30.0</v>
      </c>
      <c r="X372" s="110">
        <v>45.0</v>
      </c>
      <c r="Y372" s="110">
        <v>55.0</v>
      </c>
      <c r="Z372" s="110" t="s">
        <v>99</v>
      </c>
      <c r="AA372" s="114">
        <f t="shared" si="561"/>
        <v>5.441719852</v>
      </c>
      <c r="AB372" s="115"/>
      <c r="AC372" s="212">
        <f t="shared" si="579"/>
        <v>4.235259214</v>
      </c>
      <c r="AD372" s="213">
        <f t="shared" si="244"/>
        <v>4.554042166</v>
      </c>
      <c r="AE372" s="212"/>
      <c r="AF372" s="212" t="str">
        <f t="shared" si="94"/>
        <v>#REF!</v>
      </c>
      <c r="AG372" s="210" t="str">
        <f t="shared" si="95"/>
        <v>#REF!</v>
      </c>
      <c r="AH372" s="120" t="str">
        <f t="shared" si="96"/>
        <v>#REF!</v>
      </c>
      <c r="AI372" s="121">
        <f t="shared" si="497"/>
        <v>0.1</v>
      </c>
      <c r="AJ372" s="121">
        <v>0.1</v>
      </c>
      <c r="AK372" s="122">
        <v>0.33</v>
      </c>
      <c r="AL372" s="123">
        <f t="shared" si="11"/>
        <v>1.397635541</v>
      </c>
      <c r="AM372" s="122" t="s">
        <v>10</v>
      </c>
      <c r="AN372" s="125">
        <f t="shared" si="580"/>
        <v>4.235259214</v>
      </c>
      <c r="AO372" s="112">
        <f t="shared" si="581"/>
        <v>0.33</v>
      </c>
      <c r="AP372" s="127"/>
      <c r="AQ372" s="128">
        <f t="shared" ref="AQ372:AR372" si="595">BC372/(1-AI372)</f>
        <v>3.537117904</v>
      </c>
      <c r="AR372" s="139">
        <f t="shared" si="595"/>
        <v>3.152915193</v>
      </c>
      <c r="AS372" s="126">
        <f t="shared" si="583"/>
        <v>0.35</v>
      </c>
      <c r="AT372" s="126">
        <f t="shared" si="584"/>
        <v>0.2555555556</v>
      </c>
      <c r="AU372" s="129"/>
      <c r="AV372" s="39" t="s">
        <v>1275</v>
      </c>
      <c r="AW372" s="130"/>
      <c r="AX372" s="140"/>
      <c r="AY372" s="140"/>
      <c r="AZ372" s="130"/>
      <c r="BA372" s="130">
        <v>21.87</v>
      </c>
      <c r="BB372" s="130">
        <f t="shared" si="585"/>
        <v>21.87</v>
      </c>
      <c r="BC372" s="131">
        <f t="shared" si="586"/>
        <v>3.183406114</v>
      </c>
      <c r="BD372" s="132">
        <f t="shared" si="587"/>
        <v>2.837623674</v>
      </c>
      <c r="BE372" s="39"/>
      <c r="BF372" s="134">
        <v>8.5447E9</v>
      </c>
      <c r="BG372" s="49"/>
      <c r="BH372" s="212">
        <f t="shared" si="571"/>
        <v>14.11753071</v>
      </c>
      <c r="BI372" s="212">
        <f t="shared" si="492"/>
        <v>8.470518429</v>
      </c>
      <c r="BJ372" s="212">
        <f t="shared" si="572"/>
        <v>7.058765357</v>
      </c>
      <c r="BK372" s="212">
        <f t="shared" si="573"/>
        <v>5.647012286</v>
      </c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  <c r="CB372" s="49"/>
      <c r="CC372" s="49"/>
      <c r="CD372" s="49"/>
      <c r="CE372" s="49"/>
      <c r="CF372" s="49"/>
    </row>
    <row r="373" ht="14.25" customHeight="1">
      <c r="A373" s="103" t="s">
        <v>84</v>
      </c>
      <c r="B373" s="103" t="s">
        <v>120</v>
      </c>
      <c r="C373" s="103" t="s">
        <v>120</v>
      </c>
      <c r="D373" s="103" t="s">
        <v>1266</v>
      </c>
      <c r="E373" s="103" t="s">
        <v>1317</v>
      </c>
      <c r="F373" s="104" t="s">
        <v>1340</v>
      </c>
      <c r="G373" s="110" t="s">
        <v>1465</v>
      </c>
      <c r="H373" s="110"/>
      <c r="I373" s="107"/>
      <c r="J373" s="220" t="s">
        <v>1496</v>
      </c>
      <c r="K373" s="220" t="str">
        <f>_xlfn.XLOOKUP(J373,[1]Sheet1!$A:$A,[1]Sheet1!$B:$B,"")</f>
        <v>#ERROR!</v>
      </c>
      <c r="L373" s="103" t="s">
        <v>1497</v>
      </c>
      <c r="M373" s="103" t="s">
        <v>1498</v>
      </c>
      <c r="N373" s="110"/>
      <c r="O373" s="104" t="s">
        <v>95</v>
      </c>
      <c r="P373" s="110"/>
      <c r="Q373" s="104" t="s">
        <v>1323</v>
      </c>
      <c r="R373" s="110" t="s">
        <v>1324</v>
      </c>
      <c r="S373" s="110">
        <v>720.0</v>
      </c>
      <c r="T373" s="110" t="e">
        <v>#N/A</v>
      </c>
      <c r="U373" s="110">
        <v>8.5447E9</v>
      </c>
      <c r="V373" s="112">
        <v>0.0</v>
      </c>
      <c r="W373" s="113">
        <v>30.0</v>
      </c>
      <c r="X373" s="110">
        <v>45.0</v>
      </c>
      <c r="Y373" s="110">
        <v>55.0</v>
      </c>
      <c r="Z373" s="110" t="s">
        <v>99</v>
      </c>
      <c r="AA373" s="114">
        <f t="shared" si="561"/>
        <v>9.350701054</v>
      </c>
      <c r="AB373" s="115"/>
      <c r="AC373" s="212">
        <f t="shared" si="579"/>
        <v>7.306790835</v>
      </c>
      <c r="AD373" s="213">
        <f t="shared" si="244"/>
        <v>7.856764339</v>
      </c>
      <c r="AE373" s="212"/>
      <c r="AF373" s="212" t="str">
        <f t="shared" si="94"/>
        <v>#REF!</v>
      </c>
      <c r="AG373" s="210" t="str">
        <f t="shared" si="95"/>
        <v>#REF!</v>
      </c>
      <c r="AH373" s="120" t="str">
        <f t="shared" si="96"/>
        <v>#REF!</v>
      </c>
      <c r="AI373" s="121">
        <f t="shared" si="497"/>
        <v>0.1</v>
      </c>
      <c r="AJ373" s="121">
        <v>0.1</v>
      </c>
      <c r="AK373" s="122">
        <v>0.33</v>
      </c>
      <c r="AL373" s="123">
        <f t="shared" si="11"/>
        <v>2.411240976</v>
      </c>
      <c r="AM373" s="122" t="s">
        <v>10</v>
      </c>
      <c r="AN373" s="125">
        <f t="shared" si="580"/>
        <v>7.306790835</v>
      </c>
      <c r="AO373" s="112">
        <f t="shared" si="581"/>
        <v>0.33</v>
      </c>
      <c r="AP373" s="127"/>
      <c r="AQ373" s="128">
        <f t="shared" ref="AQ373:AR373" si="596">BC373/(1-AI373)</f>
        <v>6.077955685</v>
      </c>
      <c r="AR373" s="139">
        <f t="shared" si="596"/>
        <v>5.439499844</v>
      </c>
      <c r="AS373" s="126">
        <f t="shared" si="583"/>
        <v>0.35</v>
      </c>
      <c r="AT373" s="126">
        <f t="shared" si="584"/>
        <v>0.2555555556</v>
      </c>
      <c r="AU373" s="129"/>
      <c r="AV373" s="39" t="s">
        <v>1275</v>
      </c>
      <c r="AW373" s="130"/>
      <c r="AX373" s="140"/>
      <c r="AY373" s="140"/>
      <c r="AZ373" s="130"/>
      <c r="BA373" s="130">
        <v>37.58</v>
      </c>
      <c r="BB373" s="130">
        <f t="shared" si="585"/>
        <v>37.58</v>
      </c>
      <c r="BC373" s="131">
        <f t="shared" si="586"/>
        <v>5.470160116</v>
      </c>
      <c r="BD373" s="132">
        <f t="shared" si="587"/>
        <v>4.89554986</v>
      </c>
      <c r="BE373" s="39"/>
      <c r="BF373" s="134">
        <v>8.5447E9</v>
      </c>
      <c r="BG373" s="49"/>
      <c r="BH373" s="224">
        <f t="shared" si="571"/>
        <v>24.35596945</v>
      </c>
      <c r="BI373" s="224">
        <f t="shared" si="492"/>
        <v>14.61358167</v>
      </c>
      <c r="BJ373" s="224">
        <f t="shared" si="572"/>
        <v>12.17798473</v>
      </c>
      <c r="BK373" s="224">
        <f t="shared" si="573"/>
        <v>9.742387781</v>
      </c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  <c r="CB373" s="49"/>
      <c r="CC373" s="49"/>
      <c r="CD373" s="49"/>
      <c r="CE373" s="49"/>
      <c r="CF373" s="49"/>
    </row>
    <row r="374" ht="14.25" customHeight="1">
      <c r="A374" s="103" t="s">
        <v>84</v>
      </c>
      <c r="B374" s="103" t="s">
        <v>120</v>
      </c>
      <c r="C374" s="103" t="s">
        <v>120</v>
      </c>
      <c r="D374" s="103" t="s">
        <v>1266</v>
      </c>
      <c r="E374" s="103" t="s">
        <v>1317</v>
      </c>
      <c r="F374" s="104" t="s">
        <v>1340</v>
      </c>
      <c r="G374" s="110" t="s">
        <v>1465</v>
      </c>
      <c r="H374" s="110"/>
      <c r="I374" s="107"/>
      <c r="J374" s="220" t="s">
        <v>1499</v>
      </c>
      <c r="K374" s="220" t="str">
        <f>_xlfn.XLOOKUP(J374,[1]Sheet1!$A:$A,[1]Sheet1!$B:$B,"")</f>
        <v>#ERROR!</v>
      </c>
      <c r="L374" s="103" t="s">
        <v>1500</v>
      </c>
      <c r="M374" s="103" t="s">
        <v>1501</v>
      </c>
      <c r="N374" s="110"/>
      <c r="O374" s="104" t="s">
        <v>95</v>
      </c>
      <c r="P374" s="110"/>
      <c r="Q374" s="104" t="s">
        <v>1323</v>
      </c>
      <c r="R374" s="110" t="s">
        <v>1324</v>
      </c>
      <c r="S374" s="110">
        <v>480.0</v>
      </c>
      <c r="T374" s="110" t="e">
        <v>#N/A</v>
      </c>
      <c r="U374" s="110">
        <v>8.5447E9</v>
      </c>
      <c r="V374" s="112">
        <v>0.0</v>
      </c>
      <c r="W374" s="113">
        <v>30.0</v>
      </c>
      <c r="X374" s="110">
        <v>45.0</v>
      </c>
      <c r="Y374" s="110">
        <v>55.0</v>
      </c>
      <c r="Z374" s="110" t="s">
        <v>99</v>
      </c>
      <c r="AA374" s="114">
        <f t="shared" si="561"/>
        <v>12.97104965</v>
      </c>
      <c r="AB374" s="115"/>
      <c r="AC374" s="212">
        <f t="shared" si="579"/>
        <v>10.15917895</v>
      </c>
      <c r="AD374" s="213">
        <f t="shared" si="244"/>
        <v>10.92384833</v>
      </c>
      <c r="AE374" s="212"/>
      <c r="AF374" s="212" t="str">
        <f t="shared" si="94"/>
        <v>#REF!</v>
      </c>
      <c r="AG374" s="210" t="str">
        <f t="shared" si="95"/>
        <v>#REF!</v>
      </c>
      <c r="AH374" s="120" t="str">
        <f t="shared" si="96"/>
        <v>#REF!</v>
      </c>
      <c r="AI374" s="121">
        <f t="shared" si="497"/>
        <v>0.1</v>
      </c>
      <c r="AJ374" s="121">
        <v>0.1</v>
      </c>
      <c r="AK374" s="122">
        <v>0.33</v>
      </c>
      <c r="AL374" s="123">
        <f t="shared" si="11"/>
        <v>3.352529053</v>
      </c>
      <c r="AM374" s="122" t="s">
        <v>10</v>
      </c>
      <c r="AN374" s="125">
        <f t="shared" si="580"/>
        <v>10.15917895</v>
      </c>
      <c r="AO374" s="112">
        <f t="shared" si="581"/>
        <v>0.33</v>
      </c>
      <c r="AP374" s="127"/>
      <c r="AQ374" s="128">
        <f t="shared" ref="AQ374:AR374" si="597">BC374/(1-AI374)</f>
        <v>8.431182274</v>
      </c>
      <c r="AR374" s="139">
        <f t="shared" si="597"/>
        <v>7.562944328</v>
      </c>
      <c r="AS374" s="126">
        <f t="shared" si="583"/>
        <v>0.35</v>
      </c>
      <c r="AT374" s="126">
        <f t="shared" si="584"/>
        <v>0.2555555556</v>
      </c>
      <c r="AU374" s="129"/>
      <c r="AV374" s="39" t="s">
        <v>1275</v>
      </c>
      <c r="AW374" s="130"/>
      <c r="AX374" s="140"/>
      <c r="AY374" s="140"/>
      <c r="AZ374" s="130"/>
      <c r="BA374" s="130">
        <v>52.13</v>
      </c>
      <c r="BB374" s="130">
        <f t="shared" si="585"/>
        <v>52.13</v>
      </c>
      <c r="BC374" s="131">
        <f t="shared" si="586"/>
        <v>7.588064047</v>
      </c>
      <c r="BD374" s="132">
        <f t="shared" si="587"/>
        <v>6.806649896</v>
      </c>
      <c r="BE374" s="39"/>
      <c r="BF374" s="134">
        <v>8.5447E9</v>
      </c>
      <c r="BG374" s="49"/>
      <c r="BH374" s="224">
        <f t="shared" si="571"/>
        <v>33.86392983</v>
      </c>
      <c r="BI374" s="224">
        <f t="shared" si="492"/>
        <v>20.3183579</v>
      </c>
      <c r="BJ374" s="224">
        <f t="shared" si="572"/>
        <v>16.93196491</v>
      </c>
      <c r="BK374" s="224">
        <f t="shared" si="573"/>
        <v>13.54557193</v>
      </c>
      <c r="BL374" s="49"/>
      <c r="BM374" s="49"/>
      <c r="BN374" s="49"/>
      <c r="BO374" s="49"/>
      <c r="BP374" s="49"/>
      <c r="BQ374" s="49"/>
      <c r="BR374" s="49"/>
      <c r="BS374" s="49"/>
      <c r="BT374" s="49"/>
      <c r="BU374" s="49"/>
      <c r="BV374" s="49"/>
      <c r="BW374" s="49"/>
      <c r="BX374" s="49"/>
      <c r="BY374" s="49"/>
      <c r="BZ374" s="49"/>
      <c r="CA374" s="49"/>
      <c r="CB374" s="49"/>
      <c r="CC374" s="49"/>
      <c r="CD374" s="49"/>
      <c r="CE374" s="49"/>
      <c r="CF374" s="49"/>
    </row>
    <row r="375" ht="14.25" customHeight="1">
      <c r="A375" s="103" t="s">
        <v>84</v>
      </c>
      <c r="B375" s="103" t="s">
        <v>120</v>
      </c>
      <c r="C375" s="103" t="s">
        <v>120</v>
      </c>
      <c r="D375" s="103" t="s">
        <v>1266</v>
      </c>
      <c r="E375" s="103" t="s">
        <v>1317</v>
      </c>
      <c r="F375" s="104" t="s">
        <v>1367</v>
      </c>
      <c r="G375" s="110" t="s">
        <v>1465</v>
      </c>
      <c r="H375" s="110"/>
      <c r="I375" s="107"/>
      <c r="J375" s="220" t="s">
        <v>1502</v>
      </c>
      <c r="K375" s="220" t="str">
        <f>_xlfn.XLOOKUP(J375,[1]Sheet1!$A:$A,[1]Sheet1!$B:$B,"")</f>
        <v>#ERROR!</v>
      </c>
      <c r="L375" s="103" t="s">
        <v>1503</v>
      </c>
      <c r="M375" s="103" t="s">
        <v>1504</v>
      </c>
      <c r="N375" s="110"/>
      <c r="O375" s="104" t="s">
        <v>95</v>
      </c>
      <c r="P375" s="110"/>
      <c r="Q375" s="104" t="s">
        <v>1323</v>
      </c>
      <c r="R375" s="110" t="s">
        <v>1324</v>
      </c>
      <c r="S375" s="110">
        <v>2160.0</v>
      </c>
      <c r="T375" s="110" t="e">
        <v>#N/A</v>
      </c>
      <c r="U375" s="110">
        <v>8.5447E9</v>
      </c>
      <c r="V375" s="112">
        <v>0.0</v>
      </c>
      <c r="W375" s="113">
        <v>30.0</v>
      </c>
      <c r="X375" s="110">
        <v>45.0</v>
      </c>
      <c r="Y375" s="110">
        <v>55.0</v>
      </c>
      <c r="Z375" s="110" t="s">
        <v>99</v>
      </c>
      <c r="AA375" s="114">
        <f t="shared" si="561"/>
        <v>2.627551973</v>
      </c>
      <c r="AB375" s="115"/>
      <c r="AC375" s="212">
        <f t="shared" si="579"/>
        <v>2.064060538</v>
      </c>
      <c r="AD375" s="213">
        <f t="shared" si="244"/>
        <v>2.219419934</v>
      </c>
      <c r="AE375" s="212"/>
      <c r="AF375" s="212" t="str">
        <f t="shared" si="94"/>
        <v>#REF!</v>
      </c>
      <c r="AG375" s="210" t="str">
        <f t="shared" si="95"/>
        <v>#REF!</v>
      </c>
      <c r="AH375" s="120" t="str">
        <f t="shared" si="96"/>
        <v>#REF!</v>
      </c>
      <c r="AI375" s="121">
        <f t="shared" si="497"/>
        <v>0.1</v>
      </c>
      <c r="AJ375" s="121">
        <v>0.1</v>
      </c>
      <c r="AK375" s="122">
        <v>0.33</v>
      </c>
      <c r="AL375" s="123">
        <f t="shared" si="11"/>
        <v>0.6811399776</v>
      </c>
      <c r="AM375" s="122" t="s">
        <v>10</v>
      </c>
      <c r="AN375" s="125">
        <f t="shared" si="580"/>
        <v>2.064060538</v>
      </c>
      <c r="AO375" s="112">
        <f t="shared" si="581"/>
        <v>0.33</v>
      </c>
      <c r="AP375" s="127"/>
      <c r="AQ375" s="128">
        <f t="shared" ref="AQ375:AR375" si="598">BC375/(1-AI375)</f>
        <v>1.707908782</v>
      </c>
      <c r="AR375" s="139">
        <f t="shared" si="598"/>
        <v>1.536578401</v>
      </c>
      <c r="AS375" s="126">
        <f t="shared" si="583"/>
        <v>0.35</v>
      </c>
      <c r="AT375" s="126">
        <f t="shared" si="584"/>
        <v>0.2555555556</v>
      </c>
      <c r="AU375" s="129"/>
      <c r="AV375" s="39" t="s">
        <v>1275</v>
      </c>
      <c r="AW375" s="130"/>
      <c r="AX375" s="140"/>
      <c r="AY375" s="140"/>
      <c r="AZ375" s="130"/>
      <c r="BA375" s="130">
        <v>10.56</v>
      </c>
      <c r="BB375" s="130">
        <f t="shared" si="585"/>
        <v>10.56</v>
      </c>
      <c r="BC375" s="131">
        <f t="shared" si="586"/>
        <v>1.537117904</v>
      </c>
      <c r="BD375" s="132">
        <f t="shared" si="587"/>
        <v>1.382920561</v>
      </c>
      <c r="BE375" s="39"/>
      <c r="BF375" s="134">
        <v>8.5447E9</v>
      </c>
      <c r="BG375" s="49"/>
      <c r="BH375" s="212">
        <f t="shared" si="571"/>
        <v>6.880201794</v>
      </c>
      <c r="BI375" s="212">
        <f t="shared" si="492"/>
        <v>4.128121076</v>
      </c>
      <c r="BJ375" s="212">
        <f t="shared" si="572"/>
        <v>3.440100897</v>
      </c>
      <c r="BK375" s="212">
        <f t="shared" si="573"/>
        <v>2.752080718</v>
      </c>
      <c r="BL375" s="49"/>
      <c r="BM375" s="49"/>
      <c r="BN375" s="49"/>
      <c r="BO375" s="49"/>
      <c r="BP375" s="49"/>
      <c r="BQ375" s="49"/>
      <c r="BR375" s="49"/>
      <c r="BS375" s="49"/>
      <c r="BT375" s="49"/>
      <c r="BU375" s="49"/>
      <c r="BV375" s="49"/>
      <c r="BW375" s="49"/>
      <c r="BX375" s="49"/>
      <c r="BY375" s="49"/>
      <c r="BZ375" s="49"/>
      <c r="CA375" s="49"/>
      <c r="CB375" s="49"/>
      <c r="CC375" s="49"/>
      <c r="CD375" s="49"/>
      <c r="CE375" s="49"/>
      <c r="CF375" s="49"/>
    </row>
    <row r="376" ht="14.25" customHeight="1">
      <c r="A376" s="103" t="s">
        <v>84</v>
      </c>
      <c r="B376" s="103" t="s">
        <v>120</v>
      </c>
      <c r="C376" s="103" t="s">
        <v>120</v>
      </c>
      <c r="D376" s="103" t="s">
        <v>1266</v>
      </c>
      <c r="E376" s="103" t="s">
        <v>1317</v>
      </c>
      <c r="F376" s="104" t="s">
        <v>1367</v>
      </c>
      <c r="G376" s="110" t="s">
        <v>1465</v>
      </c>
      <c r="H376" s="110"/>
      <c r="I376" s="107"/>
      <c r="J376" s="220" t="s">
        <v>1505</v>
      </c>
      <c r="K376" s="220" t="str">
        <f>_xlfn.XLOOKUP(J376,[1]Sheet1!$A:$A,[1]Sheet1!$B:$B,"")</f>
        <v>#ERROR!</v>
      </c>
      <c r="L376" s="103" t="s">
        <v>1506</v>
      </c>
      <c r="M376" s="103" t="s">
        <v>1507</v>
      </c>
      <c r="N376" s="110"/>
      <c r="O376" s="104" t="s">
        <v>95</v>
      </c>
      <c r="P376" s="110"/>
      <c r="Q376" s="104" t="s">
        <v>1323</v>
      </c>
      <c r="R376" s="110" t="s">
        <v>1324</v>
      </c>
      <c r="S376" s="110">
        <v>1920.0</v>
      </c>
      <c r="T376" s="110" t="e">
        <v>#N/A</v>
      </c>
      <c r="U376" s="110">
        <v>8.5447E9</v>
      </c>
      <c r="V376" s="112">
        <v>0.0</v>
      </c>
      <c r="W376" s="113">
        <v>30.0</v>
      </c>
      <c r="X376" s="110">
        <v>45.0</v>
      </c>
      <c r="Y376" s="110">
        <v>55.0</v>
      </c>
      <c r="Z376" s="110" t="s">
        <v>99</v>
      </c>
      <c r="AA376" s="114">
        <f t="shared" si="561"/>
        <v>3.331715995</v>
      </c>
      <c r="AB376" s="115"/>
      <c r="AC376" s="212">
        <f t="shared" si="579"/>
        <v>2.607332499</v>
      </c>
      <c r="AD376" s="213">
        <f t="shared" si="244"/>
        <v>2.803583333</v>
      </c>
      <c r="AE376" s="212"/>
      <c r="AF376" s="212" t="str">
        <f t="shared" si="94"/>
        <v>#REF!</v>
      </c>
      <c r="AG376" s="210" t="str">
        <f t="shared" si="95"/>
        <v>#REF!</v>
      </c>
      <c r="AH376" s="120" t="str">
        <f t="shared" si="96"/>
        <v>#REF!</v>
      </c>
      <c r="AI376" s="121">
        <f t="shared" si="497"/>
        <v>0.1</v>
      </c>
      <c r="AJ376" s="121">
        <v>0.1</v>
      </c>
      <c r="AK376" s="122">
        <v>0.33</v>
      </c>
      <c r="AL376" s="123">
        <f t="shared" si="11"/>
        <v>0.8604197248</v>
      </c>
      <c r="AM376" s="122" t="s">
        <v>10</v>
      </c>
      <c r="AN376" s="125">
        <f t="shared" si="580"/>
        <v>2.607332499</v>
      </c>
      <c r="AO376" s="112">
        <f t="shared" si="581"/>
        <v>0.33</v>
      </c>
      <c r="AP376" s="127"/>
      <c r="AQ376" s="128">
        <f t="shared" ref="AQ376:AR376" si="599">BC376/(1-AI376)</f>
        <v>2.165615397</v>
      </c>
      <c r="AR376" s="139">
        <f t="shared" si="599"/>
        <v>1.941014194</v>
      </c>
      <c r="AS376" s="126">
        <f t="shared" si="583"/>
        <v>0.35</v>
      </c>
      <c r="AT376" s="126">
        <f t="shared" si="584"/>
        <v>0.2555555556</v>
      </c>
      <c r="AU376" s="129"/>
      <c r="AV376" s="39" t="s">
        <v>1275</v>
      </c>
      <c r="AW376" s="130"/>
      <c r="AX376" s="140"/>
      <c r="AY376" s="140"/>
      <c r="AZ376" s="130"/>
      <c r="BA376" s="130">
        <v>13.39</v>
      </c>
      <c r="BB376" s="130">
        <f t="shared" si="585"/>
        <v>13.39</v>
      </c>
      <c r="BC376" s="131">
        <f t="shared" si="586"/>
        <v>1.949053857</v>
      </c>
      <c r="BD376" s="132">
        <f t="shared" si="587"/>
        <v>1.746912775</v>
      </c>
      <c r="BE376" s="39"/>
      <c r="BF376" s="134">
        <v>8.5447E9</v>
      </c>
      <c r="BG376" s="49"/>
      <c r="BH376" s="212">
        <f t="shared" si="571"/>
        <v>8.691108331</v>
      </c>
      <c r="BI376" s="212">
        <f t="shared" si="492"/>
        <v>5.214664999</v>
      </c>
      <c r="BJ376" s="212">
        <f t="shared" si="572"/>
        <v>4.345554165</v>
      </c>
      <c r="BK376" s="212">
        <f t="shared" si="573"/>
        <v>3.476443332</v>
      </c>
      <c r="BL376" s="49"/>
      <c r="BM376" s="49"/>
      <c r="BN376" s="49"/>
      <c r="BO376" s="49"/>
      <c r="BP376" s="49"/>
      <c r="BQ376" s="49"/>
      <c r="BR376" s="49"/>
      <c r="BS376" s="49"/>
      <c r="BT376" s="49"/>
      <c r="BU376" s="49"/>
      <c r="BV376" s="49"/>
      <c r="BW376" s="49"/>
      <c r="BX376" s="49"/>
      <c r="BY376" s="49"/>
      <c r="BZ376" s="49"/>
      <c r="CA376" s="49"/>
      <c r="CB376" s="49"/>
      <c r="CC376" s="49"/>
      <c r="CD376" s="49"/>
      <c r="CE376" s="49"/>
      <c r="CF376" s="49"/>
    </row>
    <row r="377" ht="14.25" customHeight="1">
      <c r="A377" s="103" t="s">
        <v>84</v>
      </c>
      <c r="B377" s="103" t="s">
        <v>120</v>
      </c>
      <c r="C377" s="103" t="s">
        <v>120</v>
      </c>
      <c r="D377" s="103" t="s">
        <v>1266</v>
      </c>
      <c r="E377" s="103" t="s">
        <v>1317</v>
      </c>
      <c r="F377" s="104" t="s">
        <v>1367</v>
      </c>
      <c r="G377" s="110" t="s">
        <v>1465</v>
      </c>
      <c r="H377" s="110"/>
      <c r="I377" s="107"/>
      <c r="J377" s="220" t="s">
        <v>1508</v>
      </c>
      <c r="K377" s="220" t="str">
        <f>_xlfn.XLOOKUP(J377,[1]Sheet1!$A:$A,[1]Sheet1!$B:$B,"")</f>
        <v>#ERROR!</v>
      </c>
      <c r="L377" s="103" t="s">
        <v>1509</v>
      </c>
      <c r="M377" s="103" t="s">
        <v>1510</v>
      </c>
      <c r="N377" s="110"/>
      <c r="O377" s="104" t="s">
        <v>95</v>
      </c>
      <c r="P377" s="110"/>
      <c r="Q377" s="104" t="s">
        <v>1323</v>
      </c>
      <c r="R377" s="110" t="s">
        <v>1324</v>
      </c>
      <c r="S377" s="110">
        <v>1920.0</v>
      </c>
      <c r="T377" s="110" t="e">
        <v>#N/A</v>
      </c>
      <c r="U377" s="110">
        <v>8.5447E9</v>
      </c>
      <c r="V377" s="112">
        <v>0.0</v>
      </c>
      <c r="W377" s="113">
        <v>30.0</v>
      </c>
      <c r="X377" s="110">
        <v>45.0</v>
      </c>
      <c r="Y377" s="110">
        <v>55.0</v>
      </c>
      <c r="Z377" s="110" t="s">
        <v>99</v>
      </c>
      <c r="AA377" s="114">
        <f t="shared" si="561"/>
        <v>4.035880018</v>
      </c>
      <c r="AB377" s="115"/>
      <c r="AC377" s="212">
        <f t="shared" si="579"/>
        <v>3.141967092</v>
      </c>
      <c r="AD377" s="213">
        <f t="shared" si="244"/>
        <v>3.378459238</v>
      </c>
      <c r="AE377" s="212"/>
      <c r="AF377" s="212" t="str">
        <f t="shared" si="94"/>
        <v>#REF!</v>
      </c>
      <c r="AG377" s="210" t="str">
        <f t="shared" si="95"/>
        <v>#REF!</v>
      </c>
      <c r="AH377" s="120" t="str">
        <f t="shared" si="96"/>
        <v>#REF!</v>
      </c>
      <c r="AI377" s="121">
        <f t="shared" si="497"/>
        <v>0.1</v>
      </c>
      <c r="AJ377" s="121">
        <v>0.1</v>
      </c>
      <c r="AK377" s="122">
        <v>0.33</v>
      </c>
      <c r="AL377" s="123">
        <f t="shared" si="11"/>
        <v>1.03684914</v>
      </c>
      <c r="AM377" s="122" t="s">
        <v>10</v>
      </c>
      <c r="AN377" s="125">
        <f t="shared" si="580"/>
        <v>3.141967092</v>
      </c>
      <c r="AO377" s="112">
        <f t="shared" si="581"/>
        <v>0.33</v>
      </c>
      <c r="AP377" s="127"/>
      <c r="AQ377" s="128">
        <f t="shared" ref="AQ377:AR377" si="600">BC377/(1-AI377)</f>
        <v>2.623322012</v>
      </c>
      <c r="AR377" s="139">
        <f t="shared" si="600"/>
        <v>2.339019946</v>
      </c>
      <c r="AS377" s="126">
        <f t="shared" si="583"/>
        <v>0.35</v>
      </c>
      <c r="AT377" s="126">
        <f t="shared" si="584"/>
        <v>0.2555555556</v>
      </c>
      <c r="AU377" s="129"/>
      <c r="AV377" s="39" t="s">
        <v>1275</v>
      </c>
      <c r="AW377" s="130"/>
      <c r="AX377" s="140"/>
      <c r="AY377" s="140"/>
      <c r="AZ377" s="130"/>
      <c r="BA377" s="130">
        <v>16.22</v>
      </c>
      <c r="BB377" s="130">
        <f t="shared" si="585"/>
        <v>16.22</v>
      </c>
      <c r="BC377" s="131">
        <f t="shared" si="586"/>
        <v>2.360989811</v>
      </c>
      <c r="BD377" s="132">
        <f t="shared" si="587"/>
        <v>2.105117951</v>
      </c>
      <c r="BE377" s="39"/>
      <c r="BF377" s="134">
        <v>8.5447E9</v>
      </c>
      <c r="BG377" s="49"/>
      <c r="BH377" s="212">
        <f t="shared" si="571"/>
        <v>10.47322364</v>
      </c>
      <c r="BI377" s="212">
        <f t="shared" si="492"/>
        <v>6.283934183</v>
      </c>
      <c r="BJ377" s="212">
        <f t="shared" si="572"/>
        <v>5.236611819</v>
      </c>
      <c r="BK377" s="212">
        <f t="shared" si="573"/>
        <v>4.189289456</v>
      </c>
      <c r="BL377" s="49"/>
      <c r="BM377" s="49"/>
      <c r="BN377" s="49"/>
      <c r="BO377" s="49"/>
      <c r="BP377" s="49"/>
      <c r="BQ377" s="49"/>
      <c r="BR377" s="49"/>
      <c r="BS377" s="49"/>
      <c r="BT377" s="49"/>
      <c r="BU377" s="49"/>
      <c r="BV377" s="49"/>
      <c r="BW377" s="49"/>
      <c r="BX377" s="49"/>
      <c r="BY377" s="49"/>
      <c r="BZ377" s="49"/>
      <c r="CA377" s="49"/>
      <c r="CB377" s="49"/>
      <c r="CC377" s="49"/>
      <c r="CD377" s="49"/>
      <c r="CE377" s="49"/>
      <c r="CF377" s="49"/>
    </row>
    <row r="378" ht="14.25" customHeight="1">
      <c r="A378" s="103" t="s">
        <v>84</v>
      </c>
      <c r="B378" s="103" t="s">
        <v>120</v>
      </c>
      <c r="C378" s="103" t="s">
        <v>120</v>
      </c>
      <c r="D378" s="103" t="s">
        <v>1266</v>
      </c>
      <c r="E378" s="103" t="s">
        <v>1317</v>
      </c>
      <c r="F378" s="104" t="s">
        <v>1367</v>
      </c>
      <c r="G378" s="110" t="s">
        <v>1465</v>
      </c>
      <c r="H378" s="110"/>
      <c r="I378" s="107"/>
      <c r="J378" s="220" t="s">
        <v>1511</v>
      </c>
      <c r="K378" s="220" t="str">
        <f>_xlfn.XLOOKUP(J378,[1]Sheet1!$A:$A,[1]Sheet1!$B:$B,"")</f>
        <v>#ERROR!</v>
      </c>
      <c r="L378" s="103" t="s">
        <v>1512</v>
      </c>
      <c r="M378" s="103" t="s">
        <v>1513</v>
      </c>
      <c r="N378" s="110"/>
      <c r="O378" s="104" t="s">
        <v>95</v>
      </c>
      <c r="P378" s="110"/>
      <c r="Q378" s="104" t="s">
        <v>1323</v>
      </c>
      <c r="R378" s="110" t="s">
        <v>1324</v>
      </c>
      <c r="S378" s="110">
        <v>1440.0</v>
      </c>
      <c r="T378" s="110" t="e">
        <v>#N/A</v>
      </c>
      <c r="U378" s="110">
        <v>8.5447E9</v>
      </c>
      <c r="V378" s="112">
        <v>0.0</v>
      </c>
      <c r="W378" s="113">
        <v>30.0</v>
      </c>
      <c r="X378" s="110">
        <v>45.0</v>
      </c>
      <c r="Y378" s="110">
        <v>55.0</v>
      </c>
      <c r="Z378" s="110" t="s">
        <v>99</v>
      </c>
      <c r="AA378" s="114">
        <f t="shared" si="561"/>
        <v>5.441719852</v>
      </c>
      <c r="AB378" s="115"/>
      <c r="AC378" s="212">
        <f t="shared" si="579"/>
        <v>4.235259214</v>
      </c>
      <c r="AD378" s="213">
        <f t="shared" si="244"/>
        <v>4.554042166</v>
      </c>
      <c r="AE378" s="212"/>
      <c r="AF378" s="212" t="str">
        <f t="shared" si="94"/>
        <v>#REF!</v>
      </c>
      <c r="AG378" s="210" t="str">
        <f t="shared" si="95"/>
        <v>#REF!</v>
      </c>
      <c r="AH378" s="120" t="str">
        <f t="shared" si="96"/>
        <v>#REF!</v>
      </c>
      <c r="AI378" s="121">
        <f t="shared" si="497"/>
        <v>0.1</v>
      </c>
      <c r="AJ378" s="121">
        <v>0.1</v>
      </c>
      <c r="AK378" s="122">
        <v>0.33</v>
      </c>
      <c r="AL378" s="123">
        <f t="shared" si="11"/>
        <v>1.397635541</v>
      </c>
      <c r="AM378" s="122" t="s">
        <v>10</v>
      </c>
      <c r="AN378" s="125">
        <f t="shared" si="580"/>
        <v>4.235259214</v>
      </c>
      <c r="AO378" s="112">
        <f t="shared" si="581"/>
        <v>0.33</v>
      </c>
      <c r="AP378" s="127"/>
      <c r="AQ378" s="128">
        <f t="shared" ref="AQ378:AR378" si="601">BC378/(1-AI378)</f>
        <v>3.537117904</v>
      </c>
      <c r="AR378" s="139">
        <f t="shared" si="601"/>
        <v>3.152915193</v>
      </c>
      <c r="AS378" s="126">
        <f t="shared" si="583"/>
        <v>0.35</v>
      </c>
      <c r="AT378" s="126">
        <f t="shared" si="584"/>
        <v>0.2555555556</v>
      </c>
      <c r="AU378" s="129"/>
      <c r="AV378" s="39" t="s">
        <v>1275</v>
      </c>
      <c r="AW378" s="130"/>
      <c r="AX378" s="140"/>
      <c r="AY378" s="140"/>
      <c r="AZ378" s="130"/>
      <c r="BA378" s="130">
        <v>21.87</v>
      </c>
      <c r="BB378" s="130">
        <f t="shared" si="585"/>
        <v>21.87</v>
      </c>
      <c r="BC378" s="131">
        <f t="shared" si="586"/>
        <v>3.183406114</v>
      </c>
      <c r="BD378" s="132">
        <f t="shared" si="587"/>
        <v>2.837623674</v>
      </c>
      <c r="BE378" s="39"/>
      <c r="BF378" s="134">
        <v>8.5447E9</v>
      </c>
      <c r="BG378" s="49"/>
      <c r="BH378" s="212">
        <f t="shared" si="571"/>
        <v>14.11753071</v>
      </c>
      <c r="BI378" s="212">
        <f t="shared" si="492"/>
        <v>8.470518429</v>
      </c>
      <c r="BJ378" s="212">
        <f t="shared" si="572"/>
        <v>7.058765357</v>
      </c>
      <c r="BK378" s="212">
        <f t="shared" si="573"/>
        <v>5.647012286</v>
      </c>
      <c r="BL378" s="49"/>
      <c r="BM378" s="49"/>
      <c r="BN378" s="49"/>
      <c r="BO378" s="49"/>
      <c r="BP378" s="49"/>
      <c r="BQ378" s="49"/>
      <c r="BR378" s="49"/>
      <c r="BS378" s="49"/>
      <c r="BT378" s="49"/>
      <c r="BU378" s="49"/>
      <c r="BV378" s="49"/>
      <c r="BW378" s="49"/>
      <c r="BX378" s="49"/>
      <c r="BY378" s="49"/>
      <c r="BZ378" s="49"/>
      <c r="CA378" s="49"/>
      <c r="CB378" s="49"/>
      <c r="CC378" s="49"/>
      <c r="CD378" s="49"/>
      <c r="CE378" s="49"/>
      <c r="CF378" s="49"/>
    </row>
    <row r="379" ht="14.25" customHeight="1">
      <c r="A379" s="103" t="s">
        <v>84</v>
      </c>
      <c r="B379" s="103" t="s">
        <v>120</v>
      </c>
      <c r="C379" s="103" t="s">
        <v>120</v>
      </c>
      <c r="D379" s="103" t="s">
        <v>1266</v>
      </c>
      <c r="E379" s="103" t="s">
        <v>1317</v>
      </c>
      <c r="F379" s="104" t="s">
        <v>1367</v>
      </c>
      <c r="G379" s="110" t="s">
        <v>1465</v>
      </c>
      <c r="H379" s="110"/>
      <c r="I379" s="107"/>
      <c r="J379" s="220" t="s">
        <v>1514</v>
      </c>
      <c r="K379" s="220" t="str">
        <f>_xlfn.XLOOKUP(J379,[1]Sheet1!$A:$A,[1]Sheet1!$B:$B,"")</f>
        <v>#ERROR!</v>
      </c>
      <c r="L379" s="103" t="s">
        <v>1515</v>
      </c>
      <c r="M379" s="103" t="s">
        <v>1516</v>
      </c>
      <c r="N379" s="110"/>
      <c r="O379" s="104" t="s">
        <v>95</v>
      </c>
      <c r="P379" s="110"/>
      <c r="Q379" s="104" t="s">
        <v>1323</v>
      </c>
      <c r="R379" s="110" t="s">
        <v>1324</v>
      </c>
      <c r="S379" s="110">
        <v>720.0</v>
      </c>
      <c r="T379" s="110" t="e">
        <v>#N/A</v>
      </c>
      <c r="U379" s="110">
        <v>8.5447E9</v>
      </c>
      <c r="V379" s="112">
        <v>0.0</v>
      </c>
      <c r="W379" s="113">
        <v>30.0</v>
      </c>
      <c r="X379" s="110">
        <v>45.0</v>
      </c>
      <c r="Y379" s="110">
        <v>55.0</v>
      </c>
      <c r="Z379" s="110" t="s">
        <v>99</v>
      </c>
      <c r="AA379" s="114">
        <f t="shared" si="561"/>
        <v>9.350701054</v>
      </c>
      <c r="AB379" s="115"/>
      <c r="AC379" s="212">
        <f t="shared" si="579"/>
        <v>7.306790835</v>
      </c>
      <c r="AD379" s="213">
        <f t="shared" si="244"/>
        <v>7.856764339</v>
      </c>
      <c r="AE379" s="212"/>
      <c r="AF379" s="212" t="str">
        <f t="shared" si="94"/>
        <v>#REF!</v>
      </c>
      <c r="AG379" s="210" t="str">
        <f t="shared" si="95"/>
        <v>#REF!</v>
      </c>
      <c r="AH379" s="120" t="str">
        <f t="shared" si="96"/>
        <v>#REF!</v>
      </c>
      <c r="AI379" s="121">
        <f t="shared" si="497"/>
        <v>0.1</v>
      </c>
      <c r="AJ379" s="121">
        <v>0.1</v>
      </c>
      <c r="AK379" s="122">
        <v>0.33</v>
      </c>
      <c r="AL379" s="123">
        <f t="shared" si="11"/>
        <v>2.411240976</v>
      </c>
      <c r="AM379" s="122" t="s">
        <v>10</v>
      </c>
      <c r="AN379" s="125">
        <f t="shared" si="580"/>
        <v>7.306790835</v>
      </c>
      <c r="AO379" s="112">
        <f t="shared" si="581"/>
        <v>0.33</v>
      </c>
      <c r="AP379" s="127"/>
      <c r="AQ379" s="128">
        <f t="shared" ref="AQ379:AR379" si="602">BC379/(1-AI379)</f>
        <v>6.077955685</v>
      </c>
      <c r="AR379" s="139">
        <f t="shared" si="602"/>
        <v>5.439499844</v>
      </c>
      <c r="AS379" s="126">
        <f t="shared" si="583"/>
        <v>0.35</v>
      </c>
      <c r="AT379" s="126">
        <f t="shared" si="584"/>
        <v>0.2555555556</v>
      </c>
      <c r="AU379" s="129"/>
      <c r="AV379" s="39" t="s">
        <v>1275</v>
      </c>
      <c r="AW379" s="130"/>
      <c r="AX379" s="140"/>
      <c r="AY379" s="140"/>
      <c r="AZ379" s="130"/>
      <c r="BA379" s="130">
        <v>37.58</v>
      </c>
      <c r="BB379" s="130">
        <f t="shared" si="585"/>
        <v>37.58</v>
      </c>
      <c r="BC379" s="131">
        <f t="shared" si="586"/>
        <v>5.470160116</v>
      </c>
      <c r="BD379" s="132">
        <f t="shared" si="587"/>
        <v>4.89554986</v>
      </c>
      <c r="BE379" s="39"/>
      <c r="BF379" s="134">
        <v>8.5447E9</v>
      </c>
      <c r="BG379" s="49"/>
      <c r="BH379" s="224">
        <f t="shared" si="571"/>
        <v>24.35596945</v>
      </c>
      <c r="BI379" s="224">
        <f t="shared" si="492"/>
        <v>14.61358167</v>
      </c>
      <c r="BJ379" s="224">
        <f t="shared" si="572"/>
        <v>12.17798473</v>
      </c>
      <c r="BK379" s="224">
        <f t="shared" si="573"/>
        <v>9.742387781</v>
      </c>
      <c r="BL379" s="49"/>
      <c r="BM379" s="49"/>
      <c r="BN379" s="49"/>
      <c r="BO379" s="49"/>
      <c r="BP379" s="49"/>
      <c r="BQ379" s="49"/>
      <c r="BR379" s="49"/>
      <c r="BS379" s="49"/>
      <c r="BT379" s="49"/>
      <c r="BU379" s="49"/>
      <c r="BV379" s="49"/>
      <c r="BW379" s="49"/>
      <c r="BX379" s="49"/>
      <c r="BY379" s="49"/>
      <c r="BZ379" s="49"/>
      <c r="CA379" s="49"/>
      <c r="CB379" s="49"/>
      <c r="CC379" s="49"/>
      <c r="CD379" s="49"/>
      <c r="CE379" s="49"/>
      <c r="CF379" s="49"/>
    </row>
    <row r="380" ht="14.25" customHeight="1">
      <c r="A380" s="103" t="s">
        <v>84</v>
      </c>
      <c r="B380" s="103" t="s">
        <v>120</v>
      </c>
      <c r="C380" s="103" t="s">
        <v>120</v>
      </c>
      <c r="D380" s="103" t="s">
        <v>1266</v>
      </c>
      <c r="E380" s="103" t="s">
        <v>1317</v>
      </c>
      <c r="F380" s="104" t="s">
        <v>1367</v>
      </c>
      <c r="G380" s="110" t="s">
        <v>1465</v>
      </c>
      <c r="H380" s="110"/>
      <c r="I380" s="107"/>
      <c r="J380" s="220" t="s">
        <v>1517</v>
      </c>
      <c r="K380" s="220" t="str">
        <f>_xlfn.XLOOKUP(J380,[1]Sheet1!$A:$A,[1]Sheet1!$B:$B,"")</f>
        <v>#ERROR!</v>
      </c>
      <c r="L380" s="103" t="s">
        <v>1518</v>
      </c>
      <c r="M380" s="103" t="s">
        <v>1519</v>
      </c>
      <c r="N380" s="110"/>
      <c r="O380" s="104" t="s">
        <v>95</v>
      </c>
      <c r="P380" s="110"/>
      <c r="Q380" s="104" t="s">
        <v>1323</v>
      </c>
      <c r="R380" s="110" t="s">
        <v>1324</v>
      </c>
      <c r="S380" s="110">
        <v>480.0</v>
      </c>
      <c r="T380" s="110" t="e">
        <v>#N/A</v>
      </c>
      <c r="U380" s="110">
        <v>8.5447E9</v>
      </c>
      <c r="V380" s="112">
        <v>0.0</v>
      </c>
      <c r="W380" s="113">
        <v>30.0</v>
      </c>
      <c r="X380" s="110">
        <v>45.0</v>
      </c>
      <c r="Y380" s="110">
        <v>55.0</v>
      </c>
      <c r="Z380" s="110" t="s">
        <v>99</v>
      </c>
      <c r="AA380" s="114">
        <f t="shared" si="561"/>
        <v>12.97104965</v>
      </c>
      <c r="AB380" s="115"/>
      <c r="AC380" s="212">
        <f t="shared" si="579"/>
        <v>10.15917895</v>
      </c>
      <c r="AD380" s="213">
        <f t="shared" si="244"/>
        <v>10.92384833</v>
      </c>
      <c r="AE380" s="212"/>
      <c r="AF380" s="212" t="str">
        <f t="shared" si="94"/>
        <v>#REF!</v>
      </c>
      <c r="AG380" s="210" t="str">
        <f t="shared" si="95"/>
        <v>#REF!</v>
      </c>
      <c r="AH380" s="120" t="str">
        <f t="shared" si="96"/>
        <v>#REF!</v>
      </c>
      <c r="AI380" s="121">
        <f t="shared" si="497"/>
        <v>0.1</v>
      </c>
      <c r="AJ380" s="121">
        <v>0.1</v>
      </c>
      <c r="AK380" s="122">
        <v>0.33</v>
      </c>
      <c r="AL380" s="123">
        <f t="shared" si="11"/>
        <v>3.352529053</v>
      </c>
      <c r="AM380" s="122" t="s">
        <v>10</v>
      </c>
      <c r="AN380" s="125">
        <f t="shared" si="580"/>
        <v>10.15917895</v>
      </c>
      <c r="AO380" s="112">
        <f t="shared" si="581"/>
        <v>0.33</v>
      </c>
      <c r="AP380" s="127"/>
      <c r="AQ380" s="128">
        <f t="shared" ref="AQ380:AR380" si="603">BC380/(1-AI380)</f>
        <v>8.431182274</v>
      </c>
      <c r="AR380" s="139">
        <f t="shared" si="603"/>
        <v>7.562944328</v>
      </c>
      <c r="AS380" s="126">
        <f t="shared" si="583"/>
        <v>0.35</v>
      </c>
      <c r="AT380" s="126">
        <f t="shared" si="584"/>
        <v>0.2555555556</v>
      </c>
      <c r="AU380" s="129"/>
      <c r="AV380" s="39" t="s">
        <v>1275</v>
      </c>
      <c r="AW380" s="130"/>
      <c r="AX380" s="140"/>
      <c r="AY380" s="140"/>
      <c r="AZ380" s="130"/>
      <c r="BA380" s="130">
        <v>52.13</v>
      </c>
      <c r="BB380" s="130">
        <f t="shared" si="585"/>
        <v>52.13</v>
      </c>
      <c r="BC380" s="131">
        <f t="shared" si="586"/>
        <v>7.588064047</v>
      </c>
      <c r="BD380" s="132">
        <f t="shared" si="587"/>
        <v>6.806649896</v>
      </c>
      <c r="BE380" s="39"/>
      <c r="BF380" s="134">
        <v>8.5447E9</v>
      </c>
      <c r="BG380" s="49"/>
      <c r="BH380" s="224">
        <f t="shared" si="571"/>
        <v>33.86392983</v>
      </c>
      <c r="BI380" s="224">
        <f t="shared" si="492"/>
        <v>20.3183579</v>
      </c>
      <c r="BJ380" s="224">
        <f t="shared" si="572"/>
        <v>16.93196491</v>
      </c>
      <c r="BK380" s="224">
        <f t="shared" si="573"/>
        <v>13.54557193</v>
      </c>
      <c r="BL380" s="49"/>
      <c r="BM380" s="49"/>
      <c r="BN380" s="49"/>
      <c r="BO380" s="49"/>
      <c r="BP380" s="49"/>
      <c r="BQ380" s="49"/>
      <c r="BR380" s="49"/>
      <c r="BS380" s="49"/>
      <c r="BT380" s="49"/>
      <c r="BU380" s="49"/>
      <c r="BV380" s="49"/>
      <c r="BW380" s="49"/>
      <c r="BX380" s="49"/>
      <c r="BY380" s="49"/>
      <c r="BZ380" s="49"/>
      <c r="CA380" s="49"/>
      <c r="CB380" s="49"/>
      <c r="CC380" s="49"/>
      <c r="CD380" s="49"/>
      <c r="CE380" s="49"/>
      <c r="CF380" s="49"/>
    </row>
    <row r="381" ht="14.25" customHeight="1">
      <c r="A381" s="103" t="s">
        <v>84</v>
      </c>
      <c r="B381" s="103" t="s">
        <v>120</v>
      </c>
      <c r="C381" s="103" t="s">
        <v>120</v>
      </c>
      <c r="D381" s="103" t="s">
        <v>1266</v>
      </c>
      <c r="E381" s="103" t="s">
        <v>1317</v>
      </c>
      <c r="F381" s="104" t="s">
        <v>1318</v>
      </c>
      <c r="G381" s="110" t="s">
        <v>1520</v>
      </c>
      <c r="H381" s="110"/>
      <c r="I381" s="107"/>
      <c r="J381" s="220" t="s">
        <v>1521</v>
      </c>
      <c r="K381" s="220" t="str">
        <f>_xlfn.XLOOKUP(J381,[1]Sheet1!$A:$A,[1]Sheet1!$B:$B,"")</f>
        <v>#ERROR!</v>
      </c>
      <c r="L381" s="103" t="s">
        <v>1522</v>
      </c>
      <c r="M381" s="103" t="s">
        <v>1523</v>
      </c>
      <c r="N381" s="110"/>
      <c r="O381" s="104" t="s">
        <v>95</v>
      </c>
      <c r="P381" s="110"/>
      <c r="Q381" s="104" t="s">
        <v>1323</v>
      </c>
      <c r="R381" s="110" t="s">
        <v>1324</v>
      </c>
      <c r="S381" s="110">
        <v>2160.0</v>
      </c>
      <c r="T381" s="110" t="e">
        <v>#N/A</v>
      </c>
      <c r="U381" s="110">
        <v>8.5447E9</v>
      </c>
      <c r="V381" s="112">
        <v>0.0</v>
      </c>
      <c r="W381" s="113">
        <v>30.0</v>
      </c>
      <c r="X381" s="110">
        <v>45.0</v>
      </c>
      <c r="Y381" s="110">
        <v>55.0</v>
      </c>
      <c r="Z381" s="110" t="s">
        <v>99</v>
      </c>
      <c r="AA381" s="114">
        <f t="shared" si="561"/>
        <v>5.000269556</v>
      </c>
      <c r="AB381" s="115"/>
      <c r="AC381" s="212">
        <f t="shared" si="579"/>
        <v>3.849316851</v>
      </c>
      <c r="AD381" s="213">
        <f t="shared" si="244"/>
        <v>4.139050377</v>
      </c>
      <c r="AE381" s="212"/>
      <c r="AF381" s="212" t="str">
        <f t="shared" si="94"/>
        <v>#REF!</v>
      </c>
      <c r="AG381" s="210" t="str">
        <f t="shared" si="95"/>
        <v>#REF!</v>
      </c>
      <c r="AH381" s="120" t="str">
        <f t="shared" si="96"/>
        <v>#REF!</v>
      </c>
      <c r="AI381" s="121">
        <f t="shared" si="497"/>
        <v>0.1</v>
      </c>
      <c r="AJ381" s="121">
        <v>0.1</v>
      </c>
      <c r="AK381" s="122">
        <v>0.5</v>
      </c>
      <c r="AL381" s="123">
        <f t="shared" si="11"/>
        <v>1.924658425</v>
      </c>
      <c r="AM381" s="122" t="s">
        <v>10</v>
      </c>
      <c r="AN381" s="125">
        <f t="shared" si="580"/>
        <v>3.849316851</v>
      </c>
      <c r="AO381" s="112">
        <f t="shared" si="581"/>
        <v>0.5</v>
      </c>
      <c r="AP381" s="127"/>
      <c r="AQ381" s="128">
        <f t="shared" ref="AQ381:AR381" si="604">BC381/(1-AI381)</f>
        <v>2.400129387</v>
      </c>
      <c r="AR381" s="139">
        <f t="shared" si="604"/>
        <v>2.138509361</v>
      </c>
      <c r="AS381" s="126">
        <f t="shared" si="583"/>
        <v>0.52</v>
      </c>
      <c r="AT381" s="126">
        <f t="shared" si="584"/>
        <v>0.4444444444</v>
      </c>
      <c r="AU381" s="129"/>
      <c r="AV381" s="39" t="s">
        <v>1275</v>
      </c>
      <c r="AW381" s="130"/>
      <c r="AX381" s="140"/>
      <c r="AY381" s="140"/>
      <c r="AZ381" s="130">
        <v>5.04</v>
      </c>
      <c r="BA381" s="130">
        <v>9.8</v>
      </c>
      <c r="BB381" s="130">
        <f t="shared" si="585"/>
        <v>14.84</v>
      </c>
      <c r="BC381" s="131">
        <f t="shared" si="586"/>
        <v>2.160116448</v>
      </c>
      <c r="BD381" s="132">
        <f t="shared" si="587"/>
        <v>1.924658425</v>
      </c>
      <c r="BE381" s="39"/>
      <c r="BF381" s="134">
        <v>8.5447E9</v>
      </c>
      <c r="BG381" s="49"/>
      <c r="BH381" s="224">
        <f t="shared" si="571"/>
        <v>12.83105617</v>
      </c>
      <c r="BI381" s="224">
        <f t="shared" si="492"/>
        <v>7.698633701</v>
      </c>
      <c r="BJ381" s="224">
        <f t="shared" si="572"/>
        <v>6.415528084</v>
      </c>
      <c r="BK381" s="224">
        <f t="shared" si="573"/>
        <v>5.132422467</v>
      </c>
      <c r="BL381" s="49"/>
      <c r="BM381" s="49"/>
      <c r="BN381" s="49"/>
      <c r="BO381" s="49"/>
      <c r="BP381" s="49"/>
      <c r="BQ381" s="49"/>
      <c r="BR381" s="49"/>
      <c r="BS381" s="49"/>
      <c r="BT381" s="49"/>
      <c r="BU381" s="49"/>
      <c r="BV381" s="49"/>
      <c r="BW381" s="49"/>
      <c r="BX381" s="49"/>
      <c r="BY381" s="49"/>
      <c r="BZ381" s="49"/>
      <c r="CA381" s="49"/>
      <c r="CB381" s="49"/>
      <c r="CC381" s="49"/>
      <c r="CD381" s="49"/>
      <c r="CE381" s="49"/>
      <c r="CF381" s="49"/>
    </row>
    <row r="382" ht="14.25" customHeight="1">
      <c r="A382" s="103" t="s">
        <v>84</v>
      </c>
      <c r="B382" s="103" t="s">
        <v>120</v>
      </c>
      <c r="C382" s="103" t="s">
        <v>120</v>
      </c>
      <c r="D382" s="103" t="s">
        <v>1266</v>
      </c>
      <c r="E382" s="103" t="s">
        <v>1317</v>
      </c>
      <c r="F382" s="104" t="s">
        <v>1318</v>
      </c>
      <c r="G382" s="110" t="s">
        <v>1520</v>
      </c>
      <c r="H382" s="110"/>
      <c r="I382" s="107"/>
      <c r="J382" s="220" t="s">
        <v>1524</v>
      </c>
      <c r="K382" s="220" t="str">
        <f>_xlfn.XLOOKUP(J382,[1]Sheet1!$A:$A,[1]Sheet1!$B:$B,"")</f>
        <v>#ERROR!</v>
      </c>
      <c r="L382" s="103" t="s">
        <v>1525</v>
      </c>
      <c r="M382" s="103" t="s">
        <v>1526</v>
      </c>
      <c r="N382" s="110"/>
      <c r="O382" s="104" t="s">
        <v>95</v>
      </c>
      <c r="P382" s="110"/>
      <c r="Q382" s="104" t="s">
        <v>1323</v>
      </c>
      <c r="R382" s="110" t="s">
        <v>1324</v>
      </c>
      <c r="S382" s="110">
        <v>1920.0</v>
      </c>
      <c r="T382" s="110" t="e">
        <v>#N/A</v>
      </c>
      <c r="U382" s="110">
        <v>8.5447E9</v>
      </c>
      <c r="V382" s="112">
        <v>0.0</v>
      </c>
      <c r="W382" s="113">
        <v>30.0</v>
      </c>
      <c r="X382" s="110">
        <v>45.0</v>
      </c>
      <c r="Y382" s="110">
        <v>55.0</v>
      </c>
      <c r="Z382" s="110" t="s">
        <v>99</v>
      </c>
      <c r="AA382" s="114">
        <f t="shared" si="561"/>
        <v>5.18558952</v>
      </c>
      <c r="AB382" s="115"/>
      <c r="AC382" s="212">
        <f t="shared" si="579"/>
        <v>4.000122619</v>
      </c>
      <c r="AD382" s="213">
        <f t="shared" si="244"/>
        <v>4.301207117</v>
      </c>
      <c r="AE382" s="212"/>
      <c r="AF382" s="212" t="str">
        <f t="shared" si="94"/>
        <v>#REF!</v>
      </c>
      <c r="AG382" s="210" t="str">
        <f t="shared" si="95"/>
        <v>#REF!</v>
      </c>
      <c r="AH382" s="120" t="str">
        <f t="shared" si="96"/>
        <v>#REF!</v>
      </c>
      <c r="AI382" s="121">
        <f t="shared" si="497"/>
        <v>0.1</v>
      </c>
      <c r="AJ382" s="121">
        <v>0.1</v>
      </c>
      <c r="AK382" s="122">
        <v>0.5</v>
      </c>
      <c r="AL382" s="123">
        <f t="shared" si="11"/>
        <v>2.000061309</v>
      </c>
      <c r="AM382" s="122" t="s">
        <v>10</v>
      </c>
      <c r="AN382" s="125">
        <f t="shared" si="580"/>
        <v>4.000122619</v>
      </c>
      <c r="AO382" s="112">
        <f t="shared" si="581"/>
        <v>0.5</v>
      </c>
      <c r="AP382" s="127"/>
      <c r="AQ382" s="128">
        <f t="shared" ref="AQ382:AR382" si="605">BC382/(1-AI382)</f>
        <v>2.489082969</v>
      </c>
      <c r="AR382" s="139">
        <f t="shared" si="605"/>
        <v>2.222290344</v>
      </c>
      <c r="AS382" s="126">
        <f t="shared" si="583"/>
        <v>0.52</v>
      </c>
      <c r="AT382" s="126">
        <f t="shared" si="584"/>
        <v>0.4444444444</v>
      </c>
      <c r="AU382" s="129"/>
      <c r="AV382" s="39" t="s">
        <v>1275</v>
      </c>
      <c r="AW382" s="130"/>
      <c r="AX382" s="140"/>
      <c r="AY382" s="140"/>
      <c r="AZ382" s="130">
        <v>5.04</v>
      </c>
      <c r="BA382" s="130">
        <v>10.35</v>
      </c>
      <c r="BB382" s="130">
        <f t="shared" si="585"/>
        <v>15.39</v>
      </c>
      <c r="BC382" s="131">
        <f t="shared" si="586"/>
        <v>2.240174672</v>
      </c>
      <c r="BD382" s="132">
        <f t="shared" si="587"/>
        <v>2.000061309</v>
      </c>
      <c r="BE382" s="39"/>
      <c r="BF382" s="134">
        <v>8.5447E9</v>
      </c>
      <c r="BG382" s="49"/>
      <c r="BH382" s="224">
        <f t="shared" si="571"/>
        <v>13.33374206</v>
      </c>
      <c r="BI382" s="224">
        <f t="shared" si="492"/>
        <v>8.000245238</v>
      </c>
      <c r="BJ382" s="224">
        <f t="shared" si="572"/>
        <v>6.666871031</v>
      </c>
      <c r="BK382" s="224">
        <f t="shared" si="573"/>
        <v>5.333496825</v>
      </c>
      <c r="BL382" s="49"/>
      <c r="BM382" s="49"/>
      <c r="BN382" s="49"/>
      <c r="BO382" s="49"/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49"/>
      <c r="CA382" s="49"/>
      <c r="CB382" s="49"/>
      <c r="CC382" s="49"/>
      <c r="CD382" s="49"/>
      <c r="CE382" s="49"/>
      <c r="CF382" s="49"/>
    </row>
    <row r="383" ht="14.25" customHeight="1">
      <c r="A383" s="103" t="s">
        <v>84</v>
      </c>
      <c r="B383" s="103" t="s">
        <v>120</v>
      </c>
      <c r="C383" s="103" t="s">
        <v>120</v>
      </c>
      <c r="D383" s="103" t="s">
        <v>1266</v>
      </c>
      <c r="E383" s="103" t="s">
        <v>1317</v>
      </c>
      <c r="F383" s="104" t="s">
        <v>1318</v>
      </c>
      <c r="G383" s="110" t="s">
        <v>1520</v>
      </c>
      <c r="H383" s="110"/>
      <c r="I383" s="107"/>
      <c r="J383" s="220" t="s">
        <v>1527</v>
      </c>
      <c r="K383" s="220" t="str">
        <f>_xlfn.XLOOKUP(J383,[1]Sheet1!$A:$A,[1]Sheet1!$B:$B,"")</f>
        <v>#ERROR!</v>
      </c>
      <c r="L383" s="103" t="s">
        <v>1528</v>
      </c>
      <c r="M383" s="103" t="s">
        <v>1529</v>
      </c>
      <c r="N383" s="110"/>
      <c r="O383" s="104" t="s">
        <v>95</v>
      </c>
      <c r="P383" s="110"/>
      <c r="Q383" s="104" t="s">
        <v>1323</v>
      </c>
      <c r="R383" s="110" t="s">
        <v>1324</v>
      </c>
      <c r="S383" s="110">
        <v>1920.0</v>
      </c>
      <c r="T383" s="110" t="e">
        <v>#N/A</v>
      </c>
      <c r="U383" s="110">
        <v>8.5447E9</v>
      </c>
      <c r="V383" s="112">
        <v>0.0</v>
      </c>
      <c r="W383" s="113">
        <v>30.0</v>
      </c>
      <c r="X383" s="110">
        <v>45.0</v>
      </c>
      <c r="Y383" s="110">
        <v>55.0</v>
      </c>
      <c r="Z383" s="110" t="s">
        <v>99</v>
      </c>
      <c r="AA383" s="114">
        <f t="shared" si="561"/>
        <v>5.370909483</v>
      </c>
      <c r="AB383" s="115"/>
      <c r="AC383" s="212">
        <f t="shared" si="579"/>
        <v>4.139354313</v>
      </c>
      <c r="AD383" s="213">
        <f t="shared" si="244"/>
        <v>4.450918616</v>
      </c>
      <c r="AE383" s="212"/>
      <c r="AF383" s="212" t="str">
        <f t="shared" si="94"/>
        <v>#REF!</v>
      </c>
      <c r="AG383" s="210" t="str">
        <f t="shared" si="95"/>
        <v>#REF!</v>
      </c>
      <c r="AH383" s="120" t="str">
        <f t="shared" si="96"/>
        <v>#REF!</v>
      </c>
      <c r="AI383" s="121">
        <f t="shared" si="497"/>
        <v>0.1</v>
      </c>
      <c r="AJ383" s="121">
        <v>0.1</v>
      </c>
      <c r="AK383" s="122">
        <v>0.5</v>
      </c>
      <c r="AL383" s="123">
        <f t="shared" si="11"/>
        <v>2.069677157</v>
      </c>
      <c r="AM383" s="122" t="s">
        <v>10</v>
      </c>
      <c r="AN383" s="125">
        <f t="shared" si="580"/>
        <v>4.139354313</v>
      </c>
      <c r="AO383" s="112">
        <f t="shared" si="581"/>
        <v>0.5</v>
      </c>
      <c r="AP383" s="127"/>
      <c r="AQ383" s="128">
        <f t="shared" ref="AQ383:AR383" si="606">BC383/(1-AI383)</f>
        <v>2.578036552</v>
      </c>
      <c r="AR383" s="139">
        <f t="shared" si="606"/>
        <v>2.299641285</v>
      </c>
      <c r="AS383" s="126">
        <f t="shared" si="583"/>
        <v>0.52</v>
      </c>
      <c r="AT383" s="126">
        <f t="shared" si="584"/>
        <v>0.4444444444</v>
      </c>
      <c r="AU383" s="129"/>
      <c r="AV383" s="39" t="s">
        <v>1275</v>
      </c>
      <c r="AW383" s="130"/>
      <c r="AX383" s="140"/>
      <c r="AY383" s="140"/>
      <c r="AZ383" s="130">
        <v>5.04</v>
      </c>
      <c r="BA383" s="130">
        <v>10.9</v>
      </c>
      <c r="BB383" s="130">
        <f t="shared" si="585"/>
        <v>15.94</v>
      </c>
      <c r="BC383" s="131">
        <f t="shared" si="586"/>
        <v>2.320232897</v>
      </c>
      <c r="BD383" s="132">
        <f t="shared" si="587"/>
        <v>2.069677157</v>
      </c>
      <c r="BE383" s="39"/>
      <c r="BF383" s="134">
        <v>8.5447E9</v>
      </c>
      <c r="BG383" s="49"/>
      <c r="BH383" s="224">
        <f t="shared" si="571"/>
        <v>13.79784771</v>
      </c>
      <c r="BI383" s="224">
        <f t="shared" si="492"/>
        <v>8.278708626</v>
      </c>
      <c r="BJ383" s="224">
        <f t="shared" si="572"/>
        <v>6.898923855</v>
      </c>
      <c r="BK383" s="224">
        <f t="shared" si="573"/>
        <v>5.519139084</v>
      </c>
      <c r="BL383" s="49"/>
      <c r="BM383" s="49"/>
      <c r="BN383" s="49"/>
      <c r="BO383" s="49"/>
      <c r="BP383" s="49"/>
      <c r="BQ383" s="49"/>
      <c r="BR383" s="49"/>
      <c r="BS383" s="49"/>
      <c r="BT383" s="49"/>
      <c r="BU383" s="49"/>
      <c r="BV383" s="49"/>
      <c r="BW383" s="49"/>
      <c r="BX383" s="49"/>
      <c r="BY383" s="49"/>
      <c r="BZ383" s="49"/>
      <c r="CA383" s="49"/>
      <c r="CB383" s="49"/>
      <c r="CC383" s="49"/>
      <c r="CD383" s="49"/>
      <c r="CE383" s="49"/>
      <c r="CF383" s="49"/>
    </row>
    <row r="384" ht="14.25" customHeight="1">
      <c r="A384" s="103" t="s">
        <v>84</v>
      </c>
      <c r="B384" s="103" t="s">
        <v>120</v>
      </c>
      <c r="C384" s="103" t="s">
        <v>120</v>
      </c>
      <c r="D384" s="103" t="s">
        <v>1266</v>
      </c>
      <c r="E384" s="103" t="s">
        <v>1317</v>
      </c>
      <c r="F384" s="104" t="s">
        <v>1318</v>
      </c>
      <c r="G384" s="110" t="s">
        <v>1520</v>
      </c>
      <c r="H384" s="110"/>
      <c r="I384" s="107"/>
      <c r="J384" s="220" t="s">
        <v>1530</v>
      </c>
      <c r="K384" s="220" t="str">
        <f>_xlfn.XLOOKUP(J384,[1]Sheet1!$A:$A,[1]Sheet1!$B:$B,"")</f>
        <v>#ERROR!</v>
      </c>
      <c r="L384" s="103" t="s">
        <v>1531</v>
      </c>
      <c r="M384" s="103" t="s">
        <v>1532</v>
      </c>
      <c r="N384" s="110"/>
      <c r="O384" s="104" t="s">
        <v>95</v>
      </c>
      <c r="P384" s="110"/>
      <c r="Q384" s="104" t="s">
        <v>1323</v>
      </c>
      <c r="R384" s="110" t="s">
        <v>1324</v>
      </c>
      <c r="S384" s="110">
        <v>1440.0</v>
      </c>
      <c r="T384" s="110" t="e">
        <v>#N/A</v>
      </c>
      <c r="U384" s="110">
        <v>8.5447E9</v>
      </c>
      <c r="V384" s="112">
        <v>0.0</v>
      </c>
      <c r="W384" s="113">
        <v>30.0</v>
      </c>
      <c r="X384" s="110">
        <v>45.0</v>
      </c>
      <c r="Y384" s="110">
        <v>55.0</v>
      </c>
      <c r="Z384" s="110" t="s">
        <v>99</v>
      </c>
      <c r="AA384" s="114">
        <f t="shared" si="561"/>
        <v>5.721332686</v>
      </c>
      <c r="AB384" s="115"/>
      <c r="AC384" s="212">
        <f t="shared" si="579"/>
        <v>4.437351012</v>
      </c>
      <c r="AD384" s="213">
        <f t="shared" si="244"/>
        <v>4.771345174</v>
      </c>
      <c r="AE384" s="212"/>
      <c r="AF384" s="212" t="str">
        <f t="shared" si="94"/>
        <v>#REF!</v>
      </c>
      <c r="AG384" s="210" t="str">
        <f t="shared" si="95"/>
        <v>#REF!</v>
      </c>
      <c r="AH384" s="120" t="str">
        <f t="shared" si="96"/>
        <v>#REF!</v>
      </c>
      <c r="AI384" s="121">
        <f t="shared" si="497"/>
        <v>0.1</v>
      </c>
      <c r="AJ384" s="121">
        <v>0.1</v>
      </c>
      <c r="AK384" s="122">
        <v>0.5</v>
      </c>
      <c r="AL384" s="123">
        <f t="shared" si="11"/>
        <v>2.218675506</v>
      </c>
      <c r="AM384" s="122" t="s">
        <v>10</v>
      </c>
      <c r="AN384" s="125">
        <f t="shared" si="580"/>
        <v>4.437351012</v>
      </c>
      <c r="AO384" s="112">
        <f t="shared" si="581"/>
        <v>0.5</v>
      </c>
      <c r="AP384" s="127"/>
      <c r="AQ384" s="128">
        <f t="shared" ref="AQ384:AR384" si="607">BC384/(1-AI384)</f>
        <v>2.746239689</v>
      </c>
      <c r="AR384" s="139">
        <f t="shared" si="607"/>
        <v>2.465195006</v>
      </c>
      <c r="AS384" s="126">
        <f t="shared" si="583"/>
        <v>0.52</v>
      </c>
      <c r="AT384" s="126">
        <f t="shared" si="584"/>
        <v>0.4444444444</v>
      </c>
      <c r="AU384" s="129"/>
      <c r="AV384" s="39" t="s">
        <v>1275</v>
      </c>
      <c r="AW384" s="130"/>
      <c r="AX384" s="140"/>
      <c r="AY384" s="140"/>
      <c r="AZ384" s="130">
        <v>5.04</v>
      </c>
      <c r="BA384" s="130">
        <v>11.94</v>
      </c>
      <c r="BB384" s="130">
        <f t="shared" si="585"/>
        <v>16.98</v>
      </c>
      <c r="BC384" s="131">
        <f t="shared" si="586"/>
        <v>2.471615721</v>
      </c>
      <c r="BD384" s="132">
        <f t="shared" si="587"/>
        <v>2.218675506</v>
      </c>
      <c r="BE384" s="39"/>
      <c r="BF384" s="134">
        <v>8.5447E9</v>
      </c>
      <c r="BG384" s="49"/>
      <c r="BH384" s="224">
        <f t="shared" si="571"/>
        <v>14.79117004</v>
      </c>
      <c r="BI384" s="224">
        <f t="shared" si="492"/>
        <v>8.874702023</v>
      </c>
      <c r="BJ384" s="224">
        <f t="shared" si="572"/>
        <v>7.395585019</v>
      </c>
      <c r="BK384" s="224">
        <f t="shared" si="573"/>
        <v>5.916468015</v>
      </c>
      <c r="BL384" s="49"/>
      <c r="BM384" s="49"/>
      <c r="BN384" s="49"/>
      <c r="BO384" s="49"/>
      <c r="BP384" s="49"/>
      <c r="BQ384" s="49"/>
      <c r="BR384" s="49"/>
      <c r="BS384" s="49"/>
      <c r="BT384" s="49"/>
      <c r="BU384" s="49"/>
      <c r="BV384" s="49"/>
      <c r="BW384" s="49"/>
      <c r="BX384" s="49"/>
      <c r="BY384" s="49"/>
      <c r="BZ384" s="49"/>
      <c r="CA384" s="49"/>
      <c r="CB384" s="49"/>
      <c r="CC384" s="49"/>
      <c r="CD384" s="49"/>
      <c r="CE384" s="49"/>
      <c r="CF384" s="49"/>
    </row>
    <row r="385" ht="14.25" customHeight="1">
      <c r="A385" s="103" t="s">
        <v>84</v>
      </c>
      <c r="B385" s="103" t="s">
        <v>120</v>
      </c>
      <c r="C385" s="103" t="s">
        <v>120</v>
      </c>
      <c r="D385" s="103" t="s">
        <v>1266</v>
      </c>
      <c r="E385" s="103" t="s">
        <v>1317</v>
      </c>
      <c r="F385" s="104" t="s">
        <v>1318</v>
      </c>
      <c r="G385" s="110" t="s">
        <v>1520</v>
      </c>
      <c r="H385" s="110"/>
      <c r="I385" s="107"/>
      <c r="J385" s="220" t="s">
        <v>1533</v>
      </c>
      <c r="K385" s="220" t="str">
        <f>_xlfn.XLOOKUP(J385,[1]Sheet1!$A:$A,[1]Sheet1!$B:$B,"")</f>
        <v>#ERROR!</v>
      </c>
      <c r="L385" s="103" t="s">
        <v>1534</v>
      </c>
      <c r="M385" s="103" t="s">
        <v>1535</v>
      </c>
      <c r="N385" s="110"/>
      <c r="O385" s="104" t="s">
        <v>95</v>
      </c>
      <c r="P385" s="110"/>
      <c r="Q385" s="104" t="s">
        <v>1323</v>
      </c>
      <c r="R385" s="110" t="s">
        <v>1324</v>
      </c>
      <c r="S385" s="110">
        <v>720.0</v>
      </c>
      <c r="T385" s="110" t="e">
        <v>#N/A</v>
      </c>
      <c r="U385" s="110">
        <v>8.5447E9</v>
      </c>
      <c r="V385" s="112">
        <v>0.0</v>
      </c>
      <c r="W385" s="113">
        <v>30.0</v>
      </c>
      <c r="X385" s="110">
        <v>45.0</v>
      </c>
      <c r="Y385" s="110">
        <v>55.0</v>
      </c>
      <c r="Z385" s="110" t="s">
        <v>99</v>
      </c>
      <c r="AA385" s="114">
        <f t="shared" si="561"/>
        <v>6.476090355</v>
      </c>
      <c r="AB385" s="115"/>
      <c r="AC385" s="212">
        <f t="shared" si="579"/>
        <v>5.143292619</v>
      </c>
      <c r="AD385" s="213">
        <f t="shared" si="244"/>
        <v>5.530422171</v>
      </c>
      <c r="AE385" s="212"/>
      <c r="AF385" s="212" t="str">
        <f t="shared" si="94"/>
        <v>#REF!</v>
      </c>
      <c r="AG385" s="210" t="str">
        <f t="shared" si="95"/>
        <v>#REF!</v>
      </c>
      <c r="AH385" s="120" t="str">
        <f t="shared" si="96"/>
        <v>#REF!</v>
      </c>
      <c r="AI385" s="121">
        <f t="shared" si="497"/>
        <v>0.1</v>
      </c>
      <c r="AJ385" s="121">
        <v>0.1</v>
      </c>
      <c r="AK385" s="122">
        <v>0.5</v>
      </c>
      <c r="AL385" s="123">
        <f t="shared" si="11"/>
        <v>2.571646309</v>
      </c>
      <c r="AM385" s="122" t="s">
        <v>10</v>
      </c>
      <c r="AN385" s="125">
        <f t="shared" si="580"/>
        <v>5.143292619</v>
      </c>
      <c r="AO385" s="112">
        <f t="shared" si="581"/>
        <v>0.5</v>
      </c>
      <c r="AP385" s="127"/>
      <c r="AQ385" s="128">
        <f t="shared" ref="AQ385:AR385" si="608">BC385/(1-AI385)</f>
        <v>3.108523371</v>
      </c>
      <c r="AR385" s="139">
        <f t="shared" si="608"/>
        <v>2.857384788</v>
      </c>
      <c r="AS385" s="126">
        <f t="shared" si="583"/>
        <v>0.52</v>
      </c>
      <c r="AT385" s="126">
        <f t="shared" si="584"/>
        <v>0.4444444444</v>
      </c>
      <c r="AU385" s="129"/>
      <c r="AV385" s="39" t="s">
        <v>1275</v>
      </c>
      <c r="AW385" s="130"/>
      <c r="AX385" s="140"/>
      <c r="AY385" s="140"/>
      <c r="AZ385" s="130">
        <v>5.04</v>
      </c>
      <c r="BA385" s="130">
        <v>14.18</v>
      </c>
      <c r="BB385" s="130">
        <f t="shared" si="585"/>
        <v>19.22</v>
      </c>
      <c r="BC385" s="131">
        <f t="shared" si="586"/>
        <v>2.797671033</v>
      </c>
      <c r="BD385" s="132">
        <f t="shared" si="587"/>
        <v>2.571646309</v>
      </c>
      <c r="BE385" s="39"/>
      <c r="BF385" s="134">
        <v>8.5447E9</v>
      </c>
      <c r="BG385" s="49"/>
      <c r="BH385" s="224">
        <f t="shared" si="571"/>
        <v>17.14430873</v>
      </c>
      <c r="BI385" s="224">
        <f t="shared" si="492"/>
        <v>10.28658524</v>
      </c>
      <c r="BJ385" s="224">
        <f t="shared" si="572"/>
        <v>8.572154364</v>
      </c>
      <c r="BK385" s="224">
        <f t="shared" si="573"/>
        <v>6.857723491</v>
      </c>
      <c r="BL385" s="49"/>
      <c r="BM385" s="49"/>
      <c r="BN385" s="49"/>
      <c r="BO385" s="49"/>
      <c r="BP385" s="49"/>
      <c r="BQ385" s="49"/>
      <c r="BR385" s="49"/>
      <c r="BS385" s="49"/>
      <c r="BT385" s="49"/>
      <c r="BU385" s="49"/>
      <c r="BV385" s="49"/>
      <c r="BW385" s="49"/>
      <c r="BX385" s="49"/>
      <c r="BY385" s="49"/>
      <c r="BZ385" s="49"/>
      <c r="CA385" s="49"/>
      <c r="CB385" s="49"/>
      <c r="CC385" s="49"/>
      <c r="CD385" s="49"/>
      <c r="CE385" s="49"/>
      <c r="CF385" s="49"/>
    </row>
    <row r="386" ht="14.25" customHeight="1">
      <c r="A386" s="103" t="s">
        <v>84</v>
      </c>
      <c r="B386" s="103" t="s">
        <v>120</v>
      </c>
      <c r="C386" s="103" t="s">
        <v>120</v>
      </c>
      <c r="D386" s="103" t="s">
        <v>1266</v>
      </c>
      <c r="E386" s="103" t="s">
        <v>1317</v>
      </c>
      <c r="F386" s="104" t="s">
        <v>1318</v>
      </c>
      <c r="G386" s="110" t="s">
        <v>1520</v>
      </c>
      <c r="H386" s="110"/>
      <c r="I386" s="107"/>
      <c r="J386" s="220" t="s">
        <v>1536</v>
      </c>
      <c r="K386" s="220" t="str">
        <f>_xlfn.XLOOKUP(J386,[1]Sheet1!$A:$A,[1]Sheet1!$B:$B,"")</f>
        <v>#ERROR!</v>
      </c>
      <c r="L386" s="103" t="s">
        <v>1537</v>
      </c>
      <c r="M386" s="103" t="s">
        <v>1538</v>
      </c>
      <c r="N386" s="110"/>
      <c r="O386" s="104" t="s">
        <v>95</v>
      </c>
      <c r="P386" s="110"/>
      <c r="Q386" s="104" t="s">
        <v>1323</v>
      </c>
      <c r="R386" s="110" t="s">
        <v>1324</v>
      </c>
      <c r="S386" s="110">
        <v>480.0</v>
      </c>
      <c r="T386" s="110" t="e">
        <v>#N/A</v>
      </c>
      <c r="U386" s="110">
        <v>8.5447E9</v>
      </c>
      <c r="V386" s="112">
        <v>0.0</v>
      </c>
      <c r="W386" s="113">
        <v>30.0</v>
      </c>
      <c r="X386" s="110">
        <v>45.0</v>
      </c>
      <c r="Y386" s="110">
        <v>55.0</v>
      </c>
      <c r="Z386" s="110" t="s">
        <v>99</v>
      </c>
      <c r="AA386" s="114">
        <f t="shared" si="561"/>
        <v>7.436384711</v>
      </c>
      <c r="AB386" s="115"/>
      <c r="AC386" s="212">
        <f t="shared" si="579"/>
        <v>6.003654832</v>
      </c>
      <c r="AD386" s="213">
        <f t="shared" si="244"/>
        <v>6.45554283</v>
      </c>
      <c r="AE386" s="212"/>
      <c r="AF386" s="212" t="str">
        <f t="shared" si="94"/>
        <v>#REF!</v>
      </c>
      <c r="AG386" s="210" t="str">
        <f t="shared" si="95"/>
        <v>#REF!</v>
      </c>
      <c r="AH386" s="120" t="str">
        <f t="shared" si="96"/>
        <v>#REF!</v>
      </c>
      <c r="AI386" s="121">
        <f t="shared" si="497"/>
        <v>0.1</v>
      </c>
      <c r="AJ386" s="121">
        <v>0.1</v>
      </c>
      <c r="AK386" s="122">
        <v>0.5</v>
      </c>
      <c r="AL386" s="123">
        <f t="shared" si="11"/>
        <v>3.001827416</v>
      </c>
      <c r="AM386" s="122" t="s">
        <v>10</v>
      </c>
      <c r="AN386" s="125">
        <f t="shared" si="580"/>
        <v>6.003654832</v>
      </c>
      <c r="AO386" s="112">
        <f t="shared" si="581"/>
        <v>0.5</v>
      </c>
      <c r="AP386" s="127"/>
      <c r="AQ386" s="128">
        <f t="shared" ref="AQ386:AR386" si="609">BC386/(1-AI386)</f>
        <v>3.569464661</v>
      </c>
      <c r="AR386" s="139">
        <f t="shared" si="609"/>
        <v>3.335363796</v>
      </c>
      <c r="AS386" s="126">
        <f t="shared" si="583"/>
        <v>0.52</v>
      </c>
      <c r="AT386" s="126">
        <f t="shared" si="584"/>
        <v>0.4444444444</v>
      </c>
      <c r="AU386" s="129"/>
      <c r="AV386" s="39" t="s">
        <v>1275</v>
      </c>
      <c r="AW386" s="130"/>
      <c r="AX386" s="140"/>
      <c r="AY386" s="140"/>
      <c r="AZ386" s="130">
        <v>5.04</v>
      </c>
      <c r="BA386" s="130">
        <v>17.03</v>
      </c>
      <c r="BB386" s="130">
        <f t="shared" si="585"/>
        <v>22.07</v>
      </c>
      <c r="BC386" s="131">
        <f t="shared" si="586"/>
        <v>3.212518195</v>
      </c>
      <c r="BD386" s="132">
        <f t="shared" si="587"/>
        <v>3.001827416</v>
      </c>
      <c r="BE386" s="39"/>
      <c r="BF386" s="134">
        <v>8.5447E9</v>
      </c>
      <c r="BG386" s="49"/>
      <c r="BH386" s="224">
        <f t="shared" si="571"/>
        <v>20.01218277</v>
      </c>
      <c r="BI386" s="224">
        <f t="shared" si="492"/>
        <v>12.00730966</v>
      </c>
      <c r="BJ386" s="224">
        <f t="shared" si="572"/>
        <v>10.00609139</v>
      </c>
      <c r="BK386" s="224">
        <f t="shared" si="573"/>
        <v>8.004873109</v>
      </c>
      <c r="BL386" s="49"/>
      <c r="BM386" s="49"/>
      <c r="BN386" s="49"/>
      <c r="BO386" s="49"/>
      <c r="BP386" s="49"/>
      <c r="BQ386" s="49"/>
      <c r="BR386" s="49"/>
      <c r="BS386" s="49"/>
      <c r="BT386" s="49"/>
      <c r="BU386" s="49"/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</row>
    <row r="387" ht="14.25" customHeight="1">
      <c r="A387" s="103" t="s">
        <v>84</v>
      </c>
      <c r="B387" s="103" t="s">
        <v>120</v>
      </c>
      <c r="C387" s="103" t="s">
        <v>120</v>
      </c>
      <c r="D387" s="103" t="s">
        <v>1266</v>
      </c>
      <c r="E387" s="103" t="s">
        <v>1317</v>
      </c>
      <c r="F387" s="104" t="s">
        <v>1340</v>
      </c>
      <c r="G387" s="110" t="s">
        <v>1520</v>
      </c>
      <c r="H387" s="110"/>
      <c r="I387" s="107"/>
      <c r="J387" s="220" t="s">
        <v>1539</v>
      </c>
      <c r="K387" s="220" t="str">
        <f>_xlfn.XLOOKUP(J387,[1]Sheet1!$A:$A,[1]Sheet1!$B:$B,"")</f>
        <v>#ERROR!</v>
      </c>
      <c r="L387" s="103" t="s">
        <v>1540</v>
      </c>
      <c r="M387" s="103" t="s">
        <v>1541</v>
      </c>
      <c r="N387" s="110"/>
      <c r="O387" s="104" t="s">
        <v>95</v>
      </c>
      <c r="P387" s="110"/>
      <c r="Q387" s="104" t="s">
        <v>1323</v>
      </c>
      <c r="R387" s="110" t="s">
        <v>1324</v>
      </c>
      <c r="S387" s="110">
        <v>2160.0</v>
      </c>
      <c r="T387" s="110" t="s">
        <v>1542</v>
      </c>
      <c r="U387" s="110">
        <v>8.5447E9</v>
      </c>
      <c r="V387" s="112">
        <v>0.0</v>
      </c>
      <c r="W387" s="113">
        <v>30.0</v>
      </c>
      <c r="X387" s="110">
        <v>45.0</v>
      </c>
      <c r="Y387" s="110">
        <v>55.0</v>
      </c>
      <c r="Z387" s="110" t="s">
        <v>99</v>
      </c>
      <c r="AA387" s="114">
        <f t="shared" si="561"/>
        <v>5.000269556</v>
      </c>
      <c r="AB387" s="115"/>
      <c r="AC387" s="212">
        <f t="shared" si="579"/>
        <v>3.849316851</v>
      </c>
      <c r="AD387" s="213">
        <f t="shared" si="244"/>
        <v>4.139050377</v>
      </c>
      <c r="AE387" s="212"/>
      <c r="AF387" s="212" t="str">
        <f t="shared" si="94"/>
        <v>#REF!</v>
      </c>
      <c r="AG387" s="210" t="str">
        <f t="shared" si="95"/>
        <v>#REF!</v>
      </c>
      <c r="AH387" s="120" t="str">
        <f t="shared" si="96"/>
        <v>#REF!</v>
      </c>
      <c r="AI387" s="121">
        <f t="shared" si="497"/>
        <v>0.1</v>
      </c>
      <c r="AJ387" s="121">
        <v>0.1</v>
      </c>
      <c r="AK387" s="122">
        <v>0.5</v>
      </c>
      <c r="AL387" s="123">
        <f t="shared" si="11"/>
        <v>1.924658425</v>
      </c>
      <c r="AM387" s="122" t="s">
        <v>10</v>
      </c>
      <c r="AN387" s="125">
        <f t="shared" si="580"/>
        <v>3.849316851</v>
      </c>
      <c r="AO387" s="112">
        <f t="shared" si="581"/>
        <v>0.5</v>
      </c>
      <c r="AP387" s="127"/>
      <c r="AQ387" s="128">
        <f t="shared" ref="AQ387:AR387" si="610">BC387/(1-AI387)</f>
        <v>2.400129387</v>
      </c>
      <c r="AR387" s="139">
        <f t="shared" si="610"/>
        <v>2.138509361</v>
      </c>
      <c r="AS387" s="126">
        <f t="shared" si="583"/>
        <v>0.52</v>
      </c>
      <c r="AT387" s="126">
        <f t="shared" si="584"/>
        <v>0.4444444444</v>
      </c>
      <c r="AU387" s="129"/>
      <c r="AV387" s="39" t="s">
        <v>1275</v>
      </c>
      <c r="AW387" s="130"/>
      <c r="AX387" s="140"/>
      <c r="AY387" s="140"/>
      <c r="AZ387" s="130">
        <v>5.04</v>
      </c>
      <c r="BA387" s="130">
        <v>9.8</v>
      </c>
      <c r="BB387" s="130">
        <f t="shared" si="585"/>
        <v>14.84</v>
      </c>
      <c r="BC387" s="131">
        <f t="shared" si="586"/>
        <v>2.160116448</v>
      </c>
      <c r="BD387" s="132">
        <f t="shared" si="587"/>
        <v>1.924658425</v>
      </c>
      <c r="BE387" s="39"/>
      <c r="BF387" s="134">
        <v>8.5447E9</v>
      </c>
      <c r="BG387" s="49"/>
      <c r="BH387" s="224">
        <f t="shared" si="571"/>
        <v>12.83105617</v>
      </c>
      <c r="BI387" s="224">
        <f t="shared" si="492"/>
        <v>7.698633701</v>
      </c>
      <c r="BJ387" s="224">
        <f t="shared" si="572"/>
        <v>6.415528084</v>
      </c>
      <c r="BK387" s="224">
        <f t="shared" si="573"/>
        <v>5.132422467</v>
      </c>
      <c r="BL387" s="49"/>
      <c r="BM387" s="49"/>
      <c r="BN387" s="49"/>
      <c r="BO387" s="49"/>
      <c r="BP387" s="49"/>
      <c r="BQ387" s="49"/>
      <c r="BR387" s="49"/>
      <c r="BS387" s="49"/>
      <c r="BT387" s="49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</row>
    <row r="388" ht="14.25" customHeight="1">
      <c r="A388" s="103" t="s">
        <v>84</v>
      </c>
      <c r="B388" s="103" t="s">
        <v>120</v>
      </c>
      <c r="C388" s="103" t="s">
        <v>120</v>
      </c>
      <c r="D388" s="103" t="s">
        <v>1266</v>
      </c>
      <c r="E388" s="103" t="s">
        <v>1317</v>
      </c>
      <c r="F388" s="104" t="s">
        <v>1340</v>
      </c>
      <c r="G388" s="110" t="s">
        <v>1520</v>
      </c>
      <c r="H388" s="110"/>
      <c r="I388" s="107"/>
      <c r="J388" s="220" t="s">
        <v>1543</v>
      </c>
      <c r="K388" s="220" t="str">
        <f>_xlfn.XLOOKUP(J388,[1]Sheet1!$A:$A,[1]Sheet1!$B:$B,"")</f>
        <v>#ERROR!</v>
      </c>
      <c r="L388" s="103" t="s">
        <v>1544</v>
      </c>
      <c r="M388" s="103" t="s">
        <v>1545</v>
      </c>
      <c r="N388" s="110"/>
      <c r="O388" s="104" t="s">
        <v>95</v>
      </c>
      <c r="P388" s="110"/>
      <c r="Q388" s="104" t="s">
        <v>1323</v>
      </c>
      <c r="R388" s="110" t="s">
        <v>1324</v>
      </c>
      <c r="S388" s="110">
        <v>1920.0</v>
      </c>
      <c r="T388" s="110" t="e">
        <v>#N/A</v>
      </c>
      <c r="U388" s="110">
        <v>8.5447E9</v>
      </c>
      <c r="V388" s="112">
        <v>0.0</v>
      </c>
      <c r="W388" s="113">
        <v>30.0</v>
      </c>
      <c r="X388" s="110">
        <v>45.0</v>
      </c>
      <c r="Y388" s="110">
        <v>55.0</v>
      </c>
      <c r="Z388" s="110" t="s">
        <v>99</v>
      </c>
      <c r="AA388" s="114">
        <f t="shared" si="561"/>
        <v>5.18558952</v>
      </c>
      <c r="AB388" s="115"/>
      <c r="AC388" s="212">
        <f t="shared" si="579"/>
        <v>4.000122619</v>
      </c>
      <c r="AD388" s="213">
        <f t="shared" si="244"/>
        <v>4.301207117</v>
      </c>
      <c r="AE388" s="212"/>
      <c r="AF388" s="212" t="str">
        <f t="shared" si="94"/>
        <v>#REF!</v>
      </c>
      <c r="AG388" s="210" t="str">
        <f t="shared" si="95"/>
        <v>#REF!</v>
      </c>
      <c r="AH388" s="120" t="str">
        <f t="shared" si="96"/>
        <v>#REF!</v>
      </c>
      <c r="AI388" s="121">
        <f t="shared" si="497"/>
        <v>0.1</v>
      </c>
      <c r="AJ388" s="121">
        <v>0.1</v>
      </c>
      <c r="AK388" s="122">
        <v>0.5</v>
      </c>
      <c r="AL388" s="123">
        <f t="shared" si="11"/>
        <v>2.000061309</v>
      </c>
      <c r="AM388" s="122" t="s">
        <v>10</v>
      </c>
      <c r="AN388" s="125">
        <f t="shared" si="580"/>
        <v>4.000122619</v>
      </c>
      <c r="AO388" s="112">
        <f t="shared" si="581"/>
        <v>0.5</v>
      </c>
      <c r="AP388" s="127"/>
      <c r="AQ388" s="128">
        <f t="shared" ref="AQ388:AR388" si="611">BC388/(1-AI388)</f>
        <v>2.489082969</v>
      </c>
      <c r="AR388" s="139">
        <f t="shared" si="611"/>
        <v>2.222290344</v>
      </c>
      <c r="AS388" s="126">
        <f t="shared" si="583"/>
        <v>0.52</v>
      </c>
      <c r="AT388" s="126">
        <f t="shared" si="584"/>
        <v>0.4444444444</v>
      </c>
      <c r="AU388" s="129"/>
      <c r="AV388" s="39" t="s">
        <v>1275</v>
      </c>
      <c r="AW388" s="130"/>
      <c r="AX388" s="140"/>
      <c r="AY388" s="140"/>
      <c r="AZ388" s="130">
        <v>5.04</v>
      </c>
      <c r="BA388" s="130">
        <v>10.35</v>
      </c>
      <c r="BB388" s="130">
        <f t="shared" si="585"/>
        <v>15.39</v>
      </c>
      <c r="BC388" s="131">
        <f t="shared" si="586"/>
        <v>2.240174672</v>
      </c>
      <c r="BD388" s="132">
        <f t="shared" si="587"/>
        <v>2.000061309</v>
      </c>
      <c r="BE388" s="39"/>
      <c r="BF388" s="134">
        <v>8.5447E9</v>
      </c>
      <c r="BG388" s="49"/>
      <c r="BH388" s="224">
        <f t="shared" si="571"/>
        <v>13.33374206</v>
      </c>
      <c r="BI388" s="224">
        <f t="shared" si="492"/>
        <v>8.000245238</v>
      </c>
      <c r="BJ388" s="224">
        <f t="shared" si="572"/>
        <v>6.666871031</v>
      </c>
      <c r="BK388" s="224">
        <f t="shared" si="573"/>
        <v>5.333496825</v>
      </c>
      <c r="BL388" s="49"/>
      <c r="BM388" s="49"/>
      <c r="BN388" s="49"/>
      <c r="BO388" s="49"/>
      <c r="BP388" s="49"/>
      <c r="BQ388" s="49"/>
      <c r="BR388" s="49"/>
      <c r="BS388" s="49"/>
      <c r="BT388" s="49"/>
      <c r="BU388" s="49"/>
      <c r="BV388" s="49"/>
      <c r="BW388" s="49"/>
      <c r="BX388" s="49"/>
      <c r="BY388" s="49"/>
      <c r="BZ388" s="49"/>
      <c r="CA388" s="49"/>
      <c r="CB388" s="49"/>
      <c r="CC388" s="49"/>
      <c r="CD388" s="49"/>
      <c r="CE388" s="49"/>
      <c r="CF388" s="49"/>
    </row>
    <row r="389" ht="14.25" customHeight="1">
      <c r="A389" s="103" t="s">
        <v>84</v>
      </c>
      <c r="B389" s="103" t="s">
        <v>120</v>
      </c>
      <c r="C389" s="103" t="s">
        <v>120</v>
      </c>
      <c r="D389" s="103" t="s">
        <v>1266</v>
      </c>
      <c r="E389" s="103" t="s">
        <v>1317</v>
      </c>
      <c r="F389" s="104" t="s">
        <v>1340</v>
      </c>
      <c r="G389" s="110" t="s">
        <v>1520</v>
      </c>
      <c r="H389" s="110"/>
      <c r="I389" s="107"/>
      <c r="J389" s="220" t="s">
        <v>1546</v>
      </c>
      <c r="K389" s="220" t="str">
        <f>_xlfn.XLOOKUP(J389,[1]Sheet1!$A:$A,[1]Sheet1!$B:$B,"")</f>
        <v>#ERROR!</v>
      </c>
      <c r="L389" s="103" t="s">
        <v>1547</v>
      </c>
      <c r="M389" s="103" t="s">
        <v>1548</v>
      </c>
      <c r="N389" s="110"/>
      <c r="O389" s="104" t="s">
        <v>95</v>
      </c>
      <c r="P389" s="110"/>
      <c r="Q389" s="104" t="s">
        <v>1323</v>
      </c>
      <c r="R389" s="110" t="s">
        <v>1324</v>
      </c>
      <c r="S389" s="110">
        <v>1920.0</v>
      </c>
      <c r="T389" s="110" t="e">
        <v>#N/A</v>
      </c>
      <c r="U389" s="110">
        <v>8.5447E9</v>
      </c>
      <c r="V389" s="112">
        <v>0.0</v>
      </c>
      <c r="W389" s="113">
        <v>30.0</v>
      </c>
      <c r="X389" s="110">
        <v>45.0</v>
      </c>
      <c r="Y389" s="110">
        <v>55.0</v>
      </c>
      <c r="Z389" s="110" t="s">
        <v>99</v>
      </c>
      <c r="AA389" s="114">
        <f t="shared" si="561"/>
        <v>5.370909483</v>
      </c>
      <c r="AB389" s="115"/>
      <c r="AC389" s="212">
        <f t="shared" si="579"/>
        <v>4.139354313</v>
      </c>
      <c r="AD389" s="213">
        <f t="shared" si="244"/>
        <v>4.450918616</v>
      </c>
      <c r="AE389" s="212"/>
      <c r="AF389" s="212" t="str">
        <f t="shared" si="94"/>
        <v>#REF!</v>
      </c>
      <c r="AG389" s="210" t="str">
        <f t="shared" si="95"/>
        <v>#REF!</v>
      </c>
      <c r="AH389" s="120" t="str">
        <f t="shared" si="96"/>
        <v>#REF!</v>
      </c>
      <c r="AI389" s="121">
        <f t="shared" si="497"/>
        <v>0.1</v>
      </c>
      <c r="AJ389" s="121">
        <v>0.1</v>
      </c>
      <c r="AK389" s="122">
        <v>0.5</v>
      </c>
      <c r="AL389" s="123">
        <f t="shared" si="11"/>
        <v>2.069677157</v>
      </c>
      <c r="AM389" s="122" t="s">
        <v>10</v>
      </c>
      <c r="AN389" s="125">
        <f t="shared" si="580"/>
        <v>4.139354313</v>
      </c>
      <c r="AO389" s="112">
        <f t="shared" si="581"/>
        <v>0.5</v>
      </c>
      <c r="AP389" s="127"/>
      <c r="AQ389" s="128">
        <f t="shared" ref="AQ389:AR389" si="612">BC389/(1-AI389)</f>
        <v>2.578036552</v>
      </c>
      <c r="AR389" s="139">
        <f t="shared" si="612"/>
        <v>2.299641285</v>
      </c>
      <c r="AS389" s="126">
        <f t="shared" si="583"/>
        <v>0.52</v>
      </c>
      <c r="AT389" s="126">
        <f t="shared" si="584"/>
        <v>0.4444444444</v>
      </c>
      <c r="AU389" s="129"/>
      <c r="AV389" s="39" t="s">
        <v>1275</v>
      </c>
      <c r="AW389" s="130"/>
      <c r="AX389" s="140"/>
      <c r="AY389" s="140"/>
      <c r="AZ389" s="130">
        <v>5.04</v>
      </c>
      <c r="BA389" s="130">
        <v>10.9</v>
      </c>
      <c r="BB389" s="130">
        <f t="shared" si="585"/>
        <v>15.94</v>
      </c>
      <c r="BC389" s="131">
        <f t="shared" si="586"/>
        <v>2.320232897</v>
      </c>
      <c r="BD389" s="132">
        <f t="shared" si="587"/>
        <v>2.069677157</v>
      </c>
      <c r="BE389" s="39"/>
      <c r="BF389" s="134">
        <v>8.5447E9</v>
      </c>
      <c r="BG389" s="49"/>
      <c r="BH389" s="224">
        <f t="shared" si="571"/>
        <v>13.79784771</v>
      </c>
      <c r="BI389" s="224">
        <f t="shared" si="492"/>
        <v>8.278708626</v>
      </c>
      <c r="BJ389" s="224">
        <f t="shared" si="572"/>
        <v>6.898923855</v>
      </c>
      <c r="BK389" s="224">
        <f t="shared" si="573"/>
        <v>5.519139084</v>
      </c>
      <c r="BL389" s="49"/>
      <c r="BM389" s="49"/>
      <c r="BN389" s="49"/>
      <c r="BO389" s="49"/>
      <c r="BP389" s="49"/>
      <c r="BQ389" s="49"/>
      <c r="BR389" s="49"/>
      <c r="BS389" s="49"/>
      <c r="BT389" s="4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</row>
    <row r="390" ht="14.25" customHeight="1">
      <c r="A390" s="103" t="s">
        <v>84</v>
      </c>
      <c r="B390" s="103" t="s">
        <v>120</v>
      </c>
      <c r="C390" s="103" t="s">
        <v>120</v>
      </c>
      <c r="D390" s="103" t="s">
        <v>1266</v>
      </c>
      <c r="E390" s="103" t="s">
        <v>1317</v>
      </c>
      <c r="F390" s="104" t="s">
        <v>1340</v>
      </c>
      <c r="G390" s="110" t="s">
        <v>1520</v>
      </c>
      <c r="H390" s="110"/>
      <c r="I390" s="107"/>
      <c r="J390" s="220" t="s">
        <v>1549</v>
      </c>
      <c r="K390" s="220" t="str">
        <f>_xlfn.XLOOKUP(J390,[1]Sheet1!$A:$A,[1]Sheet1!$B:$B,"")</f>
        <v>#ERROR!</v>
      </c>
      <c r="L390" s="103" t="s">
        <v>1550</v>
      </c>
      <c r="M390" s="103" t="s">
        <v>1551</v>
      </c>
      <c r="N390" s="110"/>
      <c r="O390" s="104" t="s">
        <v>95</v>
      </c>
      <c r="P390" s="110"/>
      <c r="Q390" s="104" t="s">
        <v>1323</v>
      </c>
      <c r="R390" s="110" t="s">
        <v>1324</v>
      </c>
      <c r="S390" s="110">
        <v>1440.0</v>
      </c>
      <c r="T390" s="110" t="e">
        <v>#N/A</v>
      </c>
      <c r="U390" s="110">
        <v>8.5447E9</v>
      </c>
      <c r="V390" s="112">
        <v>0.0</v>
      </c>
      <c r="W390" s="113">
        <v>30.0</v>
      </c>
      <c r="X390" s="110">
        <v>45.0</v>
      </c>
      <c r="Y390" s="110">
        <v>55.0</v>
      </c>
      <c r="Z390" s="110" t="s">
        <v>99</v>
      </c>
      <c r="AA390" s="114">
        <f t="shared" si="561"/>
        <v>5.721332686</v>
      </c>
      <c r="AB390" s="115"/>
      <c r="AC390" s="212">
        <f t="shared" si="579"/>
        <v>4.437351012</v>
      </c>
      <c r="AD390" s="213">
        <f t="shared" si="244"/>
        <v>4.771345174</v>
      </c>
      <c r="AE390" s="212"/>
      <c r="AF390" s="212" t="str">
        <f t="shared" si="94"/>
        <v>#REF!</v>
      </c>
      <c r="AG390" s="210" t="str">
        <f t="shared" si="95"/>
        <v>#REF!</v>
      </c>
      <c r="AH390" s="120" t="str">
        <f t="shared" si="96"/>
        <v>#REF!</v>
      </c>
      <c r="AI390" s="121">
        <f t="shared" si="497"/>
        <v>0.1</v>
      </c>
      <c r="AJ390" s="121">
        <v>0.1</v>
      </c>
      <c r="AK390" s="122">
        <v>0.5</v>
      </c>
      <c r="AL390" s="123">
        <f t="shared" si="11"/>
        <v>2.218675506</v>
      </c>
      <c r="AM390" s="122" t="s">
        <v>10</v>
      </c>
      <c r="AN390" s="125">
        <f t="shared" si="580"/>
        <v>4.437351012</v>
      </c>
      <c r="AO390" s="112">
        <f t="shared" si="581"/>
        <v>0.5</v>
      </c>
      <c r="AP390" s="127"/>
      <c r="AQ390" s="128">
        <f t="shared" ref="AQ390:AR390" si="613">BC390/(1-AI390)</f>
        <v>2.746239689</v>
      </c>
      <c r="AR390" s="139">
        <f t="shared" si="613"/>
        <v>2.465195006</v>
      </c>
      <c r="AS390" s="126">
        <f t="shared" si="583"/>
        <v>0.52</v>
      </c>
      <c r="AT390" s="126">
        <f t="shared" si="584"/>
        <v>0.4444444444</v>
      </c>
      <c r="AU390" s="129"/>
      <c r="AV390" s="39" t="s">
        <v>1275</v>
      </c>
      <c r="AW390" s="130"/>
      <c r="AX390" s="140"/>
      <c r="AY390" s="140"/>
      <c r="AZ390" s="130">
        <v>5.04</v>
      </c>
      <c r="BA390" s="130">
        <v>11.94</v>
      </c>
      <c r="BB390" s="130">
        <f t="shared" si="585"/>
        <v>16.98</v>
      </c>
      <c r="BC390" s="131">
        <f t="shared" si="586"/>
        <v>2.471615721</v>
      </c>
      <c r="BD390" s="132">
        <f t="shared" si="587"/>
        <v>2.218675506</v>
      </c>
      <c r="BE390" s="39"/>
      <c r="BF390" s="134">
        <v>8.5447E9</v>
      </c>
      <c r="BG390" s="49"/>
      <c r="BH390" s="224">
        <f t="shared" si="571"/>
        <v>14.79117004</v>
      </c>
      <c r="BI390" s="224">
        <f t="shared" si="492"/>
        <v>8.874702023</v>
      </c>
      <c r="BJ390" s="224">
        <f t="shared" si="572"/>
        <v>7.395585019</v>
      </c>
      <c r="BK390" s="224">
        <f t="shared" si="573"/>
        <v>5.916468015</v>
      </c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</row>
    <row r="391" ht="14.25" customHeight="1">
      <c r="A391" s="103" t="s">
        <v>84</v>
      </c>
      <c r="B391" s="103" t="s">
        <v>120</v>
      </c>
      <c r="C391" s="103" t="s">
        <v>120</v>
      </c>
      <c r="D391" s="103" t="s">
        <v>1266</v>
      </c>
      <c r="E391" s="103" t="s">
        <v>1317</v>
      </c>
      <c r="F391" s="104" t="s">
        <v>1340</v>
      </c>
      <c r="G391" s="110" t="s">
        <v>1520</v>
      </c>
      <c r="H391" s="110"/>
      <c r="I391" s="107"/>
      <c r="J391" s="220" t="s">
        <v>1552</v>
      </c>
      <c r="K391" s="220" t="s">
        <v>1553</v>
      </c>
      <c r="L391" s="103" t="s">
        <v>1554</v>
      </c>
      <c r="M391" s="103" t="s">
        <v>1555</v>
      </c>
      <c r="N391" s="110"/>
      <c r="O391" s="104" t="s">
        <v>95</v>
      </c>
      <c r="P391" s="110"/>
      <c r="Q391" s="104" t="s">
        <v>1323</v>
      </c>
      <c r="R391" s="110" t="s">
        <v>1324</v>
      </c>
      <c r="S391" s="110">
        <v>720.0</v>
      </c>
      <c r="T391" s="110" t="e">
        <v>#N/A</v>
      </c>
      <c r="U391" s="110">
        <v>8.5447E9</v>
      </c>
      <c r="V391" s="112">
        <v>0.0</v>
      </c>
      <c r="W391" s="113">
        <v>30.0</v>
      </c>
      <c r="X391" s="110">
        <v>45.0</v>
      </c>
      <c r="Y391" s="110">
        <v>55.0</v>
      </c>
      <c r="Z391" s="110" t="s">
        <v>99</v>
      </c>
      <c r="AA391" s="114">
        <f t="shared" si="561"/>
        <v>6.476090355</v>
      </c>
      <c r="AB391" s="115"/>
      <c r="AC391" s="212">
        <f t="shared" si="579"/>
        <v>5.143292619</v>
      </c>
      <c r="AD391" s="213">
        <f t="shared" si="244"/>
        <v>5.530422171</v>
      </c>
      <c r="AE391" s="212"/>
      <c r="AF391" s="212" t="str">
        <f t="shared" si="94"/>
        <v>#REF!</v>
      </c>
      <c r="AG391" s="210" t="str">
        <f t="shared" si="95"/>
        <v>#REF!</v>
      </c>
      <c r="AH391" s="120" t="str">
        <f t="shared" si="96"/>
        <v>#REF!</v>
      </c>
      <c r="AI391" s="121">
        <f t="shared" si="497"/>
        <v>0.1</v>
      </c>
      <c r="AJ391" s="121">
        <v>0.1</v>
      </c>
      <c r="AK391" s="122">
        <v>0.5</v>
      </c>
      <c r="AL391" s="123">
        <f t="shared" si="11"/>
        <v>2.571646309</v>
      </c>
      <c r="AM391" s="122" t="s">
        <v>10</v>
      </c>
      <c r="AN391" s="125">
        <f t="shared" si="580"/>
        <v>5.143292619</v>
      </c>
      <c r="AO391" s="112">
        <f t="shared" si="581"/>
        <v>0.5</v>
      </c>
      <c r="AP391" s="127"/>
      <c r="AQ391" s="128">
        <f t="shared" ref="AQ391:AR391" si="614">BC391/(1-AI391)</f>
        <v>3.108523371</v>
      </c>
      <c r="AR391" s="139">
        <f t="shared" si="614"/>
        <v>2.857384788</v>
      </c>
      <c r="AS391" s="126">
        <f t="shared" si="583"/>
        <v>0.52</v>
      </c>
      <c r="AT391" s="126">
        <f t="shared" si="584"/>
        <v>0.4444444444</v>
      </c>
      <c r="AU391" s="129"/>
      <c r="AV391" s="39" t="s">
        <v>1275</v>
      </c>
      <c r="AW391" s="130"/>
      <c r="AX391" s="140"/>
      <c r="AY391" s="140"/>
      <c r="AZ391" s="130">
        <v>5.04</v>
      </c>
      <c r="BA391" s="130">
        <v>14.18</v>
      </c>
      <c r="BB391" s="130">
        <f t="shared" si="585"/>
        <v>19.22</v>
      </c>
      <c r="BC391" s="131">
        <f t="shared" si="586"/>
        <v>2.797671033</v>
      </c>
      <c r="BD391" s="132">
        <f t="shared" si="587"/>
        <v>2.571646309</v>
      </c>
      <c r="BE391" s="39"/>
      <c r="BF391" s="134">
        <v>8.5447E9</v>
      </c>
      <c r="BG391" s="49"/>
      <c r="BH391" s="224">
        <f t="shared" si="571"/>
        <v>17.14430873</v>
      </c>
      <c r="BI391" s="224">
        <f t="shared" si="492"/>
        <v>10.28658524</v>
      </c>
      <c r="BJ391" s="224">
        <f t="shared" si="572"/>
        <v>8.572154364</v>
      </c>
      <c r="BK391" s="224">
        <f t="shared" si="573"/>
        <v>6.857723491</v>
      </c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</row>
    <row r="392" ht="14.25" customHeight="1">
      <c r="A392" s="103" t="s">
        <v>84</v>
      </c>
      <c r="B392" s="103" t="s">
        <v>120</v>
      </c>
      <c r="C392" s="103" t="s">
        <v>120</v>
      </c>
      <c r="D392" s="103" t="s">
        <v>1266</v>
      </c>
      <c r="E392" s="103" t="s">
        <v>1317</v>
      </c>
      <c r="F392" s="104" t="s">
        <v>1340</v>
      </c>
      <c r="G392" s="110" t="s">
        <v>1520</v>
      </c>
      <c r="H392" s="110"/>
      <c r="I392" s="107"/>
      <c r="J392" s="220" t="s">
        <v>1556</v>
      </c>
      <c r="K392" s="220" t="s">
        <v>1557</v>
      </c>
      <c r="L392" s="103" t="s">
        <v>1558</v>
      </c>
      <c r="M392" s="103" t="s">
        <v>1559</v>
      </c>
      <c r="N392" s="110"/>
      <c r="O392" s="104" t="s">
        <v>95</v>
      </c>
      <c r="P392" s="110"/>
      <c r="Q392" s="104" t="s">
        <v>1323</v>
      </c>
      <c r="R392" s="110" t="s">
        <v>1324</v>
      </c>
      <c r="S392" s="110">
        <v>480.0</v>
      </c>
      <c r="T392" s="110" t="e">
        <v>#N/A</v>
      </c>
      <c r="U392" s="110">
        <v>8.5447E9</v>
      </c>
      <c r="V392" s="112">
        <v>0.0</v>
      </c>
      <c r="W392" s="113">
        <v>30.0</v>
      </c>
      <c r="X392" s="110">
        <v>45.0</v>
      </c>
      <c r="Y392" s="110">
        <v>55.0</v>
      </c>
      <c r="Z392" s="110" t="s">
        <v>99</v>
      </c>
      <c r="AA392" s="114">
        <f t="shared" si="561"/>
        <v>7.436384711</v>
      </c>
      <c r="AB392" s="115"/>
      <c r="AC392" s="212">
        <f t="shared" si="579"/>
        <v>6.003654832</v>
      </c>
      <c r="AD392" s="213">
        <f t="shared" si="244"/>
        <v>6.45554283</v>
      </c>
      <c r="AE392" s="212"/>
      <c r="AF392" s="212" t="str">
        <f t="shared" si="94"/>
        <v>#REF!</v>
      </c>
      <c r="AG392" s="210" t="str">
        <f t="shared" si="95"/>
        <v>#REF!</v>
      </c>
      <c r="AH392" s="120" t="str">
        <f t="shared" si="96"/>
        <v>#REF!</v>
      </c>
      <c r="AI392" s="121">
        <f t="shared" si="497"/>
        <v>0.1</v>
      </c>
      <c r="AJ392" s="121">
        <v>0.1</v>
      </c>
      <c r="AK392" s="122">
        <v>0.5</v>
      </c>
      <c r="AL392" s="123">
        <f t="shared" si="11"/>
        <v>3.001827416</v>
      </c>
      <c r="AM392" s="122" t="s">
        <v>10</v>
      </c>
      <c r="AN392" s="125">
        <f t="shared" si="580"/>
        <v>6.003654832</v>
      </c>
      <c r="AO392" s="112">
        <f t="shared" si="581"/>
        <v>0.5</v>
      </c>
      <c r="AP392" s="127"/>
      <c r="AQ392" s="128">
        <f t="shared" ref="AQ392:AR392" si="615">BC392/(1-AI392)</f>
        <v>3.569464661</v>
      </c>
      <c r="AR392" s="139">
        <f t="shared" si="615"/>
        <v>3.335363796</v>
      </c>
      <c r="AS392" s="126">
        <f t="shared" si="583"/>
        <v>0.52</v>
      </c>
      <c r="AT392" s="126">
        <f t="shared" si="584"/>
        <v>0.4444444444</v>
      </c>
      <c r="AU392" s="129"/>
      <c r="AV392" s="39" t="s">
        <v>1275</v>
      </c>
      <c r="AW392" s="130"/>
      <c r="AX392" s="140"/>
      <c r="AY392" s="140"/>
      <c r="AZ392" s="130">
        <v>5.04</v>
      </c>
      <c r="BA392" s="130">
        <v>17.03</v>
      </c>
      <c r="BB392" s="130">
        <f t="shared" si="585"/>
        <v>22.07</v>
      </c>
      <c r="BC392" s="131">
        <f t="shared" si="586"/>
        <v>3.212518195</v>
      </c>
      <c r="BD392" s="132">
        <f t="shared" si="587"/>
        <v>3.001827416</v>
      </c>
      <c r="BE392" s="39"/>
      <c r="BF392" s="134">
        <v>8.5447E9</v>
      </c>
      <c r="BG392" s="49"/>
      <c r="BH392" s="224">
        <f t="shared" si="571"/>
        <v>20.01218277</v>
      </c>
      <c r="BI392" s="224">
        <f t="shared" si="492"/>
        <v>12.00730966</v>
      </c>
      <c r="BJ392" s="224">
        <f t="shared" si="572"/>
        <v>10.00609139</v>
      </c>
      <c r="BK392" s="224">
        <f t="shared" si="573"/>
        <v>8.004873109</v>
      </c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</row>
    <row r="393" ht="14.25" customHeight="1">
      <c r="A393" s="103" t="s">
        <v>84</v>
      </c>
      <c r="B393" s="103" t="s">
        <v>120</v>
      </c>
      <c r="C393" s="103" t="s">
        <v>120</v>
      </c>
      <c r="D393" s="103" t="s">
        <v>1266</v>
      </c>
      <c r="E393" s="103" t="s">
        <v>1317</v>
      </c>
      <c r="F393" s="104" t="s">
        <v>1340</v>
      </c>
      <c r="G393" s="110" t="s">
        <v>1520</v>
      </c>
      <c r="H393" s="110"/>
      <c r="I393" s="107"/>
      <c r="J393" s="220" t="s">
        <v>1560</v>
      </c>
      <c r="K393" s="220" t="s">
        <v>1561</v>
      </c>
      <c r="L393" s="103" t="s">
        <v>1562</v>
      </c>
      <c r="M393" s="103" t="s">
        <v>1563</v>
      </c>
      <c r="N393" s="110"/>
      <c r="O393" s="104" t="s">
        <v>95</v>
      </c>
      <c r="P393" s="110"/>
      <c r="Q393" s="104" t="s">
        <v>1323</v>
      </c>
      <c r="R393" s="110" t="s">
        <v>1324</v>
      </c>
      <c r="S393" s="110"/>
      <c r="T393" s="110"/>
      <c r="U393" s="110">
        <v>8.5447E9</v>
      </c>
      <c r="V393" s="112">
        <v>0.0</v>
      </c>
      <c r="W393" s="113">
        <v>30.0</v>
      </c>
      <c r="X393" s="110">
        <v>45.0</v>
      </c>
      <c r="Y393" s="110">
        <v>55.0</v>
      </c>
      <c r="Z393" s="110" t="s">
        <v>99</v>
      </c>
      <c r="AA393" s="114"/>
      <c r="AB393" s="115"/>
      <c r="AC393" s="212"/>
      <c r="AD393" s="213">
        <f t="shared" si="244"/>
        <v>0</v>
      </c>
      <c r="AE393" s="212"/>
      <c r="AF393" s="212" t="str">
        <f t="shared" si="94"/>
        <v>#REF!</v>
      </c>
      <c r="AG393" s="210" t="str">
        <f t="shared" si="95"/>
        <v>#REF!</v>
      </c>
      <c r="AH393" s="120" t="str">
        <f t="shared" si="96"/>
        <v>#REF!</v>
      </c>
      <c r="AI393" s="121">
        <f t="shared" si="497"/>
        <v>0.1</v>
      </c>
      <c r="AJ393" s="121">
        <v>0.1</v>
      </c>
      <c r="AK393" s="122">
        <v>0.5</v>
      </c>
      <c r="AL393" s="123">
        <f t="shared" si="11"/>
        <v>0</v>
      </c>
      <c r="AM393" s="122" t="s">
        <v>10</v>
      </c>
      <c r="AN393" s="125"/>
      <c r="AO393" s="112"/>
      <c r="AP393" s="127"/>
      <c r="AQ393" s="128"/>
      <c r="AR393" s="139"/>
      <c r="AS393" s="126"/>
      <c r="AT393" s="126"/>
      <c r="AU393" s="129"/>
      <c r="AV393" s="39" t="s">
        <v>1275</v>
      </c>
      <c r="AW393" s="130"/>
      <c r="AX393" s="140"/>
      <c r="AY393" s="140"/>
      <c r="AZ393" s="314">
        <v>6.29</v>
      </c>
      <c r="BA393" s="314">
        <v>22.73</v>
      </c>
      <c r="BB393" s="130">
        <f t="shared" si="585"/>
        <v>29.02</v>
      </c>
      <c r="BC393" s="131">
        <f t="shared" si="586"/>
        <v>4.224163028</v>
      </c>
      <c r="BD393" s="132" t="str">
        <f t="shared" si="587"/>
        <v>#DIV/0!</v>
      </c>
      <c r="BE393" s="39"/>
      <c r="BF393" s="134">
        <v>8.5447E9</v>
      </c>
      <c r="BG393" s="49"/>
      <c r="BH393" s="224">
        <f t="shared" si="571"/>
        <v>0</v>
      </c>
      <c r="BI393" s="224">
        <f t="shared" si="492"/>
        <v>0</v>
      </c>
      <c r="BJ393" s="224">
        <f t="shared" si="572"/>
        <v>0</v>
      </c>
      <c r="BK393" s="224">
        <f t="shared" si="573"/>
        <v>0</v>
      </c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</row>
    <row r="394" ht="14.25" customHeight="1">
      <c r="A394" s="103" t="s">
        <v>84</v>
      </c>
      <c r="B394" s="103" t="s">
        <v>120</v>
      </c>
      <c r="C394" s="103" t="s">
        <v>120</v>
      </c>
      <c r="D394" s="103" t="s">
        <v>1266</v>
      </c>
      <c r="E394" s="103" t="s">
        <v>1317</v>
      </c>
      <c r="F394" s="104" t="s">
        <v>1367</v>
      </c>
      <c r="G394" s="110" t="s">
        <v>1520</v>
      </c>
      <c r="H394" s="110"/>
      <c r="I394" s="107"/>
      <c r="J394" s="220" t="s">
        <v>1564</v>
      </c>
      <c r="K394" s="220" t="str">
        <f>_xlfn.XLOOKUP(J394,[1]Sheet1!$A:$A,[1]Sheet1!$B:$B,"")</f>
        <v>#ERROR!</v>
      </c>
      <c r="L394" s="103" t="s">
        <v>1565</v>
      </c>
      <c r="M394" s="103" t="s">
        <v>1566</v>
      </c>
      <c r="N394" s="110"/>
      <c r="O394" s="104" t="s">
        <v>95</v>
      </c>
      <c r="P394" s="110"/>
      <c r="Q394" s="104" t="s">
        <v>1323</v>
      </c>
      <c r="R394" s="110" t="s">
        <v>1324</v>
      </c>
      <c r="S394" s="110">
        <v>2160.0</v>
      </c>
      <c r="T394" s="110" t="s">
        <v>1567</v>
      </c>
      <c r="U394" s="110">
        <v>8.5447E9</v>
      </c>
      <c r="V394" s="112">
        <v>0.0</v>
      </c>
      <c r="W394" s="113">
        <v>30.0</v>
      </c>
      <c r="X394" s="110">
        <v>45.0</v>
      </c>
      <c r="Y394" s="110">
        <v>55.0</v>
      </c>
      <c r="Z394" s="110" t="s">
        <v>99</v>
      </c>
      <c r="AA394" s="114">
        <f t="shared" ref="AA394:AA399" si="617">AQ394/(1-(AK394+2%))</f>
        <v>5.000269556</v>
      </c>
      <c r="AB394" s="115"/>
      <c r="AC394" s="212">
        <f t="shared" ref="AC394:AC399" si="618">BD394/(1-AK394)</f>
        <v>3.849316851</v>
      </c>
      <c r="AD394" s="213">
        <f t="shared" si="244"/>
        <v>4.139050377</v>
      </c>
      <c r="AE394" s="212"/>
      <c r="AF394" s="212" t="str">
        <f t="shared" si="94"/>
        <v>#REF!</v>
      </c>
      <c r="AG394" s="210" t="str">
        <f t="shared" si="95"/>
        <v>#REF!</v>
      </c>
      <c r="AH394" s="120" t="str">
        <f t="shared" si="96"/>
        <v>#REF!</v>
      </c>
      <c r="AI394" s="121">
        <f t="shared" si="497"/>
        <v>0.1</v>
      </c>
      <c r="AJ394" s="121">
        <v>0.1</v>
      </c>
      <c r="AK394" s="122">
        <v>0.5</v>
      </c>
      <c r="AL394" s="123">
        <f t="shared" si="11"/>
        <v>1.924658425</v>
      </c>
      <c r="AM394" s="122" t="s">
        <v>10</v>
      </c>
      <c r="AN394" s="125">
        <f t="shared" ref="AN394:AN399" si="619">AC394</f>
        <v>3.849316851</v>
      </c>
      <c r="AO394" s="112">
        <f t="shared" ref="AO394:AO399" si="620">1-(BD394/AN394)</f>
        <v>0.5</v>
      </c>
      <c r="AP394" s="127"/>
      <c r="AQ394" s="128">
        <f t="shared" ref="AQ394:AR394" si="616">BC394/(1-AI394)</f>
        <v>2.400129387</v>
      </c>
      <c r="AR394" s="139">
        <f t="shared" si="616"/>
        <v>2.138509361</v>
      </c>
      <c r="AS394" s="126">
        <f t="shared" ref="AS394:AS399" si="622">1-(AQ394/AA394)</f>
        <v>0.52</v>
      </c>
      <c r="AT394" s="126">
        <f t="shared" ref="AT394:AT399" si="623">1-(AR394/AC394)</f>
        <v>0.4444444444</v>
      </c>
      <c r="AU394" s="129"/>
      <c r="AV394" s="39" t="s">
        <v>1275</v>
      </c>
      <c r="AW394" s="130"/>
      <c r="AX394" s="140"/>
      <c r="AY394" s="140"/>
      <c r="AZ394" s="130">
        <v>5.04</v>
      </c>
      <c r="BA394" s="130">
        <v>9.8</v>
      </c>
      <c r="BB394" s="130">
        <f t="shared" si="585"/>
        <v>14.84</v>
      </c>
      <c r="BC394" s="131">
        <f t="shared" si="586"/>
        <v>2.160116448</v>
      </c>
      <c r="BD394" s="132">
        <f t="shared" si="587"/>
        <v>1.924658425</v>
      </c>
      <c r="BE394" s="39"/>
      <c r="BF394" s="134">
        <v>8.5447E9</v>
      </c>
      <c r="BG394" s="49"/>
      <c r="BH394" s="224">
        <f t="shared" si="571"/>
        <v>12.83105617</v>
      </c>
      <c r="BI394" s="224">
        <f t="shared" si="492"/>
        <v>7.698633701</v>
      </c>
      <c r="BJ394" s="224">
        <f t="shared" si="572"/>
        <v>6.415528084</v>
      </c>
      <c r="BK394" s="224">
        <f t="shared" si="573"/>
        <v>5.132422467</v>
      </c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</row>
    <row r="395" ht="14.25" customHeight="1">
      <c r="A395" s="103" t="s">
        <v>84</v>
      </c>
      <c r="B395" s="103" t="s">
        <v>120</v>
      </c>
      <c r="C395" s="103" t="s">
        <v>120</v>
      </c>
      <c r="D395" s="103" t="s">
        <v>1266</v>
      </c>
      <c r="E395" s="103" t="s">
        <v>1317</v>
      </c>
      <c r="F395" s="104" t="s">
        <v>1367</v>
      </c>
      <c r="G395" s="110" t="s">
        <v>1520</v>
      </c>
      <c r="H395" s="110"/>
      <c r="I395" s="107"/>
      <c r="J395" s="220" t="s">
        <v>1568</v>
      </c>
      <c r="K395" s="220" t="str">
        <f>_xlfn.XLOOKUP(J395,[1]Sheet1!$A:$A,[1]Sheet1!$B:$B,"")</f>
        <v>#ERROR!</v>
      </c>
      <c r="L395" s="103" t="s">
        <v>1569</v>
      </c>
      <c r="M395" s="103" t="s">
        <v>1570</v>
      </c>
      <c r="N395" s="110"/>
      <c r="O395" s="104" t="s">
        <v>95</v>
      </c>
      <c r="P395" s="110"/>
      <c r="Q395" s="104" t="s">
        <v>1323</v>
      </c>
      <c r="R395" s="110" t="s">
        <v>1324</v>
      </c>
      <c r="S395" s="110">
        <v>1920.0</v>
      </c>
      <c r="T395" s="110" t="e">
        <v>#N/A</v>
      </c>
      <c r="U395" s="110">
        <v>8.5447E9</v>
      </c>
      <c r="V395" s="112">
        <v>0.0</v>
      </c>
      <c r="W395" s="113">
        <v>30.0</v>
      </c>
      <c r="X395" s="110">
        <v>45.0</v>
      </c>
      <c r="Y395" s="110">
        <v>55.0</v>
      </c>
      <c r="Z395" s="110" t="s">
        <v>99</v>
      </c>
      <c r="AA395" s="114">
        <f t="shared" si="617"/>
        <v>5.18558952</v>
      </c>
      <c r="AB395" s="115"/>
      <c r="AC395" s="212">
        <f t="shared" si="618"/>
        <v>4.000122619</v>
      </c>
      <c r="AD395" s="213">
        <f t="shared" si="244"/>
        <v>4.301207117</v>
      </c>
      <c r="AE395" s="212"/>
      <c r="AF395" s="212" t="str">
        <f t="shared" si="94"/>
        <v>#REF!</v>
      </c>
      <c r="AG395" s="210" t="str">
        <f t="shared" si="95"/>
        <v>#REF!</v>
      </c>
      <c r="AH395" s="120" t="str">
        <f t="shared" si="96"/>
        <v>#REF!</v>
      </c>
      <c r="AI395" s="121">
        <f t="shared" si="497"/>
        <v>0.1</v>
      </c>
      <c r="AJ395" s="121">
        <v>0.1</v>
      </c>
      <c r="AK395" s="122">
        <v>0.5</v>
      </c>
      <c r="AL395" s="123">
        <f t="shared" si="11"/>
        <v>2.000061309</v>
      </c>
      <c r="AM395" s="122" t="s">
        <v>10</v>
      </c>
      <c r="AN395" s="125">
        <f t="shared" si="619"/>
        <v>4.000122619</v>
      </c>
      <c r="AO395" s="112">
        <f t="shared" si="620"/>
        <v>0.5</v>
      </c>
      <c r="AP395" s="127"/>
      <c r="AQ395" s="128">
        <f t="shared" ref="AQ395:AR395" si="621">BC395/(1-AI395)</f>
        <v>2.489082969</v>
      </c>
      <c r="AR395" s="139">
        <f t="shared" si="621"/>
        <v>2.222290344</v>
      </c>
      <c r="AS395" s="126">
        <f t="shared" si="622"/>
        <v>0.52</v>
      </c>
      <c r="AT395" s="126">
        <f t="shared" si="623"/>
        <v>0.4444444444</v>
      </c>
      <c r="AU395" s="129"/>
      <c r="AV395" s="39" t="s">
        <v>1275</v>
      </c>
      <c r="AW395" s="130"/>
      <c r="AX395" s="140"/>
      <c r="AY395" s="140"/>
      <c r="AZ395" s="130">
        <v>5.04</v>
      </c>
      <c r="BA395" s="130">
        <v>10.35</v>
      </c>
      <c r="BB395" s="130">
        <f t="shared" si="585"/>
        <v>15.39</v>
      </c>
      <c r="BC395" s="131">
        <f t="shared" si="586"/>
        <v>2.240174672</v>
      </c>
      <c r="BD395" s="132">
        <f t="shared" si="587"/>
        <v>2.000061309</v>
      </c>
      <c r="BE395" s="39"/>
      <c r="BF395" s="134">
        <v>8.5447E9</v>
      </c>
      <c r="BG395" s="49"/>
      <c r="BH395" s="224">
        <f t="shared" si="571"/>
        <v>13.33374206</v>
      </c>
      <c r="BI395" s="224">
        <f t="shared" si="492"/>
        <v>8.000245238</v>
      </c>
      <c r="BJ395" s="224">
        <f t="shared" si="572"/>
        <v>6.666871031</v>
      </c>
      <c r="BK395" s="224">
        <f t="shared" si="573"/>
        <v>5.333496825</v>
      </c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</row>
    <row r="396" ht="14.25" customHeight="1">
      <c r="A396" s="103" t="s">
        <v>84</v>
      </c>
      <c r="B396" s="103" t="s">
        <v>120</v>
      </c>
      <c r="C396" s="103" t="s">
        <v>120</v>
      </c>
      <c r="D396" s="103" t="s">
        <v>1266</v>
      </c>
      <c r="E396" s="103" t="s">
        <v>1317</v>
      </c>
      <c r="F396" s="104" t="s">
        <v>1367</v>
      </c>
      <c r="G396" s="110" t="s">
        <v>1520</v>
      </c>
      <c r="H396" s="110"/>
      <c r="I396" s="107"/>
      <c r="J396" s="220" t="s">
        <v>1571</v>
      </c>
      <c r="K396" s="220" t="str">
        <f>_xlfn.XLOOKUP(J396,[1]Sheet1!$A:$A,[1]Sheet1!$B:$B,"")</f>
        <v>#ERROR!</v>
      </c>
      <c r="L396" s="103" t="s">
        <v>1572</v>
      </c>
      <c r="M396" s="103" t="s">
        <v>1573</v>
      </c>
      <c r="N396" s="110"/>
      <c r="O396" s="104" t="s">
        <v>95</v>
      </c>
      <c r="P396" s="110"/>
      <c r="Q396" s="104" t="s">
        <v>1323</v>
      </c>
      <c r="R396" s="110" t="s">
        <v>1324</v>
      </c>
      <c r="S396" s="110">
        <v>1920.0</v>
      </c>
      <c r="T396" s="110" t="s">
        <v>1574</v>
      </c>
      <c r="U396" s="110">
        <v>8.5447E9</v>
      </c>
      <c r="V396" s="112">
        <v>0.0</v>
      </c>
      <c r="W396" s="113">
        <v>30.0</v>
      </c>
      <c r="X396" s="110">
        <v>45.0</v>
      </c>
      <c r="Y396" s="110">
        <v>55.0</v>
      </c>
      <c r="Z396" s="110" t="s">
        <v>99</v>
      </c>
      <c r="AA396" s="114">
        <f t="shared" si="617"/>
        <v>5.370909483</v>
      </c>
      <c r="AB396" s="115"/>
      <c r="AC396" s="212">
        <f t="shared" si="618"/>
        <v>4.139354313</v>
      </c>
      <c r="AD396" s="213">
        <f t="shared" si="244"/>
        <v>4.450918616</v>
      </c>
      <c r="AE396" s="212"/>
      <c r="AF396" s="212" t="str">
        <f t="shared" si="94"/>
        <v>#REF!</v>
      </c>
      <c r="AG396" s="210" t="str">
        <f t="shared" si="95"/>
        <v>#REF!</v>
      </c>
      <c r="AH396" s="120" t="str">
        <f t="shared" si="96"/>
        <v>#REF!</v>
      </c>
      <c r="AI396" s="121">
        <f t="shared" si="497"/>
        <v>0.1</v>
      </c>
      <c r="AJ396" s="121">
        <v>0.1</v>
      </c>
      <c r="AK396" s="122">
        <v>0.5</v>
      </c>
      <c r="AL396" s="123">
        <f t="shared" si="11"/>
        <v>2.069677157</v>
      </c>
      <c r="AM396" s="122" t="s">
        <v>10</v>
      </c>
      <c r="AN396" s="125">
        <f t="shared" si="619"/>
        <v>4.139354313</v>
      </c>
      <c r="AO396" s="112">
        <f t="shared" si="620"/>
        <v>0.5</v>
      </c>
      <c r="AP396" s="127"/>
      <c r="AQ396" s="128">
        <f t="shared" ref="AQ396:AR396" si="624">BC396/(1-AI396)</f>
        <v>2.578036552</v>
      </c>
      <c r="AR396" s="139">
        <f t="shared" si="624"/>
        <v>2.299641285</v>
      </c>
      <c r="AS396" s="126">
        <f t="shared" si="622"/>
        <v>0.52</v>
      </c>
      <c r="AT396" s="126">
        <f t="shared" si="623"/>
        <v>0.4444444444</v>
      </c>
      <c r="AU396" s="129"/>
      <c r="AV396" s="39" t="s">
        <v>1275</v>
      </c>
      <c r="AW396" s="130"/>
      <c r="AX396" s="140"/>
      <c r="AY396" s="140"/>
      <c r="AZ396" s="130">
        <v>5.04</v>
      </c>
      <c r="BA396" s="130">
        <v>10.9</v>
      </c>
      <c r="BB396" s="130">
        <f t="shared" si="585"/>
        <v>15.94</v>
      </c>
      <c r="BC396" s="131">
        <f t="shared" si="586"/>
        <v>2.320232897</v>
      </c>
      <c r="BD396" s="132">
        <f t="shared" si="587"/>
        <v>2.069677157</v>
      </c>
      <c r="BE396" s="39"/>
      <c r="BF396" s="134">
        <v>8.5447E9</v>
      </c>
      <c r="BG396" s="49"/>
      <c r="BH396" s="224">
        <f t="shared" si="571"/>
        <v>13.79784771</v>
      </c>
      <c r="BI396" s="224">
        <f t="shared" si="492"/>
        <v>8.278708626</v>
      </c>
      <c r="BJ396" s="224">
        <f t="shared" si="572"/>
        <v>6.898923855</v>
      </c>
      <c r="BK396" s="224">
        <f t="shared" si="573"/>
        <v>5.519139084</v>
      </c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</row>
    <row r="397" ht="14.25" customHeight="1">
      <c r="A397" s="103" t="s">
        <v>84</v>
      </c>
      <c r="B397" s="103" t="s">
        <v>120</v>
      </c>
      <c r="C397" s="103" t="s">
        <v>120</v>
      </c>
      <c r="D397" s="103" t="s">
        <v>1266</v>
      </c>
      <c r="E397" s="103" t="s">
        <v>1317</v>
      </c>
      <c r="F397" s="104" t="s">
        <v>1367</v>
      </c>
      <c r="G397" s="110" t="s">
        <v>1520</v>
      </c>
      <c r="H397" s="110"/>
      <c r="I397" s="107"/>
      <c r="J397" s="220" t="s">
        <v>1575</v>
      </c>
      <c r="K397" s="220" t="str">
        <f>_xlfn.XLOOKUP(J397,[1]Sheet1!$A:$A,[1]Sheet1!$B:$B,"")</f>
        <v>#ERROR!</v>
      </c>
      <c r="L397" s="103" t="s">
        <v>1576</v>
      </c>
      <c r="M397" s="103" t="s">
        <v>1577</v>
      </c>
      <c r="N397" s="110"/>
      <c r="O397" s="104" t="s">
        <v>95</v>
      </c>
      <c r="P397" s="110"/>
      <c r="Q397" s="104" t="s">
        <v>1323</v>
      </c>
      <c r="R397" s="110" t="s">
        <v>1324</v>
      </c>
      <c r="S397" s="110">
        <v>1440.0</v>
      </c>
      <c r="T397" s="110" t="s">
        <v>1578</v>
      </c>
      <c r="U397" s="110">
        <v>8.5447E9</v>
      </c>
      <c r="V397" s="112">
        <v>0.0</v>
      </c>
      <c r="W397" s="113">
        <v>30.0</v>
      </c>
      <c r="X397" s="110">
        <v>45.0</v>
      </c>
      <c r="Y397" s="110">
        <v>55.0</v>
      </c>
      <c r="Z397" s="110" t="s">
        <v>99</v>
      </c>
      <c r="AA397" s="114">
        <f t="shared" si="617"/>
        <v>5.721332686</v>
      </c>
      <c r="AB397" s="115"/>
      <c r="AC397" s="212">
        <f t="shared" si="618"/>
        <v>4.437351012</v>
      </c>
      <c r="AD397" s="213">
        <f t="shared" si="244"/>
        <v>4.771345174</v>
      </c>
      <c r="AE397" s="212"/>
      <c r="AF397" s="212" t="str">
        <f t="shared" si="94"/>
        <v>#REF!</v>
      </c>
      <c r="AG397" s="210" t="str">
        <f t="shared" si="95"/>
        <v>#REF!</v>
      </c>
      <c r="AH397" s="120" t="str">
        <f t="shared" si="96"/>
        <v>#REF!</v>
      </c>
      <c r="AI397" s="121">
        <f t="shared" si="497"/>
        <v>0.1</v>
      </c>
      <c r="AJ397" s="121">
        <v>0.1</v>
      </c>
      <c r="AK397" s="122">
        <v>0.5</v>
      </c>
      <c r="AL397" s="123">
        <f t="shared" si="11"/>
        <v>2.218675506</v>
      </c>
      <c r="AM397" s="122" t="s">
        <v>10</v>
      </c>
      <c r="AN397" s="125">
        <f t="shared" si="619"/>
        <v>4.437351012</v>
      </c>
      <c r="AO397" s="112">
        <f t="shared" si="620"/>
        <v>0.5</v>
      </c>
      <c r="AP397" s="127"/>
      <c r="AQ397" s="128">
        <f t="shared" ref="AQ397:AR397" si="625">BC397/(1-AI397)</f>
        <v>2.746239689</v>
      </c>
      <c r="AR397" s="139">
        <f t="shared" si="625"/>
        <v>2.465195006</v>
      </c>
      <c r="AS397" s="126">
        <f t="shared" si="622"/>
        <v>0.52</v>
      </c>
      <c r="AT397" s="126">
        <f t="shared" si="623"/>
        <v>0.4444444444</v>
      </c>
      <c r="AU397" s="129"/>
      <c r="AV397" s="39" t="s">
        <v>1275</v>
      </c>
      <c r="AW397" s="130"/>
      <c r="AX397" s="140"/>
      <c r="AY397" s="140"/>
      <c r="AZ397" s="130">
        <v>5.04</v>
      </c>
      <c r="BA397" s="130">
        <v>11.94</v>
      </c>
      <c r="BB397" s="130">
        <f t="shared" si="585"/>
        <v>16.98</v>
      </c>
      <c r="BC397" s="131">
        <f t="shared" si="586"/>
        <v>2.471615721</v>
      </c>
      <c r="BD397" s="132">
        <f t="shared" si="587"/>
        <v>2.218675506</v>
      </c>
      <c r="BE397" s="39"/>
      <c r="BF397" s="134">
        <v>8.5447E9</v>
      </c>
      <c r="BG397" s="49"/>
      <c r="BH397" s="224">
        <f t="shared" si="571"/>
        <v>14.79117004</v>
      </c>
      <c r="BI397" s="224">
        <f t="shared" si="492"/>
        <v>8.874702023</v>
      </c>
      <c r="BJ397" s="224">
        <f t="shared" si="572"/>
        <v>7.395585019</v>
      </c>
      <c r="BK397" s="224">
        <f t="shared" si="573"/>
        <v>5.916468015</v>
      </c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</row>
    <row r="398" ht="14.25" customHeight="1">
      <c r="A398" s="103" t="s">
        <v>84</v>
      </c>
      <c r="B398" s="103" t="s">
        <v>120</v>
      </c>
      <c r="C398" s="103" t="s">
        <v>120</v>
      </c>
      <c r="D398" s="103" t="s">
        <v>1266</v>
      </c>
      <c r="E398" s="103" t="s">
        <v>1317</v>
      </c>
      <c r="F398" s="104" t="s">
        <v>1367</v>
      </c>
      <c r="G398" s="110" t="s">
        <v>1520</v>
      </c>
      <c r="H398" s="110"/>
      <c r="I398" s="107"/>
      <c r="J398" s="220" t="s">
        <v>1579</v>
      </c>
      <c r="K398" s="220" t="s">
        <v>1580</v>
      </c>
      <c r="L398" s="103" t="s">
        <v>1581</v>
      </c>
      <c r="M398" s="103" t="s">
        <v>1582</v>
      </c>
      <c r="N398" s="110"/>
      <c r="O398" s="104" t="s">
        <v>95</v>
      </c>
      <c r="P398" s="110"/>
      <c r="Q398" s="104" t="s">
        <v>1323</v>
      </c>
      <c r="R398" s="110" t="s">
        <v>1324</v>
      </c>
      <c r="S398" s="110">
        <v>720.0</v>
      </c>
      <c r="T398" s="110" t="e">
        <v>#N/A</v>
      </c>
      <c r="U398" s="110">
        <v>8.5447E9</v>
      </c>
      <c r="V398" s="112">
        <v>0.0</v>
      </c>
      <c r="W398" s="113">
        <v>30.0</v>
      </c>
      <c r="X398" s="110">
        <v>45.0</v>
      </c>
      <c r="Y398" s="110">
        <v>55.0</v>
      </c>
      <c r="Z398" s="110" t="s">
        <v>99</v>
      </c>
      <c r="AA398" s="114">
        <f t="shared" si="617"/>
        <v>6.476090355</v>
      </c>
      <c r="AB398" s="115"/>
      <c r="AC398" s="212">
        <f t="shared" si="618"/>
        <v>5.143292619</v>
      </c>
      <c r="AD398" s="213">
        <f t="shared" si="244"/>
        <v>5.530422171</v>
      </c>
      <c r="AE398" s="212"/>
      <c r="AF398" s="212" t="str">
        <f t="shared" si="94"/>
        <v>#REF!</v>
      </c>
      <c r="AG398" s="210" t="str">
        <f t="shared" si="95"/>
        <v>#REF!</v>
      </c>
      <c r="AH398" s="120" t="str">
        <f t="shared" si="96"/>
        <v>#REF!</v>
      </c>
      <c r="AI398" s="121">
        <f t="shared" si="497"/>
        <v>0.1</v>
      </c>
      <c r="AJ398" s="121">
        <v>0.1</v>
      </c>
      <c r="AK398" s="122">
        <v>0.5</v>
      </c>
      <c r="AL398" s="123">
        <f t="shared" si="11"/>
        <v>2.571646309</v>
      </c>
      <c r="AM398" s="122" t="s">
        <v>10</v>
      </c>
      <c r="AN398" s="125">
        <f t="shared" si="619"/>
        <v>5.143292619</v>
      </c>
      <c r="AO398" s="112">
        <f t="shared" si="620"/>
        <v>0.5</v>
      </c>
      <c r="AP398" s="127"/>
      <c r="AQ398" s="128">
        <f t="shared" ref="AQ398:AR398" si="626">BC398/(1-AI398)</f>
        <v>3.108523371</v>
      </c>
      <c r="AR398" s="139">
        <f t="shared" si="626"/>
        <v>2.857384788</v>
      </c>
      <c r="AS398" s="126">
        <f t="shared" si="622"/>
        <v>0.52</v>
      </c>
      <c r="AT398" s="126">
        <f t="shared" si="623"/>
        <v>0.4444444444</v>
      </c>
      <c r="AU398" s="129"/>
      <c r="AV398" s="39" t="s">
        <v>1275</v>
      </c>
      <c r="AW398" s="130"/>
      <c r="AX398" s="140"/>
      <c r="AY398" s="140"/>
      <c r="AZ398" s="130">
        <v>5.04</v>
      </c>
      <c r="BA398" s="130">
        <v>14.18</v>
      </c>
      <c r="BB398" s="130">
        <f t="shared" si="585"/>
        <v>19.22</v>
      </c>
      <c r="BC398" s="131">
        <f t="shared" si="586"/>
        <v>2.797671033</v>
      </c>
      <c r="BD398" s="132">
        <f t="shared" si="587"/>
        <v>2.571646309</v>
      </c>
      <c r="BE398" s="39"/>
      <c r="BF398" s="134">
        <v>8.5447E9</v>
      </c>
      <c r="BG398" s="49"/>
      <c r="BH398" s="224">
        <f t="shared" si="571"/>
        <v>17.14430873</v>
      </c>
      <c r="BI398" s="224">
        <f t="shared" si="492"/>
        <v>10.28658524</v>
      </c>
      <c r="BJ398" s="224">
        <f t="shared" si="572"/>
        <v>8.572154364</v>
      </c>
      <c r="BK398" s="224">
        <f t="shared" si="573"/>
        <v>6.857723491</v>
      </c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</row>
    <row r="399" ht="14.25" customHeight="1">
      <c r="A399" s="103" t="s">
        <v>84</v>
      </c>
      <c r="B399" s="103" t="s">
        <v>120</v>
      </c>
      <c r="C399" s="103" t="s">
        <v>120</v>
      </c>
      <c r="D399" s="103" t="s">
        <v>1266</v>
      </c>
      <c r="E399" s="103" t="s">
        <v>1317</v>
      </c>
      <c r="F399" s="104" t="s">
        <v>1367</v>
      </c>
      <c r="G399" s="110" t="s">
        <v>1520</v>
      </c>
      <c r="H399" s="110"/>
      <c r="I399" s="107"/>
      <c r="J399" s="220" t="s">
        <v>1583</v>
      </c>
      <c r="K399" s="220" t="s">
        <v>1584</v>
      </c>
      <c r="L399" s="103" t="s">
        <v>1585</v>
      </c>
      <c r="M399" s="103" t="s">
        <v>1586</v>
      </c>
      <c r="N399" s="110"/>
      <c r="O399" s="104" t="s">
        <v>95</v>
      </c>
      <c r="P399" s="110"/>
      <c r="Q399" s="104" t="s">
        <v>1323</v>
      </c>
      <c r="R399" s="110" t="s">
        <v>1324</v>
      </c>
      <c r="S399" s="110">
        <v>480.0</v>
      </c>
      <c r="T399" s="110" t="e">
        <v>#N/A</v>
      </c>
      <c r="U399" s="110">
        <v>8.5447E9</v>
      </c>
      <c r="V399" s="112">
        <v>0.0</v>
      </c>
      <c r="W399" s="113">
        <v>30.0</v>
      </c>
      <c r="X399" s="110">
        <v>45.0</v>
      </c>
      <c r="Y399" s="110">
        <v>55.0</v>
      </c>
      <c r="Z399" s="110" t="s">
        <v>99</v>
      </c>
      <c r="AA399" s="114">
        <f t="shared" si="617"/>
        <v>7.436384711</v>
      </c>
      <c r="AB399" s="115"/>
      <c r="AC399" s="212">
        <f t="shared" si="618"/>
        <v>6.003654832</v>
      </c>
      <c r="AD399" s="213">
        <f t="shared" si="244"/>
        <v>6.45554283</v>
      </c>
      <c r="AE399" s="212"/>
      <c r="AF399" s="212" t="str">
        <f t="shared" si="94"/>
        <v>#REF!</v>
      </c>
      <c r="AG399" s="210" t="str">
        <f t="shared" si="95"/>
        <v>#REF!</v>
      </c>
      <c r="AH399" s="120" t="str">
        <f t="shared" si="96"/>
        <v>#REF!</v>
      </c>
      <c r="AI399" s="121">
        <f t="shared" si="497"/>
        <v>0.1</v>
      </c>
      <c r="AJ399" s="121">
        <v>0.1</v>
      </c>
      <c r="AK399" s="122">
        <v>0.5</v>
      </c>
      <c r="AL399" s="123">
        <f t="shared" si="11"/>
        <v>3.001827416</v>
      </c>
      <c r="AM399" s="122" t="s">
        <v>10</v>
      </c>
      <c r="AN399" s="125">
        <f t="shared" si="619"/>
        <v>6.003654832</v>
      </c>
      <c r="AO399" s="112">
        <f t="shared" si="620"/>
        <v>0.5</v>
      </c>
      <c r="AP399" s="127"/>
      <c r="AQ399" s="128">
        <f t="shared" ref="AQ399:AR399" si="627">BC399/(1-AI399)</f>
        <v>3.569464661</v>
      </c>
      <c r="AR399" s="139">
        <f t="shared" si="627"/>
        <v>3.335363796</v>
      </c>
      <c r="AS399" s="126">
        <f t="shared" si="622"/>
        <v>0.52</v>
      </c>
      <c r="AT399" s="126">
        <f t="shared" si="623"/>
        <v>0.4444444444</v>
      </c>
      <c r="AU399" s="129"/>
      <c r="AV399" s="39" t="s">
        <v>1275</v>
      </c>
      <c r="AW399" s="130"/>
      <c r="AX399" s="140"/>
      <c r="AY399" s="140"/>
      <c r="AZ399" s="130">
        <v>5.04</v>
      </c>
      <c r="BA399" s="130">
        <v>17.03</v>
      </c>
      <c r="BB399" s="130">
        <f t="shared" si="585"/>
        <v>22.07</v>
      </c>
      <c r="BC399" s="131">
        <f t="shared" si="586"/>
        <v>3.212518195</v>
      </c>
      <c r="BD399" s="132">
        <f t="shared" si="587"/>
        <v>3.001827416</v>
      </c>
      <c r="BE399" s="39"/>
      <c r="BF399" s="134">
        <v>8.5447E9</v>
      </c>
      <c r="BG399" s="49"/>
      <c r="BH399" s="224">
        <f t="shared" si="571"/>
        <v>20.01218277</v>
      </c>
      <c r="BI399" s="224">
        <f t="shared" si="492"/>
        <v>12.00730966</v>
      </c>
      <c r="BJ399" s="224">
        <f t="shared" si="572"/>
        <v>10.00609139</v>
      </c>
      <c r="BK399" s="224">
        <f t="shared" si="573"/>
        <v>8.004873109</v>
      </c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</row>
    <row r="400" ht="14.25" customHeight="1">
      <c r="A400" s="103" t="s">
        <v>84</v>
      </c>
      <c r="B400" s="103" t="s">
        <v>120</v>
      </c>
      <c r="C400" s="103" t="s">
        <v>120</v>
      </c>
      <c r="D400" s="103" t="s">
        <v>1266</v>
      </c>
      <c r="E400" s="103" t="s">
        <v>1317</v>
      </c>
      <c r="F400" s="104" t="s">
        <v>1367</v>
      </c>
      <c r="G400" s="110" t="s">
        <v>1520</v>
      </c>
      <c r="H400" s="110"/>
      <c r="I400" s="107"/>
      <c r="J400" s="220" t="s">
        <v>1587</v>
      </c>
      <c r="K400" s="220" t="s">
        <v>1561</v>
      </c>
      <c r="L400" s="103" t="s">
        <v>1588</v>
      </c>
      <c r="M400" s="103" t="s">
        <v>1589</v>
      </c>
      <c r="N400" s="110"/>
      <c r="O400" s="104" t="s">
        <v>95</v>
      </c>
      <c r="P400" s="110"/>
      <c r="Q400" s="104" t="s">
        <v>1323</v>
      </c>
      <c r="R400" s="110" t="s">
        <v>1324</v>
      </c>
      <c r="S400" s="110"/>
      <c r="T400" s="110"/>
      <c r="U400" s="110">
        <v>8.5447E9</v>
      </c>
      <c r="V400" s="112">
        <v>0.0</v>
      </c>
      <c r="W400" s="113">
        <v>30.0</v>
      </c>
      <c r="X400" s="110">
        <v>45.0</v>
      </c>
      <c r="Y400" s="110">
        <v>55.0</v>
      </c>
      <c r="Z400" s="110" t="s">
        <v>99</v>
      </c>
      <c r="AA400" s="114"/>
      <c r="AB400" s="115"/>
      <c r="AC400" s="212"/>
      <c r="AD400" s="213">
        <f t="shared" si="244"/>
        <v>0</v>
      </c>
      <c r="AE400" s="212"/>
      <c r="AF400" s="212" t="str">
        <f t="shared" si="94"/>
        <v>#REF!</v>
      </c>
      <c r="AG400" s="210" t="str">
        <f t="shared" si="95"/>
        <v>#REF!</v>
      </c>
      <c r="AH400" s="120" t="str">
        <f t="shared" si="96"/>
        <v>#REF!</v>
      </c>
      <c r="AI400" s="121">
        <f t="shared" si="497"/>
        <v>0.1</v>
      </c>
      <c r="AJ400" s="121">
        <v>0.1</v>
      </c>
      <c r="AK400" s="122">
        <v>0.5</v>
      </c>
      <c r="AL400" s="123">
        <f t="shared" si="11"/>
        <v>0</v>
      </c>
      <c r="AM400" s="122" t="s">
        <v>10</v>
      </c>
      <c r="AN400" s="125"/>
      <c r="AO400" s="112"/>
      <c r="AP400" s="127"/>
      <c r="AQ400" s="128"/>
      <c r="AR400" s="139"/>
      <c r="AS400" s="126"/>
      <c r="AT400" s="126"/>
      <c r="AU400" s="129"/>
      <c r="AV400" s="39" t="s">
        <v>1275</v>
      </c>
      <c r="AW400" s="130"/>
      <c r="AX400" s="140"/>
      <c r="AY400" s="140"/>
      <c r="AZ400" s="314">
        <v>6.29</v>
      </c>
      <c r="BA400" s="314">
        <v>22.73</v>
      </c>
      <c r="BB400" s="130">
        <f t="shared" si="585"/>
        <v>29.02</v>
      </c>
      <c r="BC400" s="131"/>
      <c r="BD400" s="132"/>
      <c r="BE400" s="39"/>
      <c r="BF400" s="134">
        <v>8.5447E9</v>
      </c>
      <c r="BG400" s="49"/>
      <c r="BH400" s="224">
        <f t="shared" si="571"/>
        <v>0</v>
      </c>
      <c r="BI400" s="224">
        <f t="shared" si="492"/>
        <v>0</v>
      </c>
      <c r="BJ400" s="224">
        <f t="shared" si="572"/>
        <v>0</v>
      </c>
      <c r="BK400" s="224">
        <f t="shared" si="573"/>
        <v>0</v>
      </c>
      <c r="BL400" s="49"/>
      <c r="BM400" s="49"/>
      <c r="BN400" s="49"/>
      <c r="BO400" s="49"/>
      <c r="BP400" s="49"/>
      <c r="BQ400" s="49"/>
      <c r="BR400" s="49"/>
      <c r="BS400" s="49"/>
      <c r="BT400" s="49"/>
      <c r="BU400" s="49"/>
      <c r="BV400" s="49"/>
      <c r="BW400" s="49"/>
      <c r="BX400" s="49"/>
      <c r="BY400" s="49"/>
      <c r="BZ400" s="49"/>
      <c r="CA400" s="49"/>
      <c r="CB400" s="49"/>
      <c r="CC400" s="49"/>
      <c r="CD400" s="49"/>
      <c r="CE400" s="49"/>
      <c r="CF400" s="49"/>
    </row>
    <row r="401" ht="14.25" customHeight="1">
      <c r="A401" s="103" t="s">
        <v>84</v>
      </c>
      <c r="B401" s="103" t="s">
        <v>120</v>
      </c>
      <c r="C401" s="103" t="s">
        <v>120</v>
      </c>
      <c r="D401" s="103" t="s">
        <v>1266</v>
      </c>
      <c r="E401" s="103" t="s">
        <v>1317</v>
      </c>
      <c r="F401" s="104" t="s">
        <v>1367</v>
      </c>
      <c r="G401" s="110" t="s">
        <v>1520</v>
      </c>
      <c r="H401" s="110"/>
      <c r="I401" s="107"/>
      <c r="J401" s="220" t="s">
        <v>1564</v>
      </c>
      <c r="K401" s="220" t="str">
        <f>_xlfn.XLOOKUP(J401,[1]Sheet1!$A:$A,[1]Sheet1!$B:$B,"")</f>
        <v>#ERROR!</v>
      </c>
      <c r="L401" s="103" t="s">
        <v>1565</v>
      </c>
      <c r="M401" s="103" t="s">
        <v>1566</v>
      </c>
      <c r="N401" s="110"/>
      <c r="O401" s="104" t="s">
        <v>95</v>
      </c>
      <c r="P401" s="110"/>
      <c r="Q401" s="104" t="s">
        <v>1323</v>
      </c>
      <c r="R401" s="110" t="s">
        <v>1324</v>
      </c>
      <c r="S401" s="110">
        <v>2160.0</v>
      </c>
      <c r="T401" s="110" t="s">
        <v>1567</v>
      </c>
      <c r="U401" s="110">
        <v>8.5447E9</v>
      </c>
      <c r="V401" s="112">
        <v>0.0</v>
      </c>
      <c r="W401" s="113">
        <v>30.0</v>
      </c>
      <c r="X401" s="110">
        <v>45.0</v>
      </c>
      <c r="Y401" s="110">
        <v>55.0</v>
      </c>
      <c r="Z401" s="110" t="s">
        <v>99</v>
      </c>
      <c r="AA401" s="114">
        <f t="shared" ref="AA401:AA404" si="629">AQ401/(1-(AK401+2%))</f>
        <v>5.000269556</v>
      </c>
      <c r="AB401" s="115"/>
      <c r="AC401" s="212">
        <f t="shared" ref="AC401:AC404" si="630">BD401/(1-AK401)</f>
        <v>3.849316851</v>
      </c>
      <c r="AD401" s="213">
        <f t="shared" si="244"/>
        <v>4.139050377</v>
      </c>
      <c r="AE401" s="212"/>
      <c r="AF401" s="212" t="str">
        <f t="shared" si="94"/>
        <v>#REF!</v>
      </c>
      <c r="AG401" s="210" t="str">
        <f t="shared" si="95"/>
        <v>#REF!</v>
      </c>
      <c r="AH401" s="120" t="str">
        <f t="shared" si="96"/>
        <v>#REF!</v>
      </c>
      <c r="AI401" s="121">
        <f t="shared" si="497"/>
        <v>0.1</v>
      </c>
      <c r="AJ401" s="121">
        <v>0.1</v>
      </c>
      <c r="AK401" s="122">
        <v>0.5</v>
      </c>
      <c r="AL401" s="123">
        <f t="shared" si="11"/>
        <v>1.924658425</v>
      </c>
      <c r="AM401" s="122" t="s">
        <v>10</v>
      </c>
      <c r="AN401" s="125">
        <f t="shared" ref="AN401:AN404" si="631">AC401</f>
        <v>3.849316851</v>
      </c>
      <c r="AO401" s="112">
        <f t="shared" ref="AO401:AO404" si="632">1-(BD401/AN401)</f>
        <v>0.5</v>
      </c>
      <c r="AP401" s="127"/>
      <c r="AQ401" s="128">
        <f t="shared" ref="AQ401:AR401" si="628">BC401/(1-AI401)</f>
        <v>2.400129387</v>
      </c>
      <c r="AR401" s="139">
        <f t="shared" si="628"/>
        <v>2.138509361</v>
      </c>
      <c r="AS401" s="126">
        <f t="shared" ref="AS401:AS404" si="634">1-(AQ401/AA401)</f>
        <v>0.52</v>
      </c>
      <c r="AT401" s="126">
        <f t="shared" ref="AT401:AT404" si="635">1-(AR401/AC401)</f>
        <v>0.4444444444</v>
      </c>
      <c r="AU401" s="129"/>
      <c r="AV401" s="39" t="s">
        <v>1275</v>
      </c>
      <c r="AW401" s="130"/>
      <c r="AX401" s="140"/>
      <c r="AY401" s="140"/>
      <c r="AZ401" s="130">
        <v>5.04</v>
      </c>
      <c r="BA401" s="130">
        <v>9.8</v>
      </c>
      <c r="BB401" s="130">
        <f t="shared" si="585"/>
        <v>14.84</v>
      </c>
      <c r="BC401" s="131">
        <f t="shared" ref="BC401:BC404" si="636">(AZ401+BA401)/$F$5</f>
        <v>2.160116448</v>
      </c>
      <c r="BD401" s="132">
        <f t="shared" ref="BD401:BD404" si="637">(BC401/$F$6)+(($F$9+$G$9)/40/S401)+BC401*V401</f>
        <v>1.924658425</v>
      </c>
      <c r="BE401" s="39"/>
      <c r="BF401" s="134">
        <v>8.5447E9</v>
      </c>
      <c r="BG401" s="49"/>
      <c r="BH401" s="224">
        <f t="shared" si="571"/>
        <v>12.83105617</v>
      </c>
      <c r="BI401" s="224">
        <f t="shared" si="492"/>
        <v>7.698633701</v>
      </c>
      <c r="BJ401" s="224">
        <f t="shared" si="572"/>
        <v>6.415528084</v>
      </c>
      <c r="BK401" s="224">
        <f t="shared" si="573"/>
        <v>5.132422467</v>
      </c>
      <c r="BL401" s="49"/>
      <c r="BM401" s="49"/>
      <c r="BN401" s="49"/>
      <c r="BO401" s="49"/>
      <c r="BP401" s="49"/>
      <c r="BQ401" s="49"/>
      <c r="BR401" s="49"/>
      <c r="BS401" s="49"/>
      <c r="BT401" s="49"/>
      <c r="BU401" s="49"/>
      <c r="BV401" s="49"/>
      <c r="BW401" s="49"/>
      <c r="BX401" s="49"/>
      <c r="BY401" s="49"/>
      <c r="BZ401" s="49"/>
      <c r="CA401" s="49"/>
      <c r="CB401" s="49"/>
      <c r="CC401" s="49"/>
      <c r="CD401" s="49"/>
      <c r="CE401" s="49"/>
      <c r="CF401" s="49"/>
    </row>
    <row r="402" ht="14.25" customHeight="1">
      <c r="A402" s="103" t="s">
        <v>84</v>
      </c>
      <c r="B402" s="103" t="s">
        <v>120</v>
      </c>
      <c r="C402" s="103" t="s">
        <v>120</v>
      </c>
      <c r="D402" s="103" t="s">
        <v>1266</v>
      </c>
      <c r="E402" s="103" t="s">
        <v>1317</v>
      </c>
      <c r="F402" s="104" t="s">
        <v>1367</v>
      </c>
      <c r="G402" s="110" t="s">
        <v>1520</v>
      </c>
      <c r="H402" s="110"/>
      <c r="I402" s="107"/>
      <c r="J402" s="220" t="s">
        <v>1568</v>
      </c>
      <c r="K402" s="220" t="str">
        <f>_xlfn.XLOOKUP(J402,[1]Sheet1!$A:$A,[1]Sheet1!$B:$B,"")</f>
        <v>#ERROR!</v>
      </c>
      <c r="L402" s="103" t="s">
        <v>1569</v>
      </c>
      <c r="M402" s="103" t="s">
        <v>1570</v>
      </c>
      <c r="N402" s="110"/>
      <c r="O402" s="104" t="s">
        <v>95</v>
      </c>
      <c r="P402" s="110"/>
      <c r="Q402" s="104" t="s">
        <v>1323</v>
      </c>
      <c r="R402" s="110" t="s">
        <v>1324</v>
      </c>
      <c r="S402" s="110">
        <v>1920.0</v>
      </c>
      <c r="T402" s="110" t="e">
        <v>#N/A</v>
      </c>
      <c r="U402" s="110">
        <v>8.5447E9</v>
      </c>
      <c r="V402" s="112">
        <v>0.0</v>
      </c>
      <c r="W402" s="113">
        <v>30.0</v>
      </c>
      <c r="X402" s="110">
        <v>45.0</v>
      </c>
      <c r="Y402" s="110">
        <v>55.0</v>
      </c>
      <c r="Z402" s="110" t="s">
        <v>99</v>
      </c>
      <c r="AA402" s="114">
        <f t="shared" si="629"/>
        <v>5.18558952</v>
      </c>
      <c r="AB402" s="115"/>
      <c r="AC402" s="212">
        <f t="shared" si="630"/>
        <v>4.000122619</v>
      </c>
      <c r="AD402" s="213">
        <f t="shared" si="244"/>
        <v>4.301207117</v>
      </c>
      <c r="AE402" s="212"/>
      <c r="AF402" s="212" t="str">
        <f t="shared" si="94"/>
        <v>#REF!</v>
      </c>
      <c r="AG402" s="210" t="str">
        <f t="shared" si="95"/>
        <v>#REF!</v>
      </c>
      <c r="AH402" s="120" t="str">
        <f t="shared" si="96"/>
        <v>#REF!</v>
      </c>
      <c r="AI402" s="121">
        <f t="shared" si="497"/>
        <v>0.1</v>
      </c>
      <c r="AJ402" s="121">
        <v>0.1</v>
      </c>
      <c r="AK402" s="122">
        <v>0.5</v>
      </c>
      <c r="AL402" s="123">
        <f t="shared" si="11"/>
        <v>2.000061309</v>
      </c>
      <c r="AM402" s="122" t="s">
        <v>10</v>
      </c>
      <c r="AN402" s="125">
        <f t="shared" si="631"/>
        <v>4.000122619</v>
      </c>
      <c r="AO402" s="112">
        <f t="shared" si="632"/>
        <v>0.5</v>
      </c>
      <c r="AP402" s="127"/>
      <c r="AQ402" s="128">
        <f t="shared" ref="AQ402:AR402" si="633">BC402/(1-AI402)</f>
        <v>2.489082969</v>
      </c>
      <c r="AR402" s="139">
        <f t="shared" si="633"/>
        <v>2.222290344</v>
      </c>
      <c r="AS402" s="126">
        <f t="shared" si="634"/>
        <v>0.52</v>
      </c>
      <c r="AT402" s="126">
        <f t="shared" si="635"/>
        <v>0.4444444444</v>
      </c>
      <c r="AU402" s="129"/>
      <c r="AV402" s="39" t="s">
        <v>1275</v>
      </c>
      <c r="AW402" s="130"/>
      <c r="AX402" s="140"/>
      <c r="AY402" s="140"/>
      <c r="AZ402" s="130">
        <v>5.04</v>
      </c>
      <c r="BA402" s="130">
        <v>10.35</v>
      </c>
      <c r="BB402" s="130">
        <f t="shared" si="585"/>
        <v>15.39</v>
      </c>
      <c r="BC402" s="131">
        <f t="shared" si="636"/>
        <v>2.240174672</v>
      </c>
      <c r="BD402" s="132">
        <f t="shared" si="637"/>
        <v>2.000061309</v>
      </c>
      <c r="BE402" s="39"/>
      <c r="BF402" s="134">
        <v>8.5447E9</v>
      </c>
      <c r="BG402" s="49"/>
      <c r="BH402" s="224">
        <f t="shared" si="571"/>
        <v>13.33374206</v>
      </c>
      <c r="BI402" s="224">
        <f t="shared" si="492"/>
        <v>8.000245238</v>
      </c>
      <c r="BJ402" s="224">
        <f t="shared" si="572"/>
        <v>6.666871031</v>
      </c>
      <c r="BK402" s="224">
        <f t="shared" si="573"/>
        <v>5.333496825</v>
      </c>
      <c r="BL402" s="49"/>
      <c r="BM402" s="49"/>
      <c r="BN402" s="49"/>
      <c r="BO402" s="49"/>
      <c r="BP402" s="49"/>
      <c r="BQ402" s="49"/>
      <c r="BR402" s="49"/>
      <c r="BS402" s="49"/>
      <c r="BT402" s="49"/>
      <c r="BU402" s="49"/>
      <c r="BV402" s="49"/>
      <c r="BW402" s="49"/>
      <c r="BX402" s="49"/>
      <c r="BY402" s="49"/>
      <c r="BZ402" s="49"/>
      <c r="CA402" s="49"/>
      <c r="CB402" s="49"/>
      <c r="CC402" s="49"/>
      <c r="CD402" s="49"/>
      <c r="CE402" s="49"/>
      <c r="CF402" s="49"/>
    </row>
    <row r="403" ht="14.25" customHeight="1">
      <c r="A403" s="103" t="s">
        <v>84</v>
      </c>
      <c r="B403" s="103" t="s">
        <v>120</v>
      </c>
      <c r="C403" s="103" t="s">
        <v>120</v>
      </c>
      <c r="D403" s="103" t="s">
        <v>1266</v>
      </c>
      <c r="E403" s="103" t="s">
        <v>1317</v>
      </c>
      <c r="F403" s="104" t="s">
        <v>1367</v>
      </c>
      <c r="G403" s="110" t="s">
        <v>1520</v>
      </c>
      <c r="H403" s="110"/>
      <c r="I403" s="107"/>
      <c r="J403" s="220" t="s">
        <v>1571</v>
      </c>
      <c r="K403" s="220" t="str">
        <f>_xlfn.XLOOKUP(J403,[1]Sheet1!$A:$A,[1]Sheet1!$B:$B,"")</f>
        <v>#ERROR!</v>
      </c>
      <c r="L403" s="103" t="s">
        <v>1572</v>
      </c>
      <c r="M403" s="103" t="s">
        <v>1573</v>
      </c>
      <c r="N403" s="110"/>
      <c r="O403" s="104" t="s">
        <v>95</v>
      </c>
      <c r="P403" s="110"/>
      <c r="Q403" s="104" t="s">
        <v>1323</v>
      </c>
      <c r="R403" s="110" t="s">
        <v>1324</v>
      </c>
      <c r="S403" s="110">
        <v>1920.0</v>
      </c>
      <c r="T403" s="110" t="s">
        <v>1574</v>
      </c>
      <c r="U403" s="110">
        <v>8.5447E9</v>
      </c>
      <c r="V403" s="112">
        <v>0.0</v>
      </c>
      <c r="W403" s="113">
        <v>30.0</v>
      </c>
      <c r="X403" s="110">
        <v>45.0</v>
      </c>
      <c r="Y403" s="110">
        <v>55.0</v>
      </c>
      <c r="Z403" s="110" t="s">
        <v>99</v>
      </c>
      <c r="AA403" s="114">
        <f t="shared" si="629"/>
        <v>5.370909483</v>
      </c>
      <c r="AB403" s="115"/>
      <c r="AC403" s="212">
        <f t="shared" si="630"/>
        <v>4.139354313</v>
      </c>
      <c r="AD403" s="213">
        <f t="shared" si="244"/>
        <v>4.450918616</v>
      </c>
      <c r="AE403" s="212"/>
      <c r="AF403" s="212" t="str">
        <f t="shared" si="94"/>
        <v>#REF!</v>
      </c>
      <c r="AG403" s="210" t="str">
        <f t="shared" si="95"/>
        <v>#REF!</v>
      </c>
      <c r="AH403" s="120" t="str">
        <f t="shared" si="96"/>
        <v>#REF!</v>
      </c>
      <c r="AI403" s="121">
        <f t="shared" si="497"/>
        <v>0.1</v>
      </c>
      <c r="AJ403" s="121">
        <v>0.1</v>
      </c>
      <c r="AK403" s="122">
        <v>0.5</v>
      </c>
      <c r="AL403" s="123">
        <f t="shared" si="11"/>
        <v>2.069677157</v>
      </c>
      <c r="AM403" s="122" t="s">
        <v>10</v>
      </c>
      <c r="AN403" s="125">
        <f t="shared" si="631"/>
        <v>4.139354313</v>
      </c>
      <c r="AO403" s="112">
        <f t="shared" si="632"/>
        <v>0.5</v>
      </c>
      <c r="AP403" s="127"/>
      <c r="AQ403" s="128">
        <f t="shared" ref="AQ403:AR403" si="638">BC403/(1-AI403)</f>
        <v>2.578036552</v>
      </c>
      <c r="AR403" s="139">
        <f t="shared" si="638"/>
        <v>2.299641285</v>
      </c>
      <c r="AS403" s="126">
        <f t="shared" si="634"/>
        <v>0.52</v>
      </c>
      <c r="AT403" s="126">
        <f t="shared" si="635"/>
        <v>0.4444444444</v>
      </c>
      <c r="AU403" s="129"/>
      <c r="AV403" s="39" t="s">
        <v>1275</v>
      </c>
      <c r="AW403" s="130"/>
      <c r="AX403" s="140"/>
      <c r="AY403" s="140"/>
      <c r="AZ403" s="130">
        <v>5.04</v>
      </c>
      <c r="BA403" s="130">
        <v>10.9</v>
      </c>
      <c r="BB403" s="130">
        <f t="shared" si="585"/>
        <v>15.94</v>
      </c>
      <c r="BC403" s="131">
        <f t="shared" si="636"/>
        <v>2.320232897</v>
      </c>
      <c r="BD403" s="132">
        <f t="shared" si="637"/>
        <v>2.069677157</v>
      </c>
      <c r="BE403" s="39"/>
      <c r="BF403" s="134">
        <v>8.5447E9</v>
      </c>
      <c r="BG403" s="49"/>
      <c r="BH403" s="224">
        <f t="shared" si="571"/>
        <v>13.79784771</v>
      </c>
      <c r="BI403" s="224">
        <f t="shared" si="492"/>
        <v>8.278708626</v>
      </c>
      <c r="BJ403" s="224">
        <f t="shared" si="572"/>
        <v>6.898923855</v>
      </c>
      <c r="BK403" s="224">
        <f t="shared" si="573"/>
        <v>5.519139084</v>
      </c>
      <c r="BL403" s="49"/>
      <c r="BM403" s="49"/>
      <c r="BN403" s="49"/>
      <c r="BO403" s="49"/>
      <c r="BP403" s="49"/>
      <c r="BQ403" s="49"/>
      <c r="BR403" s="49"/>
      <c r="BS403" s="49"/>
      <c r="BT403" s="49"/>
      <c r="BU403" s="49"/>
      <c r="BV403" s="49"/>
      <c r="BW403" s="49"/>
      <c r="BX403" s="49"/>
      <c r="BY403" s="49"/>
      <c r="BZ403" s="49"/>
      <c r="CA403" s="49"/>
      <c r="CB403" s="49"/>
      <c r="CC403" s="49"/>
      <c r="CD403" s="49"/>
      <c r="CE403" s="49"/>
      <c r="CF403" s="49"/>
    </row>
    <row r="404" ht="14.25" customHeight="1">
      <c r="A404" s="103" t="s">
        <v>84</v>
      </c>
      <c r="B404" s="103" t="s">
        <v>120</v>
      </c>
      <c r="C404" s="103" t="s">
        <v>120</v>
      </c>
      <c r="D404" s="103" t="s">
        <v>1266</v>
      </c>
      <c r="E404" s="103" t="s">
        <v>1317</v>
      </c>
      <c r="F404" s="104" t="s">
        <v>1367</v>
      </c>
      <c r="G404" s="110" t="s">
        <v>1520</v>
      </c>
      <c r="H404" s="110"/>
      <c r="I404" s="107"/>
      <c r="J404" s="220" t="s">
        <v>1575</v>
      </c>
      <c r="K404" s="220" t="str">
        <f>_xlfn.XLOOKUP(J404,[1]Sheet1!$A:$A,[1]Sheet1!$B:$B,"")</f>
        <v>#ERROR!</v>
      </c>
      <c r="L404" s="103" t="s">
        <v>1576</v>
      </c>
      <c r="M404" s="103" t="s">
        <v>1577</v>
      </c>
      <c r="N404" s="110"/>
      <c r="O404" s="104" t="s">
        <v>95</v>
      </c>
      <c r="P404" s="110"/>
      <c r="Q404" s="104" t="s">
        <v>1323</v>
      </c>
      <c r="R404" s="110" t="s">
        <v>1324</v>
      </c>
      <c r="S404" s="110">
        <v>1440.0</v>
      </c>
      <c r="T404" s="110" t="s">
        <v>1578</v>
      </c>
      <c r="U404" s="110">
        <v>8.5447E9</v>
      </c>
      <c r="V404" s="112">
        <v>0.0</v>
      </c>
      <c r="W404" s="113">
        <v>30.0</v>
      </c>
      <c r="X404" s="110">
        <v>45.0</v>
      </c>
      <c r="Y404" s="110">
        <v>55.0</v>
      </c>
      <c r="Z404" s="110" t="s">
        <v>99</v>
      </c>
      <c r="AA404" s="114">
        <f t="shared" si="629"/>
        <v>5.721332686</v>
      </c>
      <c r="AB404" s="115"/>
      <c r="AC404" s="212">
        <f t="shared" si="630"/>
        <v>4.437351012</v>
      </c>
      <c r="AD404" s="213">
        <f t="shared" si="244"/>
        <v>4.771345174</v>
      </c>
      <c r="AE404" s="212"/>
      <c r="AF404" s="212" t="str">
        <f t="shared" si="94"/>
        <v>#REF!</v>
      </c>
      <c r="AG404" s="210" t="str">
        <f t="shared" si="95"/>
        <v>#REF!</v>
      </c>
      <c r="AH404" s="120" t="str">
        <f t="shared" si="96"/>
        <v>#REF!</v>
      </c>
      <c r="AI404" s="121">
        <f t="shared" si="497"/>
        <v>0.1</v>
      </c>
      <c r="AJ404" s="121">
        <v>0.1</v>
      </c>
      <c r="AK404" s="122">
        <v>0.5</v>
      </c>
      <c r="AL404" s="123">
        <f t="shared" si="11"/>
        <v>2.218675506</v>
      </c>
      <c r="AM404" s="122" t="s">
        <v>10</v>
      </c>
      <c r="AN404" s="125">
        <f t="shared" si="631"/>
        <v>4.437351012</v>
      </c>
      <c r="AO404" s="112">
        <f t="shared" si="632"/>
        <v>0.5</v>
      </c>
      <c r="AP404" s="127"/>
      <c r="AQ404" s="128">
        <f t="shared" ref="AQ404:AR404" si="639">BC404/(1-AI404)</f>
        <v>2.746239689</v>
      </c>
      <c r="AR404" s="139">
        <f t="shared" si="639"/>
        <v>2.465195006</v>
      </c>
      <c r="AS404" s="126">
        <f t="shared" si="634"/>
        <v>0.52</v>
      </c>
      <c r="AT404" s="126">
        <f t="shared" si="635"/>
        <v>0.4444444444</v>
      </c>
      <c r="AU404" s="129"/>
      <c r="AV404" s="39" t="s">
        <v>1275</v>
      </c>
      <c r="AW404" s="130"/>
      <c r="AX404" s="140"/>
      <c r="AY404" s="140"/>
      <c r="AZ404" s="130">
        <v>5.04</v>
      </c>
      <c r="BA404" s="130">
        <v>11.94</v>
      </c>
      <c r="BB404" s="130">
        <f t="shared" si="585"/>
        <v>16.98</v>
      </c>
      <c r="BC404" s="131">
        <f t="shared" si="636"/>
        <v>2.471615721</v>
      </c>
      <c r="BD404" s="132">
        <f t="shared" si="637"/>
        <v>2.218675506</v>
      </c>
      <c r="BE404" s="39"/>
      <c r="BF404" s="134">
        <v>8.5447E9</v>
      </c>
      <c r="BG404" s="49"/>
      <c r="BH404" s="224">
        <f t="shared" si="571"/>
        <v>14.79117004</v>
      </c>
      <c r="BI404" s="224">
        <f t="shared" si="492"/>
        <v>8.874702023</v>
      </c>
      <c r="BJ404" s="224">
        <f t="shared" si="572"/>
        <v>7.395585019</v>
      </c>
      <c r="BK404" s="224">
        <f t="shared" si="573"/>
        <v>5.916468015</v>
      </c>
      <c r="BL404" s="49"/>
      <c r="BM404" s="49"/>
      <c r="BN404" s="49"/>
      <c r="BO404" s="49"/>
      <c r="BP404" s="49"/>
      <c r="BQ404" s="49"/>
      <c r="BR404" s="49"/>
      <c r="BS404" s="49"/>
      <c r="BT404" s="49"/>
      <c r="BU404" s="49"/>
      <c r="BV404" s="49"/>
      <c r="BW404" s="49"/>
      <c r="BX404" s="49"/>
      <c r="BY404" s="49"/>
      <c r="BZ404" s="49"/>
      <c r="CA404" s="49"/>
      <c r="CB404" s="49"/>
      <c r="CC404" s="49"/>
      <c r="CD404" s="49"/>
      <c r="CE404" s="49"/>
      <c r="CF404" s="49"/>
    </row>
    <row r="405" ht="14.25" customHeight="1">
      <c r="A405" s="103" t="s">
        <v>84</v>
      </c>
      <c r="B405" s="103" t="s">
        <v>120</v>
      </c>
      <c r="C405" s="103" t="s">
        <v>120</v>
      </c>
      <c r="D405" s="103" t="s">
        <v>1266</v>
      </c>
      <c r="E405" s="103" t="s">
        <v>1317</v>
      </c>
      <c r="F405" s="104" t="s">
        <v>1367</v>
      </c>
      <c r="G405" s="110" t="s">
        <v>1520</v>
      </c>
      <c r="H405" s="110"/>
      <c r="I405" s="107"/>
      <c r="J405" s="220" t="s">
        <v>1587</v>
      </c>
      <c r="K405" s="220" t="s">
        <v>1590</v>
      </c>
      <c r="L405" s="103" t="s">
        <v>1588</v>
      </c>
      <c r="M405" s="103" t="s">
        <v>1589</v>
      </c>
      <c r="N405" s="110"/>
      <c r="O405" s="104" t="s">
        <v>95</v>
      </c>
      <c r="P405" s="110"/>
      <c r="Q405" s="104" t="s">
        <v>1323</v>
      </c>
      <c r="R405" s="110" t="s">
        <v>1324</v>
      </c>
      <c r="S405" s="110"/>
      <c r="T405" s="110"/>
      <c r="U405" s="110">
        <v>8.5447E9</v>
      </c>
      <c r="V405" s="112">
        <v>0.0</v>
      </c>
      <c r="W405" s="113">
        <v>30.0</v>
      </c>
      <c r="X405" s="110">
        <v>45.0</v>
      </c>
      <c r="Y405" s="110">
        <v>55.0</v>
      </c>
      <c r="Z405" s="110" t="s">
        <v>99</v>
      </c>
      <c r="AA405" s="114"/>
      <c r="AB405" s="115"/>
      <c r="AC405" s="212"/>
      <c r="AD405" s="213">
        <f t="shared" si="244"/>
        <v>0</v>
      </c>
      <c r="AE405" s="212"/>
      <c r="AF405" s="212" t="str">
        <f t="shared" si="94"/>
        <v>#REF!</v>
      </c>
      <c r="AG405" s="210" t="str">
        <f t="shared" si="95"/>
        <v>#REF!</v>
      </c>
      <c r="AH405" s="120" t="str">
        <f t="shared" si="96"/>
        <v>#REF!</v>
      </c>
      <c r="AI405" s="121">
        <f t="shared" si="497"/>
        <v>0.1</v>
      </c>
      <c r="AJ405" s="121">
        <v>0.1</v>
      </c>
      <c r="AK405" s="122">
        <v>0.5</v>
      </c>
      <c r="AL405" s="123">
        <f t="shared" si="11"/>
        <v>0</v>
      </c>
      <c r="AM405" s="122" t="s">
        <v>10</v>
      </c>
      <c r="AN405" s="125"/>
      <c r="AO405" s="112"/>
      <c r="AP405" s="127"/>
      <c r="AQ405" s="128"/>
      <c r="AR405" s="139"/>
      <c r="AS405" s="126"/>
      <c r="AT405" s="126"/>
      <c r="AU405" s="129"/>
      <c r="AV405" s="39" t="s">
        <v>1275</v>
      </c>
      <c r="AW405" s="130"/>
      <c r="AX405" s="140"/>
      <c r="AY405" s="140"/>
      <c r="AZ405" s="314">
        <v>6.29</v>
      </c>
      <c r="BA405" s="314">
        <v>22.73</v>
      </c>
      <c r="BB405" s="130">
        <f t="shared" si="585"/>
        <v>29.02</v>
      </c>
      <c r="BC405" s="131"/>
      <c r="BD405" s="132"/>
      <c r="BE405" s="39"/>
      <c r="BF405" s="134">
        <v>8.5447E9</v>
      </c>
      <c r="BG405" s="49"/>
      <c r="BH405" s="224">
        <f t="shared" si="571"/>
        <v>0</v>
      </c>
      <c r="BI405" s="224">
        <f t="shared" si="492"/>
        <v>0</v>
      </c>
      <c r="BJ405" s="224">
        <f t="shared" si="572"/>
        <v>0</v>
      </c>
      <c r="BK405" s="224">
        <f t="shared" si="573"/>
        <v>0</v>
      </c>
      <c r="BL405" s="49"/>
      <c r="BM405" s="49"/>
      <c r="BN405" s="49"/>
      <c r="BO405" s="49"/>
      <c r="BP405" s="49"/>
      <c r="BQ405" s="49"/>
      <c r="BR405" s="49"/>
      <c r="BS405" s="49"/>
      <c r="BT405" s="49"/>
      <c r="BU405" s="49"/>
      <c r="BV405" s="49"/>
      <c r="BW405" s="49"/>
      <c r="BX405" s="49"/>
      <c r="BY405" s="49"/>
      <c r="BZ405" s="49"/>
      <c r="CA405" s="49"/>
      <c r="CB405" s="49"/>
      <c r="CC405" s="49"/>
      <c r="CD405" s="49"/>
      <c r="CE405" s="49"/>
      <c r="CF405" s="49"/>
    </row>
    <row r="406" ht="14.25" customHeight="1">
      <c r="A406" s="103" t="s">
        <v>84</v>
      </c>
      <c r="B406" s="103" t="s">
        <v>120</v>
      </c>
      <c r="C406" s="103" t="s">
        <v>120</v>
      </c>
      <c r="D406" s="103" t="s">
        <v>1266</v>
      </c>
      <c r="E406" s="103" t="s">
        <v>1317</v>
      </c>
      <c r="F406" s="104" t="s">
        <v>1318</v>
      </c>
      <c r="G406" s="110" t="s">
        <v>1591</v>
      </c>
      <c r="H406" s="110"/>
      <c r="I406" s="107"/>
      <c r="J406" s="220" t="s">
        <v>1592</v>
      </c>
      <c r="K406" s="220" t="str">
        <f>_xlfn.XLOOKUP(J406,[1]Sheet1!$A:$A,[1]Sheet1!$B:$B,"")</f>
        <v>#ERROR!</v>
      </c>
      <c r="L406" s="103" t="s">
        <v>1522</v>
      </c>
      <c r="M406" s="103" t="s">
        <v>1523</v>
      </c>
      <c r="N406" s="110"/>
      <c r="O406" s="104" t="s">
        <v>95</v>
      </c>
      <c r="P406" s="110"/>
      <c r="Q406" s="104" t="s">
        <v>1323</v>
      </c>
      <c r="R406" s="110" t="s">
        <v>1324</v>
      </c>
      <c r="S406" s="110">
        <v>2160.0</v>
      </c>
      <c r="T406" s="110" t="e">
        <v>#N/A</v>
      </c>
      <c r="U406" s="110">
        <v>8.5447E9</v>
      </c>
      <c r="V406" s="112">
        <v>0.0</v>
      </c>
      <c r="W406" s="113">
        <v>30.0</v>
      </c>
      <c r="X406" s="110">
        <v>45.0</v>
      </c>
      <c r="Y406" s="110">
        <v>55.0</v>
      </c>
      <c r="Z406" s="110" t="s">
        <v>99</v>
      </c>
      <c r="AA406" s="114">
        <f t="shared" ref="AA406:AA469" si="641">AQ406/(1-(AK406+2%))</f>
        <v>5.017116826</v>
      </c>
      <c r="AB406" s="115"/>
      <c r="AC406" s="212">
        <f t="shared" ref="AC406:AC469" si="642">BD406/(1-AK406)</f>
        <v>3.861974277</v>
      </c>
      <c r="AD406" s="213">
        <f t="shared" si="244"/>
        <v>4.152660513</v>
      </c>
      <c r="AE406" s="212"/>
      <c r="AF406" s="212" t="str">
        <f t="shared" si="94"/>
        <v>#REF!</v>
      </c>
      <c r="AG406" s="210" t="str">
        <f t="shared" si="95"/>
        <v>#REF!</v>
      </c>
      <c r="AH406" s="120" t="str">
        <f t="shared" si="96"/>
        <v>#REF!</v>
      </c>
      <c r="AI406" s="121">
        <f t="shared" si="497"/>
        <v>0.1</v>
      </c>
      <c r="AJ406" s="121">
        <v>0.1</v>
      </c>
      <c r="AK406" s="122">
        <v>0.5</v>
      </c>
      <c r="AL406" s="123">
        <f t="shared" si="11"/>
        <v>1.930987139</v>
      </c>
      <c r="AM406" s="122" t="s">
        <v>10</v>
      </c>
      <c r="AN406" s="125">
        <f t="shared" ref="AN406:AN429" si="643">AC406</f>
        <v>3.861974277</v>
      </c>
      <c r="AO406" s="112">
        <f t="shared" ref="AO406:AO469" si="644">1-(BD406/AN406)</f>
        <v>0.5</v>
      </c>
      <c r="AP406" s="127"/>
      <c r="AQ406" s="128">
        <f t="shared" ref="AQ406:AR406" si="640">BC406/(1-AI406)</f>
        <v>2.408216076</v>
      </c>
      <c r="AR406" s="139">
        <f t="shared" si="640"/>
        <v>2.145541265</v>
      </c>
      <c r="AS406" s="126">
        <f t="shared" ref="AS406:AS469" si="646">1-(AQ406/AA406)</f>
        <v>0.52</v>
      </c>
      <c r="AT406" s="126">
        <f t="shared" ref="AT406:AT469" si="647">1-(AR406/AC406)</f>
        <v>0.4444444444</v>
      </c>
      <c r="AU406" s="129"/>
      <c r="AV406" s="39" t="s">
        <v>1275</v>
      </c>
      <c r="AW406" s="130"/>
      <c r="AX406" s="140"/>
      <c r="AY406" s="140"/>
      <c r="AZ406" s="130">
        <f>5.04+0.05</f>
        <v>5.09</v>
      </c>
      <c r="BA406" s="130">
        <v>9.8</v>
      </c>
      <c r="BB406" s="130">
        <f t="shared" si="585"/>
        <v>14.89</v>
      </c>
      <c r="BC406" s="131">
        <f t="shared" ref="BC406:BC469" si="648">(AZ406+BA406)/$F$5</f>
        <v>2.167394469</v>
      </c>
      <c r="BD406" s="132">
        <f t="shared" ref="BD406:BD469" si="649">(BC406/$F$6)+(($F$9+$G$9)/40/S406)+BC406*V406</f>
        <v>1.930987139</v>
      </c>
      <c r="BE406" s="39"/>
      <c r="BF406" s="134">
        <v>8.5447E9</v>
      </c>
      <c r="BG406" s="49"/>
      <c r="BH406" s="224">
        <f t="shared" si="571"/>
        <v>12.87324759</v>
      </c>
      <c r="BI406" s="224">
        <f t="shared" si="492"/>
        <v>7.723948555</v>
      </c>
      <c r="BJ406" s="224">
        <f t="shared" si="572"/>
        <v>6.436623795</v>
      </c>
      <c r="BK406" s="224">
        <f t="shared" si="573"/>
        <v>5.149299036</v>
      </c>
      <c r="BL406" s="216" t="str">
        <f>VLOOKUP(J406,[4]Sheet1!$A$2:$C$689,3,FALSE)</f>
        <v>#ERROR!</v>
      </c>
      <c r="BM406" s="49"/>
      <c r="BN406" s="49"/>
      <c r="BO406" s="49"/>
      <c r="BP406" s="49"/>
      <c r="BQ406" s="49"/>
      <c r="BR406" s="49"/>
      <c r="BS406" s="49"/>
      <c r="BT406" s="49"/>
      <c r="BU406" s="49"/>
      <c r="BV406" s="49"/>
      <c r="BW406" s="49"/>
      <c r="BX406" s="49"/>
      <c r="BY406" s="49"/>
      <c r="BZ406" s="49"/>
      <c r="CA406" s="49"/>
      <c r="CB406" s="49"/>
      <c r="CC406" s="49"/>
      <c r="CD406" s="49"/>
      <c r="CE406" s="49"/>
      <c r="CF406" s="49"/>
    </row>
    <row r="407" ht="14.25" customHeight="1">
      <c r="A407" s="103" t="s">
        <v>84</v>
      </c>
      <c r="B407" s="103" t="s">
        <v>120</v>
      </c>
      <c r="C407" s="103" t="s">
        <v>120</v>
      </c>
      <c r="D407" s="103" t="s">
        <v>1266</v>
      </c>
      <c r="E407" s="103" t="s">
        <v>1317</v>
      </c>
      <c r="F407" s="104" t="s">
        <v>1318</v>
      </c>
      <c r="G407" s="110" t="s">
        <v>1591</v>
      </c>
      <c r="H407" s="110"/>
      <c r="I407" s="107"/>
      <c r="J407" s="220" t="s">
        <v>1593</v>
      </c>
      <c r="K407" s="220" t="str">
        <f>_xlfn.XLOOKUP(J407,[1]Sheet1!$A:$A,[1]Sheet1!$B:$B,"")</f>
        <v>#ERROR!</v>
      </c>
      <c r="L407" s="103" t="s">
        <v>1525</v>
      </c>
      <c r="M407" s="103" t="s">
        <v>1526</v>
      </c>
      <c r="N407" s="110"/>
      <c r="O407" s="104" t="s">
        <v>95</v>
      </c>
      <c r="P407" s="110"/>
      <c r="Q407" s="104" t="s">
        <v>1323</v>
      </c>
      <c r="R407" s="110" t="s">
        <v>1324</v>
      </c>
      <c r="S407" s="110">
        <v>1920.0</v>
      </c>
      <c r="T407" s="110" t="e">
        <v>#N/A</v>
      </c>
      <c r="U407" s="110">
        <v>8.5447E9</v>
      </c>
      <c r="V407" s="112">
        <v>0.0</v>
      </c>
      <c r="W407" s="113">
        <v>30.0</v>
      </c>
      <c r="X407" s="110">
        <v>45.0</v>
      </c>
      <c r="Y407" s="110">
        <v>55.0</v>
      </c>
      <c r="Z407" s="110" t="s">
        <v>99</v>
      </c>
      <c r="AA407" s="114">
        <f t="shared" si="641"/>
        <v>5.219284058</v>
      </c>
      <c r="AB407" s="115"/>
      <c r="AC407" s="212">
        <f t="shared" si="642"/>
        <v>4.025437472</v>
      </c>
      <c r="AD407" s="213">
        <f t="shared" si="244"/>
        <v>4.32842739</v>
      </c>
      <c r="AE407" s="212"/>
      <c r="AF407" s="212" t="str">
        <f t="shared" si="94"/>
        <v>#REF!</v>
      </c>
      <c r="AG407" s="210" t="str">
        <f t="shared" si="95"/>
        <v>#REF!</v>
      </c>
      <c r="AH407" s="120" t="str">
        <f t="shared" si="96"/>
        <v>#REF!</v>
      </c>
      <c r="AI407" s="121">
        <f t="shared" si="497"/>
        <v>0.1</v>
      </c>
      <c r="AJ407" s="121">
        <v>0.1</v>
      </c>
      <c r="AK407" s="122">
        <v>0.5</v>
      </c>
      <c r="AL407" s="123">
        <f t="shared" si="11"/>
        <v>2.012718736</v>
      </c>
      <c r="AM407" s="122" t="s">
        <v>10</v>
      </c>
      <c r="AN407" s="125">
        <f t="shared" si="643"/>
        <v>4.025437472</v>
      </c>
      <c r="AO407" s="112">
        <f t="shared" si="644"/>
        <v>0.5</v>
      </c>
      <c r="AP407" s="127"/>
      <c r="AQ407" s="128">
        <f t="shared" ref="AQ407:AR407" si="645">BC407/(1-AI407)</f>
        <v>2.505256348</v>
      </c>
      <c r="AR407" s="139">
        <f t="shared" si="645"/>
        <v>2.236354151</v>
      </c>
      <c r="AS407" s="126">
        <f t="shared" si="646"/>
        <v>0.52</v>
      </c>
      <c r="AT407" s="126">
        <f t="shared" si="647"/>
        <v>0.4444444444</v>
      </c>
      <c r="AU407" s="129"/>
      <c r="AV407" s="39" t="s">
        <v>1275</v>
      </c>
      <c r="AW407" s="130"/>
      <c r="AX407" s="140"/>
      <c r="AY407" s="140"/>
      <c r="AZ407" s="130">
        <f>5.04+0.05*2</f>
        <v>5.14</v>
      </c>
      <c r="BA407" s="130">
        <v>10.35</v>
      </c>
      <c r="BB407" s="130">
        <f t="shared" si="585"/>
        <v>15.49</v>
      </c>
      <c r="BC407" s="131">
        <f t="shared" si="648"/>
        <v>2.254730713</v>
      </c>
      <c r="BD407" s="132">
        <f t="shared" si="649"/>
        <v>2.012718736</v>
      </c>
      <c r="BE407" s="39"/>
      <c r="BF407" s="134">
        <v>8.5447E9</v>
      </c>
      <c r="BG407" s="49"/>
      <c r="BH407" s="224">
        <f t="shared" si="571"/>
        <v>13.41812491</v>
      </c>
      <c r="BI407" s="224">
        <f t="shared" si="492"/>
        <v>8.050874945</v>
      </c>
      <c r="BJ407" s="224">
        <f t="shared" si="572"/>
        <v>6.709062454</v>
      </c>
      <c r="BK407" s="224">
        <f t="shared" si="573"/>
        <v>5.367249963</v>
      </c>
      <c r="BL407" s="216" t="str">
        <f>VLOOKUP(J407,[4]Sheet1!$A$2:$C$689,3,FALSE)</f>
        <v>#ERROR!</v>
      </c>
      <c r="BM407" s="49"/>
      <c r="BN407" s="49"/>
      <c r="BO407" s="49"/>
      <c r="BP407" s="49"/>
      <c r="BQ407" s="49"/>
      <c r="BR407" s="49"/>
      <c r="BS407" s="49"/>
      <c r="BT407" s="49"/>
      <c r="BU407" s="49"/>
      <c r="BV407" s="49"/>
      <c r="BW407" s="49"/>
      <c r="BX407" s="49"/>
      <c r="BY407" s="49"/>
      <c r="BZ407" s="49"/>
      <c r="CA407" s="49"/>
      <c r="CB407" s="49"/>
      <c r="CC407" s="49"/>
      <c r="CD407" s="49"/>
      <c r="CE407" s="49"/>
      <c r="CF407" s="49"/>
    </row>
    <row r="408" ht="14.25" customHeight="1">
      <c r="A408" s="103" t="s">
        <v>84</v>
      </c>
      <c r="B408" s="103" t="s">
        <v>120</v>
      </c>
      <c r="C408" s="103" t="s">
        <v>120</v>
      </c>
      <c r="D408" s="103" t="s">
        <v>1266</v>
      </c>
      <c r="E408" s="103" t="s">
        <v>1317</v>
      </c>
      <c r="F408" s="104" t="s">
        <v>1318</v>
      </c>
      <c r="G408" s="110" t="s">
        <v>1591</v>
      </c>
      <c r="H408" s="110"/>
      <c r="I408" s="107"/>
      <c r="J408" s="220" t="s">
        <v>1594</v>
      </c>
      <c r="K408" s="220" t="str">
        <f>_xlfn.XLOOKUP(J408,[1]Sheet1!$A:$A,[1]Sheet1!$B:$B,"")</f>
        <v>#ERROR!</v>
      </c>
      <c r="L408" s="103" t="s">
        <v>1528</v>
      </c>
      <c r="M408" s="103" t="s">
        <v>1529</v>
      </c>
      <c r="N408" s="110"/>
      <c r="O408" s="104" t="s">
        <v>95</v>
      </c>
      <c r="P408" s="110"/>
      <c r="Q408" s="104" t="s">
        <v>1323</v>
      </c>
      <c r="R408" s="110" t="s">
        <v>1324</v>
      </c>
      <c r="S408" s="110">
        <v>1920.0</v>
      </c>
      <c r="T408" s="110" t="e">
        <v>#N/A</v>
      </c>
      <c r="U408" s="110">
        <v>8.5447E9</v>
      </c>
      <c r="V408" s="112">
        <v>0.0</v>
      </c>
      <c r="W408" s="113">
        <v>30.0</v>
      </c>
      <c r="X408" s="110">
        <v>45.0</v>
      </c>
      <c r="Y408" s="110">
        <v>55.0</v>
      </c>
      <c r="Z408" s="110" t="s">
        <v>99</v>
      </c>
      <c r="AA408" s="114">
        <f t="shared" si="641"/>
        <v>5.421451291</v>
      </c>
      <c r="AB408" s="115"/>
      <c r="AC408" s="212">
        <f t="shared" si="642"/>
        <v>4.177326593</v>
      </c>
      <c r="AD408" s="213">
        <f t="shared" si="244"/>
        <v>4.491749025</v>
      </c>
      <c r="AE408" s="212"/>
      <c r="AF408" s="212" t="str">
        <f t="shared" si="94"/>
        <v>#REF!</v>
      </c>
      <c r="AG408" s="210" t="str">
        <f t="shared" si="95"/>
        <v>#REF!</v>
      </c>
      <c r="AH408" s="120" t="str">
        <f t="shared" si="96"/>
        <v>#REF!</v>
      </c>
      <c r="AI408" s="121">
        <f t="shared" si="497"/>
        <v>0.1</v>
      </c>
      <c r="AJ408" s="121">
        <v>0.1</v>
      </c>
      <c r="AK408" s="122">
        <v>0.5</v>
      </c>
      <c r="AL408" s="123">
        <f t="shared" si="11"/>
        <v>2.088663297</v>
      </c>
      <c r="AM408" s="122" t="s">
        <v>10</v>
      </c>
      <c r="AN408" s="125">
        <f t="shared" si="643"/>
        <v>4.177326593</v>
      </c>
      <c r="AO408" s="112">
        <f t="shared" si="644"/>
        <v>0.5</v>
      </c>
      <c r="AP408" s="127"/>
      <c r="AQ408" s="128">
        <f t="shared" ref="AQ408:AR408" si="650">BC408/(1-AI408)</f>
        <v>2.60229662</v>
      </c>
      <c r="AR408" s="139">
        <f t="shared" si="650"/>
        <v>2.320736996</v>
      </c>
      <c r="AS408" s="126">
        <f t="shared" si="646"/>
        <v>0.52</v>
      </c>
      <c r="AT408" s="126">
        <f t="shared" si="647"/>
        <v>0.4444444444</v>
      </c>
      <c r="AU408" s="129"/>
      <c r="AV408" s="39" t="s">
        <v>1275</v>
      </c>
      <c r="AW408" s="130"/>
      <c r="AX408" s="140"/>
      <c r="AY408" s="140"/>
      <c r="AZ408" s="130">
        <f>5.04+0.05*3</f>
        <v>5.19</v>
      </c>
      <c r="BA408" s="130">
        <v>10.9</v>
      </c>
      <c r="BB408" s="130">
        <f t="shared" si="585"/>
        <v>16.09</v>
      </c>
      <c r="BC408" s="131">
        <f t="shared" si="648"/>
        <v>2.342066958</v>
      </c>
      <c r="BD408" s="132">
        <f t="shared" si="649"/>
        <v>2.088663297</v>
      </c>
      <c r="BE408" s="39"/>
      <c r="BF408" s="134">
        <v>8.5447E9</v>
      </c>
      <c r="BG408" s="49"/>
      <c r="BH408" s="224">
        <f t="shared" si="571"/>
        <v>13.92442198</v>
      </c>
      <c r="BI408" s="224">
        <f t="shared" si="492"/>
        <v>8.354653187</v>
      </c>
      <c r="BJ408" s="224">
        <f t="shared" si="572"/>
        <v>6.962210989</v>
      </c>
      <c r="BK408" s="224">
        <f t="shared" si="573"/>
        <v>5.569768791</v>
      </c>
      <c r="BL408" s="216" t="str">
        <f>VLOOKUP(J408,[4]Sheet1!$A$2:$C$689,3,FALSE)</f>
        <v>#ERROR!</v>
      </c>
      <c r="BM408" s="49"/>
      <c r="BN408" s="49"/>
      <c r="BO408" s="49"/>
      <c r="BP408" s="49"/>
      <c r="BQ408" s="49"/>
      <c r="BR408" s="49"/>
      <c r="BS408" s="49"/>
      <c r="BT408" s="49"/>
      <c r="BU408" s="49"/>
      <c r="BV408" s="49"/>
      <c r="BW408" s="49"/>
      <c r="BX408" s="49"/>
      <c r="BY408" s="49"/>
      <c r="BZ408" s="49"/>
      <c r="CA408" s="49"/>
      <c r="CB408" s="49"/>
      <c r="CC408" s="49"/>
      <c r="CD408" s="49"/>
      <c r="CE408" s="49"/>
      <c r="CF408" s="49"/>
    </row>
    <row r="409" ht="14.25" customHeight="1">
      <c r="A409" s="103" t="s">
        <v>84</v>
      </c>
      <c r="B409" s="103" t="s">
        <v>120</v>
      </c>
      <c r="C409" s="103" t="s">
        <v>120</v>
      </c>
      <c r="D409" s="103" t="s">
        <v>1266</v>
      </c>
      <c r="E409" s="103" t="s">
        <v>1317</v>
      </c>
      <c r="F409" s="104" t="s">
        <v>1318</v>
      </c>
      <c r="G409" s="110" t="s">
        <v>1591</v>
      </c>
      <c r="H409" s="110"/>
      <c r="I409" s="107"/>
      <c r="J409" s="220" t="s">
        <v>1595</v>
      </c>
      <c r="K409" s="220" t="str">
        <f>_xlfn.XLOOKUP(J409,[1]Sheet1!$A:$A,[1]Sheet1!$B:$B,"")</f>
        <v>#ERROR!</v>
      </c>
      <c r="L409" s="103" t="s">
        <v>1531</v>
      </c>
      <c r="M409" s="103" t="s">
        <v>1532</v>
      </c>
      <c r="N409" s="110"/>
      <c r="O409" s="104" t="s">
        <v>95</v>
      </c>
      <c r="P409" s="110"/>
      <c r="Q409" s="104" t="s">
        <v>1323</v>
      </c>
      <c r="R409" s="110" t="s">
        <v>1324</v>
      </c>
      <c r="S409" s="110">
        <v>1440.0</v>
      </c>
      <c r="T409" s="110" t="e">
        <v>#N/A</v>
      </c>
      <c r="U409" s="110">
        <v>8.5447E9</v>
      </c>
      <c r="V409" s="112">
        <v>0.0</v>
      </c>
      <c r="W409" s="113">
        <v>30.0</v>
      </c>
      <c r="X409" s="110">
        <v>45.0</v>
      </c>
      <c r="Y409" s="110">
        <v>55.0</v>
      </c>
      <c r="Z409" s="110" t="s">
        <v>99</v>
      </c>
      <c r="AA409" s="114">
        <f t="shared" si="641"/>
        <v>5.805569033</v>
      </c>
      <c r="AB409" s="115"/>
      <c r="AC409" s="212">
        <f t="shared" si="642"/>
        <v>4.500638145</v>
      </c>
      <c r="AD409" s="213">
        <f t="shared" si="244"/>
        <v>4.839395855</v>
      </c>
      <c r="AE409" s="212"/>
      <c r="AF409" s="212" t="str">
        <f t="shared" si="94"/>
        <v>#REF!</v>
      </c>
      <c r="AG409" s="210" t="str">
        <f t="shared" si="95"/>
        <v>#REF!</v>
      </c>
      <c r="AH409" s="120" t="str">
        <f t="shared" si="96"/>
        <v>#REF!</v>
      </c>
      <c r="AI409" s="121">
        <f t="shared" si="497"/>
        <v>0.1</v>
      </c>
      <c r="AJ409" s="121">
        <v>0.1</v>
      </c>
      <c r="AK409" s="122">
        <v>0.5</v>
      </c>
      <c r="AL409" s="123">
        <f t="shared" si="11"/>
        <v>2.250319073</v>
      </c>
      <c r="AM409" s="122" t="s">
        <v>10</v>
      </c>
      <c r="AN409" s="125">
        <f t="shared" si="643"/>
        <v>4.500638145</v>
      </c>
      <c r="AO409" s="112">
        <f t="shared" si="644"/>
        <v>0.5</v>
      </c>
      <c r="AP409" s="127"/>
      <c r="AQ409" s="128">
        <f t="shared" ref="AQ409:AR409" si="651">BC409/(1-AI409)</f>
        <v>2.786673136</v>
      </c>
      <c r="AR409" s="139">
        <f t="shared" si="651"/>
        <v>2.500354525</v>
      </c>
      <c r="AS409" s="126">
        <f t="shared" si="646"/>
        <v>0.52</v>
      </c>
      <c r="AT409" s="126">
        <f t="shared" si="647"/>
        <v>0.4444444444</v>
      </c>
      <c r="AU409" s="129"/>
      <c r="AV409" s="39" t="s">
        <v>1275</v>
      </c>
      <c r="AW409" s="130"/>
      <c r="AX409" s="140"/>
      <c r="AY409" s="140"/>
      <c r="AZ409" s="130">
        <f>5.04+0.05*5</f>
        <v>5.29</v>
      </c>
      <c r="BA409" s="130">
        <v>11.94</v>
      </c>
      <c r="BB409" s="130">
        <f t="shared" si="585"/>
        <v>17.23</v>
      </c>
      <c r="BC409" s="131">
        <f t="shared" si="648"/>
        <v>2.508005822</v>
      </c>
      <c r="BD409" s="132">
        <f t="shared" si="649"/>
        <v>2.250319073</v>
      </c>
      <c r="BE409" s="39"/>
      <c r="BF409" s="134">
        <v>8.5447E9</v>
      </c>
      <c r="BG409" s="49"/>
      <c r="BH409" s="224">
        <f t="shared" si="571"/>
        <v>15.00212715</v>
      </c>
      <c r="BI409" s="224">
        <f t="shared" si="492"/>
        <v>9.001276291</v>
      </c>
      <c r="BJ409" s="224">
        <f t="shared" si="572"/>
        <v>7.501063575</v>
      </c>
      <c r="BK409" s="224">
        <f t="shared" si="573"/>
        <v>6.00085086</v>
      </c>
      <c r="BL409" s="216" t="str">
        <f>VLOOKUP(J409,[4]Sheet1!$A$2:$C$689,3,FALSE)</f>
        <v>#ERROR!</v>
      </c>
      <c r="BM409" s="49"/>
      <c r="BN409" s="49"/>
      <c r="BO409" s="49"/>
      <c r="BP409" s="49"/>
      <c r="BQ409" s="49"/>
      <c r="BR409" s="49"/>
      <c r="BS409" s="49"/>
      <c r="BT409" s="49"/>
      <c r="BU409" s="49"/>
      <c r="BV409" s="49"/>
      <c r="BW409" s="49"/>
      <c r="BX409" s="49"/>
      <c r="BY409" s="49"/>
      <c r="BZ409" s="49"/>
      <c r="CA409" s="49"/>
      <c r="CB409" s="49"/>
      <c r="CC409" s="49"/>
      <c r="CD409" s="49"/>
      <c r="CE409" s="49"/>
      <c r="CF409" s="49"/>
    </row>
    <row r="410" ht="14.25" customHeight="1">
      <c r="A410" s="103" t="s">
        <v>84</v>
      </c>
      <c r="B410" s="103" t="s">
        <v>120</v>
      </c>
      <c r="C410" s="103" t="s">
        <v>120</v>
      </c>
      <c r="D410" s="103" t="s">
        <v>1266</v>
      </c>
      <c r="E410" s="103" t="s">
        <v>1317</v>
      </c>
      <c r="F410" s="104" t="s">
        <v>1318</v>
      </c>
      <c r="G410" s="110" t="s">
        <v>1591</v>
      </c>
      <c r="H410" s="110"/>
      <c r="I410" s="107"/>
      <c r="J410" s="220" t="s">
        <v>1596</v>
      </c>
      <c r="K410" s="220" t="str">
        <f>_xlfn.XLOOKUP(J410,[1]Sheet1!$A:$A,[1]Sheet1!$B:$B,"")</f>
        <v>#ERROR!</v>
      </c>
      <c r="L410" s="103" t="s">
        <v>1534</v>
      </c>
      <c r="M410" s="103" t="s">
        <v>1535</v>
      </c>
      <c r="N410" s="110"/>
      <c r="O410" s="104" t="s">
        <v>95</v>
      </c>
      <c r="P410" s="110"/>
      <c r="Q410" s="104" t="s">
        <v>1323</v>
      </c>
      <c r="R410" s="110" t="s">
        <v>1324</v>
      </c>
      <c r="S410" s="110">
        <v>720.0</v>
      </c>
      <c r="T410" s="110" t="e">
        <v>#N/A</v>
      </c>
      <c r="U410" s="110">
        <v>8.5447E9</v>
      </c>
      <c r="V410" s="112">
        <v>0.0</v>
      </c>
      <c r="W410" s="113">
        <v>30.0</v>
      </c>
      <c r="X410" s="110">
        <v>45.0</v>
      </c>
      <c r="Y410" s="110">
        <v>55.0</v>
      </c>
      <c r="Z410" s="110" t="s">
        <v>99</v>
      </c>
      <c r="AA410" s="114">
        <f t="shared" si="641"/>
        <v>6.644563049</v>
      </c>
      <c r="AB410" s="115"/>
      <c r="AC410" s="212">
        <f t="shared" si="642"/>
        <v>5.269866886</v>
      </c>
      <c r="AD410" s="213">
        <f t="shared" si="244"/>
        <v>5.666523533</v>
      </c>
      <c r="AE410" s="212"/>
      <c r="AF410" s="212" t="str">
        <f t="shared" si="94"/>
        <v>#REF!</v>
      </c>
      <c r="AG410" s="210" t="str">
        <f t="shared" si="95"/>
        <v>#REF!</v>
      </c>
      <c r="AH410" s="120" t="str">
        <f t="shared" si="96"/>
        <v>#REF!</v>
      </c>
      <c r="AI410" s="121">
        <f t="shared" si="497"/>
        <v>0.1</v>
      </c>
      <c r="AJ410" s="121">
        <v>0.1</v>
      </c>
      <c r="AK410" s="122">
        <v>0.5</v>
      </c>
      <c r="AL410" s="123">
        <f t="shared" si="11"/>
        <v>2.634933443</v>
      </c>
      <c r="AM410" s="122" t="s">
        <v>10</v>
      </c>
      <c r="AN410" s="125">
        <f t="shared" si="643"/>
        <v>5.269866886</v>
      </c>
      <c r="AO410" s="112">
        <f t="shared" si="644"/>
        <v>0.5</v>
      </c>
      <c r="AP410" s="127"/>
      <c r="AQ410" s="128">
        <f t="shared" ref="AQ410:AR410" si="652">BC410/(1-AI410)</f>
        <v>3.189390264</v>
      </c>
      <c r="AR410" s="139">
        <f t="shared" si="652"/>
        <v>2.927703826</v>
      </c>
      <c r="AS410" s="126">
        <f t="shared" si="646"/>
        <v>0.52</v>
      </c>
      <c r="AT410" s="126">
        <f t="shared" si="647"/>
        <v>0.4444444444</v>
      </c>
      <c r="AU410" s="129"/>
      <c r="AV410" s="39" t="s">
        <v>1275</v>
      </c>
      <c r="AW410" s="130"/>
      <c r="AX410" s="140"/>
      <c r="AY410" s="140"/>
      <c r="AZ410" s="130">
        <f>5.04+0.05*10</f>
        <v>5.54</v>
      </c>
      <c r="BA410" s="130">
        <v>14.18</v>
      </c>
      <c r="BB410" s="130">
        <f t="shared" si="585"/>
        <v>19.72</v>
      </c>
      <c r="BC410" s="131">
        <f t="shared" si="648"/>
        <v>2.870451237</v>
      </c>
      <c r="BD410" s="132">
        <f t="shared" si="649"/>
        <v>2.634933443</v>
      </c>
      <c r="BE410" s="39"/>
      <c r="BF410" s="134">
        <v>8.5447E9</v>
      </c>
      <c r="BG410" s="49"/>
      <c r="BH410" s="224">
        <f t="shared" si="571"/>
        <v>17.56622295</v>
      </c>
      <c r="BI410" s="224">
        <f t="shared" si="492"/>
        <v>10.53973377</v>
      </c>
      <c r="BJ410" s="224">
        <f t="shared" si="572"/>
        <v>8.783111477</v>
      </c>
      <c r="BK410" s="224">
        <f t="shared" si="573"/>
        <v>7.026489181</v>
      </c>
      <c r="BL410" s="216" t="str">
        <f>VLOOKUP(J410,[4]Sheet1!$A$2:$C$689,3,FALSE)</f>
        <v>#ERROR!</v>
      </c>
      <c r="BM410" s="49"/>
      <c r="BN410" s="49"/>
      <c r="BO410" s="49"/>
      <c r="BP410" s="49"/>
      <c r="BQ410" s="49"/>
      <c r="BR410" s="49"/>
      <c r="BS410" s="49"/>
      <c r="BT410" s="49"/>
      <c r="BU410" s="49"/>
      <c r="BV410" s="49"/>
      <c r="BW410" s="49"/>
      <c r="BX410" s="49"/>
      <c r="BY410" s="49"/>
      <c r="BZ410" s="49"/>
      <c r="CA410" s="49"/>
      <c r="CB410" s="49"/>
      <c r="CC410" s="49"/>
      <c r="CD410" s="49"/>
      <c r="CE410" s="49"/>
      <c r="CF410" s="49"/>
    </row>
    <row r="411" ht="14.25" customHeight="1">
      <c r="A411" s="103" t="s">
        <v>84</v>
      </c>
      <c r="B411" s="103" t="s">
        <v>120</v>
      </c>
      <c r="C411" s="103" t="s">
        <v>120</v>
      </c>
      <c r="D411" s="103" t="s">
        <v>1266</v>
      </c>
      <c r="E411" s="103" t="s">
        <v>1317</v>
      </c>
      <c r="F411" s="104" t="s">
        <v>1318</v>
      </c>
      <c r="G411" s="110" t="s">
        <v>1591</v>
      </c>
      <c r="H411" s="110"/>
      <c r="I411" s="107"/>
      <c r="J411" s="220" t="s">
        <v>1597</v>
      </c>
      <c r="K411" s="220" t="str">
        <f>_xlfn.XLOOKUP(J411,[1]Sheet1!$A:$A,[1]Sheet1!$B:$B,"")</f>
        <v>#ERROR!</v>
      </c>
      <c r="L411" s="103" t="s">
        <v>1537</v>
      </c>
      <c r="M411" s="103" t="s">
        <v>1538</v>
      </c>
      <c r="N411" s="110"/>
      <c r="O411" s="104" t="s">
        <v>95</v>
      </c>
      <c r="P411" s="110"/>
      <c r="Q411" s="104" t="s">
        <v>1323</v>
      </c>
      <c r="R411" s="110" t="s">
        <v>1324</v>
      </c>
      <c r="S411" s="110">
        <v>480.0</v>
      </c>
      <c r="T411" s="110" t="e">
        <v>#N/A</v>
      </c>
      <c r="U411" s="110">
        <v>8.5447E9</v>
      </c>
      <c r="V411" s="112">
        <v>0.0</v>
      </c>
      <c r="W411" s="113">
        <v>30.0</v>
      </c>
      <c r="X411" s="110">
        <v>45.0</v>
      </c>
      <c r="Y411" s="110">
        <v>55.0</v>
      </c>
      <c r="Z411" s="110" t="s">
        <v>99</v>
      </c>
      <c r="AA411" s="114">
        <f t="shared" si="641"/>
        <v>7.689093752</v>
      </c>
      <c r="AB411" s="115"/>
      <c r="AC411" s="212">
        <f t="shared" si="642"/>
        <v>6.193516233</v>
      </c>
      <c r="AD411" s="213">
        <f t="shared" si="244"/>
        <v>6.659694874</v>
      </c>
      <c r="AE411" s="212"/>
      <c r="AF411" s="212" t="str">
        <f t="shared" si="94"/>
        <v>#REF!</v>
      </c>
      <c r="AG411" s="210" t="str">
        <f t="shared" si="95"/>
        <v>#REF!</v>
      </c>
      <c r="AH411" s="120" t="str">
        <f t="shared" si="96"/>
        <v>#REF!</v>
      </c>
      <c r="AI411" s="121">
        <f t="shared" si="497"/>
        <v>0.1</v>
      </c>
      <c r="AJ411" s="121">
        <v>0.1</v>
      </c>
      <c r="AK411" s="122">
        <v>0.5</v>
      </c>
      <c r="AL411" s="123">
        <f t="shared" si="11"/>
        <v>3.096758117</v>
      </c>
      <c r="AM411" s="122" t="s">
        <v>10</v>
      </c>
      <c r="AN411" s="125">
        <f t="shared" si="643"/>
        <v>6.193516233</v>
      </c>
      <c r="AO411" s="112">
        <f t="shared" si="644"/>
        <v>0.5</v>
      </c>
      <c r="AP411" s="127"/>
      <c r="AQ411" s="128">
        <f t="shared" ref="AQ411:AR411" si="653">BC411/(1-AI411)</f>
        <v>3.690765001</v>
      </c>
      <c r="AR411" s="139">
        <f t="shared" si="653"/>
        <v>3.440842352</v>
      </c>
      <c r="AS411" s="126">
        <f t="shared" si="646"/>
        <v>0.52</v>
      </c>
      <c r="AT411" s="126">
        <f t="shared" si="647"/>
        <v>0.4444444444</v>
      </c>
      <c r="AU411" s="129"/>
      <c r="AV411" s="39" t="s">
        <v>1275</v>
      </c>
      <c r="AW411" s="130"/>
      <c r="AX411" s="140"/>
      <c r="AY411" s="140"/>
      <c r="AZ411" s="130">
        <f>5.04+0.05*15</f>
        <v>5.79</v>
      </c>
      <c r="BA411" s="130">
        <v>17.03</v>
      </c>
      <c r="BB411" s="130">
        <f t="shared" si="585"/>
        <v>22.82</v>
      </c>
      <c r="BC411" s="131">
        <f t="shared" si="648"/>
        <v>3.321688501</v>
      </c>
      <c r="BD411" s="132">
        <f t="shared" si="649"/>
        <v>3.096758117</v>
      </c>
      <c r="BE411" s="39"/>
      <c r="BF411" s="134">
        <v>8.5447E9</v>
      </c>
      <c r="BG411" s="49"/>
      <c r="BH411" s="224">
        <f t="shared" si="571"/>
        <v>20.64505411</v>
      </c>
      <c r="BI411" s="224">
        <f t="shared" si="492"/>
        <v>12.38703247</v>
      </c>
      <c r="BJ411" s="224">
        <f t="shared" si="572"/>
        <v>10.32252706</v>
      </c>
      <c r="BK411" s="224">
        <f t="shared" si="573"/>
        <v>8.258021644</v>
      </c>
      <c r="BL411" s="216" t="str">
        <f>VLOOKUP(J411,[4]Sheet1!$A$2:$C$689,3,FALSE)</f>
        <v>#ERROR!</v>
      </c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49"/>
      <c r="BX411" s="49"/>
      <c r="BY411" s="49"/>
      <c r="BZ411" s="49"/>
      <c r="CA411" s="49"/>
      <c r="CB411" s="49"/>
      <c r="CC411" s="49"/>
      <c r="CD411" s="49"/>
      <c r="CE411" s="49"/>
      <c r="CF411" s="49"/>
    </row>
    <row r="412" ht="14.25" customHeight="1">
      <c r="A412" s="103" t="s">
        <v>84</v>
      </c>
      <c r="B412" s="103" t="s">
        <v>120</v>
      </c>
      <c r="C412" s="103" t="s">
        <v>120</v>
      </c>
      <c r="D412" s="103" t="s">
        <v>1266</v>
      </c>
      <c r="E412" s="103" t="s">
        <v>1317</v>
      </c>
      <c r="F412" s="104" t="s">
        <v>1340</v>
      </c>
      <c r="G412" s="110" t="s">
        <v>1591</v>
      </c>
      <c r="H412" s="110"/>
      <c r="I412" s="107"/>
      <c r="J412" s="220" t="s">
        <v>1598</v>
      </c>
      <c r="K412" s="220" t="str">
        <f>_xlfn.XLOOKUP(J412,[1]Sheet1!$A:$A,[1]Sheet1!$B:$B,"")</f>
        <v>#ERROR!</v>
      </c>
      <c r="L412" s="103" t="s">
        <v>1540</v>
      </c>
      <c r="M412" s="103" t="s">
        <v>1541</v>
      </c>
      <c r="N412" s="110"/>
      <c r="O412" s="104" t="s">
        <v>95</v>
      </c>
      <c r="P412" s="110"/>
      <c r="Q412" s="104" t="s">
        <v>1323</v>
      </c>
      <c r="R412" s="110" t="s">
        <v>1324</v>
      </c>
      <c r="S412" s="110">
        <v>2160.0</v>
      </c>
      <c r="T412" s="110" t="s">
        <v>1542</v>
      </c>
      <c r="U412" s="110">
        <v>8.5447E9</v>
      </c>
      <c r="V412" s="112">
        <v>0.0</v>
      </c>
      <c r="W412" s="113">
        <v>30.0</v>
      </c>
      <c r="X412" s="110">
        <v>45.0</v>
      </c>
      <c r="Y412" s="110">
        <v>55.0</v>
      </c>
      <c r="Z412" s="110" t="s">
        <v>99</v>
      </c>
      <c r="AA412" s="114">
        <f t="shared" si="641"/>
        <v>5.017116826</v>
      </c>
      <c r="AB412" s="115"/>
      <c r="AC412" s="212">
        <f t="shared" si="642"/>
        <v>3.861974277</v>
      </c>
      <c r="AD412" s="213">
        <f t="shared" si="244"/>
        <v>4.152660513</v>
      </c>
      <c r="AE412" s="212"/>
      <c r="AF412" s="212" t="str">
        <f t="shared" si="94"/>
        <v>#REF!</v>
      </c>
      <c r="AG412" s="210" t="str">
        <f t="shared" si="95"/>
        <v>#REF!</v>
      </c>
      <c r="AH412" s="120" t="str">
        <f t="shared" si="96"/>
        <v>#REF!</v>
      </c>
      <c r="AI412" s="121">
        <f t="shared" si="497"/>
        <v>0.1</v>
      </c>
      <c r="AJ412" s="121">
        <v>0.1</v>
      </c>
      <c r="AK412" s="122">
        <v>0.5</v>
      </c>
      <c r="AL412" s="123">
        <f t="shared" si="11"/>
        <v>1.930987139</v>
      </c>
      <c r="AM412" s="122" t="s">
        <v>10</v>
      </c>
      <c r="AN412" s="125">
        <f t="shared" si="643"/>
        <v>3.861974277</v>
      </c>
      <c r="AO412" s="112">
        <f t="shared" si="644"/>
        <v>0.5</v>
      </c>
      <c r="AP412" s="127"/>
      <c r="AQ412" s="128">
        <f t="shared" ref="AQ412:AR412" si="654">BC412/(1-AI412)</f>
        <v>2.408216076</v>
      </c>
      <c r="AR412" s="139">
        <f t="shared" si="654"/>
        <v>2.145541265</v>
      </c>
      <c r="AS412" s="126">
        <f t="shared" si="646"/>
        <v>0.52</v>
      </c>
      <c r="AT412" s="126">
        <f t="shared" si="647"/>
        <v>0.4444444444</v>
      </c>
      <c r="AU412" s="129"/>
      <c r="AV412" s="39" t="s">
        <v>1275</v>
      </c>
      <c r="AW412" s="130"/>
      <c r="AX412" s="140"/>
      <c r="AY412" s="140"/>
      <c r="AZ412" s="130">
        <f>5.04+0.05</f>
        <v>5.09</v>
      </c>
      <c r="BA412" s="130">
        <v>9.8</v>
      </c>
      <c r="BB412" s="130">
        <f t="shared" si="585"/>
        <v>14.89</v>
      </c>
      <c r="BC412" s="131">
        <f t="shared" si="648"/>
        <v>2.167394469</v>
      </c>
      <c r="BD412" s="132">
        <f t="shared" si="649"/>
        <v>1.930987139</v>
      </c>
      <c r="BE412" s="39"/>
      <c r="BF412" s="134">
        <v>8.5447E9</v>
      </c>
      <c r="BG412" s="49"/>
      <c r="BH412" s="224">
        <f t="shared" si="571"/>
        <v>12.87324759</v>
      </c>
      <c r="BI412" s="224">
        <f t="shared" si="492"/>
        <v>7.723948555</v>
      </c>
      <c r="BJ412" s="224">
        <f t="shared" si="572"/>
        <v>6.436623795</v>
      </c>
      <c r="BK412" s="224">
        <f t="shared" si="573"/>
        <v>5.149299036</v>
      </c>
      <c r="BL412" s="216" t="str">
        <f>VLOOKUP(J412,[4]Sheet1!$A$2:$C$689,3,FALSE)</f>
        <v>#ERROR!</v>
      </c>
      <c r="BM412" s="49"/>
      <c r="BN412" s="49"/>
      <c r="BO412" s="49"/>
      <c r="BP412" s="49"/>
      <c r="BQ412" s="49"/>
      <c r="BR412" s="49"/>
      <c r="BS412" s="49"/>
      <c r="BT412" s="49"/>
      <c r="BU412" s="49"/>
      <c r="BV412" s="49"/>
      <c r="BW412" s="49"/>
      <c r="BX412" s="49"/>
      <c r="BY412" s="49"/>
      <c r="BZ412" s="49"/>
      <c r="CA412" s="49"/>
      <c r="CB412" s="49"/>
      <c r="CC412" s="49"/>
      <c r="CD412" s="49"/>
      <c r="CE412" s="49"/>
      <c r="CF412" s="49"/>
    </row>
    <row r="413" ht="14.25" customHeight="1">
      <c r="A413" s="103" t="s">
        <v>84</v>
      </c>
      <c r="B413" s="103" t="s">
        <v>120</v>
      </c>
      <c r="C413" s="103" t="s">
        <v>120</v>
      </c>
      <c r="D413" s="103" t="s">
        <v>1266</v>
      </c>
      <c r="E413" s="103" t="s">
        <v>1317</v>
      </c>
      <c r="F413" s="104" t="s">
        <v>1340</v>
      </c>
      <c r="G413" s="110" t="s">
        <v>1591</v>
      </c>
      <c r="H413" s="110"/>
      <c r="I413" s="107"/>
      <c r="J413" s="220" t="s">
        <v>1599</v>
      </c>
      <c r="K413" s="220" t="str">
        <f>_xlfn.XLOOKUP(J413,[1]Sheet1!$A:$A,[1]Sheet1!$B:$B,"")</f>
        <v>#ERROR!</v>
      </c>
      <c r="L413" s="103" t="s">
        <v>1544</v>
      </c>
      <c r="M413" s="103" t="s">
        <v>1545</v>
      </c>
      <c r="N413" s="110"/>
      <c r="O413" s="104" t="s">
        <v>95</v>
      </c>
      <c r="P413" s="110"/>
      <c r="Q413" s="104" t="s">
        <v>1323</v>
      </c>
      <c r="R413" s="110" t="s">
        <v>1324</v>
      </c>
      <c r="S413" s="110">
        <v>1920.0</v>
      </c>
      <c r="T413" s="110" t="e">
        <v>#N/A</v>
      </c>
      <c r="U413" s="110">
        <v>8.5447E9</v>
      </c>
      <c r="V413" s="112">
        <v>0.0</v>
      </c>
      <c r="W413" s="113">
        <v>30.0</v>
      </c>
      <c r="X413" s="110">
        <v>45.0</v>
      </c>
      <c r="Y413" s="110">
        <v>55.0</v>
      </c>
      <c r="Z413" s="110" t="s">
        <v>99</v>
      </c>
      <c r="AA413" s="114">
        <f t="shared" si="641"/>
        <v>5.219284058</v>
      </c>
      <c r="AB413" s="115"/>
      <c r="AC413" s="212">
        <f t="shared" si="642"/>
        <v>4.025437472</v>
      </c>
      <c r="AD413" s="213">
        <f t="shared" si="244"/>
        <v>4.32842739</v>
      </c>
      <c r="AE413" s="212"/>
      <c r="AF413" s="212" t="str">
        <f t="shared" si="94"/>
        <v>#REF!</v>
      </c>
      <c r="AG413" s="210" t="str">
        <f t="shared" si="95"/>
        <v>#REF!</v>
      </c>
      <c r="AH413" s="120" t="str">
        <f t="shared" si="96"/>
        <v>#REF!</v>
      </c>
      <c r="AI413" s="121">
        <f t="shared" si="497"/>
        <v>0.1</v>
      </c>
      <c r="AJ413" s="121">
        <v>0.1</v>
      </c>
      <c r="AK413" s="122">
        <v>0.5</v>
      </c>
      <c r="AL413" s="123">
        <f t="shared" si="11"/>
        <v>2.012718736</v>
      </c>
      <c r="AM413" s="122" t="s">
        <v>10</v>
      </c>
      <c r="AN413" s="125">
        <f t="shared" si="643"/>
        <v>4.025437472</v>
      </c>
      <c r="AO413" s="112">
        <f t="shared" si="644"/>
        <v>0.5</v>
      </c>
      <c r="AP413" s="127"/>
      <c r="AQ413" s="128">
        <f t="shared" ref="AQ413:AR413" si="655">BC413/(1-AI413)</f>
        <v>2.505256348</v>
      </c>
      <c r="AR413" s="139">
        <f t="shared" si="655"/>
        <v>2.236354151</v>
      </c>
      <c r="AS413" s="126">
        <f t="shared" si="646"/>
        <v>0.52</v>
      </c>
      <c r="AT413" s="126">
        <f t="shared" si="647"/>
        <v>0.4444444444</v>
      </c>
      <c r="AU413" s="129"/>
      <c r="AV413" s="39" t="s">
        <v>1275</v>
      </c>
      <c r="AW413" s="130"/>
      <c r="AX413" s="140"/>
      <c r="AY413" s="140"/>
      <c r="AZ413" s="130">
        <f>5.04+0.05*2</f>
        <v>5.14</v>
      </c>
      <c r="BA413" s="130">
        <v>10.35</v>
      </c>
      <c r="BB413" s="130">
        <f t="shared" si="585"/>
        <v>15.49</v>
      </c>
      <c r="BC413" s="131">
        <f t="shared" si="648"/>
        <v>2.254730713</v>
      </c>
      <c r="BD413" s="132">
        <f t="shared" si="649"/>
        <v>2.012718736</v>
      </c>
      <c r="BE413" s="39"/>
      <c r="BF413" s="134">
        <v>8.5447E9</v>
      </c>
      <c r="BG413" s="49"/>
      <c r="BH413" s="224">
        <f t="shared" si="571"/>
        <v>13.41812491</v>
      </c>
      <c r="BI413" s="224">
        <f t="shared" si="492"/>
        <v>8.050874945</v>
      </c>
      <c r="BJ413" s="224">
        <f t="shared" si="572"/>
        <v>6.709062454</v>
      </c>
      <c r="BK413" s="224">
        <f t="shared" si="573"/>
        <v>5.367249963</v>
      </c>
      <c r="BL413" s="216" t="str">
        <f>VLOOKUP(J413,[4]Sheet1!$A$2:$C$689,3,FALSE)</f>
        <v>#ERROR!</v>
      </c>
      <c r="BM413" s="49"/>
      <c r="BN413" s="49"/>
      <c r="BO413" s="49"/>
      <c r="BP413" s="49"/>
      <c r="BQ413" s="49"/>
      <c r="BR413" s="49"/>
      <c r="BS413" s="49"/>
      <c r="BT413" s="49"/>
      <c r="BU413" s="49"/>
      <c r="BV413" s="49"/>
      <c r="BW413" s="49"/>
      <c r="BX413" s="49"/>
      <c r="BY413" s="49"/>
      <c r="BZ413" s="49"/>
      <c r="CA413" s="49"/>
      <c r="CB413" s="49"/>
      <c r="CC413" s="49"/>
      <c r="CD413" s="49"/>
      <c r="CE413" s="49"/>
      <c r="CF413" s="49"/>
    </row>
    <row r="414" ht="14.25" customHeight="1">
      <c r="A414" s="103" t="s">
        <v>84</v>
      </c>
      <c r="B414" s="103" t="s">
        <v>120</v>
      </c>
      <c r="C414" s="103" t="s">
        <v>120</v>
      </c>
      <c r="D414" s="103" t="s">
        <v>1266</v>
      </c>
      <c r="E414" s="103" t="s">
        <v>1317</v>
      </c>
      <c r="F414" s="104" t="s">
        <v>1340</v>
      </c>
      <c r="G414" s="110" t="s">
        <v>1591</v>
      </c>
      <c r="H414" s="110"/>
      <c r="I414" s="107"/>
      <c r="J414" s="220" t="s">
        <v>1600</v>
      </c>
      <c r="K414" s="220" t="str">
        <f>_xlfn.XLOOKUP(J414,[1]Sheet1!$A:$A,[1]Sheet1!$B:$B,"")</f>
        <v>#ERROR!</v>
      </c>
      <c r="L414" s="103" t="s">
        <v>1547</v>
      </c>
      <c r="M414" s="103" t="s">
        <v>1548</v>
      </c>
      <c r="N414" s="110"/>
      <c r="O414" s="104" t="s">
        <v>95</v>
      </c>
      <c r="P414" s="110"/>
      <c r="Q414" s="104" t="s">
        <v>1323</v>
      </c>
      <c r="R414" s="110" t="s">
        <v>1324</v>
      </c>
      <c r="S414" s="110">
        <v>1920.0</v>
      </c>
      <c r="T414" s="110" t="e">
        <v>#N/A</v>
      </c>
      <c r="U414" s="110">
        <v>8.5447E9</v>
      </c>
      <c r="V414" s="112">
        <v>0.0</v>
      </c>
      <c r="W414" s="113">
        <v>30.0</v>
      </c>
      <c r="X414" s="110">
        <v>45.0</v>
      </c>
      <c r="Y414" s="110">
        <v>55.0</v>
      </c>
      <c r="Z414" s="110" t="s">
        <v>99</v>
      </c>
      <c r="AA414" s="114">
        <f t="shared" si="641"/>
        <v>5.421451291</v>
      </c>
      <c r="AB414" s="115"/>
      <c r="AC414" s="212">
        <f t="shared" si="642"/>
        <v>4.177326593</v>
      </c>
      <c r="AD414" s="213">
        <f t="shared" si="244"/>
        <v>4.491749025</v>
      </c>
      <c r="AE414" s="212"/>
      <c r="AF414" s="212" t="str">
        <f t="shared" si="94"/>
        <v>#REF!</v>
      </c>
      <c r="AG414" s="210" t="str">
        <f t="shared" si="95"/>
        <v>#REF!</v>
      </c>
      <c r="AH414" s="120" t="str">
        <f t="shared" si="96"/>
        <v>#REF!</v>
      </c>
      <c r="AI414" s="121">
        <f t="shared" si="497"/>
        <v>0.1</v>
      </c>
      <c r="AJ414" s="121">
        <v>0.1</v>
      </c>
      <c r="AK414" s="122">
        <v>0.5</v>
      </c>
      <c r="AL414" s="123">
        <f t="shared" si="11"/>
        <v>2.088663297</v>
      </c>
      <c r="AM414" s="122" t="s">
        <v>10</v>
      </c>
      <c r="AN414" s="125">
        <f t="shared" si="643"/>
        <v>4.177326593</v>
      </c>
      <c r="AO414" s="112">
        <f t="shared" si="644"/>
        <v>0.5</v>
      </c>
      <c r="AP414" s="127"/>
      <c r="AQ414" s="128">
        <f t="shared" ref="AQ414:AR414" si="656">BC414/(1-AI414)</f>
        <v>2.60229662</v>
      </c>
      <c r="AR414" s="139">
        <f t="shared" si="656"/>
        <v>2.320736996</v>
      </c>
      <c r="AS414" s="126">
        <f t="shared" si="646"/>
        <v>0.52</v>
      </c>
      <c r="AT414" s="126">
        <f t="shared" si="647"/>
        <v>0.4444444444</v>
      </c>
      <c r="AU414" s="129"/>
      <c r="AV414" s="39" t="s">
        <v>1275</v>
      </c>
      <c r="AW414" s="130"/>
      <c r="AX414" s="140"/>
      <c r="AY414" s="140"/>
      <c r="AZ414" s="130">
        <f>5.04+0.05*3</f>
        <v>5.19</v>
      </c>
      <c r="BA414" s="130">
        <v>10.9</v>
      </c>
      <c r="BB414" s="130">
        <f t="shared" si="585"/>
        <v>16.09</v>
      </c>
      <c r="BC414" s="131">
        <f t="shared" si="648"/>
        <v>2.342066958</v>
      </c>
      <c r="BD414" s="132">
        <f t="shared" si="649"/>
        <v>2.088663297</v>
      </c>
      <c r="BE414" s="39"/>
      <c r="BF414" s="134">
        <v>8.5447E9</v>
      </c>
      <c r="BG414" s="49"/>
      <c r="BH414" s="224">
        <f t="shared" si="571"/>
        <v>13.92442198</v>
      </c>
      <c r="BI414" s="224">
        <f t="shared" si="492"/>
        <v>8.354653187</v>
      </c>
      <c r="BJ414" s="224">
        <f t="shared" si="572"/>
        <v>6.962210989</v>
      </c>
      <c r="BK414" s="224">
        <f t="shared" si="573"/>
        <v>5.569768791</v>
      </c>
      <c r="BL414" s="216" t="str">
        <f>VLOOKUP(J414,[4]Sheet1!$A$2:$C$689,3,FALSE)</f>
        <v>#ERROR!</v>
      </c>
      <c r="BM414" s="49"/>
      <c r="BN414" s="49"/>
      <c r="BO414" s="49"/>
      <c r="BP414" s="49"/>
      <c r="BQ414" s="49"/>
      <c r="BR414" s="49"/>
      <c r="BS414" s="49"/>
      <c r="BT414" s="49"/>
      <c r="BU414" s="49"/>
      <c r="BV414" s="49"/>
      <c r="BW414" s="49"/>
      <c r="BX414" s="49"/>
      <c r="BY414" s="49"/>
      <c r="BZ414" s="49"/>
      <c r="CA414" s="49"/>
      <c r="CB414" s="49"/>
      <c r="CC414" s="49"/>
      <c r="CD414" s="49"/>
      <c r="CE414" s="49"/>
      <c r="CF414" s="49"/>
    </row>
    <row r="415" ht="14.25" customHeight="1">
      <c r="A415" s="103" t="s">
        <v>84</v>
      </c>
      <c r="B415" s="103" t="s">
        <v>120</v>
      </c>
      <c r="C415" s="103" t="s">
        <v>120</v>
      </c>
      <c r="D415" s="103" t="s">
        <v>1266</v>
      </c>
      <c r="E415" s="103" t="s">
        <v>1317</v>
      </c>
      <c r="F415" s="104" t="s">
        <v>1340</v>
      </c>
      <c r="G415" s="110" t="s">
        <v>1591</v>
      </c>
      <c r="H415" s="110"/>
      <c r="I415" s="107"/>
      <c r="J415" s="220" t="s">
        <v>1601</v>
      </c>
      <c r="K415" s="220" t="str">
        <f>_xlfn.XLOOKUP(J415,[1]Sheet1!$A:$A,[1]Sheet1!$B:$B,"")</f>
        <v>#ERROR!</v>
      </c>
      <c r="L415" s="103" t="s">
        <v>1550</v>
      </c>
      <c r="M415" s="103" t="s">
        <v>1551</v>
      </c>
      <c r="N415" s="110"/>
      <c r="O415" s="104" t="s">
        <v>95</v>
      </c>
      <c r="P415" s="110"/>
      <c r="Q415" s="104" t="s">
        <v>1323</v>
      </c>
      <c r="R415" s="110" t="s">
        <v>1324</v>
      </c>
      <c r="S415" s="110">
        <v>1440.0</v>
      </c>
      <c r="T415" s="110" t="e">
        <v>#N/A</v>
      </c>
      <c r="U415" s="110">
        <v>8.5447E9</v>
      </c>
      <c r="V415" s="112">
        <v>0.0</v>
      </c>
      <c r="W415" s="113">
        <v>30.0</v>
      </c>
      <c r="X415" s="110">
        <v>45.0</v>
      </c>
      <c r="Y415" s="110">
        <v>55.0</v>
      </c>
      <c r="Z415" s="110" t="s">
        <v>99</v>
      </c>
      <c r="AA415" s="114">
        <f t="shared" si="641"/>
        <v>5.805569033</v>
      </c>
      <c r="AB415" s="115"/>
      <c r="AC415" s="212">
        <f t="shared" si="642"/>
        <v>4.500638145</v>
      </c>
      <c r="AD415" s="213">
        <f t="shared" si="244"/>
        <v>4.839395855</v>
      </c>
      <c r="AE415" s="212"/>
      <c r="AF415" s="212" t="str">
        <f t="shared" si="94"/>
        <v>#REF!</v>
      </c>
      <c r="AG415" s="210" t="str">
        <f t="shared" si="95"/>
        <v>#REF!</v>
      </c>
      <c r="AH415" s="120" t="str">
        <f t="shared" si="96"/>
        <v>#REF!</v>
      </c>
      <c r="AI415" s="121">
        <f t="shared" si="497"/>
        <v>0.1</v>
      </c>
      <c r="AJ415" s="121">
        <v>0.1</v>
      </c>
      <c r="AK415" s="122">
        <v>0.5</v>
      </c>
      <c r="AL415" s="123">
        <f t="shared" si="11"/>
        <v>2.250319073</v>
      </c>
      <c r="AM415" s="122" t="s">
        <v>10</v>
      </c>
      <c r="AN415" s="125">
        <f t="shared" si="643"/>
        <v>4.500638145</v>
      </c>
      <c r="AO415" s="112">
        <f t="shared" si="644"/>
        <v>0.5</v>
      </c>
      <c r="AP415" s="127"/>
      <c r="AQ415" s="128">
        <f t="shared" ref="AQ415:AR415" si="657">BC415/(1-AI415)</f>
        <v>2.786673136</v>
      </c>
      <c r="AR415" s="139">
        <f t="shared" si="657"/>
        <v>2.500354525</v>
      </c>
      <c r="AS415" s="126">
        <f t="shared" si="646"/>
        <v>0.52</v>
      </c>
      <c r="AT415" s="126">
        <f t="shared" si="647"/>
        <v>0.4444444444</v>
      </c>
      <c r="AU415" s="129"/>
      <c r="AV415" s="39" t="s">
        <v>1275</v>
      </c>
      <c r="AW415" s="130"/>
      <c r="AX415" s="140"/>
      <c r="AY415" s="140"/>
      <c r="AZ415" s="130">
        <f>5.04+0.05*5</f>
        <v>5.29</v>
      </c>
      <c r="BA415" s="130">
        <v>11.94</v>
      </c>
      <c r="BB415" s="130">
        <f t="shared" si="585"/>
        <v>17.23</v>
      </c>
      <c r="BC415" s="131">
        <f t="shared" si="648"/>
        <v>2.508005822</v>
      </c>
      <c r="BD415" s="132">
        <f t="shared" si="649"/>
        <v>2.250319073</v>
      </c>
      <c r="BE415" s="39"/>
      <c r="BF415" s="134">
        <v>8.5447E9</v>
      </c>
      <c r="BG415" s="49"/>
      <c r="BH415" s="224">
        <f t="shared" si="571"/>
        <v>15.00212715</v>
      </c>
      <c r="BI415" s="224">
        <f t="shared" si="492"/>
        <v>9.001276291</v>
      </c>
      <c r="BJ415" s="224">
        <f t="shared" si="572"/>
        <v>7.501063575</v>
      </c>
      <c r="BK415" s="224">
        <f t="shared" si="573"/>
        <v>6.00085086</v>
      </c>
      <c r="BL415" s="216" t="str">
        <f>VLOOKUP(J415,[4]Sheet1!$A$2:$C$689,3,FALSE)</f>
        <v>#ERROR!</v>
      </c>
      <c r="BM415" s="49"/>
      <c r="BN415" s="49"/>
      <c r="BO415" s="49"/>
      <c r="BP415" s="49"/>
      <c r="BQ415" s="49"/>
      <c r="BR415" s="49"/>
      <c r="BS415" s="49"/>
      <c r="BT415" s="49"/>
      <c r="BU415" s="49"/>
      <c r="BV415" s="49"/>
      <c r="BW415" s="49"/>
      <c r="BX415" s="49"/>
      <c r="BY415" s="49"/>
      <c r="BZ415" s="49"/>
      <c r="CA415" s="49"/>
      <c r="CB415" s="49"/>
      <c r="CC415" s="49"/>
      <c r="CD415" s="49"/>
      <c r="CE415" s="49"/>
      <c r="CF415" s="49"/>
    </row>
    <row r="416" ht="14.25" customHeight="1">
      <c r="A416" s="103" t="s">
        <v>84</v>
      </c>
      <c r="B416" s="103" t="s">
        <v>120</v>
      </c>
      <c r="C416" s="103" t="s">
        <v>120</v>
      </c>
      <c r="D416" s="103" t="s">
        <v>1266</v>
      </c>
      <c r="E416" s="103" t="s">
        <v>1317</v>
      </c>
      <c r="F416" s="104" t="s">
        <v>1340</v>
      </c>
      <c r="G416" s="110" t="s">
        <v>1591</v>
      </c>
      <c r="H416" s="110"/>
      <c r="I416" s="107"/>
      <c r="J416" s="220" t="s">
        <v>1602</v>
      </c>
      <c r="K416" s="220" t="str">
        <f>_xlfn.XLOOKUP(J416,[1]Sheet1!$A:$A,[1]Sheet1!$B:$B,"")</f>
        <v>#ERROR!</v>
      </c>
      <c r="L416" s="103" t="s">
        <v>1554</v>
      </c>
      <c r="M416" s="103" t="s">
        <v>1555</v>
      </c>
      <c r="N416" s="110"/>
      <c r="O416" s="104" t="s">
        <v>95</v>
      </c>
      <c r="P416" s="110"/>
      <c r="Q416" s="104" t="s">
        <v>1323</v>
      </c>
      <c r="R416" s="110" t="s">
        <v>1324</v>
      </c>
      <c r="S416" s="110">
        <v>720.0</v>
      </c>
      <c r="T416" s="110" t="e">
        <v>#N/A</v>
      </c>
      <c r="U416" s="110">
        <v>8.5447E9</v>
      </c>
      <c r="V416" s="112">
        <v>0.0</v>
      </c>
      <c r="W416" s="113">
        <v>30.0</v>
      </c>
      <c r="X416" s="110">
        <v>45.0</v>
      </c>
      <c r="Y416" s="110">
        <v>55.0</v>
      </c>
      <c r="Z416" s="110" t="s">
        <v>99</v>
      </c>
      <c r="AA416" s="114">
        <f t="shared" si="641"/>
        <v>6.644563049</v>
      </c>
      <c r="AB416" s="115"/>
      <c r="AC416" s="212">
        <f t="shared" si="642"/>
        <v>5.269866886</v>
      </c>
      <c r="AD416" s="213">
        <f t="shared" si="244"/>
        <v>5.666523533</v>
      </c>
      <c r="AE416" s="212"/>
      <c r="AF416" s="212" t="str">
        <f t="shared" si="94"/>
        <v>#REF!</v>
      </c>
      <c r="AG416" s="210" t="str">
        <f t="shared" si="95"/>
        <v>#REF!</v>
      </c>
      <c r="AH416" s="120" t="str">
        <f t="shared" si="96"/>
        <v>#REF!</v>
      </c>
      <c r="AI416" s="121">
        <f t="shared" si="497"/>
        <v>0.1</v>
      </c>
      <c r="AJ416" s="121">
        <v>0.1</v>
      </c>
      <c r="AK416" s="122">
        <v>0.5</v>
      </c>
      <c r="AL416" s="123">
        <f t="shared" si="11"/>
        <v>2.634933443</v>
      </c>
      <c r="AM416" s="122" t="s">
        <v>10</v>
      </c>
      <c r="AN416" s="125">
        <f t="shared" si="643"/>
        <v>5.269866886</v>
      </c>
      <c r="AO416" s="112">
        <f t="shared" si="644"/>
        <v>0.5</v>
      </c>
      <c r="AP416" s="127"/>
      <c r="AQ416" s="128">
        <f t="shared" ref="AQ416:AR416" si="658">BC416/(1-AI416)</f>
        <v>3.189390264</v>
      </c>
      <c r="AR416" s="139">
        <f t="shared" si="658"/>
        <v>2.927703826</v>
      </c>
      <c r="AS416" s="126">
        <f t="shared" si="646"/>
        <v>0.52</v>
      </c>
      <c r="AT416" s="126">
        <f t="shared" si="647"/>
        <v>0.4444444444</v>
      </c>
      <c r="AU416" s="129"/>
      <c r="AV416" s="39" t="s">
        <v>1275</v>
      </c>
      <c r="AW416" s="130"/>
      <c r="AX416" s="140"/>
      <c r="AY416" s="140"/>
      <c r="AZ416" s="130">
        <f>5.04+0.05*10</f>
        <v>5.54</v>
      </c>
      <c r="BA416" s="130">
        <v>14.18</v>
      </c>
      <c r="BB416" s="130">
        <f t="shared" si="585"/>
        <v>19.72</v>
      </c>
      <c r="BC416" s="131">
        <f t="shared" si="648"/>
        <v>2.870451237</v>
      </c>
      <c r="BD416" s="132">
        <f t="shared" si="649"/>
        <v>2.634933443</v>
      </c>
      <c r="BE416" s="39"/>
      <c r="BF416" s="134">
        <v>8.5447E9</v>
      </c>
      <c r="BG416" s="49"/>
      <c r="BH416" s="224">
        <f t="shared" si="571"/>
        <v>17.56622295</v>
      </c>
      <c r="BI416" s="224">
        <f t="shared" si="492"/>
        <v>10.53973377</v>
      </c>
      <c r="BJ416" s="224">
        <f t="shared" si="572"/>
        <v>8.783111477</v>
      </c>
      <c r="BK416" s="224">
        <f t="shared" si="573"/>
        <v>7.026489181</v>
      </c>
      <c r="BL416" s="216" t="str">
        <f>VLOOKUP(J416,[4]Sheet1!$A$2:$C$689,3,FALSE)</f>
        <v>#ERROR!</v>
      </c>
      <c r="BM416" s="49"/>
      <c r="BN416" s="49"/>
      <c r="BO416" s="49"/>
      <c r="BP416" s="49"/>
      <c r="BQ416" s="49"/>
      <c r="BR416" s="49"/>
      <c r="BS416" s="49"/>
      <c r="BT416" s="49"/>
      <c r="BU416" s="49"/>
      <c r="BV416" s="49"/>
      <c r="BW416" s="49"/>
      <c r="BX416" s="49"/>
      <c r="BY416" s="49"/>
      <c r="BZ416" s="49"/>
      <c r="CA416" s="49"/>
      <c r="CB416" s="49"/>
      <c r="CC416" s="49"/>
      <c r="CD416" s="49"/>
      <c r="CE416" s="49"/>
      <c r="CF416" s="49"/>
    </row>
    <row r="417" ht="14.25" customHeight="1">
      <c r="A417" s="103" t="s">
        <v>84</v>
      </c>
      <c r="B417" s="103" t="s">
        <v>120</v>
      </c>
      <c r="C417" s="103" t="s">
        <v>120</v>
      </c>
      <c r="D417" s="103" t="s">
        <v>1266</v>
      </c>
      <c r="E417" s="103" t="s">
        <v>1317</v>
      </c>
      <c r="F417" s="104" t="s">
        <v>1340</v>
      </c>
      <c r="G417" s="110" t="s">
        <v>1591</v>
      </c>
      <c r="H417" s="110"/>
      <c r="I417" s="107"/>
      <c r="J417" s="220" t="s">
        <v>1603</v>
      </c>
      <c r="K417" s="220" t="str">
        <f>_xlfn.XLOOKUP(J417,[1]Sheet1!$A:$A,[1]Sheet1!$B:$B,"")</f>
        <v>#ERROR!</v>
      </c>
      <c r="L417" s="103" t="s">
        <v>1558</v>
      </c>
      <c r="M417" s="103" t="s">
        <v>1559</v>
      </c>
      <c r="N417" s="110"/>
      <c r="O417" s="104" t="s">
        <v>95</v>
      </c>
      <c r="P417" s="110"/>
      <c r="Q417" s="104" t="s">
        <v>1323</v>
      </c>
      <c r="R417" s="110" t="s">
        <v>1324</v>
      </c>
      <c r="S417" s="110">
        <v>480.0</v>
      </c>
      <c r="T417" s="110" t="e">
        <v>#N/A</v>
      </c>
      <c r="U417" s="110">
        <v>8.5447E9</v>
      </c>
      <c r="V417" s="112">
        <v>0.0</v>
      </c>
      <c r="W417" s="113">
        <v>30.0</v>
      </c>
      <c r="X417" s="110">
        <v>45.0</v>
      </c>
      <c r="Y417" s="110">
        <v>55.0</v>
      </c>
      <c r="Z417" s="110" t="s">
        <v>99</v>
      </c>
      <c r="AA417" s="114">
        <f t="shared" si="641"/>
        <v>7.689093752</v>
      </c>
      <c r="AB417" s="115"/>
      <c r="AC417" s="212">
        <f t="shared" si="642"/>
        <v>6.193516233</v>
      </c>
      <c r="AD417" s="213">
        <f t="shared" si="244"/>
        <v>6.659694874</v>
      </c>
      <c r="AE417" s="212"/>
      <c r="AF417" s="212" t="str">
        <f t="shared" si="94"/>
        <v>#REF!</v>
      </c>
      <c r="AG417" s="210" t="str">
        <f t="shared" si="95"/>
        <v>#REF!</v>
      </c>
      <c r="AH417" s="120" t="str">
        <f t="shared" si="96"/>
        <v>#REF!</v>
      </c>
      <c r="AI417" s="121">
        <f t="shared" si="497"/>
        <v>0.1</v>
      </c>
      <c r="AJ417" s="121">
        <v>0.1</v>
      </c>
      <c r="AK417" s="122">
        <v>0.5</v>
      </c>
      <c r="AL417" s="123">
        <f t="shared" si="11"/>
        <v>3.096758117</v>
      </c>
      <c r="AM417" s="122" t="s">
        <v>10</v>
      </c>
      <c r="AN417" s="125">
        <f t="shared" si="643"/>
        <v>6.193516233</v>
      </c>
      <c r="AO417" s="112">
        <f t="shared" si="644"/>
        <v>0.5</v>
      </c>
      <c r="AP417" s="127"/>
      <c r="AQ417" s="128">
        <f t="shared" ref="AQ417:AR417" si="659">BC417/(1-AI417)</f>
        <v>3.690765001</v>
      </c>
      <c r="AR417" s="139">
        <f t="shared" si="659"/>
        <v>3.440842352</v>
      </c>
      <c r="AS417" s="126">
        <f t="shared" si="646"/>
        <v>0.52</v>
      </c>
      <c r="AT417" s="126">
        <f t="shared" si="647"/>
        <v>0.4444444444</v>
      </c>
      <c r="AU417" s="129"/>
      <c r="AV417" s="39" t="s">
        <v>1275</v>
      </c>
      <c r="AW417" s="130"/>
      <c r="AX417" s="140"/>
      <c r="AY417" s="140"/>
      <c r="AZ417" s="130">
        <f>5.04+0.05*15</f>
        <v>5.79</v>
      </c>
      <c r="BA417" s="130">
        <v>17.03</v>
      </c>
      <c r="BB417" s="130">
        <f t="shared" si="585"/>
        <v>22.82</v>
      </c>
      <c r="BC417" s="131">
        <f t="shared" si="648"/>
        <v>3.321688501</v>
      </c>
      <c r="BD417" s="132">
        <f t="shared" si="649"/>
        <v>3.096758117</v>
      </c>
      <c r="BE417" s="39"/>
      <c r="BF417" s="134">
        <v>8.5447E9</v>
      </c>
      <c r="BG417" s="49"/>
      <c r="BH417" s="224">
        <f t="shared" si="571"/>
        <v>20.64505411</v>
      </c>
      <c r="BI417" s="224">
        <f t="shared" si="492"/>
        <v>12.38703247</v>
      </c>
      <c r="BJ417" s="224">
        <f t="shared" si="572"/>
        <v>10.32252706</v>
      </c>
      <c r="BK417" s="224">
        <f t="shared" si="573"/>
        <v>8.258021644</v>
      </c>
      <c r="BL417" s="216" t="str">
        <f>VLOOKUP(J417,[4]Sheet1!$A$2:$C$689,3,FALSE)</f>
        <v>#ERROR!</v>
      </c>
      <c r="BM417" s="49"/>
      <c r="BN417" s="49"/>
      <c r="BO417" s="49"/>
      <c r="BP417" s="49"/>
      <c r="BQ417" s="49"/>
      <c r="BR417" s="49"/>
      <c r="BS417" s="49"/>
      <c r="BT417" s="49"/>
      <c r="BU417" s="49"/>
      <c r="BV417" s="49"/>
      <c r="BW417" s="49"/>
      <c r="BX417" s="49"/>
      <c r="BY417" s="49"/>
      <c r="BZ417" s="49"/>
      <c r="CA417" s="49"/>
      <c r="CB417" s="49"/>
      <c r="CC417" s="49"/>
      <c r="CD417" s="49"/>
      <c r="CE417" s="49"/>
      <c r="CF417" s="49"/>
    </row>
    <row r="418" ht="14.25" customHeight="1">
      <c r="A418" s="103" t="s">
        <v>84</v>
      </c>
      <c r="B418" s="103" t="s">
        <v>120</v>
      </c>
      <c r="C418" s="103" t="s">
        <v>120</v>
      </c>
      <c r="D418" s="103" t="s">
        <v>1266</v>
      </c>
      <c r="E418" s="103" t="s">
        <v>1317</v>
      </c>
      <c r="F418" s="104" t="s">
        <v>1367</v>
      </c>
      <c r="G418" s="110" t="s">
        <v>1591</v>
      </c>
      <c r="H418" s="110"/>
      <c r="I418" s="107"/>
      <c r="J418" s="220" t="s">
        <v>1604</v>
      </c>
      <c r="K418" s="220" t="str">
        <f>_xlfn.XLOOKUP(J418,[1]Sheet1!$A:$A,[1]Sheet1!$B:$B,"")</f>
        <v>#ERROR!</v>
      </c>
      <c r="L418" s="103" t="s">
        <v>1565</v>
      </c>
      <c r="M418" s="103" t="s">
        <v>1566</v>
      </c>
      <c r="N418" s="110"/>
      <c r="O418" s="104" t="s">
        <v>95</v>
      </c>
      <c r="P418" s="110"/>
      <c r="Q418" s="104" t="s">
        <v>1323</v>
      </c>
      <c r="R418" s="110" t="s">
        <v>1324</v>
      </c>
      <c r="S418" s="110">
        <v>2160.0</v>
      </c>
      <c r="T418" s="110" t="s">
        <v>1567</v>
      </c>
      <c r="U418" s="110">
        <v>8.5447E9</v>
      </c>
      <c r="V418" s="112">
        <v>0.0</v>
      </c>
      <c r="W418" s="113">
        <v>30.0</v>
      </c>
      <c r="X418" s="110">
        <v>45.0</v>
      </c>
      <c r="Y418" s="110">
        <v>55.0</v>
      </c>
      <c r="Z418" s="110" t="s">
        <v>99</v>
      </c>
      <c r="AA418" s="114">
        <f t="shared" si="641"/>
        <v>5.017116826</v>
      </c>
      <c r="AB418" s="115"/>
      <c r="AC418" s="224">
        <f t="shared" si="642"/>
        <v>3.861974277</v>
      </c>
      <c r="AD418" s="213">
        <f t="shared" si="244"/>
        <v>4.152660513</v>
      </c>
      <c r="AE418" s="224"/>
      <c r="AF418" s="224" t="str">
        <f t="shared" si="94"/>
        <v>#REF!</v>
      </c>
      <c r="AG418" s="119" t="str">
        <f t="shared" si="95"/>
        <v>#REF!</v>
      </c>
      <c r="AH418" s="120" t="str">
        <f t="shared" si="96"/>
        <v>#REF!</v>
      </c>
      <c r="AI418" s="112">
        <f t="shared" si="497"/>
        <v>0.1</v>
      </c>
      <c r="AJ418" s="112">
        <v>0.1</v>
      </c>
      <c r="AK418" s="122">
        <v>0.5</v>
      </c>
      <c r="AL418" s="123">
        <f t="shared" si="11"/>
        <v>1.930987139</v>
      </c>
      <c r="AM418" s="112" t="s">
        <v>10</v>
      </c>
      <c r="AN418" s="125">
        <f t="shared" si="643"/>
        <v>3.861974277</v>
      </c>
      <c r="AO418" s="112">
        <f t="shared" si="644"/>
        <v>0.5</v>
      </c>
      <c r="AP418" s="127"/>
      <c r="AQ418" s="128">
        <f t="shared" ref="AQ418:AR418" si="660">BC418/(1-AI418)</f>
        <v>2.408216076</v>
      </c>
      <c r="AR418" s="139">
        <f t="shared" si="660"/>
        <v>2.145541265</v>
      </c>
      <c r="AS418" s="126">
        <f t="shared" si="646"/>
        <v>0.52</v>
      </c>
      <c r="AT418" s="126">
        <f t="shared" si="647"/>
        <v>0.4444444444</v>
      </c>
      <c r="AU418" s="129"/>
      <c r="AV418" s="39" t="s">
        <v>1275</v>
      </c>
      <c r="AW418" s="130"/>
      <c r="AX418" s="140"/>
      <c r="AY418" s="140"/>
      <c r="AZ418" s="130">
        <f>5.04+0.05</f>
        <v>5.09</v>
      </c>
      <c r="BA418" s="130">
        <v>9.8</v>
      </c>
      <c r="BB418" s="130">
        <f t="shared" si="585"/>
        <v>14.89</v>
      </c>
      <c r="BC418" s="131">
        <f t="shared" si="648"/>
        <v>2.167394469</v>
      </c>
      <c r="BD418" s="132">
        <f t="shared" si="649"/>
        <v>1.930987139</v>
      </c>
      <c r="BE418" s="39"/>
      <c r="BF418" s="134">
        <v>8.5447E9</v>
      </c>
      <c r="BG418" s="49"/>
      <c r="BH418" s="224">
        <f t="shared" si="571"/>
        <v>12.87324759</v>
      </c>
      <c r="BI418" s="224">
        <f t="shared" si="492"/>
        <v>7.723948555</v>
      </c>
      <c r="BJ418" s="224">
        <f t="shared" si="572"/>
        <v>6.436623795</v>
      </c>
      <c r="BK418" s="224">
        <f t="shared" si="573"/>
        <v>5.149299036</v>
      </c>
      <c r="BL418" s="216" t="str">
        <f>VLOOKUP(J418,[4]Sheet1!$A$2:$C$689,3,FALSE)</f>
        <v>#ERROR!</v>
      </c>
      <c r="BM418" s="49"/>
      <c r="BN418" s="49"/>
      <c r="BO418" s="49"/>
      <c r="BP418" s="49"/>
      <c r="BQ418" s="49"/>
      <c r="BR418" s="49"/>
      <c r="BS418" s="49"/>
      <c r="BT418" s="49"/>
      <c r="BU418" s="49"/>
      <c r="BV418" s="49"/>
      <c r="BW418" s="49"/>
      <c r="BX418" s="49"/>
      <c r="BY418" s="49"/>
      <c r="BZ418" s="49"/>
      <c r="CA418" s="49"/>
      <c r="CB418" s="49"/>
      <c r="CC418" s="49"/>
      <c r="CD418" s="49"/>
      <c r="CE418" s="49"/>
      <c r="CF418" s="49"/>
    </row>
    <row r="419" ht="14.25" customHeight="1">
      <c r="A419" s="103" t="s">
        <v>84</v>
      </c>
      <c r="B419" s="103" t="s">
        <v>120</v>
      </c>
      <c r="C419" s="103" t="s">
        <v>120</v>
      </c>
      <c r="D419" s="103" t="s">
        <v>1266</v>
      </c>
      <c r="E419" s="103" t="s">
        <v>1317</v>
      </c>
      <c r="F419" s="104" t="s">
        <v>1367</v>
      </c>
      <c r="G419" s="110" t="s">
        <v>1591</v>
      </c>
      <c r="H419" s="110"/>
      <c r="I419" s="107"/>
      <c r="J419" s="220" t="s">
        <v>1605</v>
      </c>
      <c r="K419" s="220" t="str">
        <f>_xlfn.XLOOKUP(J419,[1]Sheet1!$A:$A,[1]Sheet1!$B:$B,"")</f>
        <v>#ERROR!</v>
      </c>
      <c r="L419" s="103" t="s">
        <v>1569</v>
      </c>
      <c r="M419" s="103" t="s">
        <v>1570</v>
      </c>
      <c r="N419" s="110"/>
      <c r="O419" s="104" t="s">
        <v>95</v>
      </c>
      <c r="P419" s="110"/>
      <c r="Q419" s="104" t="s">
        <v>1323</v>
      </c>
      <c r="R419" s="110" t="s">
        <v>1324</v>
      </c>
      <c r="S419" s="110">
        <v>1920.0</v>
      </c>
      <c r="T419" s="110" t="e">
        <v>#N/A</v>
      </c>
      <c r="U419" s="110">
        <v>8.5447E9</v>
      </c>
      <c r="V419" s="112">
        <v>0.0</v>
      </c>
      <c r="W419" s="113">
        <v>30.0</v>
      </c>
      <c r="X419" s="110">
        <v>45.0</v>
      </c>
      <c r="Y419" s="110">
        <v>55.0</v>
      </c>
      <c r="Z419" s="110" t="s">
        <v>99</v>
      </c>
      <c r="AA419" s="114">
        <f t="shared" si="641"/>
        <v>5.219284058</v>
      </c>
      <c r="AB419" s="115"/>
      <c r="AC419" s="224">
        <f t="shared" si="642"/>
        <v>4.025437472</v>
      </c>
      <c r="AD419" s="213">
        <f t="shared" si="244"/>
        <v>4.32842739</v>
      </c>
      <c r="AE419" s="224"/>
      <c r="AF419" s="224" t="str">
        <f t="shared" si="94"/>
        <v>#REF!</v>
      </c>
      <c r="AG419" s="119" t="str">
        <f t="shared" si="95"/>
        <v>#REF!</v>
      </c>
      <c r="AH419" s="120" t="str">
        <f t="shared" si="96"/>
        <v>#REF!</v>
      </c>
      <c r="AI419" s="112">
        <f t="shared" si="497"/>
        <v>0.1</v>
      </c>
      <c r="AJ419" s="112">
        <v>0.1</v>
      </c>
      <c r="AK419" s="122">
        <v>0.5</v>
      </c>
      <c r="AL419" s="123">
        <f t="shared" si="11"/>
        <v>2.012718736</v>
      </c>
      <c r="AM419" s="112" t="s">
        <v>10</v>
      </c>
      <c r="AN419" s="125">
        <f t="shared" si="643"/>
        <v>4.025437472</v>
      </c>
      <c r="AO419" s="112">
        <f t="shared" si="644"/>
        <v>0.5</v>
      </c>
      <c r="AP419" s="127"/>
      <c r="AQ419" s="128">
        <f t="shared" ref="AQ419:AR419" si="661">BC419/(1-AI419)</f>
        <v>2.505256348</v>
      </c>
      <c r="AR419" s="139">
        <f t="shared" si="661"/>
        <v>2.236354151</v>
      </c>
      <c r="AS419" s="126">
        <f t="shared" si="646"/>
        <v>0.52</v>
      </c>
      <c r="AT419" s="126">
        <f t="shared" si="647"/>
        <v>0.4444444444</v>
      </c>
      <c r="AU419" s="129"/>
      <c r="AV419" s="39" t="s">
        <v>1275</v>
      </c>
      <c r="AW419" s="130"/>
      <c r="AX419" s="140"/>
      <c r="AY419" s="140"/>
      <c r="AZ419" s="130">
        <f>5.04+0.05*2</f>
        <v>5.14</v>
      </c>
      <c r="BA419" s="130">
        <v>10.35</v>
      </c>
      <c r="BB419" s="130">
        <f t="shared" si="585"/>
        <v>15.49</v>
      </c>
      <c r="BC419" s="131">
        <f t="shared" si="648"/>
        <v>2.254730713</v>
      </c>
      <c r="BD419" s="132">
        <f t="shared" si="649"/>
        <v>2.012718736</v>
      </c>
      <c r="BE419" s="39"/>
      <c r="BF419" s="134">
        <v>8.5447E9</v>
      </c>
      <c r="BG419" s="49"/>
      <c r="BH419" s="224">
        <f t="shared" si="571"/>
        <v>13.41812491</v>
      </c>
      <c r="BI419" s="224">
        <f t="shared" si="492"/>
        <v>8.050874945</v>
      </c>
      <c r="BJ419" s="224">
        <f t="shared" si="572"/>
        <v>6.709062454</v>
      </c>
      <c r="BK419" s="224">
        <f t="shared" si="573"/>
        <v>5.367249963</v>
      </c>
      <c r="BL419" s="216" t="str">
        <f>VLOOKUP(J419,[4]Sheet1!$A$2:$C$689,3,FALSE)</f>
        <v>#ERROR!</v>
      </c>
      <c r="BM419" s="49"/>
      <c r="BN419" s="49"/>
      <c r="BO419" s="49"/>
      <c r="BP419" s="49"/>
      <c r="BQ419" s="49"/>
      <c r="BR419" s="49"/>
      <c r="BS419" s="49"/>
      <c r="BT419" s="49"/>
      <c r="BU419" s="49"/>
      <c r="BV419" s="49"/>
      <c r="BW419" s="49"/>
      <c r="BX419" s="49"/>
      <c r="BY419" s="49"/>
      <c r="BZ419" s="49"/>
      <c r="CA419" s="49"/>
      <c r="CB419" s="49"/>
      <c r="CC419" s="49"/>
      <c r="CD419" s="49"/>
      <c r="CE419" s="49"/>
      <c r="CF419" s="49"/>
    </row>
    <row r="420" ht="14.25" customHeight="1">
      <c r="A420" s="103" t="s">
        <v>84</v>
      </c>
      <c r="B420" s="103" t="s">
        <v>120</v>
      </c>
      <c r="C420" s="103" t="s">
        <v>120</v>
      </c>
      <c r="D420" s="103" t="s">
        <v>1266</v>
      </c>
      <c r="E420" s="103" t="s">
        <v>1317</v>
      </c>
      <c r="F420" s="104" t="s">
        <v>1367</v>
      </c>
      <c r="G420" s="110" t="s">
        <v>1591</v>
      </c>
      <c r="H420" s="110"/>
      <c r="I420" s="107"/>
      <c r="J420" s="220" t="s">
        <v>1606</v>
      </c>
      <c r="K420" s="220" t="str">
        <f>_xlfn.XLOOKUP(J420,[1]Sheet1!$A:$A,[1]Sheet1!$B:$B,"")</f>
        <v>#ERROR!</v>
      </c>
      <c r="L420" s="103" t="s">
        <v>1572</v>
      </c>
      <c r="M420" s="103" t="s">
        <v>1573</v>
      </c>
      <c r="N420" s="110"/>
      <c r="O420" s="104" t="s">
        <v>95</v>
      </c>
      <c r="P420" s="110"/>
      <c r="Q420" s="104" t="s">
        <v>1323</v>
      </c>
      <c r="R420" s="110" t="s">
        <v>1324</v>
      </c>
      <c r="S420" s="110">
        <v>1920.0</v>
      </c>
      <c r="T420" s="110" t="s">
        <v>1574</v>
      </c>
      <c r="U420" s="110">
        <v>8.5447E9</v>
      </c>
      <c r="V420" s="112">
        <v>0.0</v>
      </c>
      <c r="W420" s="113">
        <v>30.0</v>
      </c>
      <c r="X420" s="110">
        <v>45.0</v>
      </c>
      <c r="Y420" s="110">
        <v>55.0</v>
      </c>
      <c r="Z420" s="110" t="s">
        <v>99</v>
      </c>
      <c r="AA420" s="114">
        <f t="shared" si="641"/>
        <v>5.421451291</v>
      </c>
      <c r="AB420" s="115"/>
      <c r="AC420" s="224">
        <f t="shared" si="642"/>
        <v>4.177326593</v>
      </c>
      <c r="AD420" s="213">
        <f t="shared" si="244"/>
        <v>4.491749025</v>
      </c>
      <c r="AE420" s="224"/>
      <c r="AF420" s="224" t="str">
        <f t="shared" si="94"/>
        <v>#REF!</v>
      </c>
      <c r="AG420" s="119" t="str">
        <f t="shared" si="95"/>
        <v>#REF!</v>
      </c>
      <c r="AH420" s="120" t="str">
        <f t="shared" si="96"/>
        <v>#REF!</v>
      </c>
      <c r="AI420" s="112">
        <f t="shared" si="497"/>
        <v>0.1</v>
      </c>
      <c r="AJ420" s="112">
        <v>0.1</v>
      </c>
      <c r="AK420" s="122">
        <v>0.5</v>
      </c>
      <c r="AL420" s="123">
        <f t="shared" si="11"/>
        <v>2.088663297</v>
      </c>
      <c r="AM420" s="112" t="s">
        <v>10</v>
      </c>
      <c r="AN420" s="125">
        <f t="shared" si="643"/>
        <v>4.177326593</v>
      </c>
      <c r="AO420" s="112">
        <f t="shared" si="644"/>
        <v>0.5</v>
      </c>
      <c r="AP420" s="127"/>
      <c r="AQ420" s="128">
        <f t="shared" ref="AQ420:AR420" si="662">BC420/(1-AI420)</f>
        <v>2.60229662</v>
      </c>
      <c r="AR420" s="139">
        <f t="shared" si="662"/>
        <v>2.320736996</v>
      </c>
      <c r="AS420" s="126">
        <f t="shared" si="646"/>
        <v>0.52</v>
      </c>
      <c r="AT420" s="126">
        <f t="shared" si="647"/>
        <v>0.4444444444</v>
      </c>
      <c r="AU420" s="129"/>
      <c r="AV420" s="39" t="s">
        <v>1275</v>
      </c>
      <c r="AW420" s="130"/>
      <c r="AX420" s="140"/>
      <c r="AY420" s="140"/>
      <c r="AZ420" s="130">
        <f>5.04+0.05*3</f>
        <v>5.19</v>
      </c>
      <c r="BA420" s="130">
        <v>10.9</v>
      </c>
      <c r="BB420" s="130">
        <f t="shared" si="585"/>
        <v>16.09</v>
      </c>
      <c r="BC420" s="131">
        <f t="shared" si="648"/>
        <v>2.342066958</v>
      </c>
      <c r="BD420" s="132">
        <f t="shared" si="649"/>
        <v>2.088663297</v>
      </c>
      <c r="BE420" s="39"/>
      <c r="BF420" s="134">
        <v>8.5447E9</v>
      </c>
      <c r="BG420" s="49"/>
      <c r="BH420" s="224">
        <f t="shared" si="571"/>
        <v>13.92442198</v>
      </c>
      <c r="BI420" s="224">
        <f t="shared" si="492"/>
        <v>8.354653187</v>
      </c>
      <c r="BJ420" s="224">
        <f t="shared" si="572"/>
        <v>6.962210989</v>
      </c>
      <c r="BK420" s="224">
        <f t="shared" si="573"/>
        <v>5.569768791</v>
      </c>
      <c r="BL420" s="216" t="str">
        <f>VLOOKUP(J420,[4]Sheet1!$A$2:$C$689,3,FALSE)</f>
        <v>#ERROR!</v>
      </c>
      <c r="BM420" s="49"/>
      <c r="BN420" s="49"/>
      <c r="BO420" s="49"/>
      <c r="BP420" s="49"/>
      <c r="BQ420" s="49"/>
      <c r="BR420" s="49"/>
      <c r="BS420" s="49"/>
      <c r="BT420" s="49"/>
      <c r="BU420" s="49"/>
      <c r="BV420" s="49"/>
      <c r="BW420" s="49"/>
      <c r="BX420" s="49"/>
      <c r="BY420" s="49"/>
      <c r="BZ420" s="49"/>
      <c r="CA420" s="49"/>
      <c r="CB420" s="49"/>
      <c r="CC420" s="49"/>
      <c r="CD420" s="49"/>
      <c r="CE420" s="49"/>
      <c r="CF420" s="49"/>
    </row>
    <row r="421" ht="14.25" customHeight="1">
      <c r="A421" s="103" t="s">
        <v>84</v>
      </c>
      <c r="B421" s="103" t="s">
        <v>120</v>
      </c>
      <c r="C421" s="103" t="s">
        <v>120</v>
      </c>
      <c r="D421" s="103" t="s">
        <v>1266</v>
      </c>
      <c r="E421" s="103" t="s">
        <v>1317</v>
      </c>
      <c r="F421" s="104" t="s">
        <v>1367</v>
      </c>
      <c r="G421" s="110" t="s">
        <v>1591</v>
      </c>
      <c r="H421" s="110"/>
      <c r="I421" s="107"/>
      <c r="J421" s="220" t="s">
        <v>1607</v>
      </c>
      <c r="K421" s="220" t="str">
        <f>_xlfn.XLOOKUP(J421,[1]Sheet1!$A:$A,[1]Sheet1!$B:$B,"")</f>
        <v>#ERROR!</v>
      </c>
      <c r="L421" s="103" t="s">
        <v>1576</v>
      </c>
      <c r="M421" s="103" t="s">
        <v>1577</v>
      </c>
      <c r="N421" s="110"/>
      <c r="O421" s="104" t="s">
        <v>95</v>
      </c>
      <c r="P421" s="110"/>
      <c r="Q421" s="104" t="s">
        <v>1323</v>
      </c>
      <c r="R421" s="110" t="s">
        <v>1324</v>
      </c>
      <c r="S421" s="110">
        <v>1440.0</v>
      </c>
      <c r="T421" s="110" t="s">
        <v>1578</v>
      </c>
      <c r="U421" s="110">
        <v>8.5447E9</v>
      </c>
      <c r="V421" s="112">
        <v>0.0</v>
      </c>
      <c r="W421" s="113">
        <v>30.0</v>
      </c>
      <c r="X421" s="110">
        <v>45.0</v>
      </c>
      <c r="Y421" s="110">
        <v>55.0</v>
      </c>
      <c r="Z421" s="110" t="s">
        <v>99</v>
      </c>
      <c r="AA421" s="114">
        <f t="shared" si="641"/>
        <v>5.805569033</v>
      </c>
      <c r="AB421" s="115"/>
      <c r="AC421" s="224">
        <f t="shared" si="642"/>
        <v>4.500638145</v>
      </c>
      <c r="AD421" s="213">
        <f t="shared" si="244"/>
        <v>4.839395855</v>
      </c>
      <c r="AE421" s="224"/>
      <c r="AF421" s="224" t="str">
        <f t="shared" si="94"/>
        <v>#REF!</v>
      </c>
      <c r="AG421" s="119" t="str">
        <f t="shared" si="95"/>
        <v>#REF!</v>
      </c>
      <c r="AH421" s="120" t="str">
        <f t="shared" si="96"/>
        <v>#REF!</v>
      </c>
      <c r="AI421" s="112">
        <f t="shared" si="497"/>
        <v>0.1</v>
      </c>
      <c r="AJ421" s="112">
        <v>0.1</v>
      </c>
      <c r="AK421" s="122">
        <v>0.5</v>
      </c>
      <c r="AL421" s="123">
        <f t="shared" si="11"/>
        <v>2.250319073</v>
      </c>
      <c r="AM421" s="112" t="s">
        <v>10</v>
      </c>
      <c r="AN421" s="125">
        <f t="shared" si="643"/>
        <v>4.500638145</v>
      </c>
      <c r="AO421" s="112">
        <f t="shared" si="644"/>
        <v>0.5</v>
      </c>
      <c r="AP421" s="127"/>
      <c r="AQ421" s="128">
        <f t="shared" ref="AQ421:AR421" si="663">BC421/(1-AI421)</f>
        <v>2.786673136</v>
      </c>
      <c r="AR421" s="139">
        <f t="shared" si="663"/>
        <v>2.500354525</v>
      </c>
      <c r="AS421" s="126">
        <f t="shared" si="646"/>
        <v>0.52</v>
      </c>
      <c r="AT421" s="126">
        <f t="shared" si="647"/>
        <v>0.4444444444</v>
      </c>
      <c r="AU421" s="129"/>
      <c r="AV421" s="39" t="s">
        <v>1275</v>
      </c>
      <c r="AW421" s="130"/>
      <c r="AX421" s="140"/>
      <c r="AY421" s="140"/>
      <c r="AZ421" s="130">
        <f>5.04+0.05*5</f>
        <v>5.29</v>
      </c>
      <c r="BA421" s="130">
        <v>11.94</v>
      </c>
      <c r="BB421" s="130">
        <f t="shared" si="585"/>
        <v>17.23</v>
      </c>
      <c r="BC421" s="131">
        <f t="shared" si="648"/>
        <v>2.508005822</v>
      </c>
      <c r="BD421" s="132">
        <f t="shared" si="649"/>
        <v>2.250319073</v>
      </c>
      <c r="BE421" s="39"/>
      <c r="BF421" s="134">
        <v>8.5447E9</v>
      </c>
      <c r="BG421" s="49"/>
      <c r="BH421" s="224">
        <f t="shared" si="571"/>
        <v>15.00212715</v>
      </c>
      <c r="BI421" s="224">
        <f t="shared" si="492"/>
        <v>9.001276291</v>
      </c>
      <c r="BJ421" s="224">
        <f t="shared" si="572"/>
        <v>7.501063575</v>
      </c>
      <c r="BK421" s="224">
        <f t="shared" si="573"/>
        <v>6.00085086</v>
      </c>
      <c r="BL421" s="216" t="str">
        <f>VLOOKUP(J421,[4]Sheet1!$A$2:$C$689,3,FALSE)</f>
        <v>#ERROR!</v>
      </c>
      <c r="BM421" s="49"/>
      <c r="BN421" s="49"/>
      <c r="BO421" s="49"/>
      <c r="BP421" s="49"/>
      <c r="BQ421" s="49"/>
      <c r="BR421" s="49"/>
      <c r="BS421" s="49"/>
      <c r="BT421" s="49"/>
      <c r="BU421" s="49"/>
      <c r="BV421" s="49"/>
      <c r="BW421" s="49"/>
      <c r="BX421" s="49"/>
      <c r="BY421" s="49"/>
      <c r="BZ421" s="49"/>
      <c r="CA421" s="49"/>
      <c r="CB421" s="49"/>
      <c r="CC421" s="49"/>
      <c r="CD421" s="49"/>
      <c r="CE421" s="49"/>
      <c r="CF421" s="49"/>
    </row>
    <row r="422" ht="14.25" customHeight="1">
      <c r="A422" s="103" t="s">
        <v>84</v>
      </c>
      <c r="B422" s="103" t="s">
        <v>120</v>
      </c>
      <c r="C422" s="103" t="s">
        <v>120</v>
      </c>
      <c r="D422" s="103" t="s">
        <v>1266</v>
      </c>
      <c r="E422" s="103" t="s">
        <v>1317</v>
      </c>
      <c r="F422" s="104" t="s">
        <v>1367</v>
      </c>
      <c r="G422" s="110" t="s">
        <v>1591</v>
      </c>
      <c r="H422" s="110"/>
      <c r="I422" s="107"/>
      <c r="J422" s="220" t="s">
        <v>1608</v>
      </c>
      <c r="K422" s="220" t="str">
        <f>_xlfn.XLOOKUP(J422,[1]Sheet1!$A:$A,[1]Sheet1!$B:$B,"")</f>
        <v>#ERROR!</v>
      </c>
      <c r="L422" s="103" t="s">
        <v>1581</v>
      </c>
      <c r="M422" s="103" t="s">
        <v>1582</v>
      </c>
      <c r="N422" s="110"/>
      <c r="O422" s="104" t="s">
        <v>95</v>
      </c>
      <c r="P422" s="110"/>
      <c r="Q422" s="104" t="s">
        <v>1323</v>
      </c>
      <c r="R422" s="110" t="s">
        <v>1324</v>
      </c>
      <c r="S422" s="110">
        <v>720.0</v>
      </c>
      <c r="T422" s="110" t="e">
        <v>#N/A</v>
      </c>
      <c r="U422" s="110">
        <v>8.5447E9</v>
      </c>
      <c r="V422" s="112">
        <v>0.0</v>
      </c>
      <c r="W422" s="113">
        <v>30.0</v>
      </c>
      <c r="X422" s="110">
        <v>45.0</v>
      </c>
      <c r="Y422" s="110">
        <v>55.0</v>
      </c>
      <c r="Z422" s="110" t="s">
        <v>99</v>
      </c>
      <c r="AA422" s="114">
        <f t="shared" si="641"/>
        <v>6.644563049</v>
      </c>
      <c r="AB422" s="115"/>
      <c r="AC422" s="224">
        <f t="shared" si="642"/>
        <v>5.269866886</v>
      </c>
      <c r="AD422" s="213">
        <f t="shared" si="244"/>
        <v>5.666523533</v>
      </c>
      <c r="AE422" s="224"/>
      <c r="AF422" s="224" t="str">
        <f t="shared" si="94"/>
        <v>#REF!</v>
      </c>
      <c r="AG422" s="119" t="str">
        <f t="shared" si="95"/>
        <v>#REF!</v>
      </c>
      <c r="AH422" s="120" t="str">
        <f t="shared" si="96"/>
        <v>#REF!</v>
      </c>
      <c r="AI422" s="112">
        <f t="shared" si="497"/>
        <v>0.1</v>
      </c>
      <c r="AJ422" s="112">
        <v>0.1</v>
      </c>
      <c r="AK422" s="122">
        <v>0.5</v>
      </c>
      <c r="AL422" s="123">
        <f t="shared" si="11"/>
        <v>2.634933443</v>
      </c>
      <c r="AM422" s="112" t="s">
        <v>10</v>
      </c>
      <c r="AN422" s="125">
        <f t="shared" si="643"/>
        <v>5.269866886</v>
      </c>
      <c r="AO422" s="112">
        <f t="shared" si="644"/>
        <v>0.5</v>
      </c>
      <c r="AP422" s="127"/>
      <c r="AQ422" s="128">
        <f t="shared" ref="AQ422:AR422" si="664">BC422/(1-AI422)</f>
        <v>3.189390264</v>
      </c>
      <c r="AR422" s="139">
        <f t="shared" si="664"/>
        <v>2.927703826</v>
      </c>
      <c r="AS422" s="126">
        <f t="shared" si="646"/>
        <v>0.52</v>
      </c>
      <c r="AT422" s="126">
        <f t="shared" si="647"/>
        <v>0.4444444444</v>
      </c>
      <c r="AU422" s="129"/>
      <c r="AV422" s="39" t="s">
        <v>1275</v>
      </c>
      <c r="AW422" s="130"/>
      <c r="AX422" s="140"/>
      <c r="AY422" s="140"/>
      <c r="AZ422" s="130">
        <f>5.04+0.05*10</f>
        <v>5.54</v>
      </c>
      <c r="BA422" s="130">
        <v>14.18</v>
      </c>
      <c r="BB422" s="130">
        <f t="shared" si="585"/>
        <v>19.72</v>
      </c>
      <c r="BC422" s="131">
        <f t="shared" si="648"/>
        <v>2.870451237</v>
      </c>
      <c r="BD422" s="132">
        <f t="shared" si="649"/>
        <v>2.634933443</v>
      </c>
      <c r="BE422" s="39"/>
      <c r="BF422" s="134">
        <v>8.5447E9</v>
      </c>
      <c r="BG422" s="49"/>
      <c r="BH422" s="224">
        <f t="shared" si="571"/>
        <v>17.56622295</v>
      </c>
      <c r="BI422" s="224">
        <f t="shared" si="492"/>
        <v>10.53973377</v>
      </c>
      <c r="BJ422" s="224">
        <f t="shared" si="572"/>
        <v>8.783111477</v>
      </c>
      <c r="BK422" s="224">
        <f t="shared" si="573"/>
        <v>7.026489181</v>
      </c>
      <c r="BL422" s="216" t="str">
        <f>VLOOKUP(J422,[4]Sheet1!$A$2:$C$689,3,FALSE)</f>
        <v>#ERROR!</v>
      </c>
      <c r="BM422" s="49"/>
      <c r="BN422" s="49"/>
      <c r="BO422" s="49"/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49"/>
      <c r="CA422" s="49"/>
      <c r="CB422" s="49"/>
      <c r="CC422" s="49"/>
      <c r="CD422" s="49"/>
      <c r="CE422" s="49"/>
      <c r="CF422" s="49"/>
    </row>
    <row r="423" ht="14.25" customHeight="1">
      <c r="A423" s="103" t="s">
        <v>84</v>
      </c>
      <c r="B423" s="103" t="s">
        <v>120</v>
      </c>
      <c r="C423" s="103" t="s">
        <v>120</v>
      </c>
      <c r="D423" s="103" t="s">
        <v>1266</v>
      </c>
      <c r="E423" s="103" t="s">
        <v>1317</v>
      </c>
      <c r="F423" s="104" t="s">
        <v>1367</v>
      </c>
      <c r="G423" s="110" t="s">
        <v>1591</v>
      </c>
      <c r="H423" s="110"/>
      <c r="I423" s="107"/>
      <c r="J423" s="220" t="s">
        <v>1609</v>
      </c>
      <c r="K423" s="220" t="str">
        <f>_xlfn.XLOOKUP(J423,[1]Sheet1!$A:$A,[1]Sheet1!$B:$B,"")</f>
        <v>#ERROR!</v>
      </c>
      <c r="L423" s="103" t="s">
        <v>1585</v>
      </c>
      <c r="M423" s="103" t="s">
        <v>1586</v>
      </c>
      <c r="N423" s="110"/>
      <c r="O423" s="104" t="s">
        <v>95</v>
      </c>
      <c r="P423" s="110"/>
      <c r="Q423" s="104" t="s">
        <v>1323</v>
      </c>
      <c r="R423" s="110" t="s">
        <v>1324</v>
      </c>
      <c r="S423" s="110">
        <v>480.0</v>
      </c>
      <c r="T423" s="110" t="e">
        <v>#N/A</v>
      </c>
      <c r="U423" s="110">
        <v>8.5447E9</v>
      </c>
      <c r="V423" s="112">
        <v>0.0</v>
      </c>
      <c r="W423" s="113">
        <v>30.0</v>
      </c>
      <c r="X423" s="110">
        <v>45.0</v>
      </c>
      <c r="Y423" s="110">
        <v>55.0</v>
      </c>
      <c r="Z423" s="110" t="s">
        <v>99</v>
      </c>
      <c r="AA423" s="114">
        <f t="shared" si="641"/>
        <v>7.689093752</v>
      </c>
      <c r="AB423" s="115"/>
      <c r="AC423" s="224">
        <f t="shared" si="642"/>
        <v>6.193516233</v>
      </c>
      <c r="AD423" s="213">
        <f t="shared" si="244"/>
        <v>6.659694874</v>
      </c>
      <c r="AE423" s="224"/>
      <c r="AF423" s="224" t="str">
        <f t="shared" si="94"/>
        <v>#REF!</v>
      </c>
      <c r="AG423" s="119" t="str">
        <f t="shared" si="95"/>
        <v>#REF!</v>
      </c>
      <c r="AH423" s="120" t="str">
        <f t="shared" si="96"/>
        <v>#REF!</v>
      </c>
      <c r="AI423" s="112">
        <f t="shared" si="497"/>
        <v>0.1</v>
      </c>
      <c r="AJ423" s="112">
        <v>0.1</v>
      </c>
      <c r="AK423" s="122">
        <v>0.5</v>
      </c>
      <c r="AL423" s="123">
        <f t="shared" si="11"/>
        <v>3.096758117</v>
      </c>
      <c r="AM423" s="112" t="s">
        <v>10</v>
      </c>
      <c r="AN423" s="125">
        <f t="shared" si="643"/>
        <v>6.193516233</v>
      </c>
      <c r="AO423" s="112">
        <f t="shared" si="644"/>
        <v>0.5</v>
      </c>
      <c r="AP423" s="127"/>
      <c r="AQ423" s="128">
        <f t="shared" ref="AQ423:AR423" si="665">BC423/(1-AI423)</f>
        <v>3.690765001</v>
      </c>
      <c r="AR423" s="139">
        <f t="shared" si="665"/>
        <v>3.440842352</v>
      </c>
      <c r="AS423" s="126">
        <f t="shared" si="646"/>
        <v>0.52</v>
      </c>
      <c r="AT423" s="126">
        <f t="shared" si="647"/>
        <v>0.4444444444</v>
      </c>
      <c r="AU423" s="129"/>
      <c r="AV423" s="39" t="s">
        <v>1275</v>
      </c>
      <c r="AW423" s="130"/>
      <c r="AX423" s="140"/>
      <c r="AY423" s="140"/>
      <c r="AZ423" s="130">
        <f>5.04+0.05*15</f>
        <v>5.79</v>
      </c>
      <c r="BA423" s="130">
        <v>17.03</v>
      </c>
      <c r="BB423" s="130">
        <f t="shared" si="585"/>
        <v>22.82</v>
      </c>
      <c r="BC423" s="131">
        <f t="shared" si="648"/>
        <v>3.321688501</v>
      </c>
      <c r="BD423" s="132">
        <f t="shared" si="649"/>
        <v>3.096758117</v>
      </c>
      <c r="BE423" s="39"/>
      <c r="BF423" s="134">
        <v>8.5447E9</v>
      </c>
      <c r="BG423" s="49"/>
      <c r="BH423" s="224">
        <f t="shared" si="571"/>
        <v>20.64505411</v>
      </c>
      <c r="BI423" s="224">
        <f t="shared" si="492"/>
        <v>12.38703247</v>
      </c>
      <c r="BJ423" s="224">
        <f t="shared" si="572"/>
        <v>10.32252706</v>
      </c>
      <c r="BK423" s="224">
        <f t="shared" si="573"/>
        <v>8.258021644</v>
      </c>
      <c r="BL423" s="216" t="str">
        <f>VLOOKUP(J423,[4]Sheet1!$A$2:$C$689,3,FALSE)</f>
        <v>#ERROR!</v>
      </c>
      <c r="BM423" s="49"/>
      <c r="BN423" s="49"/>
      <c r="BO423" s="49"/>
      <c r="BP423" s="49"/>
      <c r="BQ423" s="49"/>
      <c r="BR423" s="49"/>
      <c r="BS423" s="49"/>
      <c r="BT423" s="49"/>
      <c r="BU423" s="49"/>
      <c r="BV423" s="49"/>
      <c r="BW423" s="49"/>
      <c r="BX423" s="49"/>
      <c r="BY423" s="49"/>
      <c r="BZ423" s="49"/>
      <c r="CA423" s="49"/>
      <c r="CB423" s="49"/>
      <c r="CC423" s="49"/>
      <c r="CD423" s="49"/>
      <c r="CE423" s="49"/>
      <c r="CF423" s="49"/>
    </row>
    <row r="424" ht="14.25" customHeight="1">
      <c r="A424" s="103" t="s">
        <v>84</v>
      </c>
      <c r="B424" s="103" t="s">
        <v>120</v>
      </c>
      <c r="C424" s="103" t="s">
        <v>120</v>
      </c>
      <c r="D424" s="103" t="s">
        <v>1266</v>
      </c>
      <c r="E424" s="103" t="s">
        <v>1317</v>
      </c>
      <c r="F424" s="104" t="s">
        <v>1367</v>
      </c>
      <c r="G424" s="110" t="s">
        <v>1591</v>
      </c>
      <c r="H424" s="110"/>
      <c r="I424" s="107"/>
      <c r="J424" s="220" t="s">
        <v>1610</v>
      </c>
      <c r="K424" s="220" t="str">
        <f>_xlfn.XLOOKUP(J424,[1]Sheet1!$A:$A,[1]Sheet1!$B:$B,"")</f>
        <v>#ERROR!</v>
      </c>
      <c r="L424" s="103" t="s">
        <v>1611</v>
      </c>
      <c r="M424" s="103" t="s">
        <v>1612</v>
      </c>
      <c r="N424" s="110"/>
      <c r="O424" s="104" t="s">
        <v>95</v>
      </c>
      <c r="P424" s="110"/>
      <c r="Q424" s="104" t="s">
        <v>1323</v>
      </c>
      <c r="R424" s="110" t="s">
        <v>1324</v>
      </c>
      <c r="S424" s="110">
        <v>2160.0</v>
      </c>
      <c r="T424" s="110" t="s">
        <v>1613</v>
      </c>
      <c r="U424" s="110">
        <v>8.5447E9</v>
      </c>
      <c r="V424" s="112">
        <v>0.0</v>
      </c>
      <c r="W424" s="113">
        <v>30.0</v>
      </c>
      <c r="X424" s="110">
        <v>45.0</v>
      </c>
      <c r="Y424" s="110">
        <v>55.0</v>
      </c>
      <c r="Z424" s="110" t="s">
        <v>99</v>
      </c>
      <c r="AA424" s="114">
        <f t="shared" si="641"/>
        <v>6.715321581</v>
      </c>
      <c r="AB424" s="115"/>
      <c r="AC424" s="224">
        <f t="shared" si="642"/>
        <v>5.137842893</v>
      </c>
      <c r="AD424" s="213">
        <f t="shared" si="244"/>
        <v>5.524562251</v>
      </c>
      <c r="AE424" s="224"/>
      <c r="AF424" s="224" t="str">
        <f t="shared" si="94"/>
        <v>#REF!</v>
      </c>
      <c r="AG424" s="119" t="str">
        <f t="shared" si="95"/>
        <v>#REF!</v>
      </c>
      <c r="AH424" s="120" t="str">
        <f t="shared" si="96"/>
        <v>#REF!</v>
      </c>
      <c r="AI424" s="112">
        <f t="shared" si="497"/>
        <v>0.1</v>
      </c>
      <c r="AJ424" s="112">
        <v>0.1</v>
      </c>
      <c r="AK424" s="122">
        <v>0.5</v>
      </c>
      <c r="AL424" s="123">
        <f t="shared" si="11"/>
        <v>2.568921447</v>
      </c>
      <c r="AM424" s="112" t="s">
        <v>10</v>
      </c>
      <c r="AN424" s="125">
        <f t="shared" si="643"/>
        <v>5.137842893</v>
      </c>
      <c r="AO424" s="112">
        <f t="shared" si="644"/>
        <v>0.5</v>
      </c>
      <c r="AP424" s="127"/>
      <c r="AQ424" s="128">
        <f t="shared" ref="AQ424:AR424" si="666">BC424/(1-AI424)</f>
        <v>3.223354359</v>
      </c>
      <c r="AR424" s="139">
        <f t="shared" si="666"/>
        <v>2.854357163</v>
      </c>
      <c r="AS424" s="126">
        <f t="shared" si="646"/>
        <v>0.52</v>
      </c>
      <c r="AT424" s="126">
        <f t="shared" si="647"/>
        <v>0.4444444444</v>
      </c>
      <c r="AU424" s="129"/>
      <c r="AV424" s="39" t="s">
        <v>1275</v>
      </c>
      <c r="AW424" s="130"/>
      <c r="AX424" s="140"/>
      <c r="AY424" s="140"/>
      <c r="AZ424" s="130">
        <f>5.04+0.05</f>
        <v>5.09</v>
      </c>
      <c r="BA424" s="130">
        <f>9.8+5.04</f>
        <v>14.84</v>
      </c>
      <c r="BB424" s="130">
        <f t="shared" si="585"/>
        <v>19.93</v>
      </c>
      <c r="BC424" s="131">
        <f t="shared" si="648"/>
        <v>2.901018923</v>
      </c>
      <c r="BD424" s="132">
        <f t="shared" si="649"/>
        <v>2.568921447</v>
      </c>
      <c r="BE424" s="39"/>
      <c r="BF424" s="134">
        <v>8.5447E9</v>
      </c>
      <c r="BG424" s="49"/>
      <c r="BH424" s="224">
        <f t="shared" si="571"/>
        <v>17.12614298</v>
      </c>
      <c r="BI424" s="224">
        <f t="shared" si="492"/>
        <v>10.27568579</v>
      </c>
      <c r="BJ424" s="224">
        <f t="shared" si="572"/>
        <v>8.563071489</v>
      </c>
      <c r="BK424" s="224">
        <f t="shared" si="573"/>
        <v>6.850457191</v>
      </c>
      <c r="BL424" s="216" t="str">
        <f>VLOOKUP(J424,[4]Sheet1!$A$2:$C$689,3,FALSE)</f>
        <v>#ERROR!</v>
      </c>
      <c r="BM424" s="49"/>
      <c r="BN424" s="49"/>
      <c r="BO424" s="49"/>
      <c r="BP424" s="49"/>
      <c r="BQ424" s="49"/>
      <c r="BR424" s="49"/>
      <c r="BS424" s="49"/>
      <c r="BT424" s="49"/>
      <c r="BU424" s="49"/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</row>
    <row r="425" ht="14.25" customHeight="1">
      <c r="A425" s="103" t="s">
        <v>84</v>
      </c>
      <c r="B425" s="103" t="s">
        <v>120</v>
      </c>
      <c r="C425" s="103" t="s">
        <v>120</v>
      </c>
      <c r="D425" s="103" t="s">
        <v>1266</v>
      </c>
      <c r="E425" s="103" t="s">
        <v>1317</v>
      </c>
      <c r="F425" s="104" t="s">
        <v>1367</v>
      </c>
      <c r="G425" s="110" t="s">
        <v>1591</v>
      </c>
      <c r="H425" s="110"/>
      <c r="I425" s="107"/>
      <c r="J425" s="220" t="s">
        <v>1614</v>
      </c>
      <c r="K425" s="220" t="str">
        <f>_xlfn.XLOOKUP(J425,[1]Sheet1!$A:$A,[1]Sheet1!$B:$B,"")</f>
        <v>#ERROR!</v>
      </c>
      <c r="L425" s="103" t="s">
        <v>1615</v>
      </c>
      <c r="M425" s="103" t="s">
        <v>1616</v>
      </c>
      <c r="N425" s="110"/>
      <c r="O425" s="104" t="s">
        <v>95</v>
      </c>
      <c r="P425" s="110"/>
      <c r="Q425" s="104" t="s">
        <v>1323</v>
      </c>
      <c r="R425" s="110" t="s">
        <v>1324</v>
      </c>
      <c r="S425" s="110">
        <v>1920.0</v>
      </c>
      <c r="T425" s="110" t="s">
        <v>1617</v>
      </c>
      <c r="U425" s="110">
        <v>8.5447E9</v>
      </c>
      <c r="V425" s="112">
        <v>0.0</v>
      </c>
      <c r="W425" s="113">
        <v>30.0</v>
      </c>
      <c r="X425" s="110">
        <v>45.0</v>
      </c>
      <c r="Y425" s="110">
        <v>55.0</v>
      </c>
      <c r="Z425" s="110" t="s">
        <v>99</v>
      </c>
      <c r="AA425" s="114">
        <f t="shared" si="641"/>
        <v>6.917488813</v>
      </c>
      <c r="AB425" s="115"/>
      <c r="AC425" s="224">
        <f t="shared" si="642"/>
        <v>5.301306088</v>
      </c>
      <c r="AD425" s="213">
        <f t="shared" si="244"/>
        <v>5.700329127</v>
      </c>
      <c r="AE425" s="224"/>
      <c r="AF425" s="224" t="str">
        <f t="shared" si="94"/>
        <v>#REF!</v>
      </c>
      <c r="AG425" s="119" t="str">
        <f t="shared" si="95"/>
        <v>#REF!</v>
      </c>
      <c r="AH425" s="120" t="str">
        <f t="shared" si="96"/>
        <v>#REF!</v>
      </c>
      <c r="AI425" s="112">
        <f t="shared" si="497"/>
        <v>0.1</v>
      </c>
      <c r="AJ425" s="112">
        <v>0.1</v>
      </c>
      <c r="AK425" s="122">
        <v>0.5</v>
      </c>
      <c r="AL425" s="123">
        <f t="shared" si="11"/>
        <v>2.650653044</v>
      </c>
      <c r="AM425" s="112" t="s">
        <v>10</v>
      </c>
      <c r="AN425" s="125">
        <f t="shared" si="643"/>
        <v>5.301306088</v>
      </c>
      <c r="AO425" s="112">
        <f t="shared" si="644"/>
        <v>0.5</v>
      </c>
      <c r="AP425" s="127"/>
      <c r="AQ425" s="128">
        <f t="shared" ref="AQ425:AR425" si="667">BC425/(1-AI425)</f>
        <v>3.32039463</v>
      </c>
      <c r="AR425" s="139">
        <f t="shared" si="667"/>
        <v>2.945170049</v>
      </c>
      <c r="AS425" s="126">
        <f t="shared" si="646"/>
        <v>0.52</v>
      </c>
      <c r="AT425" s="126">
        <f t="shared" si="647"/>
        <v>0.4444444444</v>
      </c>
      <c r="AU425" s="129"/>
      <c r="AV425" s="39" t="s">
        <v>1275</v>
      </c>
      <c r="AW425" s="130"/>
      <c r="AX425" s="140"/>
      <c r="AY425" s="140"/>
      <c r="AZ425" s="130">
        <f>5.04+0.05*2</f>
        <v>5.14</v>
      </c>
      <c r="BA425" s="130">
        <f>10.35+5.04</f>
        <v>15.39</v>
      </c>
      <c r="BB425" s="130">
        <f t="shared" si="585"/>
        <v>20.53</v>
      </c>
      <c r="BC425" s="131">
        <f t="shared" si="648"/>
        <v>2.988355167</v>
      </c>
      <c r="BD425" s="132">
        <f t="shared" si="649"/>
        <v>2.650653044</v>
      </c>
      <c r="BE425" s="39"/>
      <c r="BF425" s="134">
        <v>8.5447E9</v>
      </c>
      <c r="BG425" s="49"/>
      <c r="BH425" s="224">
        <f t="shared" si="571"/>
        <v>17.67102029</v>
      </c>
      <c r="BI425" s="224">
        <f t="shared" si="492"/>
        <v>10.60261218</v>
      </c>
      <c r="BJ425" s="224">
        <f t="shared" si="572"/>
        <v>8.835510147</v>
      </c>
      <c r="BK425" s="224">
        <f t="shared" si="573"/>
        <v>7.068408118</v>
      </c>
      <c r="BL425" s="216" t="str">
        <f>VLOOKUP(J425,[4]Sheet1!$A$2:$C$689,3,FALSE)</f>
        <v>#ERROR!</v>
      </c>
      <c r="BM425" s="49"/>
      <c r="BN425" s="49"/>
      <c r="BO425" s="49"/>
      <c r="BP425" s="49"/>
      <c r="BQ425" s="49"/>
      <c r="BR425" s="49"/>
      <c r="BS425" s="49"/>
      <c r="BT425" s="49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</row>
    <row r="426" ht="14.25" customHeight="1">
      <c r="A426" s="103" t="s">
        <v>84</v>
      </c>
      <c r="B426" s="103" t="s">
        <v>120</v>
      </c>
      <c r="C426" s="103" t="s">
        <v>120</v>
      </c>
      <c r="D426" s="103" t="s">
        <v>1266</v>
      </c>
      <c r="E426" s="103" t="s">
        <v>1317</v>
      </c>
      <c r="F426" s="104" t="s">
        <v>1367</v>
      </c>
      <c r="G426" s="110" t="s">
        <v>1591</v>
      </c>
      <c r="H426" s="110"/>
      <c r="I426" s="107"/>
      <c r="J426" s="220" t="s">
        <v>1618</v>
      </c>
      <c r="K426" s="220" t="str">
        <f>_xlfn.XLOOKUP(J426,[1]Sheet1!$A:$A,[1]Sheet1!$B:$B,"")</f>
        <v>#ERROR!</v>
      </c>
      <c r="L426" s="103" t="s">
        <v>1619</v>
      </c>
      <c r="M426" s="103" t="s">
        <v>1620</v>
      </c>
      <c r="N426" s="110"/>
      <c r="O426" s="104" t="s">
        <v>95</v>
      </c>
      <c r="P426" s="110"/>
      <c r="Q426" s="104" t="s">
        <v>1323</v>
      </c>
      <c r="R426" s="110" t="s">
        <v>1324</v>
      </c>
      <c r="S426" s="110">
        <v>1920.0</v>
      </c>
      <c r="T426" s="110" t="s">
        <v>1621</v>
      </c>
      <c r="U426" s="110">
        <v>8.5447E9</v>
      </c>
      <c r="V426" s="112">
        <v>0.0</v>
      </c>
      <c r="W426" s="113">
        <v>30.0</v>
      </c>
      <c r="X426" s="110">
        <v>45.0</v>
      </c>
      <c r="Y426" s="110">
        <v>55.0</v>
      </c>
      <c r="Z426" s="110" t="s">
        <v>99</v>
      </c>
      <c r="AA426" s="114">
        <f t="shared" si="641"/>
        <v>7.119656046</v>
      </c>
      <c r="AB426" s="115"/>
      <c r="AC426" s="224">
        <f t="shared" si="642"/>
        <v>5.453195209</v>
      </c>
      <c r="AD426" s="213">
        <f t="shared" si="244"/>
        <v>5.863650763</v>
      </c>
      <c r="AE426" s="224"/>
      <c r="AF426" s="224" t="str">
        <f t="shared" si="94"/>
        <v>#REF!</v>
      </c>
      <c r="AG426" s="119" t="str">
        <f t="shared" si="95"/>
        <v>#REF!</v>
      </c>
      <c r="AH426" s="120" t="str">
        <f t="shared" si="96"/>
        <v>#REF!</v>
      </c>
      <c r="AI426" s="112">
        <f t="shared" si="497"/>
        <v>0.1</v>
      </c>
      <c r="AJ426" s="112">
        <v>0.1</v>
      </c>
      <c r="AK426" s="122">
        <v>0.5</v>
      </c>
      <c r="AL426" s="123">
        <f t="shared" si="11"/>
        <v>2.726597605</v>
      </c>
      <c r="AM426" s="112" t="s">
        <v>10</v>
      </c>
      <c r="AN426" s="125">
        <f t="shared" si="643"/>
        <v>5.453195209</v>
      </c>
      <c r="AO426" s="112">
        <f t="shared" si="644"/>
        <v>0.5</v>
      </c>
      <c r="AP426" s="127"/>
      <c r="AQ426" s="128">
        <f t="shared" ref="AQ426:AR426" si="668">BC426/(1-AI426)</f>
        <v>3.417434902</v>
      </c>
      <c r="AR426" s="139">
        <f t="shared" si="668"/>
        <v>3.029552894</v>
      </c>
      <c r="AS426" s="126">
        <f t="shared" si="646"/>
        <v>0.52</v>
      </c>
      <c r="AT426" s="126">
        <f t="shared" si="647"/>
        <v>0.4444444444</v>
      </c>
      <c r="AU426" s="129"/>
      <c r="AV426" s="39" t="s">
        <v>1275</v>
      </c>
      <c r="AW426" s="130"/>
      <c r="AX426" s="140"/>
      <c r="AY426" s="140"/>
      <c r="AZ426" s="130">
        <f>5.04+0.05*3</f>
        <v>5.19</v>
      </c>
      <c r="BA426" s="130">
        <f>10.9+5.04</f>
        <v>15.94</v>
      </c>
      <c r="BB426" s="130">
        <f t="shared" si="585"/>
        <v>21.13</v>
      </c>
      <c r="BC426" s="131">
        <f t="shared" si="648"/>
        <v>3.075691412</v>
      </c>
      <c r="BD426" s="132">
        <f t="shared" si="649"/>
        <v>2.726597605</v>
      </c>
      <c r="BE426" s="39"/>
      <c r="BF426" s="134">
        <v>8.5447E9</v>
      </c>
      <c r="BG426" s="49"/>
      <c r="BH426" s="224">
        <f t="shared" si="571"/>
        <v>18.17731736</v>
      </c>
      <c r="BI426" s="224">
        <f t="shared" si="492"/>
        <v>10.90639042</v>
      </c>
      <c r="BJ426" s="224">
        <f t="shared" si="572"/>
        <v>9.088658682</v>
      </c>
      <c r="BK426" s="224">
        <f t="shared" si="573"/>
        <v>7.270926946</v>
      </c>
      <c r="BL426" s="216" t="str">
        <f>VLOOKUP(J426,[4]Sheet1!$A$2:$C$689,3,FALSE)</f>
        <v>#ERROR!</v>
      </c>
      <c r="BM426" s="49"/>
      <c r="BN426" s="49"/>
      <c r="BO426" s="49"/>
      <c r="BP426" s="49"/>
      <c r="BQ426" s="49"/>
      <c r="BR426" s="49"/>
      <c r="BS426" s="49"/>
      <c r="BT426" s="49"/>
      <c r="BU426" s="49"/>
      <c r="BV426" s="49"/>
      <c r="BW426" s="49"/>
      <c r="BX426" s="49"/>
      <c r="BY426" s="49"/>
      <c r="BZ426" s="49"/>
      <c r="CA426" s="49"/>
      <c r="CB426" s="49"/>
      <c r="CC426" s="49"/>
      <c r="CD426" s="49"/>
      <c r="CE426" s="49"/>
      <c r="CF426" s="49"/>
    </row>
    <row r="427" ht="14.25" customHeight="1">
      <c r="A427" s="103" t="s">
        <v>84</v>
      </c>
      <c r="B427" s="103" t="s">
        <v>120</v>
      </c>
      <c r="C427" s="103" t="s">
        <v>120</v>
      </c>
      <c r="D427" s="103" t="s">
        <v>1266</v>
      </c>
      <c r="E427" s="103" t="s">
        <v>1317</v>
      </c>
      <c r="F427" s="104" t="s">
        <v>1367</v>
      </c>
      <c r="G427" s="110" t="s">
        <v>1591</v>
      </c>
      <c r="H427" s="110"/>
      <c r="I427" s="107"/>
      <c r="J427" s="220" t="s">
        <v>1622</v>
      </c>
      <c r="K427" s="220" t="str">
        <f>_xlfn.XLOOKUP(J427,[1]Sheet1!$A:$A,[1]Sheet1!$B:$B,"")</f>
        <v>#ERROR!</v>
      </c>
      <c r="L427" s="103" t="s">
        <v>1623</v>
      </c>
      <c r="M427" s="103" t="s">
        <v>1624</v>
      </c>
      <c r="N427" s="110"/>
      <c r="O427" s="104" t="s">
        <v>95</v>
      </c>
      <c r="P427" s="110"/>
      <c r="Q427" s="104" t="s">
        <v>1323</v>
      </c>
      <c r="R427" s="110" t="s">
        <v>1324</v>
      </c>
      <c r="S427" s="110">
        <v>1440.0</v>
      </c>
      <c r="T427" s="110" t="s">
        <v>1625</v>
      </c>
      <c r="U427" s="110">
        <v>8.5447E9</v>
      </c>
      <c r="V427" s="112">
        <v>0.0</v>
      </c>
      <c r="W427" s="113">
        <v>30.0</v>
      </c>
      <c r="X427" s="110">
        <v>45.0</v>
      </c>
      <c r="Y427" s="110">
        <v>55.0</v>
      </c>
      <c r="Z427" s="110" t="s">
        <v>99</v>
      </c>
      <c r="AA427" s="114">
        <f t="shared" si="641"/>
        <v>7.503773788</v>
      </c>
      <c r="AB427" s="115"/>
      <c r="AC427" s="224">
        <f t="shared" si="642"/>
        <v>5.776506761</v>
      </c>
      <c r="AD427" s="213">
        <f t="shared" si="244"/>
        <v>6.211297593</v>
      </c>
      <c r="AE427" s="224"/>
      <c r="AF427" s="224" t="str">
        <f t="shared" si="94"/>
        <v>#REF!</v>
      </c>
      <c r="AG427" s="119" t="str">
        <f t="shared" si="95"/>
        <v>#REF!</v>
      </c>
      <c r="AH427" s="120" t="str">
        <f t="shared" si="96"/>
        <v>#REF!</v>
      </c>
      <c r="AI427" s="112">
        <f t="shared" si="497"/>
        <v>0.1</v>
      </c>
      <c r="AJ427" s="112">
        <v>0.1</v>
      </c>
      <c r="AK427" s="122">
        <v>0.5</v>
      </c>
      <c r="AL427" s="123">
        <f t="shared" si="11"/>
        <v>2.888253381</v>
      </c>
      <c r="AM427" s="112" t="s">
        <v>10</v>
      </c>
      <c r="AN427" s="125">
        <f t="shared" si="643"/>
        <v>5.776506761</v>
      </c>
      <c r="AO427" s="112">
        <f t="shared" si="644"/>
        <v>0.5</v>
      </c>
      <c r="AP427" s="127"/>
      <c r="AQ427" s="128">
        <f t="shared" ref="AQ427:AR427" si="669">BC427/(1-AI427)</f>
        <v>3.601811418</v>
      </c>
      <c r="AR427" s="139">
        <f t="shared" si="669"/>
        <v>3.209170423</v>
      </c>
      <c r="AS427" s="126">
        <f t="shared" si="646"/>
        <v>0.52</v>
      </c>
      <c r="AT427" s="126">
        <f t="shared" si="647"/>
        <v>0.4444444444</v>
      </c>
      <c r="AU427" s="129"/>
      <c r="AV427" s="39" t="s">
        <v>1275</v>
      </c>
      <c r="AW427" s="130"/>
      <c r="AX427" s="140"/>
      <c r="AY427" s="140"/>
      <c r="AZ427" s="130">
        <f>5.04+0.05*5</f>
        <v>5.29</v>
      </c>
      <c r="BA427" s="130">
        <f>11.94+5.04</f>
        <v>16.98</v>
      </c>
      <c r="BB427" s="130">
        <f t="shared" si="585"/>
        <v>22.27</v>
      </c>
      <c r="BC427" s="131">
        <f t="shared" si="648"/>
        <v>3.241630277</v>
      </c>
      <c r="BD427" s="132">
        <f t="shared" si="649"/>
        <v>2.888253381</v>
      </c>
      <c r="BE427" s="39"/>
      <c r="BF427" s="134">
        <v>8.5447E9</v>
      </c>
      <c r="BG427" s="49"/>
      <c r="BH427" s="224">
        <f t="shared" si="571"/>
        <v>19.25502254</v>
      </c>
      <c r="BI427" s="224">
        <f t="shared" si="492"/>
        <v>11.55301352</v>
      </c>
      <c r="BJ427" s="224">
        <f t="shared" si="572"/>
        <v>9.627511269</v>
      </c>
      <c r="BK427" s="224">
        <f t="shared" si="573"/>
        <v>7.702009015</v>
      </c>
      <c r="BL427" s="216" t="str">
        <f>VLOOKUP(J427,[4]Sheet1!$A$2:$C$689,3,FALSE)</f>
        <v>#ERROR!</v>
      </c>
      <c r="BM427" s="49"/>
      <c r="BN427" s="49"/>
      <c r="BO427" s="49"/>
      <c r="BP427" s="49"/>
      <c r="BQ427" s="49"/>
      <c r="BR427" s="49"/>
      <c r="BS427" s="49"/>
      <c r="BT427" s="49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</row>
    <row r="428" ht="14.25" customHeight="1">
      <c r="A428" s="103" t="s">
        <v>84</v>
      </c>
      <c r="B428" s="103" t="s">
        <v>120</v>
      </c>
      <c r="C428" s="103" t="s">
        <v>120</v>
      </c>
      <c r="D428" s="103" t="s">
        <v>1266</v>
      </c>
      <c r="E428" s="103" t="s">
        <v>1317</v>
      </c>
      <c r="F428" s="104" t="s">
        <v>1367</v>
      </c>
      <c r="G428" s="110" t="s">
        <v>1591</v>
      </c>
      <c r="H428" s="110"/>
      <c r="I428" s="107"/>
      <c r="J428" s="220" t="s">
        <v>1626</v>
      </c>
      <c r="K428" s="220" t="str">
        <f>_xlfn.XLOOKUP(J428,[1]Sheet1!$A:$A,[1]Sheet1!$B:$B,"")</f>
        <v>#ERROR!</v>
      </c>
      <c r="L428" s="103" t="s">
        <v>1627</v>
      </c>
      <c r="M428" s="103" t="s">
        <v>1628</v>
      </c>
      <c r="N428" s="110"/>
      <c r="O428" s="104" t="s">
        <v>95</v>
      </c>
      <c r="P428" s="110"/>
      <c r="Q428" s="104" t="s">
        <v>1323</v>
      </c>
      <c r="R428" s="110" t="s">
        <v>1324</v>
      </c>
      <c r="S428" s="110">
        <v>720.0</v>
      </c>
      <c r="T428" s="110" t="s">
        <v>1629</v>
      </c>
      <c r="U428" s="110">
        <v>8.5447E9</v>
      </c>
      <c r="V428" s="112">
        <v>0.0</v>
      </c>
      <c r="W428" s="113">
        <v>30.0</v>
      </c>
      <c r="X428" s="110">
        <v>45.0</v>
      </c>
      <c r="Y428" s="110">
        <v>55.0</v>
      </c>
      <c r="Z428" s="110" t="s">
        <v>99</v>
      </c>
      <c r="AA428" s="114">
        <f t="shared" si="641"/>
        <v>8.342767804</v>
      </c>
      <c r="AB428" s="115"/>
      <c r="AC428" s="224">
        <f t="shared" si="642"/>
        <v>6.545735502</v>
      </c>
      <c r="AD428" s="213">
        <f t="shared" si="244"/>
        <v>7.038425271</v>
      </c>
      <c r="AE428" s="224"/>
      <c r="AF428" s="224" t="str">
        <f t="shared" si="94"/>
        <v>#REF!</v>
      </c>
      <c r="AG428" s="119" t="str">
        <f t="shared" si="95"/>
        <v>#REF!</v>
      </c>
      <c r="AH428" s="120" t="str">
        <f t="shared" si="96"/>
        <v>#REF!</v>
      </c>
      <c r="AI428" s="112">
        <f t="shared" si="497"/>
        <v>0.1</v>
      </c>
      <c r="AJ428" s="112">
        <v>0.1</v>
      </c>
      <c r="AK428" s="122">
        <v>0.5</v>
      </c>
      <c r="AL428" s="123">
        <f t="shared" si="11"/>
        <v>3.272867751</v>
      </c>
      <c r="AM428" s="112" t="s">
        <v>10</v>
      </c>
      <c r="AN428" s="125">
        <f t="shared" si="643"/>
        <v>6.545735502</v>
      </c>
      <c r="AO428" s="112">
        <f t="shared" si="644"/>
        <v>0.5</v>
      </c>
      <c r="AP428" s="127"/>
      <c r="AQ428" s="128">
        <f t="shared" ref="AQ428:AR428" si="670">BC428/(1-AI428)</f>
        <v>4.004528546</v>
      </c>
      <c r="AR428" s="139">
        <f t="shared" si="670"/>
        <v>3.636519723</v>
      </c>
      <c r="AS428" s="126">
        <f t="shared" si="646"/>
        <v>0.52</v>
      </c>
      <c r="AT428" s="126">
        <f t="shared" si="647"/>
        <v>0.4444444444</v>
      </c>
      <c r="AU428" s="129"/>
      <c r="AV428" s="39" t="s">
        <v>1275</v>
      </c>
      <c r="AW428" s="130"/>
      <c r="AX428" s="140"/>
      <c r="AY428" s="140"/>
      <c r="AZ428" s="130">
        <f>5.04+0.05*10</f>
        <v>5.54</v>
      </c>
      <c r="BA428" s="130">
        <f>14.18+5.04</f>
        <v>19.22</v>
      </c>
      <c r="BB428" s="130">
        <f t="shared" si="585"/>
        <v>24.76</v>
      </c>
      <c r="BC428" s="131">
        <f t="shared" si="648"/>
        <v>3.604075691</v>
      </c>
      <c r="BD428" s="132">
        <f t="shared" si="649"/>
        <v>3.272867751</v>
      </c>
      <c r="BE428" s="39"/>
      <c r="BF428" s="134">
        <v>8.5447E9</v>
      </c>
      <c r="BG428" s="49"/>
      <c r="BH428" s="224">
        <f t="shared" si="571"/>
        <v>21.81911834</v>
      </c>
      <c r="BI428" s="224">
        <f t="shared" si="492"/>
        <v>13.091471</v>
      </c>
      <c r="BJ428" s="224">
        <f t="shared" si="572"/>
        <v>10.90955917</v>
      </c>
      <c r="BK428" s="224">
        <f t="shared" si="573"/>
        <v>8.727647336</v>
      </c>
      <c r="BL428" s="216" t="str">
        <f>VLOOKUP(J428,[4]Sheet1!$A$2:$C$689,3,FALSE)</f>
        <v>#ERROR!</v>
      </c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</row>
    <row r="429" ht="14.25" customHeight="1">
      <c r="A429" s="103" t="s">
        <v>84</v>
      </c>
      <c r="B429" s="103" t="s">
        <v>120</v>
      </c>
      <c r="C429" s="103" t="s">
        <v>120</v>
      </c>
      <c r="D429" s="103" t="s">
        <v>1266</v>
      </c>
      <c r="E429" s="103" t="s">
        <v>1317</v>
      </c>
      <c r="F429" s="104" t="s">
        <v>1367</v>
      </c>
      <c r="G429" s="110" t="s">
        <v>1591</v>
      </c>
      <c r="H429" s="110"/>
      <c r="I429" s="107"/>
      <c r="J429" s="220" t="s">
        <v>1630</v>
      </c>
      <c r="K429" s="220" t="str">
        <f>_xlfn.XLOOKUP(J429,[1]Sheet1!$A:$A,[1]Sheet1!$B:$B,"")</f>
        <v>#ERROR!</v>
      </c>
      <c r="L429" s="103" t="s">
        <v>1631</v>
      </c>
      <c r="M429" s="103" t="s">
        <v>1632</v>
      </c>
      <c r="N429" s="110"/>
      <c r="O429" s="104" t="s">
        <v>95</v>
      </c>
      <c r="P429" s="110"/>
      <c r="Q429" s="104" t="s">
        <v>1323</v>
      </c>
      <c r="R429" s="110" t="s">
        <v>1324</v>
      </c>
      <c r="S429" s="110">
        <v>480.0</v>
      </c>
      <c r="T429" s="110"/>
      <c r="U429" s="110">
        <v>8.5447E9</v>
      </c>
      <c r="V429" s="112">
        <v>0.0</v>
      </c>
      <c r="W429" s="113">
        <v>30.0</v>
      </c>
      <c r="X429" s="110">
        <v>45.0</v>
      </c>
      <c r="Y429" s="110">
        <v>55.0</v>
      </c>
      <c r="Z429" s="110" t="s">
        <v>99</v>
      </c>
      <c r="AA429" s="114">
        <f t="shared" si="641"/>
        <v>9.387298507</v>
      </c>
      <c r="AB429" s="115"/>
      <c r="AC429" s="224">
        <f t="shared" si="642"/>
        <v>7.469384849</v>
      </c>
      <c r="AD429" s="213">
        <f t="shared" si="244"/>
        <v>8.031596612</v>
      </c>
      <c r="AE429" s="224"/>
      <c r="AF429" s="224" t="str">
        <f t="shared" si="94"/>
        <v>#REF!</v>
      </c>
      <c r="AG429" s="119" t="str">
        <f t="shared" si="95"/>
        <v>#REF!</v>
      </c>
      <c r="AH429" s="120" t="str">
        <f t="shared" si="96"/>
        <v>#REF!</v>
      </c>
      <c r="AI429" s="112">
        <f t="shared" si="497"/>
        <v>0.1</v>
      </c>
      <c r="AJ429" s="112">
        <v>0.1</v>
      </c>
      <c r="AK429" s="122">
        <v>0.5</v>
      </c>
      <c r="AL429" s="123">
        <f t="shared" si="11"/>
        <v>3.734692425</v>
      </c>
      <c r="AM429" s="112" t="s">
        <v>10</v>
      </c>
      <c r="AN429" s="125">
        <f t="shared" si="643"/>
        <v>7.469384849</v>
      </c>
      <c r="AO429" s="112">
        <f t="shared" si="644"/>
        <v>0.5</v>
      </c>
      <c r="AP429" s="127"/>
      <c r="AQ429" s="128">
        <f t="shared" ref="AQ429:AR429" si="671">BC429/(1-AI429)</f>
        <v>4.505903283</v>
      </c>
      <c r="AR429" s="139">
        <f t="shared" si="671"/>
        <v>4.149658249</v>
      </c>
      <c r="AS429" s="126">
        <f t="shared" si="646"/>
        <v>0.52</v>
      </c>
      <c r="AT429" s="126">
        <f t="shared" si="647"/>
        <v>0.4444444444</v>
      </c>
      <c r="AU429" s="129"/>
      <c r="AV429" s="39" t="s">
        <v>1275</v>
      </c>
      <c r="AW429" s="130"/>
      <c r="AX429" s="140"/>
      <c r="AY429" s="140"/>
      <c r="AZ429" s="130">
        <f>5.04+0.05*15</f>
        <v>5.79</v>
      </c>
      <c r="BA429" s="130">
        <f>17.03+5.04</f>
        <v>22.07</v>
      </c>
      <c r="BB429" s="130">
        <f t="shared" si="585"/>
        <v>27.86</v>
      </c>
      <c r="BC429" s="131">
        <f t="shared" si="648"/>
        <v>4.055312955</v>
      </c>
      <c r="BD429" s="132">
        <f t="shared" si="649"/>
        <v>3.734692425</v>
      </c>
      <c r="BE429" s="39"/>
      <c r="BF429" s="134">
        <v>8.5447E9</v>
      </c>
      <c r="BG429" s="49"/>
      <c r="BH429" s="224">
        <f t="shared" si="571"/>
        <v>24.8979495</v>
      </c>
      <c r="BI429" s="224">
        <f t="shared" si="492"/>
        <v>14.9387697</v>
      </c>
      <c r="BJ429" s="224">
        <f t="shared" si="572"/>
        <v>12.44897475</v>
      </c>
      <c r="BK429" s="224">
        <f t="shared" si="573"/>
        <v>9.959179799</v>
      </c>
      <c r="BL429" s="216" t="str">
        <f>VLOOKUP(J429,[4]Sheet1!$A$2:$C$689,3,FALSE)</f>
        <v>#ERROR!</v>
      </c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</row>
    <row r="430" ht="14.25" customHeight="1">
      <c r="A430" s="103" t="s">
        <v>84</v>
      </c>
      <c r="B430" s="103" t="s">
        <v>120</v>
      </c>
      <c r="C430" s="103" t="s">
        <v>120</v>
      </c>
      <c r="D430" s="103" t="s">
        <v>1266</v>
      </c>
      <c r="E430" s="103" t="s">
        <v>1633</v>
      </c>
      <c r="F430" s="104" t="s">
        <v>1633</v>
      </c>
      <c r="G430" s="110"/>
      <c r="H430" s="110"/>
      <c r="I430" s="107"/>
      <c r="J430" s="220" t="s">
        <v>1634</v>
      </c>
      <c r="K430" s="220" t="str">
        <f>_xlfn.XLOOKUP(J430,[1]Sheet1!$A:$A,[1]Sheet1!$B:$B,"")</f>
        <v>#ERROR!</v>
      </c>
      <c r="L430" s="103" t="s">
        <v>1635</v>
      </c>
      <c r="M430" s="103" t="s">
        <v>1636</v>
      </c>
      <c r="N430" s="110"/>
      <c r="O430" s="104" t="s">
        <v>95</v>
      </c>
      <c r="P430" s="110"/>
      <c r="Q430" s="104" t="s">
        <v>554</v>
      </c>
      <c r="R430" s="110" t="s">
        <v>1637</v>
      </c>
      <c r="S430" s="110">
        <v>90.0</v>
      </c>
      <c r="T430" s="110" t="s">
        <v>1638</v>
      </c>
      <c r="U430" s="110" t="s">
        <v>509</v>
      </c>
      <c r="V430" s="112">
        <v>0.017</v>
      </c>
      <c r="W430" s="113">
        <v>30.0</v>
      </c>
      <c r="X430" s="110">
        <v>45.0</v>
      </c>
      <c r="Y430" s="110">
        <v>55.0</v>
      </c>
      <c r="Z430" s="110" t="s">
        <v>99</v>
      </c>
      <c r="AA430" s="114">
        <f t="shared" si="641"/>
        <v>17.01825661</v>
      </c>
      <c r="AB430" s="115"/>
      <c r="AC430" s="212">
        <f t="shared" si="642"/>
        <v>14.79572625</v>
      </c>
      <c r="AD430" s="213">
        <f t="shared" si="244"/>
        <v>15.90938307</v>
      </c>
      <c r="AE430" s="212"/>
      <c r="AF430" s="212" t="str">
        <f t="shared" si="94"/>
        <v>#REF!</v>
      </c>
      <c r="AG430" s="210" t="str">
        <f t="shared" si="95"/>
        <v>#REF!</v>
      </c>
      <c r="AH430" s="120" t="str">
        <f t="shared" si="96"/>
        <v>#REF!</v>
      </c>
      <c r="AI430" s="121">
        <f t="shared" si="497"/>
        <v>0.1</v>
      </c>
      <c r="AJ430" s="121">
        <v>0.1</v>
      </c>
      <c r="AK430" s="122">
        <v>0.31</v>
      </c>
      <c r="AL430" s="123">
        <f t="shared" si="11"/>
        <v>4.586675139</v>
      </c>
      <c r="AM430" s="122" t="s">
        <v>6</v>
      </c>
      <c r="AN430" s="111">
        <f t="shared" ref="AN430:AN469" si="673">AC430*(1-$AN$3)</f>
        <v>13.31615363</v>
      </c>
      <c r="AO430" s="112">
        <f t="shared" si="644"/>
        <v>0.2333333333</v>
      </c>
      <c r="AP430" s="127"/>
      <c r="AQ430" s="128">
        <f t="shared" ref="AQ430:AR430" si="672">BC430/(1-AI430)</f>
        <v>11.40223193</v>
      </c>
      <c r="AR430" s="139">
        <f t="shared" si="672"/>
        <v>11.34339013</v>
      </c>
      <c r="AS430" s="126">
        <f t="shared" si="646"/>
        <v>0.33</v>
      </c>
      <c r="AT430" s="126">
        <f t="shared" si="647"/>
        <v>0.2333333333</v>
      </c>
      <c r="AU430" s="129">
        <v>10.15</v>
      </c>
      <c r="AV430" s="39" t="s">
        <v>1275</v>
      </c>
      <c r="AW430" s="130"/>
      <c r="AX430" s="140"/>
      <c r="AY430" s="140"/>
      <c r="AZ430" s="130">
        <f t="shared" ref="AZ430:AZ432" si="675">4</f>
        <v>4</v>
      </c>
      <c r="BA430" s="130">
        <v>66.5</v>
      </c>
      <c r="BB430" s="130">
        <f t="shared" si="585"/>
        <v>70.5</v>
      </c>
      <c r="BC430" s="131">
        <f t="shared" si="648"/>
        <v>10.26200873</v>
      </c>
      <c r="BD430" s="132">
        <f t="shared" si="649"/>
        <v>10.20905111</v>
      </c>
      <c r="BE430" s="315"/>
      <c r="BF430" s="134">
        <v>8.51762299E9</v>
      </c>
      <c r="BG430" s="49"/>
      <c r="BH430" s="212">
        <f t="shared" si="571"/>
        <v>49.31908751</v>
      </c>
      <c r="BI430" s="212">
        <f t="shared" si="492"/>
        <v>29.59145251</v>
      </c>
      <c r="BJ430" s="212">
        <f t="shared" si="572"/>
        <v>24.65954376</v>
      </c>
      <c r="BK430" s="212">
        <f t="shared" si="573"/>
        <v>19.727635</v>
      </c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</row>
    <row r="431" ht="14.25" customHeight="1">
      <c r="A431" s="103" t="s">
        <v>84</v>
      </c>
      <c r="B431" s="103" t="s">
        <v>120</v>
      </c>
      <c r="C431" s="103" t="s">
        <v>120</v>
      </c>
      <c r="D431" s="103" t="s">
        <v>1266</v>
      </c>
      <c r="E431" s="103" t="s">
        <v>1633</v>
      </c>
      <c r="F431" s="104" t="s">
        <v>1633</v>
      </c>
      <c r="G431" s="110"/>
      <c r="H431" s="110"/>
      <c r="I431" s="107"/>
      <c r="J431" s="220" t="s">
        <v>1639</v>
      </c>
      <c r="K431" s="220" t="str">
        <f>_xlfn.XLOOKUP(J431,[1]Sheet1!$A:$A,[1]Sheet1!$B:$B,"")</f>
        <v>#ERROR!</v>
      </c>
      <c r="L431" s="103" t="s">
        <v>1640</v>
      </c>
      <c r="M431" s="103" t="s">
        <v>1641</v>
      </c>
      <c r="N431" s="110"/>
      <c r="O431" s="104" t="s">
        <v>95</v>
      </c>
      <c r="P431" s="110"/>
      <c r="Q431" s="104" t="s">
        <v>554</v>
      </c>
      <c r="R431" s="110" t="s">
        <v>1637</v>
      </c>
      <c r="S431" s="110">
        <v>90.0</v>
      </c>
      <c r="T431" s="110" t="s">
        <v>1642</v>
      </c>
      <c r="U431" s="110" t="s">
        <v>509</v>
      </c>
      <c r="V431" s="112">
        <v>0.017</v>
      </c>
      <c r="W431" s="113">
        <v>30.0</v>
      </c>
      <c r="X431" s="110">
        <v>45.0</v>
      </c>
      <c r="Y431" s="110">
        <v>55.0</v>
      </c>
      <c r="Z431" s="110" t="s">
        <v>99</v>
      </c>
      <c r="AA431" s="114">
        <f t="shared" si="641"/>
        <v>15.32850063</v>
      </c>
      <c r="AB431" s="115"/>
      <c r="AC431" s="212">
        <f t="shared" si="642"/>
        <v>13.48653559</v>
      </c>
      <c r="AD431" s="213">
        <f t="shared" si="244"/>
        <v>14.50165117</v>
      </c>
      <c r="AE431" s="212"/>
      <c r="AF431" s="212" t="str">
        <f t="shared" si="94"/>
        <v>#REF!</v>
      </c>
      <c r="AG431" s="210" t="str">
        <f t="shared" si="95"/>
        <v>#REF!</v>
      </c>
      <c r="AH431" s="120" t="str">
        <f t="shared" si="96"/>
        <v>#REF!</v>
      </c>
      <c r="AI431" s="121">
        <f t="shared" si="497"/>
        <v>0.1</v>
      </c>
      <c r="AJ431" s="121">
        <v>0.1</v>
      </c>
      <c r="AK431" s="122">
        <v>0.31</v>
      </c>
      <c r="AL431" s="123">
        <f t="shared" si="11"/>
        <v>4.180826032</v>
      </c>
      <c r="AM431" s="122" t="s">
        <v>6</v>
      </c>
      <c r="AN431" s="111">
        <f t="shared" si="673"/>
        <v>12.13788203</v>
      </c>
      <c r="AO431" s="112">
        <f t="shared" si="644"/>
        <v>0.2333333333</v>
      </c>
      <c r="AP431" s="127"/>
      <c r="AQ431" s="128">
        <f t="shared" ref="AQ431:AR431" si="674">BC431/(1-AI431)</f>
        <v>10.27009542</v>
      </c>
      <c r="AR431" s="139">
        <f t="shared" si="674"/>
        <v>10.33967728</v>
      </c>
      <c r="AS431" s="126">
        <f t="shared" si="646"/>
        <v>0.33</v>
      </c>
      <c r="AT431" s="126">
        <f t="shared" si="647"/>
        <v>0.2333333333</v>
      </c>
      <c r="AU431" s="129">
        <v>9.38</v>
      </c>
      <c r="AV431" s="39" t="s">
        <v>1275</v>
      </c>
      <c r="AW431" s="130"/>
      <c r="AX431" s="140"/>
      <c r="AY431" s="140"/>
      <c r="AZ431" s="130">
        <f t="shared" si="675"/>
        <v>4</v>
      </c>
      <c r="BA431" s="130">
        <v>59.5</v>
      </c>
      <c r="BB431" s="130">
        <f t="shared" si="585"/>
        <v>63.5</v>
      </c>
      <c r="BC431" s="131">
        <f t="shared" si="648"/>
        <v>9.243085881</v>
      </c>
      <c r="BD431" s="132">
        <f t="shared" si="649"/>
        <v>9.305709554</v>
      </c>
      <c r="BE431" s="315"/>
      <c r="BF431" s="134">
        <v>8.51762299E9</v>
      </c>
      <c r="BG431" s="49"/>
      <c r="BH431" s="212">
        <f t="shared" si="571"/>
        <v>44.95511862</v>
      </c>
      <c r="BI431" s="212">
        <f t="shared" si="492"/>
        <v>26.97307117</v>
      </c>
      <c r="BJ431" s="212">
        <f t="shared" si="572"/>
        <v>22.47755931</v>
      </c>
      <c r="BK431" s="212">
        <f t="shared" si="573"/>
        <v>17.98204745</v>
      </c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</row>
    <row r="432" ht="14.25" customHeight="1">
      <c r="A432" s="103" t="s">
        <v>84</v>
      </c>
      <c r="B432" s="103" t="s">
        <v>85</v>
      </c>
      <c r="C432" s="103" t="s">
        <v>120</v>
      </c>
      <c r="D432" s="103" t="s">
        <v>1266</v>
      </c>
      <c r="E432" s="103" t="s">
        <v>1633</v>
      </c>
      <c r="F432" s="104" t="s">
        <v>1633</v>
      </c>
      <c r="G432" s="110"/>
      <c r="H432" s="110"/>
      <c r="I432" s="107"/>
      <c r="J432" s="220" t="s">
        <v>1643</v>
      </c>
      <c r="K432" s="220" t="str">
        <f>_xlfn.XLOOKUP(J432,[1]Sheet1!$A:$A,[1]Sheet1!$B:$B,"")</f>
        <v>#ERROR!</v>
      </c>
      <c r="L432" s="316" t="s">
        <v>1644</v>
      </c>
      <c r="M432" s="103" t="s">
        <v>1645</v>
      </c>
      <c r="N432" s="110"/>
      <c r="O432" s="104" t="s">
        <v>95</v>
      </c>
      <c r="P432" s="110"/>
      <c r="Q432" s="104" t="s">
        <v>554</v>
      </c>
      <c r="R432" s="110" t="s">
        <v>1637</v>
      </c>
      <c r="S432" s="110">
        <v>90.0</v>
      </c>
      <c r="T432" s="110" t="s">
        <v>1646</v>
      </c>
      <c r="U432" s="110" t="s">
        <v>509</v>
      </c>
      <c r="V432" s="112">
        <v>0.017</v>
      </c>
      <c r="W432" s="113">
        <v>30.0</v>
      </c>
      <c r="X432" s="110">
        <v>45.0</v>
      </c>
      <c r="Y432" s="110">
        <v>55.0</v>
      </c>
      <c r="Z432" s="110" t="s">
        <v>99</v>
      </c>
      <c r="AA432" s="114">
        <f t="shared" si="641"/>
        <v>17.01825661</v>
      </c>
      <c r="AB432" s="115"/>
      <c r="AC432" s="212">
        <f t="shared" si="642"/>
        <v>14.79572625</v>
      </c>
      <c r="AD432" s="213">
        <f t="shared" si="244"/>
        <v>15.90938307</v>
      </c>
      <c r="AE432" s="212"/>
      <c r="AF432" s="212" t="str">
        <f t="shared" si="94"/>
        <v>#REF!</v>
      </c>
      <c r="AG432" s="210" t="str">
        <f t="shared" si="95"/>
        <v>#REF!</v>
      </c>
      <c r="AH432" s="120" t="str">
        <f t="shared" si="96"/>
        <v>#REF!</v>
      </c>
      <c r="AI432" s="121">
        <f t="shared" si="497"/>
        <v>0.1</v>
      </c>
      <c r="AJ432" s="121">
        <v>0.1</v>
      </c>
      <c r="AK432" s="122">
        <v>0.31</v>
      </c>
      <c r="AL432" s="123">
        <f t="shared" si="11"/>
        <v>4.586675139</v>
      </c>
      <c r="AM432" s="122" t="s">
        <v>6</v>
      </c>
      <c r="AN432" s="111">
        <f t="shared" si="673"/>
        <v>13.31615363</v>
      </c>
      <c r="AO432" s="112">
        <f t="shared" si="644"/>
        <v>0.2333333333</v>
      </c>
      <c r="AP432" s="127"/>
      <c r="AQ432" s="128">
        <f t="shared" ref="AQ432:AR432" si="676">BC432/(1-AI432)</f>
        <v>11.40223193</v>
      </c>
      <c r="AR432" s="139">
        <f t="shared" si="676"/>
        <v>11.34339013</v>
      </c>
      <c r="AS432" s="126">
        <f t="shared" si="646"/>
        <v>0.33</v>
      </c>
      <c r="AT432" s="126">
        <f t="shared" si="647"/>
        <v>0.2333333333</v>
      </c>
      <c r="AU432" s="129"/>
      <c r="AV432" s="39" t="s">
        <v>1275</v>
      </c>
      <c r="AW432" s="130"/>
      <c r="AX432" s="140"/>
      <c r="AY432" s="140"/>
      <c r="AZ432" s="130">
        <f t="shared" si="675"/>
        <v>4</v>
      </c>
      <c r="BA432" s="130">
        <v>66.5</v>
      </c>
      <c r="BB432" s="130">
        <f t="shared" si="585"/>
        <v>70.5</v>
      </c>
      <c r="BC432" s="131">
        <f t="shared" si="648"/>
        <v>10.26200873</v>
      </c>
      <c r="BD432" s="132">
        <f t="shared" si="649"/>
        <v>10.20905111</v>
      </c>
      <c r="BE432" s="315"/>
      <c r="BF432" s="134">
        <v>8.51762299E9</v>
      </c>
      <c r="BG432" s="49"/>
      <c r="BH432" s="212">
        <f t="shared" si="571"/>
        <v>49.31908751</v>
      </c>
      <c r="BI432" s="212">
        <f t="shared" si="492"/>
        <v>29.59145251</v>
      </c>
      <c r="BJ432" s="212">
        <f t="shared" si="572"/>
        <v>24.65954376</v>
      </c>
      <c r="BK432" s="212">
        <f t="shared" si="573"/>
        <v>19.727635</v>
      </c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</row>
    <row r="433" ht="14.25" customHeight="1">
      <c r="A433" s="104" t="s">
        <v>84</v>
      </c>
      <c r="B433" s="104" t="s">
        <v>120</v>
      </c>
      <c r="C433" s="103" t="s">
        <v>120</v>
      </c>
      <c r="D433" s="104" t="s">
        <v>1266</v>
      </c>
      <c r="E433" s="104" t="s">
        <v>1633</v>
      </c>
      <c r="F433" s="104" t="s">
        <v>1633</v>
      </c>
      <c r="G433" s="110" t="s">
        <v>1340</v>
      </c>
      <c r="H433" s="110"/>
      <c r="I433" s="107"/>
      <c r="J433" s="220" t="s">
        <v>1647</v>
      </c>
      <c r="K433" s="220"/>
      <c r="L433" s="317" t="s">
        <v>1648</v>
      </c>
      <c r="M433" s="317" t="s">
        <v>1649</v>
      </c>
      <c r="N433" s="110"/>
      <c r="O433" s="104" t="s">
        <v>95</v>
      </c>
      <c r="P433" s="110"/>
      <c r="Q433" s="104" t="s">
        <v>554</v>
      </c>
      <c r="R433" s="110" t="s">
        <v>1637</v>
      </c>
      <c r="S433" s="110">
        <v>90.0</v>
      </c>
      <c r="T433" s="318"/>
      <c r="U433" s="319" t="s">
        <v>1650</v>
      </c>
      <c r="V433" s="320">
        <v>0.017</v>
      </c>
      <c r="W433" s="321">
        <v>30.0</v>
      </c>
      <c r="X433" s="319">
        <v>45.0</v>
      </c>
      <c r="Y433" s="319">
        <v>55.0</v>
      </c>
      <c r="Z433" s="319" t="s">
        <v>99</v>
      </c>
      <c r="AA433" s="322">
        <f t="shared" si="641"/>
        <v>22.26949825</v>
      </c>
      <c r="AB433" s="323"/>
      <c r="AC433" s="324">
        <f t="shared" si="642"/>
        <v>18.8969824</v>
      </c>
      <c r="AD433" s="325">
        <f t="shared" si="244"/>
        <v>20.31933591</v>
      </c>
      <c r="AE433" s="324"/>
      <c r="AF433" s="324" t="str">
        <f t="shared" si="94"/>
        <v>#REF!</v>
      </c>
      <c r="AG433" s="326" t="str">
        <f t="shared" si="95"/>
        <v>#REF!</v>
      </c>
      <c r="AH433" s="120" t="str">
        <f t="shared" si="96"/>
        <v>#REF!</v>
      </c>
      <c r="AI433" s="320">
        <f t="shared" si="497"/>
        <v>0.1</v>
      </c>
      <c r="AJ433" s="320">
        <v>0.1</v>
      </c>
      <c r="AK433" s="320">
        <v>0.33</v>
      </c>
      <c r="AL433" s="123">
        <f t="shared" si="11"/>
        <v>6.236004192</v>
      </c>
      <c r="AM433" s="327" t="s">
        <v>6</v>
      </c>
      <c r="AN433" s="327">
        <f t="shared" si="673"/>
        <v>17.00728416</v>
      </c>
      <c r="AO433" s="320">
        <f t="shared" si="644"/>
        <v>0.2555555556</v>
      </c>
      <c r="AP433" s="328"/>
      <c r="AQ433" s="329">
        <f t="shared" ref="AQ433:AR433" si="677">BC433/(1-AI433)</f>
        <v>14.47517386</v>
      </c>
      <c r="AR433" s="330">
        <f t="shared" si="677"/>
        <v>14.06775356</v>
      </c>
      <c r="AS433" s="331">
        <f t="shared" si="646"/>
        <v>0.35</v>
      </c>
      <c r="AT433" s="331">
        <f t="shared" si="647"/>
        <v>0.2555555556</v>
      </c>
      <c r="AU433" s="129"/>
      <c r="AV433" s="283" t="s">
        <v>1275</v>
      </c>
      <c r="AW433" s="332"/>
      <c r="AX433" s="333"/>
      <c r="AY433" s="333"/>
      <c r="AZ433" s="332">
        <v>4.0</v>
      </c>
      <c r="BA433" s="332">
        <f>BA430+BA463</f>
        <v>85.5</v>
      </c>
      <c r="BB433" s="332">
        <f t="shared" si="585"/>
        <v>89.5</v>
      </c>
      <c r="BC433" s="334">
        <f t="shared" si="648"/>
        <v>13.02765648</v>
      </c>
      <c r="BD433" s="335">
        <f t="shared" si="649"/>
        <v>12.66097821</v>
      </c>
      <c r="BE433" s="336"/>
      <c r="BF433" s="337"/>
      <c r="BG433" s="216"/>
      <c r="BH433" s="338"/>
      <c r="BI433" s="338"/>
      <c r="BJ433" s="338"/>
      <c r="BK433" s="338"/>
      <c r="BL433" s="216" t="str">
        <f>VLOOKUP(J433,[4]Sheet1!$A$2:$C$689,3,FALSE)</f>
        <v>#ERROR!</v>
      </c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</row>
    <row r="434" ht="14.25" customHeight="1">
      <c r="A434" s="104" t="s">
        <v>84</v>
      </c>
      <c r="B434" s="104" t="s">
        <v>120</v>
      </c>
      <c r="C434" s="103" t="s">
        <v>120</v>
      </c>
      <c r="D434" s="104" t="s">
        <v>1266</v>
      </c>
      <c r="E434" s="104" t="s">
        <v>1633</v>
      </c>
      <c r="F434" s="104" t="s">
        <v>1633</v>
      </c>
      <c r="G434" s="110" t="s">
        <v>1340</v>
      </c>
      <c r="H434" s="110"/>
      <c r="I434" s="107"/>
      <c r="J434" s="220" t="s">
        <v>1651</v>
      </c>
      <c r="K434" s="220"/>
      <c r="L434" s="317" t="s">
        <v>1652</v>
      </c>
      <c r="M434" s="317" t="s">
        <v>1653</v>
      </c>
      <c r="N434" s="110"/>
      <c r="O434" s="104" t="s">
        <v>95</v>
      </c>
      <c r="P434" s="110"/>
      <c r="Q434" s="104" t="s">
        <v>554</v>
      </c>
      <c r="R434" s="110" t="s">
        <v>1637</v>
      </c>
      <c r="S434" s="110">
        <v>90.0</v>
      </c>
      <c r="T434" s="318"/>
      <c r="U434" s="319" t="s">
        <v>1650</v>
      </c>
      <c r="V434" s="320">
        <v>0.017</v>
      </c>
      <c r="W434" s="321">
        <v>30.0</v>
      </c>
      <c r="X434" s="319">
        <v>45.0</v>
      </c>
      <c r="Y434" s="319">
        <v>55.0</v>
      </c>
      <c r="Z434" s="319" t="s">
        <v>99</v>
      </c>
      <c r="AA434" s="322">
        <f t="shared" si="641"/>
        <v>20.77657099</v>
      </c>
      <c r="AB434" s="323"/>
      <c r="AC434" s="324">
        <f t="shared" si="642"/>
        <v>17.74132155</v>
      </c>
      <c r="AD434" s="325">
        <f t="shared" si="244"/>
        <v>19.07668984</v>
      </c>
      <c r="AE434" s="324"/>
      <c r="AF434" s="324" t="str">
        <f t="shared" si="94"/>
        <v>#REF!</v>
      </c>
      <c r="AG434" s="326" t="str">
        <f t="shared" si="95"/>
        <v>#REF!</v>
      </c>
      <c r="AH434" s="120" t="str">
        <f t="shared" si="96"/>
        <v>#REF!</v>
      </c>
      <c r="AI434" s="320">
        <f t="shared" si="497"/>
        <v>0.1</v>
      </c>
      <c r="AJ434" s="320">
        <v>0.1</v>
      </c>
      <c r="AK434" s="320">
        <v>0.33</v>
      </c>
      <c r="AL434" s="123">
        <f t="shared" si="11"/>
        <v>5.854636113</v>
      </c>
      <c r="AM434" s="327" t="s">
        <v>6</v>
      </c>
      <c r="AN434" s="327">
        <f t="shared" si="673"/>
        <v>15.9671894</v>
      </c>
      <c r="AO434" s="320">
        <f t="shared" si="644"/>
        <v>0.2555555556</v>
      </c>
      <c r="AP434" s="328"/>
      <c r="AQ434" s="329">
        <f t="shared" ref="AQ434:AR434" si="678">BC434/(1-AI434)</f>
        <v>13.50477115</v>
      </c>
      <c r="AR434" s="330">
        <f t="shared" si="678"/>
        <v>13.20742827</v>
      </c>
      <c r="AS434" s="331">
        <f t="shared" si="646"/>
        <v>0.35</v>
      </c>
      <c r="AT434" s="331">
        <f t="shared" si="647"/>
        <v>0.2555555556</v>
      </c>
      <c r="AU434" s="129"/>
      <c r="AV434" s="283" t="s">
        <v>1275</v>
      </c>
      <c r="AW434" s="332"/>
      <c r="AX434" s="333"/>
      <c r="AY434" s="333"/>
      <c r="AZ434" s="332">
        <v>4.0</v>
      </c>
      <c r="BA434" s="332">
        <f>BA430+BA464</f>
        <v>79.5</v>
      </c>
      <c r="BB434" s="332">
        <f t="shared" si="585"/>
        <v>83.5</v>
      </c>
      <c r="BC434" s="334">
        <f t="shared" si="648"/>
        <v>12.15429403</v>
      </c>
      <c r="BD434" s="335">
        <f t="shared" si="649"/>
        <v>11.88668544</v>
      </c>
      <c r="BE434" s="336"/>
      <c r="BF434" s="337"/>
      <c r="BG434" s="216"/>
      <c r="BH434" s="338"/>
      <c r="BI434" s="338"/>
      <c r="BJ434" s="338"/>
      <c r="BK434" s="338"/>
      <c r="BL434" s="216" t="str">
        <f>VLOOKUP(J434,[4]Sheet1!$A$2:$C$689,3,FALSE)</f>
        <v>#ERROR!</v>
      </c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</row>
    <row r="435" ht="14.25" customHeight="1">
      <c r="A435" s="104" t="s">
        <v>84</v>
      </c>
      <c r="B435" s="104" t="s">
        <v>120</v>
      </c>
      <c r="C435" s="103" t="s">
        <v>120</v>
      </c>
      <c r="D435" s="104" t="s">
        <v>1266</v>
      </c>
      <c r="E435" s="104" t="s">
        <v>1633</v>
      </c>
      <c r="F435" s="104" t="s">
        <v>1633</v>
      </c>
      <c r="G435" s="110" t="s">
        <v>1340</v>
      </c>
      <c r="H435" s="110"/>
      <c r="I435" s="107"/>
      <c r="J435" s="220" t="s">
        <v>1654</v>
      </c>
      <c r="K435" s="220"/>
      <c r="L435" s="317" t="s">
        <v>1655</v>
      </c>
      <c r="M435" s="317" t="s">
        <v>1656</v>
      </c>
      <c r="N435" s="110"/>
      <c r="O435" s="104" t="s">
        <v>95</v>
      </c>
      <c r="P435" s="110"/>
      <c r="Q435" s="104" t="s">
        <v>554</v>
      </c>
      <c r="R435" s="110" t="s">
        <v>1637</v>
      </c>
      <c r="S435" s="110">
        <v>90.0</v>
      </c>
      <c r="T435" s="318"/>
      <c r="U435" s="319" t="s">
        <v>1650</v>
      </c>
      <c r="V435" s="320">
        <v>0.017</v>
      </c>
      <c r="W435" s="321">
        <v>30.0</v>
      </c>
      <c r="X435" s="319">
        <v>45.0</v>
      </c>
      <c r="Y435" s="319">
        <v>55.0</v>
      </c>
      <c r="Z435" s="319" t="s">
        <v>99</v>
      </c>
      <c r="AA435" s="322">
        <f t="shared" si="641"/>
        <v>20.92586372</v>
      </c>
      <c r="AB435" s="323"/>
      <c r="AC435" s="324">
        <f t="shared" si="642"/>
        <v>17.85688764</v>
      </c>
      <c r="AD435" s="325">
        <f t="shared" si="244"/>
        <v>19.20095445</v>
      </c>
      <c r="AE435" s="324"/>
      <c r="AF435" s="324" t="str">
        <f t="shared" si="94"/>
        <v>#REF!</v>
      </c>
      <c r="AG435" s="326" t="str">
        <f t="shared" si="95"/>
        <v>#REF!</v>
      </c>
      <c r="AH435" s="120" t="str">
        <f t="shared" si="96"/>
        <v>#REF!</v>
      </c>
      <c r="AI435" s="320">
        <f t="shared" si="497"/>
        <v>0.1</v>
      </c>
      <c r="AJ435" s="320">
        <v>0.1</v>
      </c>
      <c r="AK435" s="320">
        <v>0.33</v>
      </c>
      <c r="AL435" s="123">
        <f t="shared" si="11"/>
        <v>5.892772921</v>
      </c>
      <c r="AM435" s="327" t="s">
        <v>6</v>
      </c>
      <c r="AN435" s="327">
        <f t="shared" si="673"/>
        <v>16.07119888</v>
      </c>
      <c r="AO435" s="320">
        <f t="shared" si="644"/>
        <v>0.2555555556</v>
      </c>
      <c r="AP435" s="328"/>
      <c r="AQ435" s="329">
        <f t="shared" ref="AQ435:AR435" si="679">BC435/(1-AI435)</f>
        <v>13.60181142</v>
      </c>
      <c r="AR435" s="330">
        <f t="shared" si="679"/>
        <v>13.2934608</v>
      </c>
      <c r="AS435" s="331">
        <f t="shared" si="646"/>
        <v>0.35</v>
      </c>
      <c r="AT435" s="331">
        <f t="shared" si="647"/>
        <v>0.2555555556</v>
      </c>
      <c r="AU435" s="129"/>
      <c r="AV435" s="283" t="s">
        <v>1275</v>
      </c>
      <c r="AW435" s="332"/>
      <c r="AX435" s="333"/>
      <c r="AY435" s="333"/>
      <c r="AZ435" s="332">
        <v>4.0</v>
      </c>
      <c r="BA435" s="332">
        <f>BA430+BA465+0.6</f>
        <v>80.1</v>
      </c>
      <c r="BB435" s="332">
        <f t="shared" si="585"/>
        <v>84.1</v>
      </c>
      <c r="BC435" s="334">
        <f t="shared" si="648"/>
        <v>12.24163028</v>
      </c>
      <c r="BD435" s="335">
        <f t="shared" si="649"/>
        <v>11.96411472</v>
      </c>
      <c r="BE435" s="336"/>
      <c r="BF435" s="337"/>
      <c r="BG435" s="216"/>
      <c r="BH435" s="338"/>
      <c r="BI435" s="338"/>
      <c r="BJ435" s="338"/>
      <c r="BK435" s="338"/>
      <c r="BL435" s="216" t="str">
        <f>VLOOKUP(J435,[4]Sheet1!$A$2:$C$689,3,FALSE)</f>
        <v>#ERROR!</v>
      </c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</row>
    <row r="436" ht="14.25" customHeight="1">
      <c r="A436" s="104" t="s">
        <v>84</v>
      </c>
      <c r="B436" s="104" t="s">
        <v>120</v>
      </c>
      <c r="C436" s="103" t="s">
        <v>120</v>
      </c>
      <c r="D436" s="104" t="s">
        <v>1266</v>
      </c>
      <c r="E436" s="104" t="s">
        <v>1633</v>
      </c>
      <c r="F436" s="104" t="s">
        <v>1633</v>
      </c>
      <c r="G436" s="110" t="s">
        <v>1340</v>
      </c>
      <c r="H436" s="110"/>
      <c r="I436" s="107"/>
      <c r="J436" s="220" t="s">
        <v>1657</v>
      </c>
      <c r="K436" s="220"/>
      <c r="L436" s="317" t="s">
        <v>1658</v>
      </c>
      <c r="M436" s="317" t="s">
        <v>1659</v>
      </c>
      <c r="N436" s="110"/>
      <c r="O436" s="104" t="s">
        <v>95</v>
      </c>
      <c r="P436" s="110"/>
      <c r="Q436" s="104" t="s">
        <v>554</v>
      </c>
      <c r="R436" s="110" t="s">
        <v>1637</v>
      </c>
      <c r="S436" s="110">
        <v>90.0</v>
      </c>
      <c r="T436" s="318"/>
      <c r="U436" s="319" t="s">
        <v>1650</v>
      </c>
      <c r="V436" s="320">
        <v>0.017</v>
      </c>
      <c r="W436" s="321">
        <v>30.0</v>
      </c>
      <c r="X436" s="319">
        <v>45.0</v>
      </c>
      <c r="Y436" s="319">
        <v>55.0</v>
      </c>
      <c r="Z436" s="319" t="s">
        <v>99</v>
      </c>
      <c r="AA436" s="322">
        <f t="shared" si="641"/>
        <v>20.77657099</v>
      </c>
      <c r="AB436" s="323"/>
      <c r="AC436" s="324">
        <f t="shared" si="642"/>
        <v>17.74132155</v>
      </c>
      <c r="AD436" s="325">
        <f t="shared" si="244"/>
        <v>19.07668984</v>
      </c>
      <c r="AE436" s="324"/>
      <c r="AF436" s="324" t="str">
        <f t="shared" si="94"/>
        <v>#REF!</v>
      </c>
      <c r="AG436" s="326" t="str">
        <f t="shared" si="95"/>
        <v>#REF!</v>
      </c>
      <c r="AH436" s="120" t="str">
        <f t="shared" si="96"/>
        <v>#REF!</v>
      </c>
      <c r="AI436" s="320">
        <f t="shared" si="497"/>
        <v>0.1</v>
      </c>
      <c r="AJ436" s="320">
        <v>0.1</v>
      </c>
      <c r="AK436" s="320">
        <v>0.33</v>
      </c>
      <c r="AL436" s="123">
        <f t="shared" si="11"/>
        <v>5.854636113</v>
      </c>
      <c r="AM436" s="327" t="s">
        <v>6</v>
      </c>
      <c r="AN436" s="327">
        <f t="shared" si="673"/>
        <v>15.9671894</v>
      </c>
      <c r="AO436" s="320">
        <f t="shared" si="644"/>
        <v>0.2555555556</v>
      </c>
      <c r="AP436" s="328"/>
      <c r="AQ436" s="329">
        <f t="shared" ref="AQ436:AR436" si="680">BC436/(1-AI436)</f>
        <v>13.50477115</v>
      </c>
      <c r="AR436" s="330">
        <f t="shared" si="680"/>
        <v>13.20742827</v>
      </c>
      <c r="AS436" s="331">
        <f t="shared" si="646"/>
        <v>0.35</v>
      </c>
      <c r="AT436" s="331">
        <f t="shared" si="647"/>
        <v>0.2555555556</v>
      </c>
      <c r="AU436" s="129"/>
      <c r="AV436" s="283" t="s">
        <v>1275</v>
      </c>
      <c r="AW436" s="332"/>
      <c r="AX436" s="333"/>
      <c r="AY436" s="333"/>
      <c r="AZ436" s="332">
        <v>4.0</v>
      </c>
      <c r="BA436" s="332">
        <f>BA430+BA465</f>
        <v>79.5</v>
      </c>
      <c r="BB436" s="332">
        <f t="shared" si="585"/>
        <v>83.5</v>
      </c>
      <c r="BC436" s="334">
        <f t="shared" si="648"/>
        <v>12.15429403</v>
      </c>
      <c r="BD436" s="335">
        <f t="shared" si="649"/>
        <v>11.88668544</v>
      </c>
      <c r="BE436" s="336"/>
      <c r="BF436" s="337"/>
      <c r="BG436" s="216"/>
      <c r="BH436" s="338"/>
      <c r="BI436" s="338"/>
      <c r="BJ436" s="338"/>
      <c r="BK436" s="338"/>
      <c r="BL436" s="216" t="str">
        <f>VLOOKUP(J436,[4]Sheet1!$A$2:$C$689,3,FALSE)</f>
        <v>#ERROR!</v>
      </c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</row>
    <row r="437" ht="14.25" customHeight="1">
      <c r="A437" s="104" t="s">
        <v>84</v>
      </c>
      <c r="B437" s="104" t="s">
        <v>120</v>
      </c>
      <c r="C437" s="103" t="s">
        <v>120</v>
      </c>
      <c r="D437" s="104" t="s">
        <v>1266</v>
      </c>
      <c r="E437" s="104" t="s">
        <v>1633</v>
      </c>
      <c r="F437" s="104" t="s">
        <v>1633</v>
      </c>
      <c r="G437" s="110" t="s">
        <v>1340</v>
      </c>
      <c r="H437" s="110"/>
      <c r="I437" s="107"/>
      <c r="J437" s="220" t="s">
        <v>1660</v>
      </c>
      <c r="K437" s="220"/>
      <c r="L437" s="317" t="s">
        <v>1661</v>
      </c>
      <c r="M437" s="317" t="s">
        <v>1662</v>
      </c>
      <c r="N437" s="110"/>
      <c r="O437" s="104" t="s">
        <v>95</v>
      </c>
      <c r="P437" s="110"/>
      <c r="Q437" s="104" t="s">
        <v>554</v>
      </c>
      <c r="R437" s="110" t="s">
        <v>1637</v>
      </c>
      <c r="S437" s="110">
        <v>90.0</v>
      </c>
      <c r="T437" s="318"/>
      <c r="U437" s="319" t="s">
        <v>1650</v>
      </c>
      <c r="V437" s="320">
        <v>0.017</v>
      </c>
      <c r="W437" s="321">
        <v>30.0</v>
      </c>
      <c r="X437" s="319">
        <v>45.0</v>
      </c>
      <c r="Y437" s="319">
        <v>55.0</v>
      </c>
      <c r="Z437" s="319" t="s">
        <v>99</v>
      </c>
      <c r="AA437" s="322">
        <f t="shared" si="641"/>
        <v>20.03010737</v>
      </c>
      <c r="AB437" s="323"/>
      <c r="AC437" s="324">
        <f t="shared" si="642"/>
        <v>17.16349113</v>
      </c>
      <c r="AD437" s="325">
        <f t="shared" si="244"/>
        <v>18.45536681</v>
      </c>
      <c r="AE437" s="324"/>
      <c r="AF437" s="324" t="str">
        <f t="shared" si="94"/>
        <v>#REF!</v>
      </c>
      <c r="AG437" s="326" t="str">
        <f t="shared" si="95"/>
        <v>#REF!</v>
      </c>
      <c r="AH437" s="120" t="str">
        <f t="shared" si="96"/>
        <v>#REF!</v>
      </c>
      <c r="AI437" s="320">
        <f t="shared" si="497"/>
        <v>0.1</v>
      </c>
      <c r="AJ437" s="320">
        <v>0.1</v>
      </c>
      <c r="AK437" s="320">
        <v>0.33</v>
      </c>
      <c r="AL437" s="123">
        <f t="shared" si="11"/>
        <v>5.663952074</v>
      </c>
      <c r="AM437" s="327" t="s">
        <v>6</v>
      </c>
      <c r="AN437" s="327">
        <f t="shared" si="673"/>
        <v>15.44714202</v>
      </c>
      <c r="AO437" s="320">
        <f t="shared" si="644"/>
        <v>0.2555555556</v>
      </c>
      <c r="AP437" s="328"/>
      <c r="AQ437" s="329">
        <f t="shared" ref="AQ437:AR437" si="681">BC437/(1-AI437)</f>
        <v>13.01956979</v>
      </c>
      <c r="AR437" s="330">
        <f t="shared" si="681"/>
        <v>12.77726562</v>
      </c>
      <c r="AS437" s="331">
        <f t="shared" si="646"/>
        <v>0.35</v>
      </c>
      <c r="AT437" s="331">
        <f t="shared" si="647"/>
        <v>0.2555555556</v>
      </c>
      <c r="AU437" s="129"/>
      <c r="AV437" s="283" t="s">
        <v>1275</v>
      </c>
      <c r="AW437" s="332"/>
      <c r="AX437" s="333"/>
      <c r="AY437" s="333"/>
      <c r="AZ437" s="332">
        <v>4.0</v>
      </c>
      <c r="BA437" s="332">
        <f>BA430+BA466</f>
        <v>76.5</v>
      </c>
      <c r="BB437" s="332">
        <f t="shared" si="585"/>
        <v>80.5</v>
      </c>
      <c r="BC437" s="334">
        <f t="shared" si="648"/>
        <v>11.71761281</v>
      </c>
      <c r="BD437" s="335">
        <f t="shared" si="649"/>
        <v>11.49953906</v>
      </c>
      <c r="BE437" s="336"/>
      <c r="BF437" s="337"/>
      <c r="BG437" s="216"/>
      <c r="BH437" s="338"/>
      <c r="BI437" s="338"/>
      <c r="BJ437" s="338"/>
      <c r="BK437" s="338"/>
      <c r="BL437" s="216" t="str">
        <f>VLOOKUP(J437,[4]Sheet1!$A$2:$C$689,3,FALSE)</f>
        <v>#ERROR!</v>
      </c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</row>
    <row r="438" ht="14.25" customHeight="1">
      <c r="A438" s="104" t="s">
        <v>84</v>
      </c>
      <c r="B438" s="104" t="s">
        <v>120</v>
      </c>
      <c r="C438" s="103" t="s">
        <v>120</v>
      </c>
      <c r="D438" s="104" t="s">
        <v>1266</v>
      </c>
      <c r="E438" s="104" t="s">
        <v>1633</v>
      </c>
      <c r="F438" s="104" t="s">
        <v>1633</v>
      </c>
      <c r="G438" s="110" t="s">
        <v>1663</v>
      </c>
      <c r="H438" s="110"/>
      <c r="I438" s="107"/>
      <c r="J438" s="220" t="s">
        <v>1664</v>
      </c>
      <c r="K438" s="220"/>
      <c r="L438" s="317" t="s">
        <v>1665</v>
      </c>
      <c r="M438" s="317" t="s">
        <v>1666</v>
      </c>
      <c r="N438" s="110"/>
      <c r="O438" s="104" t="s">
        <v>95</v>
      </c>
      <c r="P438" s="110"/>
      <c r="Q438" s="104" t="s">
        <v>554</v>
      </c>
      <c r="R438" s="110" t="s">
        <v>1637</v>
      </c>
      <c r="S438" s="110">
        <v>90.0</v>
      </c>
      <c r="T438" s="318"/>
      <c r="U438" s="319" t="s">
        <v>1650</v>
      </c>
      <c r="V438" s="320">
        <v>0.017</v>
      </c>
      <c r="W438" s="321">
        <v>30.0</v>
      </c>
      <c r="X438" s="319">
        <v>45.0</v>
      </c>
      <c r="Y438" s="319">
        <v>55.0</v>
      </c>
      <c r="Z438" s="319" t="s">
        <v>99</v>
      </c>
      <c r="AA438" s="322">
        <f t="shared" si="641"/>
        <v>20.77657099</v>
      </c>
      <c r="AB438" s="323"/>
      <c r="AC438" s="324">
        <f t="shared" si="642"/>
        <v>17.74132155</v>
      </c>
      <c r="AD438" s="325">
        <f t="shared" si="244"/>
        <v>19.07668984</v>
      </c>
      <c r="AE438" s="324"/>
      <c r="AF438" s="324" t="str">
        <f t="shared" si="94"/>
        <v>#REF!</v>
      </c>
      <c r="AG438" s="326" t="str">
        <f t="shared" si="95"/>
        <v>#REF!</v>
      </c>
      <c r="AH438" s="120" t="str">
        <f t="shared" si="96"/>
        <v>#REF!</v>
      </c>
      <c r="AI438" s="320">
        <f t="shared" si="497"/>
        <v>0.1</v>
      </c>
      <c r="AJ438" s="320">
        <v>0.1</v>
      </c>
      <c r="AK438" s="320">
        <v>0.33</v>
      </c>
      <c r="AL438" s="123">
        <f t="shared" si="11"/>
        <v>5.854636113</v>
      </c>
      <c r="AM438" s="327" t="s">
        <v>6</v>
      </c>
      <c r="AN438" s="327">
        <f t="shared" si="673"/>
        <v>15.9671894</v>
      </c>
      <c r="AO438" s="320">
        <f t="shared" si="644"/>
        <v>0.2555555556</v>
      </c>
      <c r="AP438" s="328"/>
      <c r="AQ438" s="329">
        <f t="shared" ref="AQ438:AR438" si="682">BC438/(1-AI438)</f>
        <v>13.50477115</v>
      </c>
      <c r="AR438" s="330">
        <f t="shared" si="682"/>
        <v>13.20742827</v>
      </c>
      <c r="AS438" s="331">
        <f t="shared" si="646"/>
        <v>0.35</v>
      </c>
      <c r="AT438" s="331">
        <f t="shared" si="647"/>
        <v>0.2555555556</v>
      </c>
      <c r="AU438" s="129"/>
      <c r="AV438" s="283" t="s">
        <v>1275</v>
      </c>
      <c r="AW438" s="332"/>
      <c r="AX438" s="333"/>
      <c r="AY438" s="333"/>
      <c r="AZ438" s="332">
        <v>4.0</v>
      </c>
      <c r="BA438" s="332">
        <f>BA430+BA467</f>
        <v>79.5</v>
      </c>
      <c r="BB438" s="332">
        <f t="shared" si="585"/>
        <v>83.5</v>
      </c>
      <c r="BC438" s="334">
        <f t="shared" si="648"/>
        <v>12.15429403</v>
      </c>
      <c r="BD438" s="335">
        <f t="shared" si="649"/>
        <v>11.88668544</v>
      </c>
      <c r="BE438" s="336"/>
      <c r="BF438" s="337"/>
      <c r="BG438" s="216"/>
      <c r="BH438" s="338"/>
      <c r="BI438" s="338"/>
      <c r="BJ438" s="338"/>
      <c r="BK438" s="338"/>
      <c r="BL438" s="216" t="str">
        <f>VLOOKUP(J438,[4]Sheet1!$A$2:$C$689,3,FALSE)</f>
        <v>#ERROR!</v>
      </c>
      <c r="BM438" s="49"/>
      <c r="BN438" s="49"/>
      <c r="BO438" s="49"/>
      <c r="BP438" s="49"/>
      <c r="BQ438" s="49"/>
      <c r="BR438" s="49"/>
      <c r="BS438" s="49"/>
      <c r="BT438" s="49"/>
      <c r="BU438" s="49"/>
      <c r="BV438" s="49"/>
      <c r="BW438" s="49"/>
      <c r="BX438" s="49"/>
      <c r="BY438" s="49"/>
      <c r="BZ438" s="49"/>
      <c r="CA438" s="49"/>
      <c r="CB438" s="49"/>
      <c r="CC438" s="49"/>
      <c r="CD438" s="49"/>
      <c r="CE438" s="49"/>
      <c r="CF438" s="49"/>
    </row>
    <row r="439" ht="14.25" customHeight="1">
      <c r="A439" s="104" t="s">
        <v>84</v>
      </c>
      <c r="B439" s="104" t="s">
        <v>120</v>
      </c>
      <c r="C439" s="103" t="s">
        <v>120</v>
      </c>
      <c r="D439" s="104" t="s">
        <v>1266</v>
      </c>
      <c r="E439" s="104" t="s">
        <v>1633</v>
      </c>
      <c r="F439" s="104" t="s">
        <v>1667</v>
      </c>
      <c r="G439" s="110" t="s">
        <v>1288</v>
      </c>
      <c r="H439" s="110"/>
      <c r="I439" s="107"/>
      <c r="J439" s="220" t="s">
        <v>1668</v>
      </c>
      <c r="K439" s="220"/>
      <c r="L439" s="339" t="s">
        <v>1669</v>
      </c>
      <c r="M439" s="340" t="s">
        <v>1670</v>
      </c>
      <c r="N439" s="110"/>
      <c r="O439" s="104" t="s">
        <v>95</v>
      </c>
      <c r="P439" s="110"/>
      <c r="Q439" s="104" t="s">
        <v>554</v>
      </c>
      <c r="R439" s="110" t="s">
        <v>1637</v>
      </c>
      <c r="S439" s="110">
        <v>90.0</v>
      </c>
      <c r="T439" s="318"/>
      <c r="U439" s="110" t="s">
        <v>1671</v>
      </c>
      <c r="V439" s="341">
        <v>0.021</v>
      </c>
      <c r="W439" s="342">
        <v>30.0</v>
      </c>
      <c r="X439" s="318">
        <v>45.0</v>
      </c>
      <c r="Y439" s="318">
        <v>55.0</v>
      </c>
      <c r="Z439" s="318" t="s">
        <v>99</v>
      </c>
      <c r="AA439" s="114">
        <f t="shared" si="641"/>
        <v>28.24120728</v>
      </c>
      <c r="AB439" s="343"/>
      <c r="AC439" s="344">
        <f t="shared" si="642"/>
        <v>23.61825925</v>
      </c>
      <c r="AD439" s="213">
        <f t="shared" si="244"/>
        <v>25.39597769</v>
      </c>
      <c r="AE439" s="344"/>
      <c r="AF439" s="344" t="str">
        <f t="shared" si="94"/>
        <v>#REF!</v>
      </c>
      <c r="AG439" s="345" t="str">
        <f t="shared" si="95"/>
        <v>#REF!</v>
      </c>
      <c r="AH439" s="120" t="str">
        <f t="shared" si="96"/>
        <v>#REF!</v>
      </c>
      <c r="AI439" s="341">
        <f t="shared" si="497"/>
        <v>0.1</v>
      </c>
      <c r="AJ439" s="341">
        <v>0.1</v>
      </c>
      <c r="AK439" s="341">
        <v>0.33</v>
      </c>
      <c r="AL439" s="123">
        <f t="shared" si="11"/>
        <v>7.794025553</v>
      </c>
      <c r="AM439" s="346" t="s">
        <v>6</v>
      </c>
      <c r="AN439" s="346">
        <f t="shared" si="673"/>
        <v>21.25643333</v>
      </c>
      <c r="AO439" s="341">
        <f t="shared" si="644"/>
        <v>0.2555555556</v>
      </c>
      <c r="AP439" s="127"/>
      <c r="AQ439" s="347">
        <f t="shared" ref="AQ439:AR439" si="683">BC439/(1-AI439)</f>
        <v>18.35678473</v>
      </c>
      <c r="AR439" s="348">
        <f t="shared" si="683"/>
        <v>17.58248189</v>
      </c>
      <c r="AS439" s="349">
        <f t="shared" si="646"/>
        <v>0.35</v>
      </c>
      <c r="AT439" s="349">
        <f t="shared" si="647"/>
        <v>0.2555555556</v>
      </c>
      <c r="AU439" s="129"/>
      <c r="AV439" s="39" t="s">
        <v>1275</v>
      </c>
      <c r="AW439" s="130"/>
      <c r="AX439" s="140"/>
      <c r="AY439" s="140"/>
      <c r="AZ439" s="130">
        <v>4.0</v>
      </c>
      <c r="BA439" s="130">
        <f t="shared" ref="BA439:BA442" si="685">$BA$430+BA472</f>
        <v>109.5</v>
      </c>
      <c r="BB439" s="130">
        <f t="shared" si="585"/>
        <v>113.5</v>
      </c>
      <c r="BC439" s="131">
        <f t="shared" si="648"/>
        <v>16.52110626</v>
      </c>
      <c r="BD439" s="132">
        <f t="shared" si="649"/>
        <v>15.8242337</v>
      </c>
      <c r="BE439" s="315"/>
      <c r="BF439" s="134"/>
      <c r="BG439" s="49"/>
      <c r="BH439" s="224"/>
      <c r="BI439" s="224"/>
      <c r="BJ439" s="224"/>
      <c r="BK439" s="224"/>
      <c r="BL439" s="49"/>
      <c r="BM439" s="49"/>
      <c r="BN439" s="49"/>
      <c r="BO439" s="49"/>
      <c r="BP439" s="49"/>
      <c r="BQ439" s="49"/>
      <c r="BR439" s="49"/>
      <c r="BS439" s="49"/>
      <c r="BT439" s="49"/>
      <c r="BU439" s="49"/>
      <c r="BV439" s="49"/>
      <c r="BW439" s="49"/>
      <c r="BX439" s="49"/>
      <c r="BY439" s="49"/>
      <c r="BZ439" s="49"/>
      <c r="CA439" s="49"/>
      <c r="CB439" s="49"/>
      <c r="CC439" s="49"/>
      <c r="CD439" s="49"/>
      <c r="CE439" s="49"/>
      <c r="CF439" s="49"/>
    </row>
    <row r="440" ht="14.25" customHeight="1">
      <c r="A440" s="104" t="s">
        <v>84</v>
      </c>
      <c r="B440" s="104" t="s">
        <v>120</v>
      </c>
      <c r="C440" s="103" t="s">
        <v>120</v>
      </c>
      <c r="D440" s="104" t="s">
        <v>1266</v>
      </c>
      <c r="E440" s="104" t="s">
        <v>1633</v>
      </c>
      <c r="F440" s="104" t="s">
        <v>1667</v>
      </c>
      <c r="G440" s="110" t="s">
        <v>1288</v>
      </c>
      <c r="H440" s="110"/>
      <c r="I440" s="107"/>
      <c r="J440" s="220" t="s">
        <v>1672</v>
      </c>
      <c r="K440" s="220"/>
      <c r="L440" s="339" t="s">
        <v>1673</v>
      </c>
      <c r="M440" s="340" t="s">
        <v>1674</v>
      </c>
      <c r="N440" s="110"/>
      <c r="O440" s="104" t="s">
        <v>95</v>
      </c>
      <c r="P440" s="110"/>
      <c r="Q440" s="104" t="s">
        <v>554</v>
      </c>
      <c r="R440" s="110" t="s">
        <v>1637</v>
      </c>
      <c r="S440" s="110">
        <v>90.0</v>
      </c>
      <c r="T440" s="318"/>
      <c r="U440" s="110" t="s">
        <v>1671</v>
      </c>
      <c r="V440" s="341">
        <v>0.021</v>
      </c>
      <c r="W440" s="342">
        <v>30.0</v>
      </c>
      <c r="X440" s="318">
        <v>45.0</v>
      </c>
      <c r="Y440" s="318">
        <v>55.0</v>
      </c>
      <c r="Z440" s="318" t="s">
        <v>99</v>
      </c>
      <c r="AA440" s="114">
        <f t="shared" si="641"/>
        <v>25.25535277</v>
      </c>
      <c r="AB440" s="343"/>
      <c r="AC440" s="344">
        <f t="shared" si="642"/>
        <v>21.29650935</v>
      </c>
      <c r="AD440" s="213">
        <f t="shared" si="244"/>
        <v>22.89947242</v>
      </c>
      <c r="AE440" s="344"/>
      <c r="AF440" s="344" t="str">
        <f t="shared" si="94"/>
        <v>#REF!</v>
      </c>
      <c r="AG440" s="345" t="str">
        <f t="shared" si="95"/>
        <v>#REF!</v>
      </c>
      <c r="AH440" s="120" t="str">
        <f t="shared" si="96"/>
        <v>#REF!</v>
      </c>
      <c r="AI440" s="341">
        <f t="shared" si="497"/>
        <v>0.1</v>
      </c>
      <c r="AJ440" s="341">
        <v>0.1</v>
      </c>
      <c r="AK440" s="341">
        <v>0.33</v>
      </c>
      <c r="AL440" s="123">
        <f t="shared" si="11"/>
        <v>7.027848086</v>
      </c>
      <c r="AM440" s="346" t="s">
        <v>6</v>
      </c>
      <c r="AN440" s="346">
        <f t="shared" si="673"/>
        <v>19.16685842</v>
      </c>
      <c r="AO440" s="341">
        <f t="shared" si="644"/>
        <v>0.2555555556</v>
      </c>
      <c r="AP440" s="127"/>
      <c r="AQ440" s="347">
        <f t="shared" ref="AQ440:AR440" si="684">BC440/(1-AI440)</f>
        <v>16.4159793</v>
      </c>
      <c r="AR440" s="348">
        <f t="shared" si="684"/>
        <v>15.85406807</v>
      </c>
      <c r="AS440" s="349">
        <f t="shared" si="646"/>
        <v>0.35</v>
      </c>
      <c r="AT440" s="349">
        <f t="shared" si="647"/>
        <v>0.2555555556</v>
      </c>
      <c r="AU440" s="129"/>
      <c r="AV440" s="39" t="s">
        <v>1275</v>
      </c>
      <c r="AW440" s="130"/>
      <c r="AX440" s="140"/>
      <c r="AY440" s="140"/>
      <c r="AZ440" s="130">
        <v>4.0</v>
      </c>
      <c r="BA440" s="130">
        <f t="shared" si="685"/>
        <v>97.5</v>
      </c>
      <c r="BB440" s="130">
        <f t="shared" si="585"/>
        <v>101.5</v>
      </c>
      <c r="BC440" s="131">
        <f t="shared" si="648"/>
        <v>14.77438137</v>
      </c>
      <c r="BD440" s="132">
        <f t="shared" si="649"/>
        <v>14.26866127</v>
      </c>
      <c r="BE440" s="315"/>
      <c r="BF440" s="134"/>
      <c r="BG440" s="49"/>
      <c r="BH440" s="224"/>
      <c r="BI440" s="224"/>
      <c r="BJ440" s="224"/>
      <c r="BK440" s="224"/>
      <c r="BL440" s="49"/>
      <c r="BM440" s="49"/>
      <c r="BN440" s="49"/>
      <c r="BO440" s="49"/>
      <c r="BP440" s="49"/>
      <c r="BQ440" s="49"/>
      <c r="BR440" s="49"/>
      <c r="BS440" s="49"/>
      <c r="BT440" s="49"/>
      <c r="BU440" s="49"/>
      <c r="BV440" s="49"/>
      <c r="BW440" s="49"/>
      <c r="BX440" s="49"/>
      <c r="BY440" s="49"/>
      <c r="BZ440" s="49"/>
      <c r="CA440" s="49"/>
      <c r="CB440" s="49"/>
      <c r="CC440" s="49"/>
      <c r="CD440" s="49"/>
      <c r="CE440" s="49"/>
      <c r="CF440" s="49"/>
    </row>
    <row r="441" ht="14.25" customHeight="1">
      <c r="A441" s="104" t="s">
        <v>84</v>
      </c>
      <c r="B441" s="104" t="s">
        <v>120</v>
      </c>
      <c r="C441" s="103" t="s">
        <v>120</v>
      </c>
      <c r="D441" s="104" t="s">
        <v>1266</v>
      </c>
      <c r="E441" s="104" t="s">
        <v>1633</v>
      </c>
      <c r="F441" s="104" t="s">
        <v>1667</v>
      </c>
      <c r="G441" s="110" t="s">
        <v>1268</v>
      </c>
      <c r="H441" s="110"/>
      <c r="I441" s="107"/>
      <c r="J441" s="220" t="s">
        <v>1675</v>
      </c>
      <c r="K441" s="220" t="s">
        <v>1676</v>
      </c>
      <c r="L441" s="339" t="s">
        <v>1677</v>
      </c>
      <c r="M441" s="340" t="s">
        <v>1678</v>
      </c>
      <c r="N441" s="110"/>
      <c r="O441" s="104" t="s">
        <v>95</v>
      </c>
      <c r="P441" s="110"/>
      <c r="Q441" s="104" t="s">
        <v>554</v>
      </c>
      <c r="R441" s="110" t="s">
        <v>1637</v>
      </c>
      <c r="S441" s="110">
        <v>90.0</v>
      </c>
      <c r="T441" s="318"/>
      <c r="U441" s="110" t="s">
        <v>1671</v>
      </c>
      <c r="V441" s="341">
        <v>0.021</v>
      </c>
      <c r="W441" s="342">
        <v>30.0</v>
      </c>
      <c r="X441" s="318">
        <v>45.0</v>
      </c>
      <c r="Y441" s="318">
        <v>55.0</v>
      </c>
      <c r="Z441" s="318" t="s">
        <v>99</v>
      </c>
      <c r="AA441" s="114">
        <f t="shared" si="641"/>
        <v>31.22706179</v>
      </c>
      <c r="AB441" s="343"/>
      <c r="AC441" s="344">
        <f t="shared" si="642"/>
        <v>25.94000915</v>
      </c>
      <c r="AD441" s="213">
        <f t="shared" si="244"/>
        <v>27.89248296</v>
      </c>
      <c r="AE441" s="344"/>
      <c r="AF441" s="344" t="str">
        <f t="shared" si="94"/>
        <v>#REF!</v>
      </c>
      <c r="AG441" s="345" t="str">
        <f t="shared" si="95"/>
        <v>#REF!</v>
      </c>
      <c r="AH441" s="120" t="str">
        <f t="shared" si="96"/>
        <v>#REF!</v>
      </c>
      <c r="AI441" s="341">
        <f t="shared" si="497"/>
        <v>0.1</v>
      </c>
      <c r="AJ441" s="341">
        <v>0.1</v>
      </c>
      <c r="AK441" s="341">
        <v>0.33</v>
      </c>
      <c r="AL441" s="123">
        <f t="shared" si="11"/>
        <v>8.560203019</v>
      </c>
      <c r="AM441" s="346" t="s">
        <v>6</v>
      </c>
      <c r="AN441" s="346">
        <f t="shared" si="673"/>
        <v>23.34600823</v>
      </c>
      <c r="AO441" s="341">
        <f t="shared" si="644"/>
        <v>0.2555555556</v>
      </c>
      <c r="AP441" s="127"/>
      <c r="AQ441" s="347">
        <f t="shared" ref="AQ441:AR441" si="686">BC441/(1-AI441)</f>
        <v>20.29759017</v>
      </c>
      <c r="AR441" s="348">
        <f t="shared" si="686"/>
        <v>19.3108957</v>
      </c>
      <c r="AS441" s="349">
        <f t="shared" si="646"/>
        <v>0.35</v>
      </c>
      <c r="AT441" s="349">
        <f t="shared" si="647"/>
        <v>0.2555555556</v>
      </c>
      <c r="AU441" s="129"/>
      <c r="AV441" s="39" t="s">
        <v>1275</v>
      </c>
      <c r="AW441" s="130"/>
      <c r="AX441" s="140"/>
      <c r="AY441" s="140"/>
      <c r="AZ441" s="130">
        <v>4.0</v>
      </c>
      <c r="BA441" s="130">
        <f t="shared" si="685"/>
        <v>121.5</v>
      </c>
      <c r="BB441" s="130">
        <f t="shared" si="585"/>
        <v>125.5</v>
      </c>
      <c r="BC441" s="131">
        <f t="shared" si="648"/>
        <v>18.26783115</v>
      </c>
      <c r="BD441" s="132">
        <f t="shared" si="649"/>
        <v>17.37980613</v>
      </c>
      <c r="BE441" s="315"/>
      <c r="BF441" s="134"/>
      <c r="BG441" s="49"/>
      <c r="BH441" s="224"/>
      <c r="BI441" s="224"/>
      <c r="BJ441" s="224"/>
      <c r="BK441" s="224"/>
      <c r="BL441" s="49"/>
      <c r="BM441" s="49"/>
      <c r="BN441" s="49"/>
      <c r="BO441" s="49"/>
      <c r="BP441" s="49"/>
      <c r="BQ441" s="49"/>
      <c r="BR441" s="49"/>
      <c r="BS441" s="49"/>
      <c r="BT441" s="49"/>
      <c r="BU441" s="49"/>
      <c r="BV441" s="49"/>
      <c r="BW441" s="49"/>
      <c r="BX441" s="49"/>
      <c r="BY441" s="49"/>
      <c r="BZ441" s="49"/>
      <c r="CA441" s="49"/>
      <c r="CB441" s="49"/>
      <c r="CC441" s="49"/>
      <c r="CD441" s="49"/>
      <c r="CE441" s="49"/>
      <c r="CF441" s="49"/>
    </row>
    <row r="442" ht="14.25" customHeight="1">
      <c r="A442" s="104" t="s">
        <v>84</v>
      </c>
      <c r="B442" s="104" t="s">
        <v>120</v>
      </c>
      <c r="C442" s="103" t="s">
        <v>120</v>
      </c>
      <c r="D442" s="104" t="s">
        <v>1266</v>
      </c>
      <c r="E442" s="104" t="s">
        <v>1633</v>
      </c>
      <c r="F442" s="104" t="s">
        <v>1667</v>
      </c>
      <c r="G442" s="110" t="s">
        <v>1268</v>
      </c>
      <c r="H442" s="110"/>
      <c r="I442" s="107"/>
      <c r="J442" s="220" t="s">
        <v>1679</v>
      </c>
      <c r="K442" s="220" t="s">
        <v>1680</v>
      </c>
      <c r="L442" s="339" t="s">
        <v>1681</v>
      </c>
      <c r="M442" s="340" t="s">
        <v>1682</v>
      </c>
      <c r="N442" s="110"/>
      <c r="O442" s="104" t="s">
        <v>95</v>
      </c>
      <c r="P442" s="110"/>
      <c r="Q442" s="104" t="s">
        <v>554</v>
      </c>
      <c r="R442" s="110" t="s">
        <v>1637</v>
      </c>
      <c r="S442" s="110">
        <v>90.0</v>
      </c>
      <c r="T442" s="318"/>
      <c r="U442" s="110" t="s">
        <v>1671</v>
      </c>
      <c r="V442" s="341">
        <v>0.021</v>
      </c>
      <c r="W442" s="342">
        <v>30.0</v>
      </c>
      <c r="X442" s="318">
        <v>45.0</v>
      </c>
      <c r="Y442" s="318">
        <v>55.0</v>
      </c>
      <c r="Z442" s="318" t="s">
        <v>99</v>
      </c>
      <c r="AA442" s="114">
        <f t="shared" si="641"/>
        <v>26.00181639</v>
      </c>
      <c r="AB442" s="343"/>
      <c r="AC442" s="344">
        <f t="shared" si="642"/>
        <v>21.87694683</v>
      </c>
      <c r="AD442" s="213">
        <f t="shared" si="244"/>
        <v>23.52359874</v>
      </c>
      <c r="AE442" s="344"/>
      <c r="AF442" s="344" t="str">
        <f t="shared" si="94"/>
        <v>#REF!</v>
      </c>
      <c r="AG442" s="345" t="str">
        <f t="shared" si="95"/>
        <v>#REF!</v>
      </c>
      <c r="AH442" s="120" t="str">
        <f t="shared" si="96"/>
        <v>#REF!</v>
      </c>
      <c r="AI442" s="341">
        <f t="shared" si="497"/>
        <v>0.1</v>
      </c>
      <c r="AJ442" s="341">
        <v>0.1</v>
      </c>
      <c r="AK442" s="341">
        <v>0.33</v>
      </c>
      <c r="AL442" s="123">
        <f t="shared" si="11"/>
        <v>7.219392453</v>
      </c>
      <c r="AM442" s="346" t="s">
        <v>6</v>
      </c>
      <c r="AN442" s="346">
        <f t="shared" si="673"/>
        <v>19.68925214</v>
      </c>
      <c r="AO442" s="341">
        <f t="shared" si="644"/>
        <v>0.2555555556</v>
      </c>
      <c r="AP442" s="127"/>
      <c r="AQ442" s="347">
        <f t="shared" ref="AQ442:AR442" si="687">BC442/(1-AI442)</f>
        <v>16.90118066</v>
      </c>
      <c r="AR442" s="348">
        <f t="shared" si="687"/>
        <v>16.28617153</v>
      </c>
      <c r="AS442" s="349">
        <f t="shared" si="646"/>
        <v>0.35</v>
      </c>
      <c r="AT442" s="349">
        <f t="shared" si="647"/>
        <v>0.2555555556</v>
      </c>
      <c r="AU442" s="129"/>
      <c r="AV442" s="39" t="s">
        <v>1275</v>
      </c>
      <c r="AW442" s="130"/>
      <c r="AX442" s="140"/>
      <c r="AY442" s="140"/>
      <c r="AZ442" s="130">
        <v>4.0</v>
      </c>
      <c r="BA442" s="130">
        <f t="shared" si="685"/>
        <v>100.5</v>
      </c>
      <c r="BB442" s="130">
        <f t="shared" si="585"/>
        <v>104.5</v>
      </c>
      <c r="BC442" s="131">
        <f t="shared" si="648"/>
        <v>15.21106259</v>
      </c>
      <c r="BD442" s="132">
        <f t="shared" si="649"/>
        <v>14.65755437</v>
      </c>
      <c r="BE442" s="315"/>
      <c r="BF442" s="134"/>
      <c r="BG442" s="49"/>
      <c r="BH442" s="224"/>
      <c r="BI442" s="224"/>
      <c r="BJ442" s="224"/>
      <c r="BK442" s="224"/>
      <c r="BL442" s="49"/>
      <c r="BM442" s="49"/>
      <c r="BN442" s="49"/>
      <c r="BO442" s="49"/>
      <c r="BP442" s="49"/>
      <c r="BQ442" s="49"/>
      <c r="BR442" s="49"/>
      <c r="BS442" s="49"/>
      <c r="BT442" s="49"/>
      <c r="BU442" s="49"/>
      <c r="BV442" s="49"/>
      <c r="BW442" s="49"/>
      <c r="BX442" s="49"/>
      <c r="BY442" s="49"/>
      <c r="BZ442" s="49"/>
      <c r="CA442" s="49"/>
      <c r="CB442" s="49"/>
      <c r="CC442" s="49"/>
      <c r="CD442" s="49"/>
      <c r="CE442" s="49"/>
      <c r="CF442" s="49"/>
    </row>
    <row r="443" ht="14.25" customHeight="1">
      <c r="A443" s="104" t="s">
        <v>84</v>
      </c>
      <c r="B443" s="104" t="s">
        <v>120</v>
      </c>
      <c r="C443" s="103" t="s">
        <v>120</v>
      </c>
      <c r="D443" s="104" t="s">
        <v>1266</v>
      </c>
      <c r="E443" s="104" t="s">
        <v>1633</v>
      </c>
      <c r="F443" s="104" t="s">
        <v>1667</v>
      </c>
      <c r="G443" s="110" t="s">
        <v>1268</v>
      </c>
      <c r="H443" s="110"/>
      <c r="I443" s="107"/>
      <c r="J443" s="220" t="s">
        <v>1683</v>
      </c>
      <c r="K443" s="220" t="s">
        <v>1684</v>
      </c>
      <c r="L443" s="339" t="s">
        <v>1685</v>
      </c>
      <c r="M443" s="340" t="s">
        <v>1686</v>
      </c>
      <c r="N443" s="110"/>
      <c r="O443" s="104" t="s">
        <v>95</v>
      </c>
      <c r="P443" s="110"/>
      <c r="Q443" s="104" t="s">
        <v>554</v>
      </c>
      <c r="R443" s="110" t="s">
        <v>1637</v>
      </c>
      <c r="S443" s="110">
        <v>90.0</v>
      </c>
      <c r="T443" s="318"/>
      <c r="U443" s="110" t="s">
        <v>1671</v>
      </c>
      <c r="V443" s="341">
        <v>0.021</v>
      </c>
      <c r="W443" s="342">
        <v>30.0</v>
      </c>
      <c r="X443" s="318">
        <v>45.0</v>
      </c>
      <c r="Y443" s="318">
        <v>55.0</v>
      </c>
      <c r="Z443" s="318" t="s">
        <v>99</v>
      </c>
      <c r="AA443" s="114">
        <f t="shared" si="641"/>
        <v>31.37635452</v>
      </c>
      <c r="AB443" s="343"/>
      <c r="AC443" s="344">
        <f t="shared" si="642"/>
        <v>26.05609664</v>
      </c>
      <c r="AD443" s="213">
        <f t="shared" si="244"/>
        <v>28.01730822</v>
      </c>
      <c r="AE443" s="344"/>
      <c r="AF443" s="344" t="str">
        <f t="shared" si="94"/>
        <v>#REF!</v>
      </c>
      <c r="AG443" s="345" t="str">
        <f t="shared" si="95"/>
        <v>#REF!</v>
      </c>
      <c r="AH443" s="120" t="str">
        <f t="shared" si="96"/>
        <v>#REF!</v>
      </c>
      <c r="AI443" s="341">
        <f t="shared" si="497"/>
        <v>0.1</v>
      </c>
      <c r="AJ443" s="341">
        <v>0.1</v>
      </c>
      <c r="AK443" s="341">
        <v>0.33</v>
      </c>
      <c r="AL443" s="123">
        <f t="shared" si="11"/>
        <v>8.598511893</v>
      </c>
      <c r="AM443" s="346" t="s">
        <v>6</v>
      </c>
      <c r="AN443" s="346">
        <f t="shared" si="673"/>
        <v>23.45048698</v>
      </c>
      <c r="AO443" s="341">
        <f t="shared" si="644"/>
        <v>0.2555555556</v>
      </c>
      <c r="AP443" s="127"/>
      <c r="AQ443" s="347">
        <f t="shared" ref="AQ443:AR443" si="688">BC443/(1-AI443)</f>
        <v>20.39463044</v>
      </c>
      <c r="AR443" s="348">
        <f t="shared" si="688"/>
        <v>19.39731639</v>
      </c>
      <c r="AS443" s="349">
        <f t="shared" si="646"/>
        <v>0.35</v>
      </c>
      <c r="AT443" s="349">
        <f t="shared" si="647"/>
        <v>0.2555555556</v>
      </c>
      <c r="AU443" s="129"/>
      <c r="AV443" s="39" t="s">
        <v>1275</v>
      </c>
      <c r="AW443" s="130"/>
      <c r="AX443" s="140"/>
      <c r="AY443" s="140"/>
      <c r="AZ443" s="130">
        <v>4.0</v>
      </c>
      <c r="BA443" s="130">
        <f t="shared" ref="BA443:BA444" si="690">BA441+0.6</f>
        <v>122.1</v>
      </c>
      <c r="BB443" s="130">
        <f t="shared" si="585"/>
        <v>126.1</v>
      </c>
      <c r="BC443" s="131">
        <f t="shared" si="648"/>
        <v>18.35516739</v>
      </c>
      <c r="BD443" s="132">
        <f t="shared" si="649"/>
        <v>17.45758475</v>
      </c>
      <c r="BE443" s="315"/>
      <c r="BF443" s="134"/>
      <c r="BG443" s="49"/>
      <c r="BH443" s="224"/>
      <c r="BI443" s="224"/>
      <c r="BJ443" s="224"/>
      <c r="BK443" s="224"/>
      <c r="BL443" s="49"/>
      <c r="BM443" s="49"/>
      <c r="BN443" s="49"/>
      <c r="BO443" s="49"/>
      <c r="BP443" s="49"/>
      <c r="BQ443" s="49"/>
      <c r="BR443" s="49"/>
      <c r="BS443" s="49"/>
      <c r="BT443" s="49"/>
      <c r="BU443" s="49"/>
      <c r="BV443" s="49"/>
      <c r="BW443" s="49"/>
      <c r="BX443" s="49"/>
      <c r="BY443" s="49"/>
      <c r="BZ443" s="49"/>
      <c r="CA443" s="49"/>
      <c r="CB443" s="49"/>
      <c r="CC443" s="49"/>
      <c r="CD443" s="49"/>
      <c r="CE443" s="49"/>
      <c r="CF443" s="49"/>
    </row>
    <row r="444" ht="14.25" customHeight="1">
      <c r="A444" s="104" t="s">
        <v>84</v>
      </c>
      <c r="B444" s="104" t="s">
        <v>120</v>
      </c>
      <c r="C444" s="103" t="s">
        <v>120</v>
      </c>
      <c r="D444" s="104" t="s">
        <v>1266</v>
      </c>
      <c r="E444" s="104" t="s">
        <v>1633</v>
      </c>
      <c r="F444" s="104" t="s">
        <v>1667</v>
      </c>
      <c r="G444" s="110" t="s">
        <v>1268</v>
      </c>
      <c r="H444" s="110"/>
      <c r="I444" s="107"/>
      <c r="J444" s="220" t="s">
        <v>1687</v>
      </c>
      <c r="K444" s="220" t="s">
        <v>1688</v>
      </c>
      <c r="L444" s="339" t="s">
        <v>1689</v>
      </c>
      <c r="M444" s="340" t="s">
        <v>1690</v>
      </c>
      <c r="N444" s="110"/>
      <c r="O444" s="104" t="s">
        <v>95</v>
      </c>
      <c r="P444" s="110"/>
      <c r="Q444" s="104" t="s">
        <v>554</v>
      </c>
      <c r="R444" s="110" t="s">
        <v>1637</v>
      </c>
      <c r="S444" s="110">
        <v>90.0</v>
      </c>
      <c r="T444" s="318"/>
      <c r="U444" s="110" t="s">
        <v>1671</v>
      </c>
      <c r="V444" s="341">
        <v>0.021</v>
      </c>
      <c r="W444" s="342">
        <v>30.0</v>
      </c>
      <c r="X444" s="318">
        <v>45.0</v>
      </c>
      <c r="Y444" s="318">
        <v>55.0</v>
      </c>
      <c r="Z444" s="318" t="s">
        <v>99</v>
      </c>
      <c r="AA444" s="114">
        <f t="shared" si="641"/>
        <v>26.15110912</v>
      </c>
      <c r="AB444" s="343"/>
      <c r="AC444" s="344">
        <f t="shared" si="642"/>
        <v>21.99303432</v>
      </c>
      <c r="AD444" s="213">
        <f t="shared" si="244"/>
        <v>23.648424</v>
      </c>
      <c r="AE444" s="344"/>
      <c r="AF444" s="344" t="str">
        <f t="shared" si="94"/>
        <v>#REF!</v>
      </c>
      <c r="AG444" s="345" t="str">
        <f t="shared" si="95"/>
        <v>#REF!</v>
      </c>
      <c r="AH444" s="120" t="str">
        <f t="shared" si="96"/>
        <v>#REF!</v>
      </c>
      <c r="AI444" s="341">
        <f t="shared" si="497"/>
        <v>0.1</v>
      </c>
      <c r="AJ444" s="341">
        <v>0.1</v>
      </c>
      <c r="AK444" s="341">
        <v>0.33</v>
      </c>
      <c r="AL444" s="123">
        <f t="shared" si="11"/>
        <v>7.257701326</v>
      </c>
      <c r="AM444" s="346" t="s">
        <v>6</v>
      </c>
      <c r="AN444" s="346">
        <f t="shared" si="673"/>
        <v>19.79373089</v>
      </c>
      <c r="AO444" s="341">
        <f t="shared" si="644"/>
        <v>0.2555555556</v>
      </c>
      <c r="AP444" s="127"/>
      <c r="AQ444" s="347">
        <f t="shared" ref="AQ444:AR444" si="689">BC444/(1-AI444)</f>
        <v>16.99822093</v>
      </c>
      <c r="AR444" s="348">
        <f t="shared" si="689"/>
        <v>16.37259222</v>
      </c>
      <c r="AS444" s="349">
        <f t="shared" si="646"/>
        <v>0.35</v>
      </c>
      <c r="AT444" s="349">
        <f t="shared" si="647"/>
        <v>0.2555555556</v>
      </c>
      <c r="AU444" s="129"/>
      <c r="AV444" s="39" t="s">
        <v>1275</v>
      </c>
      <c r="AW444" s="130"/>
      <c r="AX444" s="140"/>
      <c r="AY444" s="140"/>
      <c r="AZ444" s="130">
        <v>4.0</v>
      </c>
      <c r="BA444" s="130">
        <f t="shared" si="690"/>
        <v>101.1</v>
      </c>
      <c r="BB444" s="130">
        <f t="shared" si="585"/>
        <v>105.1</v>
      </c>
      <c r="BC444" s="131">
        <f t="shared" si="648"/>
        <v>15.29839884</v>
      </c>
      <c r="BD444" s="132">
        <f t="shared" si="649"/>
        <v>14.735333</v>
      </c>
      <c r="BE444" s="315"/>
      <c r="BF444" s="134"/>
      <c r="BG444" s="49"/>
      <c r="BH444" s="224"/>
      <c r="BI444" s="224"/>
      <c r="BJ444" s="224"/>
      <c r="BK444" s="224"/>
      <c r="BL444" s="49"/>
      <c r="BM444" s="49"/>
      <c r="BN444" s="49"/>
      <c r="BO444" s="49"/>
      <c r="BP444" s="49"/>
      <c r="BQ444" s="49"/>
      <c r="BR444" s="49"/>
      <c r="BS444" s="49"/>
      <c r="BT444" s="49"/>
      <c r="BU444" s="49"/>
      <c r="BV444" s="49"/>
      <c r="BW444" s="49"/>
      <c r="BX444" s="49"/>
      <c r="BY444" s="49"/>
      <c r="BZ444" s="49"/>
      <c r="CA444" s="49"/>
      <c r="CB444" s="49"/>
      <c r="CC444" s="49"/>
      <c r="CD444" s="49"/>
      <c r="CE444" s="49"/>
      <c r="CF444" s="49"/>
    </row>
    <row r="445" ht="14.25" customHeight="1">
      <c r="A445" s="104" t="s">
        <v>84</v>
      </c>
      <c r="B445" s="104" t="s">
        <v>120</v>
      </c>
      <c r="C445" s="103" t="s">
        <v>120</v>
      </c>
      <c r="D445" s="104" t="s">
        <v>1266</v>
      </c>
      <c r="E445" s="104" t="s">
        <v>1633</v>
      </c>
      <c r="F445" s="104" t="s">
        <v>1667</v>
      </c>
      <c r="G445" s="110" t="s">
        <v>1288</v>
      </c>
      <c r="H445" s="110"/>
      <c r="I445" s="107"/>
      <c r="J445" s="220" t="s">
        <v>1691</v>
      </c>
      <c r="K445" s="220"/>
      <c r="L445" s="339" t="s">
        <v>1692</v>
      </c>
      <c r="M445" s="340" t="s">
        <v>1693</v>
      </c>
      <c r="N445" s="110"/>
      <c r="O445" s="104" t="s">
        <v>95</v>
      </c>
      <c r="P445" s="110"/>
      <c r="Q445" s="104" t="s">
        <v>554</v>
      </c>
      <c r="R445" s="110" t="s">
        <v>1637</v>
      </c>
      <c r="S445" s="110">
        <v>90.0</v>
      </c>
      <c r="T445" s="318"/>
      <c r="U445" s="318" t="s">
        <v>1671</v>
      </c>
      <c r="V445" s="341">
        <v>0.021</v>
      </c>
      <c r="W445" s="342">
        <v>30.0</v>
      </c>
      <c r="X445" s="318">
        <v>45.0</v>
      </c>
      <c r="Y445" s="318">
        <v>55.0</v>
      </c>
      <c r="Z445" s="318" t="s">
        <v>99</v>
      </c>
      <c r="AA445" s="114">
        <f t="shared" si="641"/>
        <v>28.24120728</v>
      </c>
      <c r="AB445" s="343"/>
      <c r="AC445" s="344">
        <f t="shared" si="642"/>
        <v>23.61825925</v>
      </c>
      <c r="AD445" s="213">
        <f t="shared" si="244"/>
        <v>25.39597769</v>
      </c>
      <c r="AE445" s="344"/>
      <c r="AF445" s="344" t="str">
        <f t="shared" si="94"/>
        <v>#REF!</v>
      </c>
      <c r="AG445" s="345" t="str">
        <f t="shared" si="95"/>
        <v>#REF!</v>
      </c>
      <c r="AH445" s="120" t="str">
        <f t="shared" si="96"/>
        <v>#REF!</v>
      </c>
      <c r="AI445" s="341">
        <f t="shared" si="497"/>
        <v>0.1</v>
      </c>
      <c r="AJ445" s="341">
        <v>0.1</v>
      </c>
      <c r="AK445" s="341">
        <v>0.33</v>
      </c>
      <c r="AL445" s="123">
        <f t="shared" si="11"/>
        <v>7.794025553</v>
      </c>
      <c r="AM445" s="346" t="s">
        <v>6</v>
      </c>
      <c r="AN445" s="346">
        <f t="shared" si="673"/>
        <v>21.25643333</v>
      </c>
      <c r="AO445" s="341">
        <f t="shared" si="644"/>
        <v>0.2555555556</v>
      </c>
      <c r="AP445" s="127"/>
      <c r="AQ445" s="347">
        <f t="shared" ref="AQ445:AR445" si="691">BC445/(1-AI445)</f>
        <v>18.35678473</v>
      </c>
      <c r="AR445" s="348">
        <f t="shared" si="691"/>
        <v>17.58248189</v>
      </c>
      <c r="AS445" s="349">
        <f t="shared" si="646"/>
        <v>0.35</v>
      </c>
      <c r="AT445" s="349">
        <f t="shared" si="647"/>
        <v>0.2555555556</v>
      </c>
      <c r="AU445" s="129"/>
      <c r="AV445" s="39" t="s">
        <v>1275</v>
      </c>
      <c r="AW445" s="130"/>
      <c r="AX445" s="140"/>
      <c r="AY445" s="140"/>
      <c r="AZ445" s="130">
        <v>4.0</v>
      </c>
      <c r="BA445" s="130">
        <f t="shared" ref="BA445:BA448" si="693">$BA$430+BA476</f>
        <v>109.5</v>
      </c>
      <c r="BB445" s="130">
        <f t="shared" si="585"/>
        <v>113.5</v>
      </c>
      <c r="BC445" s="131">
        <f t="shared" si="648"/>
        <v>16.52110626</v>
      </c>
      <c r="BD445" s="132">
        <f t="shared" si="649"/>
        <v>15.8242337</v>
      </c>
      <c r="BE445" s="315"/>
      <c r="BF445" s="134"/>
      <c r="BG445" s="49"/>
      <c r="BH445" s="224"/>
      <c r="BI445" s="224"/>
      <c r="BJ445" s="224"/>
      <c r="BK445" s="224"/>
      <c r="BL445" s="49"/>
      <c r="BM445" s="49"/>
      <c r="BN445" s="49"/>
      <c r="BO445" s="49"/>
      <c r="BP445" s="49"/>
      <c r="BQ445" s="49"/>
      <c r="BR445" s="49"/>
      <c r="BS445" s="49"/>
      <c r="BT445" s="49"/>
      <c r="BU445" s="49"/>
      <c r="BV445" s="49"/>
      <c r="BW445" s="49"/>
      <c r="BX445" s="49"/>
      <c r="BY445" s="49"/>
      <c r="BZ445" s="49"/>
      <c r="CA445" s="49"/>
      <c r="CB445" s="49"/>
      <c r="CC445" s="49"/>
      <c r="CD445" s="49"/>
      <c r="CE445" s="49"/>
      <c r="CF445" s="49"/>
    </row>
    <row r="446" ht="14.25" customHeight="1">
      <c r="A446" s="104" t="s">
        <v>84</v>
      </c>
      <c r="B446" s="104" t="s">
        <v>120</v>
      </c>
      <c r="C446" s="103" t="s">
        <v>120</v>
      </c>
      <c r="D446" s="104" t="s">
        <v>1266</v>
      </c>
      <c r="E446" s="104" t="s">
        <v>1633</v>
      </c>
      <c r="F446" s="104" t="s">
        <v>1667</v>
      </c>
      <c r="G446" s="110" t="s">
        <v>1288</v>
      </c>
      <c r="H446" s="110"/>
      <c r="I446" s="107"/>
      <c r="J446" s="220" t="s">
        <v>1694</v>
      </c>
      <c r="K446" s="220"/>
      <c r="L446" s="339" t="s">
        <v>1695</v>
      </c>
      <c r="M446" s="340" t="s">
        <v>1696</v>
      </c>
      <c r="N446" s="110"/>
      <c r="O446" s="104" t="s">
        <v>95</v>
      </c>
      <c r="P446" s="110"/>
      <c r="Q446" s="104" t="s">
        <v>554</v>
      </c>
      <c r="R446" s="110" t="s">
        <v>1637</v>
      </c>
      <c r="S446" s="110">
        <v>90.0</v>
      </c>
      <c r="T446" s="318"/>
      <c r="U446" s="318" t="s">
        <v>1671</v>
      </c>
      <c r="V446" s="341">
        <v>0.021</v>
      </c>
      <c r="W446" s="342">
        <v>30.0</v>
      </c>
      <c r="X446" s="318">
        <v>45.0</v>
      </c>
      <c r="Y446" s="318">
        <v>55.0</v>
      </c>
      <c r="Z446" s="318" t="s">
        <v>99</v>
      </c>
      <c r="AA446" s="114">
        <f t="shared" si="641"/>
        <v>25.25535277</v>
      </c>
      <c r="AB446" s="343"/>
      <c r="AC446" s="344">
        <f t="shared" si="642"/>
        <v>21.29650935</v>
      </c>
      <c r="AD446" s="213">
        <f t="shared" si="244"/>
        <v>22.89947242</v>
      </c>
      <c r="AE446" s="344"/>
      <c r="AF446" s="344" t="str">
        <f t="shared" si="94"/>
        <v>#REF!</v>
      </c>
      <c r="AG446" s="345" t="str">
        <f t="shared" si="95"/>
        <v>#REF!</v>
      </c>
      <c r="AH446" s="120" t="str">
        <f t="shared" si="96"/>
        <v>#REF!</v>
      </c>
      <c r="AI446" s="341">
        <f t="shared" si="497"/>
        <v>0.1</v>
      </c>
      <c r="AJ446" s="341">
        <v>0.1</v>
      </c>
      <c r="AK446" s="341">
        <v>0.33</v>
      </c>
      <c r="AL446" s="123">
        <f t="shared" si="11"/>
        <v>7.027848086</v>
      </c>
      <c r="AM446" s="346" t="s">
        <v>6</v>
      </c>
      <c r="AN446" s="346">
        <f t="shared" si="673"/>
        <v>19.16685842</v>
      </c>
      <c r="AO446" s="341">
        <f t="shared" si="644"/>
        <v>0.2555555556</v>
      </c>
      <c r="AP446" s="127"/>
      <c r="AQ446" s="347">
        <f t="shared" ref="AQ446:AR446" si="692">BC446/(1-AI446)</f>
        <v>16.4159793</v>
      </c>
      <c r="AR446" s="348">
        <f t="shared" si="692"/>
        <v>15.85406807</v>
      </c>
      <c r="AS446" s="349">
        <f t="shared" si="646"/>
        <v>0.35</v>
      </c>
      <c r="AT446" s="349">
        <f t="shared" si="647"/>
        <v>0.2555555556</v>
      </c>
      <c r="AU446" s="129"/>
      <c r="AV446" s="39" t="s">
        <v>1275</v>
      </c>
      <c r="AW446" s="130"/>
      <c r="AX446" s="140"/>
      <c r="AY446" s="140"/>
      <c r="AZ446" s="130">
        <v>4.0</v>
      </c>
      <c r="BA446" s="130">
        <f t="shared" si="693"/>
        <v>97.5</v>
      </c>
      <c r="BB446" s="130">
        <f t="shared" si="585"/>
        <v>101.5</v>
      </c>
      <c r="BC446" s="131">
        <f t="shared" si="648"/>
        <v>14.77438137</v>
      </c>
      <c r="BD446" s="132">
        <f t="shared" si="649"/>
        <v>14.26866127</v>
      </c>
      <c r="BE446" s="315"/>
      <c r="BF446" s="134"/>
      <c r="BG446" s="49"/>
      <c r="BH446" s="224"/>
      <c r="BI446" s="224"/>
      <c r="BJ446" s="224"/>
      <c r="BK446" s="224"/>
      <c r="BL446" s="49"/>
      <c r="BM446" s="49"/>
      <c r="BN446" s="49"/>
      <c r="BO446" s="49"/>
      <c r="BP446" s="49"/>
      <c r="BQ446" s="49"/>
      <c r="BR446" s="49"/>
      <c r="BS446" s="49"/>
      <c r="BT446" s="49"/>
      <c r="BU446" s="49"/>
      <c r="BV446" s="49"/>
      <c r="BW446" s="49"/>
      <c r="BX446" s="49"/>
      <c r="BY446" s="49"/>
      <c r="BZ446" s="49"/>
      <c r="CA446" s="49"/>
      <c r="CB446" s="49"/>
      <c r="CC446" s="49"/>
      <c r="CD446" s="49"/>
      <c r="CE446" s="49"/>
      <c r="CF446" s="49"/>
    </row>
    <row r="447" ht="14.25" customHeight="1">
      <c r="A447" s="104" t="s">
        <v>84</v>
      </c>
      <c r="B447" s="104" t="s">
        <v>120</v>
      </c>
      <c r="C447" s="103" t="s">
        <v>120</v>
      </c>
      <c r="D447" s="104" t="s">
        <v>1266</v>
      </c>
      <c r="E447" s="104" t="s">
        <v>1633</v>
      </c>
      <c r="F447" s="104" t="s">
        <v>1667</v>
      </c>
      <c r="G447" s="110" t="s">
        <v>1268</v>
      </c>
      <c r="H447" s="110"/>
      <c r="I447" s="107"/>
      <c r="J447" s="220" t="s">
        <v>1697</v>
      </c>
      <c r="K447" s="220" t="s">
        <v>1698</v>
      </c>
      <c r="L447" s="339" t="s">
        <v>1699</v>
      </c>
      <c r="M447" s="340" t="s">
        <v>1700</v>
      </c>
      <c r="N447" s="110"/>
      <c r="O447" s="104" t="s">
        <v>95</v>
      </c>
      <c r="P447" s="110"/>
      <c r="Q447" s="104" t="s">
        <v>554</v>
      </c>
      <c r="R447" s="110" t="s">
        <v>1637</v>
      </c>
      <c r="S447" s="110">
        <v>90.0</v>
      </c>
      <c r="T447" s="318"/>
      <c r="U447" s="318" t="s">
        <v>1671</v>
      </c>
      <c r="V447" s="341">
        <v>0.021</v>
      </c>
      <c r="W447" s="342">
        <v>30.0</v>
      </c>
      <c r="X447" s="318">
        <v>45.0</v>
      </c>
      <c r="Y447" s="318">
        <v>55.0</v>
      </c>
      <c r="Z447" s="318" t="s">
        <v>99</v>
      </c>
      <c r="AA447" s="114">
        <f t="shared" si="641"/>
        <v>31.22706179</v>
      </c>
      <c r="AB447" s="343"/>
      <c r="AC447" s="344">
        <f t="shared" si="642"/>
        <v>25.94000915</v>
      </c>
      <c r="AD447" s="213">
        <f t="shared" si="244"/>
        <v>27.89248296</v>
      </c>
      <c r="AE447" s="344"/>
      <c r="AF447" s="344" t="str">
        <f t="shared" si="94"/>
        <v>#REF!</v>
      </c>
      <c r="AG447" s="345" t="str">
        <f t="shared" si="95"/>
        <v>#REF!</v>
      </c>
      <c r="AH447" s="120" t="str">
        <f t="shared" si="96"/>
        <v>#REF!</v>
      </c>
      <c r="AI447" s="341">
        <f t="shared" si="497"/>
        <v>0.1</v>
      </c>
      <c r="AJ447" s="341">
        <v>0.1</v>
      </c>
      <c r="AK447" s="341">
        <v>0.33</v>
      </c>
      <c r="AL447" s="123">
        <f t="shared" si="11"/>
        <v>8.560203019</v>
      </c>
      <c r="AM447" s="346" t="s">
        <v>6</v>
      </c>
      <c r="AN447" s="346">
        <f t="shared" si="673"/>
        <v>23.34600823</v>
      </c>
      <c r="AO447" s="341">
        <f t="shared" si="644"/>
        <v>0.2555555556</v>
      </c>
      <c r="AP447" s="127"/>
      <c r="AQ447" s="347">
        <f t="shared" ref="AQ447:AR447" si="694">BC447/(1-AI447)</f>
        <v>20.29759017</v>
      </c>
      <c r="AR447" s="348">
        <f t="shared" si="694"/>
        <v>19.3108957</v>
      </c>
      <c r="AS447" s="349">
        <f t="shared" si="646"/>
        <v>0.35</v>
      </c>
      <c r="AT447" s="349">
        <f t="shared" si="647"/>
        <v>0.2555555556</v>
      </c>
      <c r="AU447" s="129"/>
      <c r="AV447" s="39" t="s">
        <v>1275</v>
      </c>
      <c r="AW447" s="130"/>
      <c r="AX447" s="140"/>
      <c r="AY447" s="140"/>
      <c r="AZ447" s="130">
        <v>4.0</v>
      </c>
      <c r="BA447" s="130">
        <f t="shared" si="693"/>
        <v>121.5</v>
      </c>
      <c r="BB447" s="130">
        <f t="shared" si="585"/>
        <v>125.5</v>
      </c>
      <c r="BC447" s="131">
        <f t="shared" si="648"/>
        <v>18.26783115</v>
      </c>
      <c r="BD447" s="132">
        <f t="shared" si="649"/>
        <v>17.37980613</v>
      </c>
      <c r="BE447" s="315"/>
      <c r="BF447" s="134"/>
      <c r="BG447" s="49"/>
      <c r="BH447" s="224"/>
      <c r="BI447" s="224"/>
      <c r="BJ447" s="224"/>
      <c r="BK447" s="224"/>
      <c r="BL447" s="49"/>
      <c r="BM447" s="49"/>
      <c r="BN447" s="49"/>
      <c r="BO447" s="49"/>
      <c r="BP447" s="49"/>
      <c r="BQ447" s="49"/>
      <c r="BR447" s="49"/>
      <c r="BS447" s="49"/>
      <c r="BT447" s="49"/>
      <c r="BU447" s="49"/>
      <c r="BV447" s="49"/>
      <c r="BW447" s="49"/>
      <c r="BX447" s="49"/>
      <c r="BY447" s="49"/>
      <c r="BZ447" s="49"/>
      <c r="CA447" s="49"/>
      <c r="CB447" s="49"/>
      <c r="CC447" s="49"/>
      <c r="CD447" s="49"/>
      <c r="CE447" s="49"/>
      <c r="CF447" s="49"/>
    </row>
    <row r="448" ht="14.25" customHeight="1">
      <c r="A448" s="104" t="s">
        <v>84</v>
      </c>
      <c r="B448" s="104" t="s">
        <v>120</v>
      </c>
      <c r="C448" s="103" t="s">
        <v>120</v>
      </c>
      <c r="D448" s="104" t="s">
        <v>1266</v>
      </c>
      <c r="E448" s="104" t="s">
        <v>1633</v>
      </c>
      <c r="F448" s="104" t="s">
        <v>1667</v>
      </c>
      <c r="G448" s="110" t="s">
        <v>1268</v>
      </c>
      <c r="H448" s="110"/>
      <c r="I448" s="107"/>
      <c r="J448" s="220" t="s">
        <v>1701</v>
      </c>
      <c r="K448" s="220" t="s">
        <v>1702</v>
      </c>
      <c r="L448" s="339" t="s">
        <v>1703</v>
      </c>
      <c r="M448" s="340" t="s">
        <v>1704</v>
      </c>
      <c r="N448" s="110"/>
      <c r="O448" s="104" t="s">
        <v>95</v>
      </c>
      <c r="P448" s="110"/>
      <c r="Q448" s="104" t="s">
        <v>554</v>
      </c>
      <c r="R448" s="110" t="s">
        <v>1637</v>
      </c>
      <c r="S448" s="110">
        <v>90.0</v>
      </c>
      <c r="T448" s="318"/>
      <c r="U448" s="318" t="s">
        <v>1671</v>
      </c>
      <c r="V448" s="341">
        <v>0.021</v>
      </c>
      <c r="W448" s="342">
        <v>30.0</v>
      </c>
      <c r="X448" s="318">
        <v>45.0</v>
      </c>
      <c r="Y448" s="318">
        <v>55.0</v>
      </c>
      <c r="Z448" s="318" t="s">
        <v>99</v>
      </c>
      <c r="AA448" s="114">
        <f t="shared" si="641"/>
        <v>26.00181639</v>
      </c>
      <c r="AB448" s="343"/>
      <c r="AC448" s="344">
        <f t="shared" si="642"/>
        <v>21.87694683</v>
      </c>
      <c r="AD448" s="213">
        <f t="shared" si="244"/>
        <v>23.52359874</v>
      </c>
      <c r="AE448" s="344"/>
      <c r="AF448" s="344" t="str">
        <f t="shared" si="94"/>
        <v>#REF!</v>
      </c>
      <c r="AG448" s="345" t="str">
        <f t="shared" si="95"/>
        <v>#REF!</v>
      </c>
      <c r="AH448" s="120" t="str">
        <f t="shared" si="96"/>
        <v>#REF!</v>
      </c>
      <c r="AI448" s="341">
        <f t="shared" si="497"/>
        <v>0.1</v>
      </c>
      <c r="AJ448" s="341">
        <v>0.1</v>
      </c>
      <c r="AK448" s="341">
        <v>0.33</v>
      </c>
      <c r="AL448" s="123">
        <f t="shared" si="11"/>
        <v>7.219392453</v>
      </c>
      <c r="AM448" s="346" t="s">
        <v>6</v>
      </c>
      <c r="AN448" s="346">
        <f t="shared" si="673"/>
        <v>19.68925214</v>
      </c>
      <c r="AO448" s="341">
        <f t="shared" si="644"/>
        <v>0.2555555556</v>
      </c>
      <c r="AP448" s="127"/>
      <c r="AQ448" s="347">
        <f t="shared" ref="AQ448:AR448" si="695">BC448/(1-AI448)</f>
        <v>16.90118066</v>
      </c>
      <c r="AR448" s="348">
        <f t="shared" si="695"/>
        <v>16.28617153</v>
      </c>
      <c r="AS448" s="349">
        <f t="shared" si="646"/>
        <v>0.35</v>
      </c>
      <c r="AT448" s="349">
        <f t="shared" si="647"/>
        <v>0.2555555556</v>
      </c>
      <c r="AU448" s="129"/>
      <c r="AV448" s="39" t="s">
        <v>1275</v>
      </c>
      <c r="AW448" s="130"/>
      <c r="AX448" s="140"/>
      <c r="AY448" s="140"/>
      <c r="AZ448" s="130">
        <v>4.0</v>
      </c>
      <c r="BA448" s="130">
        <f t="shared" si="693"/>
        <v>100.5</v>
      </c>
      <c r="BB448" s="130">
        <f t="shared" si="585"/>
        <v>104.5</v>
      </c>
      <c r="BC448" s="131">
        <f t="shared" si="648"/>
        <v>15.21106259</v>
      </c>
      <c r="BD448" s="132">
        <f t="shared" si="649"/>
        <v>14.65755437</v>
      </c>
      <c r="BE448" s="315"/>
      <c r="BF448" s="134"/>
      <c r="BG448" s="49"/>
      <c r="BH448" s="224"/>
      <c r="BI448" s="224"/>
      <c r="BJ448" s="224"/>
      <c r="BK448" s="224"/>
      <c r="BL448" s="49"/>
      <c r="BM448" s="49"/>
      <c r="BN448" s="49"/>
      <c r="BO448" s="49"/>
      <c r="BP448" s="49"/>
      <c r="BQ448" s="49"/>
      <c r="BR448" s="49"/>
      <c r="BS448" s="49"/>
      <c r="BT448" s="49"/>
      <c r="BU448" s="49"/>
      <c r="BV448" s="49"/>
      <c r="BW448" s="49"/>
      <c r="BX448" s="49"/>
      <c r="BY448" s="49"/>
      <c r="BZ448" s="49"/>
      <c r="CA448" s="49"/>
      <c r="CB448" s="49"/>
      <c r="CC448" s="49"/>
      <c r="CD448" s="49"/>
      <c r="CE448" s="49"/>
      <c r="CF448" s="49"/>
    </row>
    <row r="449" ht="14.25" customHeight="1">
      <c r="A449" s="104" t="s">
        <v>84</v>
      </c>
      <c r="B449" s="104" t="s">
        <v>120</v>
      </c>
      <c r="C449" s="103" t="s">
        <v>120</v>
      </c>
      <c r="D449" s="104" t="s">
        <v>1266</v>
      </c>
      <c r="E449" s="104" t="s">
        <v>1633</v>
      </c>
      <c r="F449" s="104" t="s">
        <v>1667</v>
      </c>
      <c r="G449" s="110" t="s">
        <v>1268</v>
      </c>
      <c r="H449" s="110"/>
      <c r="I449" s="107"/>
      <c r="J449" s="220" t="s">
        <v>1705</v>
      </c>
      <c r="K449" s="220" t="s">
        <v>1706</v>
      </c>
      <c r="L449" s="339" t="s">
        <v>1707</v>
      </c>
      <c r="M449" s="340" t="s">
        <v>1708</v>
      </c>
      <c r="N449" s="110"/>
      <c r="O449" s="104" t="s">
        <v>95</v>
      </c>
      <c r="P449" s="110"/>
      <c r="Q449" s="104" t="s">
        <v>554</v>
      </c>
      <c r="R449" s="110" t="s">
        <v>1637</v>
      </c>
      <c r="S449" s="110">
        <v>90.0</v>
      </c>
      <c r="T449" s="318"/>
      <c r="U449" s="318" t="s">
        <v>1671</v>
      </c>
      <c r="V449" s="341">
        <v>0.021</v>
      </c>
      <c r="W449" s="342">
        <v>30.0</v>
      </c>
      <c r="X449" s="318">
        <v>45.0</v>
      </c>
      <c r="Y449" s="318">
        <v>55.0</v>
      </c>
      <c r="Z449" s="318" t="s">
        <v>99</v>
      </c>
      <c r="AA449" s="114">
        <f t="shared" si="641"/>
        <v>31.37635452</v>
      </c>
      <c r="AB449" s="343"/>
      <c r="AC449" s="344">
        <f t="shared" si="642"/>
        <v>26.05609664</v>
      </c>
      <c r="AD449" s="213">
        <f t="shared" si="244"/>
        <v>28.01730822</v>
      </c>
      <c r="AE449" s="344"/>
      <c r="AF449" s="344" t="str">
        <f t="shared" si="94"/>
        <v>#REF!</v>
      </c>
      <c r="AG449" s="345" t="str">
        <f t="shared" si="95"/>
        <v>#REF!</v>
      </c>
      <c r="AH449" s="120" t="str">
        <f t="shared" si="96"/>
        <v>#REF!</v>
      </c>
      <c r="AI449" s="341">
        <f t="shared" si="497"/>
        <v>0.1</v>
      </c>
      <c r="AJ449" s="341">
        <v>0.1</v>
      </c>
      <c r="AK449" s="341">
        <v>0.33</v>
      </c>
      <c r="AL449" s="123">
        <f t="shared" si="11"/>
        <v>8.598511893</v>
      </c>
      <c r="AM449" s="346" t="s">
        <v>6</v>
      </c>
      <c r="AN449" s="346">
        <f t="shared" si="673"/>
        <v>23.45048698</v>
      </c>
      <c r="AO449" s="341">
        <f t="shared" si="644"/>
        <v>0.2555555556</v>
      </c>
      <c r="AP449" s="127"/>
      <c r="AQ449" s="347">
        <f t="shared" ref="AQ449:AR449" si="696">BC449/(1-AI449)</f>
        <v>20.39463044</v>
      </c>
      <c r="AR449" s="348">
        <f t="shared" si="696"/>
        <v>19.39731639</v>
      </c>
      <c r="AS449" s="349">
        <f t="shared" si="646"/>
        <v>0.35</v>
      </c>
      <c r="AT449" s="349">
        <f t="shared" si="647"/>
        <v>0.2555555556</v>
      </c>
      <c r="AU449" s="129"/>
      <c r="AV449" s="39" t="s">
        <v>1275</v>
      </c>
      <c r="AW449" s="130"/>
      <c r="AX449" s="140"/>
      <c r="AY449" s="140"/>
      <c r="AZ449" s="130">
        <f t="shared" ref="AZ449:AZ450" si="698">AZ448</f>
        <v>4</v>
      </c>
      <c r="BA449" s="130">
        <f t="shared" ref="BA449:BA450" si="699">BA447+0.6</f>
        <v>122.1</v>
      </c>
      <c r="BB449" s="130">
        <f t="shared" si="585"/>
        <v>126.1</v>
      </c>
      <c r="BC449" s="131">
        <f t="shared" si="648"/>
        <v>18.35516739</v>
      </c>
      <c r="BD449" s="132">
        <f t="shared" si="649"/>
        <v>17.45758475</v>
      </c>
      <c r="BE449" s="315"/>
      <c r="BF449" s="134"/>
      <c r="BG449" s="49"/>
      <c r="BH449" s="224"/>
      <c r="BI449" s="224"/>
      <c r="BJ449" s="224"/>
      <c r="BK449" s="224"/>
      <c r="BL449" s="49"/>
      <c r="BM449" s="49"/>
      <c r="BN449" s="49"/>
      <c r="BO449" s="49"/>
      <c r="BP449" s="49"/>
      <c r="BQ449" s="49"/>
      <c r="BR449" s="49"/>
      <c r="BS449" s="49"/>
      <c r="BT449" s="49"/>
      <c r="BU449" s="49"/>
      <c r="BV449" s="49"/>
      <c r="BW449" s="49"/>
      <c r="BX449" s="49"/>
      <c r="BY449" s="49"/>
      <c r="BZ449" s="49"/>
      <c r="CA449" s="49"/>
      <c r="CB449" s="49"/>
      <c r="CC449" s="49"/>
      <c r="CD449" s="49"/>
      <c r="CE449" s="49"/>
      <c r="CF449" s="49"/>
    </row>
    <row r="450" ht="14.25" customHeight="1">
      <c r="A450" s="104" t="s">
        <v>84</v>
      </c>
      <c r="B450" s="104" t="s">
        <v>120</v>
      </c>
      <c r="C450" s="103" t="s">
        <v>120</v>
      </c>
      <c r="D450" s="104" t="s">
        <v>1266</v>
      </c>
      <c r="E450" s="104" t="s">
        <v>1633</v>
      </c>
      <c r="F450" s="104" t="s">
        <v>1667</v>
      </c>
      <c r="G450" s="110" t="s">
        <v>1268</v>
      </c>
      <c r="H450" s="110"/>
      <c r="I450" s="107"/>
      <c r="J450" s="220" t="s">
        <v>1709</v>
      </c>
      <c r="K450" s="40" t="s">
        <v>1710</v>
      </c>
      <c r="L450" s="339" t="s">
        <v>1711</v>
      </c>
      <c r="M450" s="340" t="s">
        <v>1712</v>
      </c>
      <c r="N450" s="110"/>
      <c r="O450" s="104" t="s">
        <v>95</v>
      </c>
      <c r="P450" s="110"/>
      <c r="Q450" s="104" t="s">
        <v>554</v>
      </c>
      <c r="R450" s="110" t="s">
        <v>1637</v>
      </c>
      <c r="S450" s="110">
        <v>90.0</v>
      </c>
      <c r="T450" s="318"/>
      <c r="U450" s="318" t="s">
        <v>1671</v>
      </c>
      <c r="V450" s="341">
        <v>0.021</v>
      </c>
      <c r="W450" s="342">
        <v>30.0</v>
      </c>
      <c r="X450" s="318">
        <v>45.0</v>
      </c>
      <c r="Y450" s="318">
        <v>55.0</v>
      </c>
      <c r="Z450" s="318" t="s">
        <v>99</v>
      </c>
      <c r="AA450" s="114">
        <f t="shared" si="641"/>
        <v>26.15110912</v>
      </c>
      <c r="AB450" s="343"/>
      <c r="AC450" s="344">
        <f t="shared" si="642"/>
        <v>21.99303432</v>
      </c>
      <c r="AD450" s="213">
        <f t="shared" si="244"/>
        <v>23.648424</v>
      </c>
      <c r="AE450" s="344"/>
      <c r="AF450" s="344" t="str">
        <f t="shared" si="94"/>
        <v>#REF!</v>
      </c>
      <c r="AG450" s="345" t="str">
        <f t="shared" si="95"/>
        <v>#REF!</v>
      </c>
      <c r="AH450" s="120" t="str">
        <f t="shared" si="96"/>
        <v>#REF!</v>
      </c>
      <c r="AI450" s="341">
        <f t="shared" si="497"/>
        <v>0.1</v>
      </c>
      <c r="AJ450" s="341">
        <v>0.1</v>
      </c>
      <c r="AK450" s="341">
        <v>0.33</v>
      </c>
      <c r="AL450" s="123">
        <f t="shared" si="11"/>
        <v>7.257701326</v>
      </c>
      <c r="AM450" s="346" t="s">
        <v>6</v>
      </c>
      <c r="AN450" s="346">
        <f t="shared" si="673"/>
        <v>19.79373089</v>
      </c>
      <c r="AO450" s="341">
        <f t="shared" si="644"/>
        <v>0.2555555556</v>
      </c>
      <c r="AP450" s="127"/>
      <c r="AQ450" s="347">
        <f t="shared" ref="AQ450:AR450" si="697">BC450/(1-AI450)</f>
        <v>16.99822093</v>
      </c>
      <c r="AR450" s="348">
        <f t="shared" si="697"/>
        <v>16.37259222</v>
      </c>
      <c r="AS450" s="349">
        <f t="shared" si="646"/>
        <v>0.35</v>
      </c>
      <c r="AT450" s="349">
        <f t="shared" si="647"/>
        <v>0.2555555556</v>
      </c>
      <c r="AU450" s="129"/>
      <c r="AV450" s="39" t="s">
        <v>1275</v>
      </c>
      <c r="AW450" s="130"/>
      <c r="AX450" s="140"/>
      <c r="AY450" s="140"/>
      <c r="AZ450" s="130">
        <f t="shared" si="698"/>
        <v>4</v>
      </c>
      <c r="BA450" s="130">
        <f t="shared" si="699"/>
        <v>101.1</v>
      </c>
      <c r="BB450" s="130">
        <f t="shared" si="585"/>
        <v>105.1</v>
      </c>
      <c r="BC450" s="131">
        <f t="shared" si="648"/>
        <v>15.29839884</v>
      </c>
      <c r="BD450" s="132">
        <f t="shared" si="649"/>
        <v>14.735333</v>
      </c>
      <c r="BE450" s="315"/>
      <c r="BF450" s="134"/>
      <c r="BG450" s="49"/>
      <c r="BH450" s="224"/>
      <c r="BI450" s="224"/>
      <c r="BJ450" s="224"/>
      <c r="BK450" s="224"/>
      <c r="BL450" s="49"/>
      <c r="BM450" s="49"/>
      <c r="BN450" s="49"/>
      <c r="BO450" s="49"/>
      <c r="BP450" s="49"/>
      <c r="BQ450" s="49"/>
      <c r="BR450" s="49"/>
      <c r="BS450" s="49"/>
      <c r="BT450" s="49"/>
      <c r="BU450" s="49"/>
      <c r="BV450" s="49"/>
      <c r="BW450" s="49"/>
      <c r="BX450" s="49"/>
      <c r="BY450" s="49"/>
      <c r="BZ450" s="49"/>
      <c r="CA450" s="49"/>
      <c r="CB450" s="49"/>
      <c r="CC450" s="49"/>
      <c r="CD450" s="49"/>
      <c r="CE450" s="49"/>
      <c r="CF450" s="49"/>
    </row>
    <row r="451" ht="14.25" customHeight="1">
      <c r="A451" s="103" t="s">
        <v>84</v>
      </c>
      <c r="B451" s="103" t="s">
        <v>120</v>
      </c>
      <c r="C451" s="103" t="s">
        <v>120</v>
      </c>
      <c r="D451" s="103" t="s">
        <v>1266</v>
      </c>
      <c r="E451" s="103" t="s">
        <v>1633</v>
      </c>
      <c r="F451" s="104" t="s">
        <v>1667</v>
      </c>
      <c r="G451" s="110" t="s">
        <v>1591</v>
      </c>
      <c r="H451" s="110"/>
      <c r="I451" s="107"/>
      <c r="J451" s="220" t="s">
        <v>1713</v>
      </c>
      <c r="K451" s="220" t="s">
        <v>1714</v>
      </c>
      <c r="L451" s="103" t="s">
        <v>1715</v>
      </c>
      <c r="M451" s="103" t="s">
        <v>1716</v>
      </c>
      <c r="N451" s="110"/>
      <c r="O451" s="104" t="s">
        <v>95</v>
      </c>
      <c r="P451" s="110"/>
      <c r="Q451" s="104" t="s">
        <v>554</v>
      </c>
      <c r="R451" s="110" t="s">
        <v>1637</v>
      </c>
      <c r="S451" s="110">
        <v>90.0</v>
      </c>
      <c r="T451" s="110"/>
      <c r="U451" s="110" t="s">
        <v>1671</v>
      </c>
      <c r="V451" s="112">
        <v>0.021</v>
      </c>
      <c r="W451" s="113">
        <v>30.0</v>
      </c>
      <c r="X451" s="110">
        <v>45.0</v>
      </c>
      <c r="Y451" s="110">
        <v>55.0</v>
      </c>
      <c r="Z451" s="110" t="s">
        <v>99</v>
      </c>
      <c r="AA451" s="114">
        <f t="shared" si="641"/>
        <v>30.88601876</v>
      </c>
      <c r="AB451" s="115"/>
      <c r="AC451" s="212">
        <f t="shared" si="642"/>
        <v>25.70310931</v>
      </c>
      <c r="AD451" s="213">
        <f t="shared" si="244"/>
        <v>27.63775195</v>
      </c>
      <c r="AE451" s="212"/>
      <c r="AF451" s="212" t="str">
        <f t="shared" si="94"/>
        <v>#REF!</v>
      </c>
      <c r="AG451" s="210" t="str">
        <f t="shared" si="95"/>
        <v>#REF!</v>
      </c>
      <c r="AH451" s="120" t="str">
        <f t="shared" si="96"/>
        <v>#REF!</v>
      </c>
      <c r="AI451" s="121">
        <f t="shared" si="497"/>
        <v>0.1</v>
      </c>
      <c r="AJ451" s="121">
        <v>0.1</v>
      </c>
      <c r="AK451" s="122">
        <v>0.35000000000000003</v>
      </c>
      <c r="AL451" s="123">
        <f t="shared" si="11"/>
        <v>8.99608826</v>
      </c>
      <c r="AM451" s="122" t="s">
        <v>6</v>
      </c>
      <c r="AN451" s="111">
        <f t="shared" si="673"/>
        <v>23.13279838</v>
      </c>
      <c r="AO451" s="112">
        <f t="shared" si="644"/>
        <v>0.2777777778</v>
      </c>
      <c r="AP451" s="127"/>
      <c r="AQ451" s="128">
        <f t="shared" ref="AQ451:AR451" si="700">BC451/(1-AI451)</f>
        <v>19.45819182</v>
      </c>
      <c r="AR451" s="139">
        <f t="shared" si="700"/>
        <v>18.56335673</v>
      </c>
      <c r="AS451" s="126">
        <f t="shared" si="646"/>
        <v>0.37</v>
      </c>
      <c r="AT451" s="126">
        <f t="shared" si="647"/>
        <v>0.2777777778</v>
      </c>
      <c r="AU451" s="129"/>
      <c r="AV451" s="39" t="s">
        <v>1275</v>
      </c>
      <c r="AW451" s="130"/>
      <c r="AX451" s="140"/>
      <c r="AY451" s="140"/>
      <c r="AZ451" s="130">
        <v>4.0</v>
      </c>
      <c r="BA451" s="130">
        <v>116.30999999999999</v>
      </c>
      <c r="BB451" s="130">
        <f t="shared" si="585"/>
        <v>120.31</v>
      </c>
      <c r="BC451" s="131">
        <f t="shared" si="648"/>
        <v>17.51237263</v>
      </c>
      <c r="BD451" s="132">
        <f t="shared" si="649"/>
        <v>16.70702105</v>
      </c>
      <c r="BE451" s="288" t="s">
        <v>1717</v>
      </c>
      <c r="BF451" s="134">
        <v>8.51762299E9</v>
      </c>
      <c r="BG451" s="49"/>
      <c r="BH451" s="224">
        <f t="shared" ref="BH451:BH454" si="702">AC451/0.3</f>
        <v>85.67703104</v>
      </c>
      <c r="BI451" s="224">
        <f t="shared" ref="BI451:BI454" si="703">BH451*0.6</f>
        <v>51.40621863</v>
      </c>
      <c r="BJ451" s="224">
        <f t="shared" ref="BJ451:BJ454" si="704">BH451*0.5</f>
        <v>42.83851552</v>
      </c>
      <c r="BK451" s="224">
        <f t="shared" ref="BK451:BK454" si="705">BH451*0.4</f>
        <v>34.27081242</v>
      </c>
      <c r="BL451" s="49"/>
      <c r="BM451" s="49"/>
      <c r="BN451" s="49"/>
      <c r="BO451" s="49"/>
      <c r="BP451" s="49"/>
      <c r="BQ451" s="49"/>
      <c r="BR451" s="49"/>
      <c r="BS451" s="49"/>
      <c r="BT451" s="49"/>
      <c r="BU451" s="49"/>
      <c r="BV451" s="49"/>
      <c r="BW451" s="49"/>
      <c r="BX451" s="49"/>
      <c r="BY451" s="49"/>
      <c r="BZ451" s="49"/>
      <c r="CA451" s="49"/>
      <c r="CB451" s="49"/>
      <c r="CC451" s="49"/>
      <c r="CD451" s="49"/>
      <c r="CE451" s="49"/>
      <c r="CF451" s="49"/>
    </row>
    <row r="452" ht="14.25" customHeight="1">
      <c r="A452" s="103" t="s">
        <v>84</v>
      </c>
      <c r="B452" s="103" t="s">
        <v>120</v>
      </c>
      <c r="C452" s="103" t="s">
        <v>120</v>
      </c>
      <c r="D452" s="103" t="s">
        <v>1266</v>
      </c>
      <c r="E452" s="103" t="s">
        <v>1633</v>
      </c>
      <c r="F452" s="104" t="s">
        <v>1667</v>
      </c>
      <c r="G452" s="110" t="s">
        <v>1591</v>
      </c>
      <c r="H452" s="110"/>
      <c r="I452" s="107"/>
      <c r="J452" s="220" t="s">
        <v>1718</v>
      </c>
      <c r="K452" s="220" t="s">
        <v>1719</v>
      </c>
      <c r="L452" s="103" t="s">
        <v>1720</v>
      </c>
      <c r="M452" s="103" t="s">
        <v>1721</v>
      </c>
      <c r="N452" s="110"/>
      <c r="O452" s="104" t="s">
        <v>95</v>
      </c>
      <c r="P452" s="110"/>
      <c r="Q452" s="104" t="s">
        <v>554</v>
      </c>
      <c r="R452" s="110" t="s">
        <v>1637</v>
      </c>
      <c r="S452" s="110">
        <v>90.0</v>
      </c>
      <c r="T452" s="110"/>
      <c r="U452" s="110" t="s">
        <v>1671</v>
      </c>
      <c r="V452" s="112">
        <v>0.021</v>
      </c>
      <c r="W452" s="113">
        <v>30.0</v>
      </c>
      <c r="X452" s="110">
        <v>45.0</v>
      </c>
      <c r="Y452" s="110">
        <v>55.0</v>
      </c>
      <c r="Z452" s="110" t="s">
        <v>99</v>
      </c>
      <c r="AA452" s="114">
        <f t="shared" si="641"/>
        <v>38.61586685</v>
      </c>
      <c r="AB452" s="115"/>
      <c r="AC452" s="212">
        <f t="shared" si="642"/>
        <v>31.70801777</v>
      </c>
      <c r="AD452" s="213">
        <f t="shared" si="244"/>
        <v>34.09464276</v>
      </c>
      <c r="AE452" s="212"/>
      <c r="AF452" s="212" t="str">
        <f t="shared" si="94"/>
        <v>#REF!</v>
      </c>
      <c r="AG452" s="210" t="str">
        <f t="shared" si="95"/>
        <v>#REF!</v>
      </c>
      <c r="AH452" s="120" t="str">
        <f t="shared" si="96"/>
        <v>#REF!</v>
      </c>
      <c r="AI452" s="121">
        <f t="shared" si="497"/>
        <v>0.1</v>
      </c>
      <c r="AJ452" s="121">
        <v>0.1</v>
      </c>
      <c r="AK452" s="122">
        <v>0.35000000000000003</v>
      </c>
      <c r="AL452" s="123">
        <f t="shared" si="11"/>
        <v>11.09780622</v>
      </c>
      <c r="AM452" s="122" t="s">
        <v>6</v>
      </c>
      <c r="AN452" s="111">
        <f t="shared" si="673"/>
        <v>28.53721599</v>
      </c>
      <c r="AO452" s="112">
        <f t="shared" si="644"/>
        <v>0.2777777778</v>
      </c>
      <c r="AP452" s="127"/>
      <c r="AQ452" s="128">
        <f t="shared" ref="AQ452:AR452" si="701">BC452/(1-AI452)</f>
        <v>24.32799612</v>
      </c>
      <c r="AR452" s="139">
        <f t="shared" si="701"/>
        <v>22.90023505</v>
      </c>
      <c r="AS452" s="126">
        <f t="shared" si="646"/>
        <v>0.37</v>
      </c>
      <c r="AT452" s="126">
        <f t="shared" si="647"/>
        <v>0.2777777778</v>
      </c>
      <c r="AU452" s="129"/>
      <c r="AV452" s="39" t="s">
        <v>1275</v>
      </c>
      <c r="AW452" s="130"/>
      <c r="AX452" s="140"/>
      <c r="AY452" s="140"/>
      <c r="AZ452" s="130">
        <v>4.0</v>
      </c>
      <c r="BA452" s="130">
        <v>146.42</v>
      </c>
      <c r="BB452" s="130">
        <f t="shared" si="585"/>
        <v>150.42</v>
      </c>
      <c r="BC452" s="131">
        <f t="shared" si="648"/>
        <v>21.89519651</v>
      </c>
      <c r="BD452" s="132">
        <f t="shared" si="649"/>
        <v>20.61021155</v>
      </c>
      <c r="BE452" s="288" t="s">
        <v>1717</v>
      </c>
      <c r="BF452" s="134">
        <v>8.51762299E9</v>
      </c>
      <c r="BG452" s="49"/>
      <c r="BH452" s="224">
        <f t="shared" si="702"/>
        <v>105.6933926</v>
      </c>
      <c r="BI452" s="224">
        <f t="shared" si="703"/>
        <v>63.41603553</v>
      </c>
      <c r="BJ452" s="224">
        <f t="shared" si="704"/>
        <v>52.84669628</v>
      </c>
      <c r="BK452" s="224">
        <f t="shared" si="705"/>
        <v>42.27735702</v>
      </c>
      <c r="BL452" s="49"/>
      <c r="BM452" s="49"/>
      <c r="BN452" s="49"/>
      <c r="BO452" s="49"/>
      <c r="BP452" s="49"/>
      <c r="BQ452" s="49"/>
      <c r="BR452" s="49"/>
      <c r="BS452" s="49"/>
      <c r="BT452" s="49"/>
      <c r="BU452" s="49"/>
      <c r="BV452" s="49"/>
      <c r="BW452" s="49"/>
      <c r="BX452" s="49"/>
      <c r="BY452" s="49"/>
      <c r="BZ452" s="49"/>
      <c r="CA452" s="49"/>
      <c r="CB452" s="49"/>
      <c r="CC452" s="49"/>
      <c r="CD452" s="49"/>
      <c r="CE452" s="49"/>
      <c r="CF452" s="49"/>
    </row>
    <row r="453" ht="14.25" customHeight="1">
      <c r="A453" s="103" t="s">
        <v>84</v>
      </c>
      <c r="B453" s="103" t="s">
        <v>120</v>
      </c>
      <c r="C453" s="103" t="s">
        <v>120</v>
      </c>
      <c r="D453" s="103" t="s">
        <v>1266</v>
      </c>
      <c r="E453" s="103" t="s">
        <v>1633</v>
      </c>
      <c r="F453" s="104" t="s">
        <v>1667</v>
      </c>
      <c r="G453" s="110" t="s">
        <v>1591</v>
      </c>
      <c r="H453" s="110"/>
      <c r="I453" s="107"/>
      <c r="J453" s="220" t="s">
        <v>1722</v>
      </c>
      <c r="K453" s="220" t="s">
        <v>1723</v>
      </c>
      <c r="L453" s="103" t="s">
        <v>1724</v>
      </c>
      <c r="M453" s="103" t="s">
        <v>1725</v>
      </c>
      <c r="N453" s="110"/>
      <c r="O453" s="104" t="s">
        <v>95</v>
      </c>
      <c r="P453" s="110"/>
      <c r="Q453" s="104" t="s">
        <v>554</v>
      </c>
      <c r="R453" s="110" t="s">
        <v>1637</v>
      </c>
      <c r="S453" s="110">
        <v>90.0</v>
      </c>
      <c r="T453" s="110"/>
      <c r="U453" s="110" t="s">
        <v>1671</v>
      </c>
      <c r="V453" s="112">
        <v>0.021</v>
      </c>
      <c r="W453" s="113">
        <v>30.0</v>
      </c>
      <c r="X453" s="110">
        <v>45.0</v>
      </c>
      <c r="Y453" s="110">
        <v>55.0</v>
      </c>
      <c r="Z453" s="110" t="s">
        <v>99</v>
      </c>
      <c r="AA453" s="114">
        <f t="shared" si="641"/>
        <v>52.66052078</v>
      </c>
      <c r="AB453" s="115"/>
      <c r="AC453" s="212">
        <f t="shared" si="642"/>
        <v>42.60630384</v>
      </c>
      <c r="AD453" s="213">
        <f t="shared" si="244"/>
        <v>45.81322993</v>
      </c>
      <c r="AE453" s="212"/>
      <c r="AF453" s="212" t="str">
        <f t="shared" si="94"/>
        <v>#REF!</v>
      </c>
      <c r="AG453" s="210" t="str">
        <f t="shared" si="95"/>
        <v>#REF!</v>
      </c>
      <c r="AH453" s="120" t="str">
        <f t="shared" si="96"/>
        <v>#REF!</v>
      </c>
      <c r="AI453" s="121">
        <f t="shared" si="497"/>
        <v>0.1</v>
      </c>
      <c r="AJ453" s="121">
        <v>0.1</v>
      </c>
      <c r="AK453" s="122">
        <v>0.33</v>
      </c>
      <c r="AL453" s="123">
        <f t="shared" si="11"/>
        <v>14.06008027</v>
      </c>
      <c r="AM453" s="122" t="s">
        <v>6</v>
      </c>
      <c r="AN453" s="111">
        <f t="shared" si="673"/>
        <v>38.34567346</v>
      </c>
      <c r="AO453" s="112">
        <f t="shared" si="644"/>
        <v>0.2555555556</v>
      </c>
      <c r="AP453" s="127"/>
      <c r="AQ453" s="128">
        <f t="shared" ref="AQ453:AR453" si="706">BC453/(1-AI453)</f>
        <v>34.22933851</v>
      </c>
      <c r="AR453" s="139">
        <f t="shared" si="706"/>
        <v>31.71802619</v>
      </c>
      <c r="AS453" s="126">
        <f t="shared" si="646"/>
        <v>0.35</v>
      </c>
      <c r="AT453" s="126">
        <f t="shared" si="647"/>
        <v>0.2555555556</v>
      </c>
      <c r="AU453" s="129"/>
      <c r="AV453" s="39" t="s">
        <v>1275</v>
      </c>
      <c r="AW453" s="130"/>
      <c r="AX453" s="140"/>
      <c r="AY453" s="140"/>
      <c r="AZ453" s="130">
        <v>4.0</v>
      </c>
      <c r="BA453" s="130">
        <v>207.64</v>
      </c>
      <c r="BB453" s="130">
        <f t="shared" si="585"/>
        <v>211.64</v>
      </c>
      <c r="BC453" s="131">
        <f t="shared" si="648"/>
        <v>30.80640466</v>
      </c>
      <c r="BD453" s="132">
        <f t="shared" si="649"/>
        <v>28.54622357</v>
      </c>
      <c r="BE453" s="288" t="s">
        <v>1717</v>
      </c>
      <c r="BF453" s="134">
        <v>8.51762299E9</v>
      </c>
      <c r="BG453" s="49"/>
      <c r="BH453" s="224">
        <f t="shared" si="702"/>
        <v>142.0210128</v>
      </c>
      <c r="BI453" s="224">
        <f t="shared" si="703"/>
        <v>85.21260768</v>
      </c>
      <c r="BJ453" s="224">
        <f t="shared" si="704"/>
        <v>71.0105064</v>
      </c>
      <c r="BK453" s="224">
        <f t="shared" si="705"/>
        <v>56.80840512</v>
      </c>
      <c r="BL453" s="49"/>
      <c r="BM453" s="49"/>
      <c r="BN453" s="49"/>
      <c r="BO453" s="49"/>
      <c r="BP453" s="49"/>
      <c r="BQ453" s="49"/>
      <c r="BR453" s="49"/>
      <c r="BS453" s="49"/>
      <c r="BT453" s="49"/>
      <c r="BU453" s="49"/>
      <c r="BV453" s="49"/>
      <c r="BW453" s="49"/>
      <c r="BX453" s="49"/>
      <c r="BY453" s="49"/>
      <c r="BZ453" s="49"/>
      <c r="CA453" s="49"/>
      <c r="CB453" s="49"/>
      <c r="CC453" s="49"/>
      <c r="CD453" s="49"/>
      <c r="CE453" s="49"/>
      <c r="CF453" s="49"/>
    </row>
    <row r="454" ht="14.25" customHeight="1">
      <c r="A454" s="103" t="s">
        <v>84</v>
      </c>
      <c r="B454" s="103" t="s">
        <v>120</v>
      </c>
      <c r="C454" s="103" t="s">
        <v>120</v>
      </c>
      <c r="D454" s="103" t="s">
        <v>1266</v>
      </c>
      <c r="E454" s="103" t="s">
        <v>1633</v>
      </c>
      <c r="F454" s="104" t="s">
        <v>1667</v>
      </c>
      <c r="G454" s="110" t="s">
        <v>1591</v>
      </c>
      <c r="H454" s="110"/>
      <c r="I454" s="107"/>
      <c r="J454" s="220" t="s">
        <v>1726</v>
      </c>
      <c r="K454" s="220" t="s">
        <v>1727</v>
      </c>
      <c r="L454" s="103" t="s">
        <v>1728</v>
      </c>
      <c r="M454" s="103" t="s">
        <v>1729</v>
      </c>
      <c r="N454" s="110"/>
      <c r="O454" s="104" t="s">
        <v>95</v>
      </c>
      <c r="P454" s="110"/>
      <c r="Q454" s="104" t="s">
        <v>554</v>
      </c>
      <c r="R454" s="110" t="s">
        <v>1637</v>
      </c>
      <c r="S454" s="110">
        <v>90.0</v>
      </c>
      <c r="T454" s="110"/>
      <c r="U454" s="110" t="s">
        <v>1671</v>
      </c>
      <c r="V454" s="112">
        <v>0.021</v>
      </c>
      <c r="W454" s="113">
        <v>30.0</v>
      </c>
      <c r="X454" s="110">
        <v>45.0</v>
      </c>
      <c r="Y454" s="110">
        <v>55.0</v>
      </c>
      <c r="Z454" s="110" t="s">
        <v>99</v>
      </c>
      <c r="AA454" s="114">
        <f t="shared" si="641"/>
        <v>83.1510718</v>
      </c>
      <c r="AB454" s="115"/>
      <c r="AC454" s="212">
        <f t="shared" si="642"/>
        <v>66.31523989</v>
      </c>
      <c r="AD454" s="213">
        <f t="shared" si="244"/>
        <v>71.30670956</v>
      </c>
      <c r="AE454" s="212"/>
      <c r="AF454" s="212" t="str">
        <f t="shared" si="94"/>
        <v>#REF!</v>
      </c>
      <c r="AG454" s="210" t="str">
        <f t="shared" si="95"/>
        <v>#REF!</v>
      </c>
      <c r="AH454" s="120" t="str">
        <f t="shared" si="96"/>
        <v>#REF!</v>
      </c>
      <c r="AI454" s="121">
        <f t="shared" si="497"/>
        <v>0.1</v>
      </c>
      <c r="AJ454" s="121">
        <v>0.1</v>
      </c>
      <c r="AK454" s="122">
        <v>0.33</v>
      </c>
      <c r="AL454" s="123">
        <f t="shared" si="11"/>
        <v>21.88402916</v>
      </c>
      <c r="AM454" s="122" t="s">
        <v>6</v>
      </c>
      <c r="AN454" s="111">
        <f t="shared" si="673"/>
        <v>59.6837159</v>
      </c>
      <c r="AO454" s="112">
        <f t="shared" si="644"/>
        <v>0.2555555556</v>
      </c>
      <c r="AP454" s="127"/>
      <c r="AQ454" s="128">
        <f t="shared" ref="AQ454:AR454" si="707">BC454/(1-AI454)</f>
        <v>54.04819667</v>
      </c>
      <c r="AR454" s="139">
        <f t="shared" si="707"/>
        <v>49.36801192</v>
      </c>
      <c r="AS454" s="126">
        <f t="shared" si="646"/>
        <v>0.35</v>
      </c>
      <c r="AT454" s="126">
        <f t="shared" si="647"/>
        <v>0.2555555556</v>
      </c>
      <c r="AU454" s="129"/>
      <c r="AV454" s="39" t="s">
        <v>1275</v>
      </c>
      <c r="AW454" s="130"/>
      <c r="AX454" s="140"/>
      <c r="AY454" s="140"/>
      <c r="AZ454" s="130">
        <v>4.0</v>
      </c>
      <c r="BA454" s="130">
        <v>330.18</v>
      </c>
      <c r="BB454" s="130">
        <f t="shared" si="585"/>
        <v>334.18</v>
      </c>
      <c r="BC454" s="131">
        <f t="shared" si="648"/>
        <v>48.643377</v>
      </c>
      <c r="BD454" s="132">
        <f t="shared" si="649"/>
        <v>44.43121073</v>
      </c>
      <c r="BE454" s="288" t="s">
        <v>1717</v>
      </c>
      <c r="BF454" s="134">
        <v>8.51762299E9</v>
      </c>
      <c r="BG454" s="49"/>
      <c r="BH454" s="224">
        <f t="shared" si="702"/>
        <v>221.0507996</v>
      </c>
      <c r="BI454" s="224">
        <f t="shared" si="703"/>
        <v>132.6304798</v>
      </c>
      <c r="BJ454" s="224">
        <f t="shared" si="704"/>
        <v>110.5253998</v>
      </c>
      <c r="BK454" s="224">
        <f t="shared" si="705"/>
        <v>88.42031985</v>
      </c>
      <c r="BL454" s="49"/>
      <c r="BM454" s="49"/>
      <c r="BN454" s="49"/>
      <c r="BO454" s="49"/>
      <c r="BP454" s="49"/>
      <c r="BQ454" s="49"/>
      <c r="BR454" s="49"/>
      <c r="BS454" s="49"/>
      <c r="BT454" s="49"/>
      <c r="BU454" s="49"/>
      <c r="BV454" s="49"/>
      <c r="BW454" s="49"/>
      <c r="BX454" s="49"/>
      <c r="BY454" s="49"/>
      <c r="BZ454" s="49"/>
      <c r="CA454" s="49"/>
      <c r="CB454" s="49"/>
      <c r="CC454" s="49"/>
      <c r="CD454" s="49"/>
      <c r="CE454" s="49"/>
      <c r="CF454" s="49"/>
    </row>
    <row r="455" ht="14.25" customHeight="1">
      <c r="A455" s="103" t="s">
        <v>84</v>
      </c>
      <c r="B455" s="103" t="s">
        <v>120</v>
      </c>
      <c r="C455" s="103" t="s">
        <v>120</v>
      </c>
      <c r="D455" s="103" t="s">
        <v>1266</v>
      </c>
      <c r="E455" s="103" t="s">
        <v>1633</v>
      </c>
      <c r="F455" s="104" t="s">
        <v>1667</v>
      </c>
      <c r="G455" s="110" t="s">
        <v>1319</v>
      </c>
      <c r="H455" s="110"/>
      <c r="I455" s="107"/>
      <c r="J455" s="220" t="s">
        <v>1730</v>
      </c>
      <c r="K455" s="220"/>
      <c r="L455" s="317" t="s">
        <v>1731</v>
      </c>
      <c r="M455" s="317" t="s">
        <v>1732</v>
      </c>
      <c r="N455" s="110"/>
      <c r="O455" s="104" t="s">
        <v>95</v>
      </c>
      <c r="P455" s="110"/>
      <c r="Q455" s="104" t="s">
        <v>554</v>
      </c>
      <c r="R455" s="110" t="s">
        <v>1637</v>
      </c>
      <c r="S455" s="110">
        <v>90.0</v>
      </c>
      <c r="T455" s="318"/>
      <c r="U455" s="318" t="s">
        <v>1671</v>
      </c>
      <c r="V455" s="341">
        <v>0.021</v>
      </c>
      <c r="W455" s="342">
        <v>30.0</v>
      </c>
      <c r="X455" s="318">
        <v>45.0</v>
      </c>
      <c r="Y455" s="318">
        <v>55.0</v>
      </c>
      <c r="Z455" s="318" t="s">
        <v>99</v>
      </c>
      <c r="AA455" s="114">
        <f t="shared" si="641"/>
        <v>31.05558251</v>
      </c>
      <c r="AB455" s="343"/>
      <c r="AC455" s="344">
        <f t="shared" si="642"/>
        <v>25.88048834</v>
      </c>
      <c r="AD455" s="213">
        <f t="shared" si="244"/>
        <v>27.82848208</v>
      </c>
      <c r="AE455" s="344"/>
      <c r="AF455" s="344" t="str">
        <f t="shared" si="94"/>
        <v>#REF!</v>
      </c>
      <c r="AG455" s="345" t="str">
        <f t="shared" si="95"/>
        <v>#REF!</v>
      </c>
      <c r="AH455" s="120" t="str">
        <f t="shared" si="96"/>
        <v>#REF!</v>
      </c>
      <c r="AI455" s="341">
        <f t="shared" si="497"/>
        <v>0.1</v>
      </c>
      <c r="AJ455" s="341">
        <v>0.1</v>
      </c>
      <c r="AK455" s="341">
        <v>0.38</v>
      </c>
      <c r="AL455" s="123">
        <f t="shared" si="11"/>
        <v>9.834585569</v>
      </c>
      <c r="AM455" s="346" t="s">
        <v>6</v>
      </c>
      <c r="AN455" s="346">
        <f t="shared" si="673"/>
        <v>23.2924395</v>
      </c>
      <c r="AO455" s="341">
        <f t="shared" si="644"/>
        <v>0.3111111111</v>
      </c>
      <c r="AP455" s="127"/>
      <c r="AQ455" s="347">
        <f t="shared" ref="AQ455:AR455" si="708">BC455/(1-AI455)</f>
        <v>18.63334951</v>
      </c>
      <c r="AR455" s="348">
        <f t="shared" si="708"/>
        <v>17.82878086</v>
      </c>
      <c r="AS455" s="349">
        <f t="shared" si="646"/>
        <v>0.4</v>
      </c>
      <c r="AT455" s="349">
        <f t="shared" si="647"/>
        <v>0.3111111111</v>
      </c>
      <c r="AU455" s="129"/>
      <c r="AV455" s="39" t="s">
        <v>1275</v>
      </c>
      <c r="AW455" s="130"/>
      <c r="AX455" s="140"/>
      <c r="AY455" s="140"/>
      <c r="AZ455" s="130">
        <v>4.0</v>
      </c>
      <c r="BA455" s="350">
        <v>111.21</v>
      </c>
      <c r="BB455" s="130">
        <f t="shared" si="585"/>
        <v>115.21</v>
      </c>
      <c r="BC455" s="131">
        <f t="shared" si="648"/>
        <v>16.77001456</v>
      </c>
      <c r="BD455" s="132">
        <f t="shared" si="649"/>
        <v>16.04590277</v>
      </c>
      <c r="BE455" s="288" t="s">
        <v>1717</v>
      </c>
      <c r="BF455" s="134"/>
      <c r="BG455" s="49"/>
      <c r="BH455" s="224"/>
      <c r="BI455" s="224"/>
      <c r="BJ455" s="224"/>
      <c r="BK455" s="224"/>
      <c r="BL455" s="49"/>
      <c r="BM455" s="49"/>
      <c r="BN455" s="49"/>
      <c r="BO455" s="49"/>
      <c r="BP455" s="49"/>
      <c r="BQ455" s="49"/>
      <c r="BR455" s="49"/>
      <c r="BS455" s="49"/>
      <c r="BT455" s="49"/>
      <c r="BU455" s="49"/>
      <c r="BV455" s="49"/>
      <c r="BW455" s="49"/>
      <c r="BX455" s="49"/>
      <c r="BY455" s="49"/>
      <c r="BZ455" s="49"/>
      <c r="CA455" s="49"/>
      <c r="CB455" s="49"/>
      <c r="CC455" s="49"/>
      <c r="CD455" s="49"/>
      <c r="CE455" s="49"/>
      <c r="CF455" s="49"/>
    </row>
    <row r="456" ht="14.25" customHeight="1">
      <c r="A456" s="103" t="s">
        <v>84</v>
      </c>
      <c r="B456" s="103" t="s">
        <v>120</v>
      </c>
      <c r="C456" s="103" t="s">
        <v>120</v>
      </c>
      <c r="D456" s="103" t="s">
        <v>1266</v>
      </c>
      <c r="E456" s="103" t="s">
        <v>1633</v>
      </c>
      <c r="F456" s="104" t="s">
        <v>1667</v>
      </c>
      <c r="G456" s="110" t="s">
        <v>1319</v>
      </c>
      <c r="H456" s="110"/>
      <c r="I456" s="107"/>
      <c r="J456" s="220" t="s">
        <v>1733</v>
      </c>
      <c r="K456" s="220"/>
      <c r="L456" s="317" t="s">
        <v>1734</v>
      </c>
      <c r="M456" s="317" t="s">
        <v>1735</v>
      </c>
      <c r="N456" s="110"/>
      <c r="O456" s="104" t="s">
        <v>95</v>
      </c>
      <c r="P456" s="110"/>
      <c r="Q456" s="104" t="s">
        <v>554</v>
      </c>
      <c r="R456" s="110" t="s">
        <v>1637</v>
      </c>
      <c r="S456" s="110">
        <v>90.0</v>
      </c>
      <c r="T456" s="318"/>
      <c r="U456" s="318" t="s">
        <v>1671</v>
      </c>
      <c r="V456" s="341">
        <v>0.021</v>
      </c>
      <c r="W456" s="342">
        <v>30.0</v>
      </c>
      <c r="X456" s="318">
        <v>45.0</v>
      </c>
      <c r="Y456" s="318">
        <v>55.0</v>
      </c>
      <c r="Z456" s="318" t="s">
        <v>99</v>
      </c>
      <c r="AA456" s="114">
        <f t="shared" si="641"/>
        <v>37.79718583</v>
      </c>
      <c r="AB456" s="343"/>
      <c r="AC456" s="344">
        <f t="shared" si="642"/>
        <v>31.10963707</v>
      </c>
      <c r="AD456" s="213">
        <f t="shared" si="244"/>
        <v>33.45122265</v>
      </c>
      <c r="AE456" s="344"/>
      <c r="AF456" s="344" t="str">
        <f t="shared" si="94"/>
        <v>#REF!</v>
      </c>
      <c r="AG456" s="345" t="str">
        <f t="shared" si="95"/>
        <v>#REF!</v>
      </c>
      <c r="AH456" s="120" t="str">
        <f t="shared" si="96"/>
        <v>#REF!</v>
      </c>
      <c r="AI456" s="341">
        <f t="shared" si="497"/>
        <v>0.1</v>
      </c>
      <c r="AJ456" s="341">
        <v>0.1</v>
      </c>
      <c r="AK456" s="341">
        <v>0.38</v>
      </c>
      <c r="AL456" s="123">
        <f t="shared" si="11"/>
        <v>11.82166208</v>
      </c>
      <c r="AM456" s="346" t="s">
        <v>6</v>
      </c>
      <c r="AN456" s="346">
        <f t="shared" si="673"/>
        <v>27.99867336</v>
      </c>
      <c r="AO456" s="341">
        <f t="shared" si="644"/>
        <v>0.3111111111</v>
      </c>
      <c r="AP456" s="127"/>
      <c r="AQ456" s="347">
        <f t="shared" ref="AQ456:AR456" si="709">BC456/(1-AI456)</f>
        <v>22.6783115</v>
      </c>
      <c r="AR456" s="348">
        <f t="shared" si="709"/>
        <v>21.43108331</v>
      </c>
      <c r="AS456" s="349">
        <f t="shared" si="646"/>
        <v>0.4</v>
      </c>
      <c r="AT456" s="349">
        <f t="shared" si="647"/>
        <v>0.3111111111</v>
      </c>
      <c r="AU456" s="129"/>
      <c r="AV456" s="39" t="s">
        <v>1275</v>
      </c>
      <c r="AW456" s="130"/>
      <c r="AX456" s="140"/>
      <c r="AY456" s="140"/>
      <c r="AZ456" s="130">
        <v>4.0</v>
      </c>
      <c r="BA456" s="350">
        <v>136.22</v>
      </c>
      <c r="BB456" s="130">
        <f t="shared" si="585"/>
        <v>140.22</v>
      </c>
      <c r="BC456" s="131">
        <f t="shared" si="648"/>
        <v>20.41048035</v>
      </c>
      <c r="BD456" s="132">
        <f t="shared" si="649"/>
        <v>19.28797498</v>
      </c>
      <c r="BE456" s="288" t="s">
        <v>1717</v>
      </c>
      <c r="BF456" s="134"/>
      <c r="BG456" s="49"/>
      <c r="BH456" s="224"/>
      <c r="BI456" s="224"/>
      <c r="BJ456" s="224"/>
      <c r="BK456" s="224"/>
      <c r="BL456" s="49"/>
      <c r="BM456" s="49"/>
      <c r="BN456" s="49"/>
      <c r="BO456" s="49"/>
      <c r="BP456" s="49"/>
      <c r="BQ456" s="49"/>
      <c r="BR456" s="49"/>
      <c r="BS456" s="49"/>
      <c r="BT456" s="49"/>
      <c r="BU456" s="49"/>
      <c r="BV456" s="49"/>
      <c r="BW456" s="49"/>
      <c r="BX456" s="49"/>
      <c r="BY456" s="49"/>
      <c r="BZ456" s="49"/>
      <c r="CA456" s="49"/>
      <c r="CB456" s="49"/>
      <c r="CC456" s="49"/>
      <c r="CD456" s="49"/>
      <c r="CE456" s="49"/>
      <c r="CF456" s="49"/>
    </row>
    <row r="457" ht="14.25" customHeight="1">
      <c r="A457" s="103" t="s">
        <v>84</v>
      </c>
      <c r="B457" s="103" t="s">
        <v>120</v>
      </c>
      <c r="C457" s="103" t="s">
        <v>120</v>
      </c>
      <c r="D457" s="103" t="s">
        <v>1266</v>
      </c>
      <c r="E457" s="103" t="s">
        <v>1633</v>
      </c>
      <c r="F457" s="104" t="s">
        <v>1667</v>
      </c>
      <c r="G457" s="110" t="s">
        <v>1319</v>
      </c>
      <c r="H457" s="110"/>
      <c r="I457" s="107"/>
      <c r="J457" s="220" t="s">
        <v>1736</v>
      </c>
      <c r="K457" s="220"/>
      <c r="L457" s="317" t="s">
        <v>1737</v>
      </c>
      <c r="M457" s="317" t="s">
        <v>1738</v>
      </c>
      <c r="N457" s="110"/>
      <c r="O457" s="104" t="s">
        <v>95</v>
      </c>
      <c r="P457" s="110"/>
      <c r="Q457" s="104" t="s">
        <v>554</v>
      </c>
      <c r="R457" s="110" t="s">
        <v>1637</v>
      </c>
      <c r="S457" s="110">
        <v>90.0</v>
      </c>
      <c r="T457" s="318"/>
      <c r="U457" s="318" t="s">
        <v>1671</v>
      </c>
      <c r="V457" s="341">
        <v>0.021</v>
      </c>
      <c r="W457" s="342">
        <v>30.0</v>
      </c>
      <c r="X457" s="318">
        <v>45.0</v>
      </c>
      <c r="Y457" s="318">
        <v>55.0</v>
      </c>
      <c r="Z457" s="318" t="s">
        <v>99</v>
      </c>
      <c r="AA457" s="114">
        <f t="shared" si="641"/>
        <v>51.54994878</v>
      </c>
      <c r="AB457" s="343"/>
      <c r="AC457" s="344">
        <f t="shared" si="642"/>
        <v>41.77701684</v>
      </c>
      <c r="AD457" s="213">
        <f t="shared" si="244"/>
        <v>44.92152348</v>
      </c>
      <c r="AE457" s="344"/>
      <c r="AF457" s="344" t="str">
        <f t="shared" si="94"/>
        <v>#REF!</v>
      </c>
      <c r="AG457" s="345" t="str">
        <f t="shared" si="95"/>
        <v>#REF!</v>
      </c>
      <c r="AH457" s="120" t="str">
        <f t="shared" si="96"/>
        <v>#REF!</v>
      </c>
      <c r="AI457" s="341">
        <f t="shared" si="497"/>
        <v>0.1</v>
      </c>
      <c r="AJ457" s="341">
        <v>0.1</v>
      </c>
      <c r="AK457" s="341">
        <v>0.38</v>
      </c>
      <c r="AL457" s="123">
        <f t="shared" si="11"/>
        <v>15.8752664</v>
      </c>
      <c r="AM457" s="346" t="s">
        <v>6</v>
      </c>
      <c r="AN457" s="346">
        <f t="shared" si="673"/>
        <v>37.59931515</v>
      </c>
      <c r="AO457" s="341">
        <f t="shared" si="644"/>
        <v>0.3111111111</v>
      </c>
      <c r="AP457" s="127"/>
      <c r="AQ457" s="347">
        <f t="shared" ref="AQ457:AR457" si="710">BC457/(1-AI457)</f>
        <v>30.92996927</v>
      </c>
      <c r="AR457" s="348">
        <f t="shared" si="710"/>
        <v>28.77972271</v>
      </c>
      <c r="AS457" s="349">
        <f t="shared" si="646"/>
        <v>0.4</v>
      </c>
      <c r="AT457" s="349">
        <f t="shared" si="647"/>
        <v>0.3111111111</v>
      </c>
      <c r="AU457" s="129"/>
      <c r="AV457" s="39" t="s">
        <v>1275</v>
      </c>
      <c r="AW457" s="130"/>
      <c r="AX457" s="140"/>
      <c r="AY457" s="140"/>
      <c r="AZ457" s="130">
        <v>4.0</v>
      </c>
      <c r="BA457" s="350">
        <v>187.24</v>
      </c>
      <c r="BB457" s="130">
        <f t="shared" si="585"/>
        <v>191.24</v>
      </c>
      <c r="BC457" s="131">
        <f t="shared" si="648"/>
        <v>27.83697234</v>
      </c>
      <c r="BD457" s="132">
        <f t="shared" si="649"/>
        <v>25.90175044</v>
      </c>
      <c r="BE457" s="288" t="s">
        <v>1717</v>
      </c>
      <c r="BF457" s="134"/>
      <c r="BG457" s="49"/>
      <c r="BH457" s="224"/>
      <c r="BI457" s="224"/>
      <c r="BJ457" s="224"/>
      <c r="BK457" s="224"/>
      <c r="BL457" s="49"/>
      <c r="BM457" s="49"/>
      <c r="BN457" s="49"/>
      <c r="BO457" s="49"/>
      <c r="BP457" s="49"/>
      <c r="BQ457" s="49"/>
      <c r="BR457" s="49"/>
      <c r="BS457" s="49"/>
      <c r="BT457" s="49"/>
      <c r="BU457" s="49"/>
      <c r="BV457" s="49"/>
      <c r="BW457" s="49"/>
      <c r="BX457" s="49"/>
      <c r="BY457" s="49"/>
      <c r="BZ457" s="49"/>
      <c r="CA457" s="49"/>
      <c r="CB457" s="49"/>
      <c r="CC457" s="49"/>
      <c r="CD457" s="49"/>
      <c r="CE457" s="49"/>
      <c r="CF457" s="49"/>
    </row>
    <row r="458" ht="14.25" customHeight="1">
      <c r="A458" s="103" t="s">
        <v>84</v>
      </c>
      <c r="B458" s="103" t="s">
        <v>120</v>
      </c>
      <c r="C458" s="103" t="s">
        <v>120</v>
      </c>
      <c r="D458" s="103" t="s">
        <v>1266</v>
      </c>
      <c r="E458" s="103" t="s">
        <v>1633</v>
      </c>
      <c r="F458" s="104" t="s">
        <v>1667</v>
      </c>
      <c r="G458" s="110" t="s">
        <v>1319</v>
      </c>
      <c r="H458" s="110"/>
      <c r="I458" s="107"/>
      <c r="J458" s="220" t="s">
        <v>1739</v>
      </c>
      <c r="K458" s="220"/>
      <c r="L458" s="317" t="s">
        <v>1740</v>
      </c>
      <c r="M458" s="317" t="s">
        <v>1741</v>
      </c>
      <c r="N458" s="110"/>
      <c r="O458" s="104" t="s">
        <v>95</v>
      </c>
      <c r="P458" s="110"/>
      <c r="Q458" s="104" t="s">
        <v>554</v>
      </c>
      <c r="R458" s="110" t="s">
        <v>1637</v>
      </c>
      <c r="S458" s="110">
        <v>90.0</v>
      </c>
      <c r="T458" s="318"/>
      <c r="U458" s="318" t="s">
        <v>1671</v>
      </c>
      <c r="V458" s="341">
        <v>0.021</v>
      </c>
      <c r="W458" s="342">
        <v>30.0</v>
      </c>
      <c r="X458" s="318">
        <v>45.0</v>
      </c>
      <c r="Y458" s="318">
        <v>55.0</v>
      </c>
      <c r="Z458" s="318" t="s">
        <v>99</v>
      </c>
      <c r="AA458" s="114">
        <f t="shared" si="641"/>
        <v>79.08243032</v>
      </c>
      <c r="AB458" s="343"/>
      <c r="AC458" s="344">
        <f t="shared" si="642"/>
        <v>63.13268461</v>
      </c>
      <c r="AD458" s="213">
        <f t="shared" si="244"/>
        <v>67.8846071</v>
      </c>
      <c r="AE458" s="344"/>
      <c r="AF458" s="344" t="str">
        <f t="shared" si="94"/>
        <v>#REF!</v>
      </c>
      <c r="AG458" s="345" t="str">
        <f t="shared" si="95"/>
        <v>#REF!</v>
      </c>
      <c r="AH458" s="120" t="str">
        <f t="shared" si="96"/>
        <v>#REF!</v>
      </c>
      <c r="AI458" s="341">
        <f t="shared" si="497"/>
        <v>0.1</v>
      </c>
      <c r="AJ458" s="341">
        <v>0.1</v>
      </c>
      <c r="AK458" s="341">
        <v>0.38</v>
      </c>
      <c r="AL458" s="123">
        <f t="shared" si="11"/>
        <v>23.99042015</v>
      </c>
      <c r="AM458" s="346" t="s">
        <v>6</v>
      </c>
      <c r="AN458" s="346">
        <f t="shared" si="673"/>
        <v>56.81941615</v>
      </c>
      <c r="AO458" s="341">
        <f t="shared" si="644"/>
        <v>0.3111111111</v>
      </c>
      <c r="AP458" s="127"/>
      <c r="AQ458" s="347">
        <f t="shared" ref="AQ458:AR458" si="711">BC458/(1-AI458)</f>
        <v>47.44945819</v>
      </c>
      <c r="AR458" s="348">
        <f t="shared" si="711"/>
        <v>43.49140495</v>
      </c>
      <c r="AS458" s="349">
        <f t="shared" si="646"/>
        <v>0.4</v>
      </c>
      <c r="AT458" s="349">
        <f t="shared" si="647"/>
        <v>0.3111111111</v>
      </c>
      <c r="AU458" s="129"/>
      <c r="AV458" s="39" t="s">
        <v>1275</v>
      </c>
      <c r="AW458" s="130"/>
      <c r="AX458" s="140"/>
      <c r="AY458" s="140"/>
      <c r="AZ458" s="130">
        <v>4.0</v>
      </c>
      <c r="BA458" s="350">
        <v>289.38000000000005</v>
      </c>
      <c r="BB458" s="130">
        <f t="shared" si="585"/>
        <v>293.38</v>
      </c>
      <c r="BC458" s="131">
        <f t="shared" si="648"/>
        <v>42.70451237</v>
      </c>
      <c r="BD458" s="132">
        <f t="shared" si="649"/>
        <v>39.14226446</v>
      </c>
      <c r="BE458" s="288" t="s">
        <v>1717</v>
      </c>
      <c r="BF458" s="134"/>
      <c r="BG458" s="49"/>
      <c r="BH458" s="224"/>
      <c r="BI458" s="224"/>
      <c r="BJ458" s="224"/>
      <c r="BK458" s="224"/>
      <c r="BL458" s="49"/>
      <c r="BM458" s="49"/>
      <c r="BN458" s="49"/>
      <c r="BO458" s="49"/>
      <c r="BP458" s="49"/>
      <c r="BQ458" s="49"/>
      <c r="BR458" s="49"/>
      <c r="BS458" s="49"/>
      <c r="BT458" s="49"/>
      <c r="BU458" s="49"/>
      <c r="BV458" s="49"/>
      <c r="BW458" s="49"/>
      <c r="BX458" s="49"/>
      <c r="BY458" s="49"/>
      <c r="BZ458" s="49"/>
      <c r="CA458" s="49"/>
      <c r="CB458" s="49"/>
      <c r="CC458" s="49"/>
      <c r="CD458" s="49"/>
      <c r="CE458" s="49"/>
      <c r="CF458" s="49"/>
    </row>
    <row r="459" ht="14.25" customHeight="1">
      <c r="A459" s="103" t="s">
        <v>84</v>
      </c>
      <c r="B459" s="103" t="s">
        <v>120</v>
      </c>
      <c r="C459" s="103" t="s">
        <v>120</v>
      </c>
      <c r="D459" s="103" t="s">
        <v>1266</v>
      </c>
      <c r="E459" s="103" t="s">
        <v>1633</v>
      </c>
      <c r="F459" s="104" t="s">
        <v>1667</v>
      </c>
      <c r="G459" s="110" t="s">
        <v>1395</v>
      </c>
      <c r="H459" s="110"/>
      <c r="I459" s="107"/>
      <c r="J459" s="220" t="s">
        <v>1742</v>
      </c>
      <c r="K459" s="220" t="str">
        <f>_xlfn.XLOOKUP(J459,[1]Sheet1!$A:$A,[1]Sheet1!$B:$B,"")</f>
        <v>#ERROR!</v>
      </c>
      <c r="L459" s="103" t="s">
        <v>1743</v>
      </c>
      <c r="M459" s="103" t="s">
        <v>1744</v>
      </c>
      <c r="N459" s="110"/>
      <c r="O459" s="104" t="s">
        <v>95</v>
      </c>
      <c r="P459" s="110"/>
      <c r="Q459" s="104" t="s">
        <v>554</v>
      </c>
      <c r="R459" s="110" t="s">
        <v>1637</v>
      </c>
      <c r="S459" s="110">
        <v>90.0</v>
      </c>
      <c r="T459" s="110"/>
      <c r="U459" s="110" t="s">
        <v>1671</v>
      </c>
      <c r="V459" s="112">
        <v>0.021</v>
      </c>
      <c r="W459" s="113">
        <v>30.0</v>
      </c>
      <c r="X459" s="110">
        <v>45.0</v>
      </c>
      <c r="Y459" s="110">
        <v>55.0</v>
      </c>
      <c r="Z459" s="110" t="s">
        <v>99</v>
      </c>
      <c r="AA459" s="114">
        <f t="shared" si="641"/>
        <v>33.39802685</v>
      </c>
      <c r="AB459" s="115"/>
      <c r="AC459" s="212">
        <f t="shared" si="642"/>
        <v>27.72836716</v>
      </c>
      <c r="AD459" s="213">
        <f t="shared" si="244"/>
        <v>29.81544856</v>
      </c>
      <c r="AE459" s="212"/>
      <c r="AF459" s="212" t="str">
        <f t="shared" si="94"/>
        <v>#REF!</v>
      </c>
      <c r="AG459" s="210" t="str">
        <f t="shared" si="95"/>
        <v>#REF!</v>
      </c>
      <c r="AH459" s="120" t="str">
        <f t="shared" si="96"/>
        <v>#REF!</v>
      </c>
      <c r="AI459" s="121">
        <f t="shared" si="497"/>
        <v>0.1</v>
      </c>
      <c r="AJ459" s="121">
        <v>0.1</v>
      </c>
      <c r="AK459" s="122">
        <v>0.4</v>
      </c>
      <c r="AL459" s="123">
        <f t="shared" si="11"/>
        <v>11.09134686</v>
      </c>
      <c r="AM459" s="122" t="s">
        <v>6</v>
      </c>
      <c r="AN459" s="111">
        <f t="shared" si="673"/>
        <v>24.95553044</v>
      </c>
      <c r="AO459" s="112">
        <f t="shared" si="644"/>
        <v>0.3333333333</v>
      </c>
      <c r="AP459" s="127"/>
      <c r="AQ459" s="128">
        <f t="shared" ref="AQ459:AR459" si="712">BC459/(1-AI459)</f>
        <v>19.37085557</v>
      </c>
      <c r="AR459" s="139">
        <f t="shared" si="712"/>
        <v>18.4855781</v>
      </c>
      <c r="AS459" s="126">
        <f t="shared" si="646"/>
        <v>0.42</v>
      </c>
      <c r="AT459" s="126">
        <f t="shared" si="647"/>
        <v>0.3333333333</v>
      </c>
      <c r="AU459" s="129"/>
      <c r="AV459" s="39" t="s">
        <v>1275</v>
      </c>
      <c r="AW459" s="130"/>
      <c r="AX459" s="140"/>
      <c r="AY459" s="140"/>
      <c r="AZ459" s="130">
        <v>4.0</v>
      </c>
      <c r="BA459" s="351">
        <v>115.77</v>
      </c>
      <c r="BB459" s="130">
        <f t="shared" si="585"/>
        <v>119.77</v>
      </c>
      <c r="BC459" s="131">
        <f t="shared" si="648"/>
        <v>17.43377001</v>
      </c>
      <c r="BD459" s="132">
        <f t="shared" si="649"/>
        <v>16.63702029</v>
      </c>
      <c r="BE459" s="288" t="s">
        <v>1717</v>
      </c>
      <c r="BF459" s="134">
        <v>8.51762299E9</v>
      </c>
      <c r="BG459" s="49"/>
      <c r="BH459" s="224">
        <f t="shared" ref="BH459:BH838" si="714">AC459/0.3</f>
        <v>92.42789052</v>
      </c>
      <c r="BI459" s="224">
        <f t="shared" ref="BI459:BI838" si="715">BH459*0.6</f>
        <v>55.45673431</v>
      </c>
      <c r="BJ459" s="224">
        <f t="shared" ref="BJ459:BJ838" si="716">BH459*0.5</f>
        <v>46.21394526</v>
      </c>
      <c r="BK459" s="224">
        <f t="shared" ref="BK459:BK838" si="717">BH459*0.4</f>
        <v>36.97115621</v>
      </c>
      <c r="BL459" s="49"/>
      <c r="BM459" s="49"/>
      <c r="BN459" s="49"/>
      <c r="BO459" s="49"/>
      <c r="BP459" s="49"/>
      <c r="BQ459" s="49"/>
      <c r="BR459" s="49"/>
      <c r="BS459" s="49"/>
      <c r="BT459" s="49"/>
      <c r="BU459" s="49"/>
      <c r="BV459" s="49"/>
      <c r="BW459" s="49"/>
      <c r="BX459" s="49"/>
      <c r="BY459" s="49"/>
      <c r="BZ459" s="49"/>
      <c r="CA459" s="49"/>
      <c r="CB459" s="49"/>
      <c r="CC459" s="49"/>
      <c r="CD459" s="49"/>
      <c r="CE459" s="49"/>
      <c r="CF459" s="49"/>
    </row>
    <row r="460" ht="14.25" customHeight="1">
      <c r="A460" s="103" t="s">
        <v>84</v>
      </c>
      <c r="B460" s="103" t="s">
        <v>120</v>
      </c>
      <c r="C460" s="103" t="s">
        <v>120</v>
      </c>
      <c r="D460" s="103" t="s">
        <v>1266</v>
      </c>
      <c r="E460" s="103" t="s">
        <v>1633</v>
      </c>
      <c r="F460" s="104" t="s">
        <v>1667</v>
      </c>
      <c r="G460" s="110" t="s">
        <v>1395</v>
      </c>
      <c r="H460" s="110"/>
      <c r="I460" s="107"/>
      <c r="J460" s="220" t="s">
        <v>1745</v>
      </c>
      <c r="K460" s="220" t="s">
        <v>1746</v>
      </c>
      <c r="L460" s="103" t="s">
        <v>1747</v>
      </c>
      <c r="M460" s="103" t="s">
        <v>1748</v>
      </c>
      <c r="N460" s="110"/>
      <c r="O460" s="104" t="s">
        <v>95</v>
      </c>
      <c r="P460" s="110"/>
      <c r="Q460" s="104" t="s">
        <v>554</v>
      </c>
      <c r="R460" s="110" t="s">
        <v>1637</v>
      </c>
      <c r="S460" s="110">
        <v>90.0</v>
      </c>
      <c r="T460" s="110"/>
      <c r="U460" s="110" t="s">
        <v>1671</v>
      </c>
      <c r="V460" s="112">
        <v>0.021</v>
      </c>
      <c r="W460" s="113">
        <v>30.0</v>
      </c>
      <c r="X460" s="110">
        <v>45.0</v>
      </c>
      <c r="Y460" s="110">
        <v>55.0</v>
      </c>
      <c r="Z460" s="110" t="s">
        <v>99</v>
      </c>
      <c r="AA460" s="114">
        <f t="shared" si="641"/>
        <v>41.64366143</v>
      </c>
      <c r="AB460" s="115"/>
      <c r="AC460" s="212">
        <f t="shared" si="642"/>
        <v>34.11701671</v>
      </c>
      <c r="AD460" s="213">
        <f t="shared" si="244"/>
        <v>36.68496421</v>
      </c>
      <c r="AE460" s="212"/>
      <c r="AF460" s="212" t="str">
        <f t="shared" si="94"/>
        <v>#REF!</v>
      </c>
      <c r="AG460" s="210" t="str">
        <f t="shared" si="95"/>
        <v>#REF!</v>
      </c>
      <c r="AH460" s="120" t="str">
        <f t="shared" si="96"/>
        <v>#REF!</v>
      </c>
      <c r="AI460" s="121">
        <f t="shared" si="497"/>
        <v>0.1</v>
      </c>
      <c r="AJ460" s="121">
        <v>0.1</v>
      </c>
      <c r="AK460" s="122">
        <v>0.4</v>
      </c>
      <c r="AL460" s="123">
        <f t="shared" si="11"/>
        <v>13.64680669</v>
      </c>
      <c r="AM460" s="122" t="s">
        <v>6</v>
      </c>
      <c r="AN460" s="111">
        <f t="shared" si="673"/>
        <v>30.70531504</v>
      </c>
      <c r="AO460" s="112">
        <f t="shared" si="644"/>
        <v>0.3333333333</v>
      </c>
      <c r="AP460" s="127"/>
      <c r="AQ460" s="128">
        <f t="shared" ref="AQ460:AR460" si="713">BC460/(1-AI460)</f>
        <v>24.15332363</v>
      </c>
      <c r="AR460" s="139">
        <f t="shared" si="713"/>
        <v>22.74467781</v>
      </c>
      <c r="AS460" s="126">
        <f t="shared" si="646"/>
        <v>0.42</v>
      </c>
      <c r="AT460" s="126">
        <f t="shared" si="647"/>
        <v>0.3333333333</v>
      </c>
      <c r="AU460" s="129"/>
      <c r="AV460" s="39" t="s">
        <v>1275</v>
      </c>
      <c r="AW460" s="130"/>
      <c r="AX460" s="140"/>
      <c r="AY460" s="140"/>
      <c r="AZ460" s="130">
        <v>4.0</v>
      </c>
      <c r="BA460" s="351">
        <v>145.34</v>
      </c>
      <c r="BB460" s="130">
        <f t="shared" si="585"/>
        <v>149.34</v>
      </c>
      <c r="BC460" s="131">
        <f t="shared" si="648"/>
        <v>21.73799127</v>
      </c>
      <c r="BD460" s="132">
        <f t="shared" si="649"/>
        <v>20.47021003</v>
      </c>
      <c r="BE460" s="288" t="s">
        <v>1717</v>
      </c>
      <c r="BF460" s="134">
        <v>8.51762299E9</v>
      </c>
      <c r="BG460" s="49"/>
      <c r="BH460" s="224">
        <f t="shared" si="714"/>
        <v>113.723389</v>
      </c>
      <c r="BI460" s="224">
        <f t="shared" si="715"/>
        <v>68.23403343</v>
      </c>
      <c r="BJ460" s="224">
        <f t="shared" si="716"/>
        <v>56.86169452</v>
      </c>
      <c r="BK460" s="224">
        <f t="shared" si="717"/>
        <v>45.48935562</v>
      </c>
      <c r="BL460" s="49"/>
      <c r="BM460" s="49"/>
      <c r="BN460" s="49"/>
      <c r="BO460" s="49"/>
      <c r="BP460" s="49"/>
      <c r="BQ460" s="49"/>
      <c r="BR460" s="49"/>
      <c r="BS460" s="49"/>
      <c r="BT460" s="49"/>
      <c r="BU460" s="49"/>
      <c r="BV460" s="49"/>
      <c r="BW460" s="49"/>
      <c r="BX460" s="49"/>
      <c r="BY460" s="49"/>
      <c r="BZ460" s="49"/>
      <c r="CA460" s="49"/>
      <c r="CB460" s="49"/>
      <c r="CC460" s="49"/>
      <c r="CD460" s="49"/>
      <c r="CE460" s="49"/>
      <c r="CF460" s="49"/>
    </row>
    <row r="461" ht="14.25" customHeight="1">
      <c r="A461" s="103" t="s">
        <v>84</v>
      </c>
      <c r="B461" s="103" t="s">
        <v>120</v>
      </c>
      <c r="C461" s="103" t="s">
        <v>120</v>
      </c>
      <c r="D461" s="103" t="s">
        <v>1266</v>
      </c>
      <c r="E461" s="103" t="s">
        <v>1633</v>
      </c>
      <c r="F461" s="104" t="s">
        <v>1667</v>
      </c>
      <c r="G461" s="110" t="s">
        <v>1395</v>
      </c>
      <c r="H461" s="110"/>
      <c r="I461" s="107"/>
      <c r="J461" s="220" t="s">
        <v>1749</v>
      </c>
      <c r="K461" s="220" t="s">
        <v>1750</v>
      </c>
      <c r="L461" s="103" t="s">
        <v>1751</v>
      </c>
      <c r="M461" s="103" t="s">
        <v>1752</v>
      </c>
      <c r="N461" s="110"/>
      <c r="O461" s="104" t="s">
        <v>95</v>
      </c>
      <c r="P461" s="110"/>
      <c r="Q461" s="104" t="s">
        <v>554</v>
      </c>
      <c r="R461" s="110" t="s">
        <v>1637</v>
      </c>
      <c r="S461" s="110">
        <v>90.0</v>
      </c>
      <c r="T461" s="110"/>
      <c r="U461" s="110" t="s">
        <v>1671</v>
      </c>
      <c r="V461" s="112">
        <v>0.021</v>
      </c>
      <c r="W461" s="113">
        <v>30.0</v>
      </c>
      <c r="X461" s="110">
        <v>45.0</v>
      </c>
      <c r="Y461" s="110">
        <v>55.0</v>
      </c>
      <c r="Z461" s="110" t="s">
        <v>99</v>
      </c>
      <c r="AA461" s="114">
        <f t="shared" si="641"/>
        <v>59.43858514</v>
      </c>
      <c r="AB461" s="115"/>
      <c r="AC461" s="212">
        <f t="shared" si="642"/>
        <v>47.90884836</v>
      </c>
      <c r="AD461" s="213">
        <f t="shared" si="244"/>
        <v>51.51489071</v>
      </c>
      <c r="AE461" s="212"/>
      <c r="AF461" s="212" t="str">
        <f t="shared" si="94"/>
        <v>#REF!</v>
      </c>
      <c r="AG461" s="210" t="str">
        <f t="shared" si="95"/>
        <v>#REF!</v>
      </c>
      <c r="AH461" s="120" t="str">
        <f t="shared" si="96"/>
        <v>#REF!</v>
      </c>
      <c r="AI461" s="121">
        <f t="shared" si="497"/>
        <v>0.1</v>
      </c>
      <c r="AJ461" s="121">
        <v>0.1</v>
      </c>
      <c r="AK461" s="122">
        <v>0.41000000000000003</v>
      </c>
      <c r="AL461" s="123">
        <f t="shared" si="11"/>
        <v>19.64262783</v>
      </c>
      <c r="AM461" s="122" t="s">
        <v>6</v>
      </c>
      <c r="AN461" s="111">
        <f t="shared" si="673"/>
        <v>43.11796353</v>
      </c>
      <c r="AO461" s="112">
        <f t="shared" si="644"/>
        <v>0.3444444444</v>
      </c>
      <c r="AP461" s="127"/>
      <c r="AQ461" s="128">
        <f t="shared" ref="AQ461:AR461" si="718">BC461/(1-AI461)</f>
        <v>33.87999353</v>
      </c>
      <c r="AR461" s="139">
        <f t="shared" si="718"/>
        <v>31.40691171</v>
      </c>
      <c r="AS461" s="126">
        <f t="shared" si="646"/>
        <v>0.43</v>
      </c>
      <c r="AT461" s="126">
        <f t="shared" si="647"/>
        <v>0.3444444444</v>
      </c>
      <c r="AU461" s="129"/>
      <c r="AV461" s="39" t="s">
        <v>1275</v>
      </c>
      <c r="AW461" s="130"/>
      <c r="AX461" s="140"/>
      <c r="AY461" s="140"/>
      <c r="AZ461" s="130">
        <v>4.0</v>
      </c>
      <c r="BA461" s="351">
        <v>205.48000000000002</v>
      </c>
      <c r="BB461" s="130">
        <f t="shared" si="585"/>
        <v>209.48</v>
      </c>
      <c r="BC461" s="131">
        <f t="shared" si="648"/>
        <v>30.49199418</v>
      </c>
      <c r="BD461" s="132">
        <f t="shared" si="649"/>
        <v>28.26622053</v>
      </c>
      <c r="BE461" s="288" t="s">
        <v>1717</v>
      </c>
      <c r="BF461" s="134">
        <v>8.51762299E9</v>
      </c>
      <c r="BG461" s="49"/>
      <c r="BH461" s="224">
        <f t="shared" si="714"/>
        <v>159.6961612</v>
      </c>
      <c r="BI461" s="224">
        <f t="shared" si="715"/>
        <v>95.81769673</v>
      </c>
      <c r="BJ461" s="224">
        <f t="shared" si="716"/>
        <v>79.84808061</v>
      </c>
      <c r="BK461" s="224">
        <f t="shared" si="717"/>
        <v>63.87846448</v>
      </c>
      <c r="BL461" s="49"/>
      <c r="BM461" s="49"/>
      <c r="BN461" s="49"/>
      <c r="BO461" s="49"/>
      <c r="BP461" s="49"/>
      <c r="BQ461" s="49"/>
      <c r="BR461" s="49"/>
      <c r="BS461" s="49"/>
      <c r="BT461" s="49"/>
      <c r="BU461" s="49"/>
      <c r="BV461" s="49"/>
      <c r="BW461" s="49"/>
      <c r="BX461" s="49"/>
      <c r="BY461" s="49"/>
      <c r="BZ461" s="49"/>
      <c r="CA461" s="49"/>
      <c r="CB461" s="49"/>
      <c r="CC461" s="49"/>
      <c r="CD461" s="49"/>
      <c r="CE461" s="49"/>
      <c r="CF461" s="49"/>
    </row>
    <row r="462" ht="14.25" customHeight="1">
      <c r="A462" s="103" t="s">
        <v>84</v>
      </c>
      <c r="B462" s="103" t="s">
        <v>120</v>
      </c>
      <c r="C462" s="103" t="s">
        <v>120</v>
      </c>
      <c r="D462" s="103" t="s">
        <v>1266</v>
      </c>
      <c r="E462" s="103" t="s">
        <v>1633</v>
      </c>
      <c r="F462" s="104" t="s">
        <v>1667</v>
      </c>
      <c r="G462" s="110" t="s">
        <v>1395</v>
      </c>
      <c r="H462" s="110"/>
      <c r="I462" s="107"/>
      <c r="J462" s="220" t="s">
        <v>1753</v>
      </c>
      <c r="K462" s="220" t="s">
        <v>1754</v>
      </c>
      <c r="L462" s="103" t="s">
        <v>1755</v>
      </c>
      <c r="M462" s="103" t="s">
        <v>1756</v>
      </c>
      <c r="N462" s="110"/>
      <c r="O462" s="104" t="s">
        <v>95</v>
      </c>
      <c r="P462" s="110"/>
      <c r="Q462" s="104" t="s">
        <v>554</v>
      </c>
      <c r="R462" s="110" t="s">
        <v>1637</v>
      </c>
      <c r="S462" s="110">
        <v>90.0</v>
      </c>
      <c r="T462" s="110"/>
      <c r="U462" s="110" t="s">
        <v>1671</v>
      </c>
      <c r="V462" s="112">
        <v>0.021</v>
      </c>
      <c r="W462" s="113">
        <v>30.0</v>
      </c>
      <c r="X462" s="110">
        <v>45.0</v>
      </c>
      <c r="Y462" s="110">
        <v>55.0</v>
      </c>
      <c r="Z462" s="110" t="s">
        <v>99</v>
      </c>
      <c r="AA462" s="114">
        <f t="shared" si="641"/>
        <v>93.59562581</v>
      </c>
      <c r="AB462" s="115"/>
      <c r="AC462" s="212">
        <f t="shared" si="642"/>
        <v>74.35797398</v>
      </c>
      <c r="AD462" s="213">
        <f t="shared" si="244"/>
        <v>79.95481073</v>
      </c>
      <c r="AE462" s="212"/>
      <c r="AF462" s="212" t="str">
        <f t="shared" si="94"/>
        <v>#REF!</v>
      </c>
      <c r="AG462" s="210" t="str">
        <f t="shared" si="95"/>
        <v>#REF!</v>
      </c>
      <c r="AH462" s="120" t="str">
        <f t="shared" si="96"/>
        <v>#REF!</v>
      </c>
      <c r="AI462" s="121">
        <f t="shared" si="497"/>
        <v>0.1</v>
      </c>
      <c r="AJ462" s="121">
        <v>0.1</v>
      </c>
      <c r="AK462" s="122">
        <v>0.41000000000000003</v>
      </c>
      <c r="AL462" s="123">
        <f t="shared" si="11"/>
        <v>30.48676933</v>
      </c>
      <c r="AM462" s="122" t="s">
        <v>6</v>
      </c>
      <c r="AN462" s="111">
        <f t="shared" si="673"/>
        <v>66.92217658</v>
      </c>
      <c r="AO462" s="112">
        <f t="shared" si="644"/>
        <v>0.3444444444</v>
      </c>
      <c r="AP462" s="127"/>
      <c r="AQ462" s="128">
        <f t="shared" ref="AQ462:AR462" si="719">BC462/(1-AI462)</f>
        <v>53.34950671</v>
      </c>
      <c r="AR462" s="139">
        <f t="shared" si="719"/>
        <v>48.74578294</v>
      </c>
      <c r="AS462" s="126">
        <f t="shared" si="646"/>
        <v>0.43</v>
      </c>
      <c r="AT462" s="126">
        <f t="shared" si="647"/>
        <v>0.3444444444</v>
      </c>
      <c r="AU462" s="129"/>
      <c r="AV462" s="39" t="s">
        <v>1275</v>
      </c>
      <c r="AW462" s="130"/>
      <c r="AX462" s="140"/>
      <c r="AY462" s="140"/>
      <c r="AZ462" s="130">
        <v>4.0</v>
      </c>
      <c r="BA462" s="351">
        <v>325.86000000000007</v>
      </c>
      <c r="BB462" s="130">
        <f t="shared" si="585"/>
        <v>329.86</v>
      </c>
      <c r="BC462" s="131">
        <f t="shared" si="648"/>
        <v>48.01455604</v>
      </c>
      <c r="BD462" s="132">
        <f t="shared" si="649"/>
        <v>43.87120465</v>
      </c>
      <c r="BE462" s="288" t="s">
        <v>1717</v>
      </c>
      <c r="BF462" s="134">
        <v>8.51762299E9</v>
      </c>
      <c r="BG462" s="49"/>
      <c r="BH462" s="224">
        <f t="shared" si="714"/>
        <v>247.8599133</v>
      </c>
      <c r="BI462" s="224">
        <f t="shared" si="715"/>
        <v>148.715948</v>
      </c>
      <c r="BJ462" s="224">
        <f t="shared" si="716"/>
        <v>123.9299566</v>
      </c>
      <c r="BK462" s="224">
        <f t="shared" si="717"/>
        <v>99.14396531</v>
      </c>
      <c r="BL462" s="49"/>
      <c r="BM462" s="49"/>
      <c r="BN462" s="49"/>
      <c r="BO462" s="49"/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</row>
    <row r="463" ht="14.25" customHeight="1">
      <c r="A463" s="103" t="s">
        <v>84</v>
      </c>
      <c r="B463" s="103" t="s">
        <v>120</v>
      </c>
      <c r="C463" s="103" t="s">
        <v>120</v>
      </c>
      <c r="D463" s="103" t="s">
        <v>1266</v>
      </c>
      <c r="E463" s="103" t="s">
        <v>1633</v>
      </c>
      <c r="F463" s="104" t="s">
        <v>1757</v>
      </c>
      <c r="G463" s="110" t="s">
        <v>1340</v>
      </c>
      <c r="H463" s="110"/>
      <c r="I463" s="107"/>
      <c r="J463" s="220" t="s">
        <v>1758</v>
      </c>
      <c r="K463" s="220" t="str">
        <f>_xlfn.XLOOKUP(J463,[1]Sheet1!$A:$A,[1]Sheet1!$B:$B,"")</f>
        <v>#ERROR!</v>
      </c>
      <c r="L463" s="104" t="s">
        <v>1759</v>
      </c>
      <c r="M463" s="103" t="s">
        <v>1760</v>
      </c>
      <c r="N463" s="110"/>
      <c r="O463" s="104" t="s">
        <v>95</v>
      </c>
      <c r="P463" s="110"/>
      <c r="Q463" s="104" t="s">
        <v>554</v>
      </c>
      <c r="R463" s="110" t="s">
        <v>1176</v>
      </c>
      <c r="S463" s="110">
        <v>540.0</v>
      </c>
      <c r="T463" s="110" t="s">
        <v>1761</v>
      </c>
      <c r="U463" s="110" t="s">
        <v>509</v>
      </c>
      <c r="V463" s="112">
        <v>0.017</v>
      </c>
      <c r="W463" s="113">
        <v>30.0</v>
      </c>
      <c r="X463" s="110">
        <v>45.0</v>
      </c>
      <c r="Y463" s="110">
        <v>55.0</v>
      </c>
      <c r="Z463" s="110" t="s">
        <v>99</v>
      </c>
      <c r="AA463" s="114">
        <f t="shared" si="641"/>
        <v>5.194369775</v>
      </c>
      <c r="AB463" s="115"/>
      <c r="AC463" s="212">
        <f t="shared" si="642"/>
        <v>4.289728598</v>
      </c>
      <c r="AD463" s="213">
        <f t="shared" si="244"/>
        <v>4.612611396</v>
      </c>
      <c r="AE463" s="212"/>
      <c r="AF463" s="212" t="str">
        <f t="shared" si="94"/>
        <v>#REF!</v>
      </c>
      <c r="AG463" s="210" t="str">
        <f t="shared" si="95"/>
        <v>#REF!</v>
      </c>
      <c r="AH463" s="120" t="str">
        <f t="shared" si="96"/>
        <v>#REF!</v>
      </c>
      <c r="AI463" s="121">
        <f t="shared" si="497"/>
        <v>0.1</v>
      </c>
      <c r="AJ463" s="121">
        <v>0.1</v>
      </c>
      <c r="AK463" s="122">
        <v>0.295</v>
      </c>
      <c r="AL463" s="123">
        <f t="shared" si="11"/>
        <v>1.265469936</v>
      </c>
      <c r="AM463" s="122" t="s">
        <v>6</v>
      </c>
      <c r="AN463" s="111">
        <f t="shared" si="673"/>
        <v>3.860755738</v>
      </c>
      <c r="AO463" s="112">
        <f t="shared" si="644"/>
        <v>0.2166666667</v>
      </c>
      <c r="AP463" s="127"/>
      <c r="AQ463" s="128">
        <f t="shared" ref="AQ463:AR463" si="720">BC463/(1-AI463)</f>
        <v>3.558143296</v>
      </c>
      <c r="AR463" s="139">
        <f t="shared" si="720"/>
        <v>3.360287402</v>
      </c>
      <c r="AS463" s="126">
        <f t="shared" si="646"/>
        <v>0.315</v>
      </c>
      <c r="AT463" s="126">
        <f t="shared" si="647"/>
        <v>0.2166666667</v>
      </c>
      <c r="AU463" s="129"/>
      <c r="AV463" s="39" t="s">
        <v>1275</v>
      </c>
      <c r="AW463" s="130"/>
      <c r="AX463" s="140"/>
      <c r="AY463" s="140"/>
      <c r="AZ463" s="130">
        <v>3.0</v>
      </c>
      <c r="BA463" s="130">
        <f>7+0.5*24</f>
        <v>19</v>
      </c>
      <c r="BB463" s="130">
        <f t="shared" si="585"/>
        <v>22</v>
      </c>
      <c r="BC463" s="131">
        <f t="shared" si="648"/>
        <v>3.202328967</v>
      </c>
      <c r="BD463" s="132">
        <f t="shared" si="649"/>
        <v>3.024258662</v>
      </c>
      <c r="BE463" s="315"/>
      <c r="BF463" s="134">
        <v>8.517799E9</v>
      </c>
      <c r="BG463" s="49"/>
      <c r="BH463" s="212">
        <f t="shared" si="714"/>
        <v>14.29909533</v>
      </c>
      <c r="BI463" s="212">
        <f t="shared" si="715"/>
        <v>8.579457196</v>
      </c>
      <c r="BJ463" s="212">
        <f t="shared" si="716"/>
        <v>7.149547663</v>
      </c>
      <c r="BK463" s="212">
        <f t="shared" si="717"/>
        <v>5.719638131</v>
      </c>
      <c r="BL463" s="49"/>
      <c r="BM463" s="49"/>
      <c r="BN463" s="49"/>
      <c r="BO463" s="49"/>
      <c r="BP463" s="49"/>
      <c r="BQ463" s="49"/>
      <c r="BR463" s="49"/>
      <c r="BS463" s="49"/>
      <c r="BT463" s="49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</row>
    <row r="464" ht="14.25" customHeight="1">
      <c r="A464" s="103" t="s">
        <v>84</v>
      </c>
      <c r="B464" s="103" t="s">
        <v>120</v>
      </c>
      <c r="C464" s="103" t="s">
        <v>120</v>
      </c>
      <c r="D464" s="103" t="s">
        <v>1266</v>
      </c>
      <c r="E464" s="103" t="s">
        <v>1633</v>
      </c>
      <c r="F464" s="104" t="s">
        <v>1757</v>
      </c>
      <c r="G464" s="110" t="s">
        <v>1340</v>
      </c>
      <c r="H464" s="110"/>
      <c r="I464" s="107"/>
      <c r="J464" s="220" t="s">
        <v>1762</v>
      </c>
      <c r="K464" s="220" t="str">
        <f>_xlfn.XLOOKUP(J464,[1]Sheet1!$A:$A,[1]Sheet1!$B:$B,"")</f>
        <v>#ERROR!</v>
      </c>
      <c r="L464" s="103" t="s">
        <v>1763</v>
      </c>
      <c r="M464" s="103" t="s">
        <v>1764</v>
      </c>
      <c r="N464" s="110"/>
      <c r="O464" s="104" t="s">
        <v>95</v>
      </c>
      <c r="P464" s="110"/>
      <c r="Q464" s="104" t="s">
        <v>554</v>
      </c>
      <c r="R464" s="110" t="s">
        <v>1176</v>
      </c>
      <c r="S464" s="110">
        <v>540.0</v>
      </c>
      <c r="T464" s="110" t="s">
        <v>1765</v>
      </c>
      <c r="U464" s="110" t="s">
        <v>509</v>
      </c>
      <c r="V464" s="112">
        <v>0.017</v>
      </c>
      <c r="W464" s="113">
        <v>30.0</v>
      </c>
      <c r="X464" s="110">
        <v>45.0</v>
      </c>
      <c r="Y464" s="110">
        <v>55.0</v>
      </c>
      <c r="Z464" s="110" t="s">
        <v>99</v>
      </c>
      <c r="AA464" s="114">
        <f t="shared" si="641"/>
        <v>3.777723473</v>
      </c>
      <c r="AB464" s="115"/>
      <c r="AC464" s="212">
        <f t="shared" si="642"/>
        <v>3.191440986</v>
      </c>
      <c r="AD464" s="213">
        <f t="shared" si="244"/>
        <v>3.431656974</v>
      </c>
      <c r="AE464" s="212"/>
      <c r="AF464" s="212" t="str">
        <f t="shared" si="94"/>
        <v>#REF!</v>
      </c>
      <c r="AG464" s="210" t="str">
        <f t="shared" si="95"/>
        <v>#REF!</v>
      </c>
      <c r="AH464" s="120" t="str">
        <f t="shared" si="96"/>
        <v>#REF!</v>
      </c>
      <c r="AI464" s="121">
        <f t="shared" si="497"/>
        <v>0.1</v>
      </c>
      <c r="AJ464" s="121">
        <v>0.1</v>
      </c>
      <c r="AK464" s="122">
        <v>0.295</v>
      </c>
      <c r="AL464" s="123">
        <f t="shared" si="11"/>
        <v>0.9414750909</v>
      </c>
      <c r="AM464" s="122" t="s">
        <v>6</v>
      </c>
      <c r="AN464" s="111">
        <f t="shared" si="673"/>
        <v>2.872296888</v>
      </c>
      <c r="AO464" s="112">
        <f t="shared" si="644"/>
        <v>0.2166666667</v>
      </c>
      <c r="AP464" s="127"/>
      <c r="AQ464" s="128">
        <f t="shared" ref="AQ464:AR464" si="721">BC464/(1-AI464)</f>
        <v>2.587740579</v>
      </c>
      <c r="AR464" s="139">
        <f t="shared" si="721"/>
        <v>2.499962106</v>
      </c>
      <c r="AS464" s="126">
        <f t="shared" si="646"/>
        <v>0.315</v>
      </c>
      <c r="AT464" s="126">
        <f t="shared" si="647"/>
        <v>0.2166666667</v>
      </c>
      <c r="AU464" s="129">
        <v>1.51</v>
      </c>
      <c r="AV464" s="39" t="s">
        <v>1275</v>
      </c>
      <c r="AW464" s="130"/>
      <c r="AX464" s="140"/>
      <c r="AY464" s="140"/>
      <c r="AZ464" s="130">
        <v>3.0</v>
      </c>
      <c r="BA464" s="130">
        <f>7+0.25*24</f>
        <v>13</v>
      </c>
      <c r="BB464" s="130">
        <f t="shared" si="585"/>
        <v>16</v>
      </c>
      <c r="BC464" s="131">
        <f t="shared" si="648"/>
        <v>2.328966521</v>
      </c>
      <c r="BD464" s="132">
        <f t="shared" si="649"/>
        <v>2.249965895</v>
      </c>
      <c r="BE464" s="315"/>
      <c r="BF464" s="134">
        <v>8.517799E9</v>
      </c>
      <c r="BG464" s="49"/>
      <c r="BH464" s="212">
        <f t="shared" si="714"/>
        <v>10.63813662</v>
      </c>
      <c r="BI464" s="212">
        <f t="shared" si="715"/>
        <v>6.382881972</v>
      </c>
      <c r="BJ464" s="212">
        <f t="shared" si="716"/>
        <v>5.31906831</v>
      </c>
      <c r="BK464" s="212">
        <f t="shared" si="717"/>
        <v>4.255254648</v>
      </c>
      <c r="BL464" s="49"/>
      <c r="BM464" s="49"/>
      <c r="BN464" s="49"/>
      <c r="BO464" s="49"/>
      <c r="BP464" s="49"/>
      <c r="BQ464" s="49"/>
      <c r="BR464" s="49"/>
      <c r="BS464" s="49"/>
      <c r="BT464" s="49"/>
      <c r="BU464" s="49"/>
      <c r="BV464" s="49"/>
      <c r="BW464" s="49"/>
      <c r="BX464" s="49"/>
      <c r="BY464" s="49"/>
      <c r="BZ464" s="49"/>
      <c r="CA464" s="49"/>
      <c r="CB464" s="49"/>
      <c r="CC464" s="49"/>
      <c r="CD464" s="49"/>
      <c r="CE464" s="49"/>
      <c r="CF464" s="49"/>
    </row>
    <row r="465" ht="14.25" customHeight="1">
      <c r="A465" s="103" t="s">
        <v>84</v>
      </c>
      <c r="B465" s="103" t="s">
        <v>120</v>
      </c>
      <c r="C465" s="103" t="s">
        <v>120</v>
      </c>
      <c r="D465" s="103" t="s">
        <v>1266</v>
      </c>
      <c r="E465" s="103" t="s">
        <v>1633</v>
      </c>
      <c r="F465" s="104" t="s">
        <v>1757</v>
      </c>
      <c r="G465" s="110" t="s">
        <v>1340</v>
      </c>
      <c r="H465" s="110"/>
      <c r="I465" s="107"/>
      <c r="J465" s="220" t="s">
        <v>1766</v>
      </c>
      <c r="K465" s="220" t="str">
        <f>_xlfn.XLOOKUP(J465,[1]Sheet1!$A:$A,[1]Sheet1!$B:$B,"")</f>
        <v>#ERROR!</v>
      </c>
      <c r="L465" s="103" t="s">
        <v>1767</v>
      </c>
      <c r="M465" s="103" t="s">
        <v>1768</v>
      </c>
      <c r="N465" s="110"/>
      <c r="O465" s="104" t="s">
        <v>95</v>
      </c>
      <c r="P465" s="110"/>
      <c r="Q465" s="104" t="s">
        <v>554</v>
      </c>
      <c r="R465" s="110" t="s">
        <v>1176</v>
      </c>
      <c r="S465" s="110">
        <v>540.0</v>
      </c>
      <c r="T465" s="110" t="s">
        <v>1769</v>
      </c>
      <c r="U465" s="110" t="s">
        <v>509</v>
      </c>
      <c r="V465" s="112">
        <v>0.017</v>
      </c>
      <c r="W465" s="113">
        <v>30.0</v>
      </c>
      <c r="X465" s="110">
        <v>45.0</v>
      </c>
      <c r="Y465" s="110">
        <v>55.0</v>
      </c>
      <c r="Z465" s="110" t="s">
        <v>99</v>
      </c>
      <c r="AA465" s="114">
        <f t="shared" si="641"/>
        <v>3.777723473</v>
      </c>
      <c r="AB465" s="115"/>
      <c r="AC465" s="212">
        <f t="shared" si="642"/>
        <v>3.191440986</v>
      </c>
      <c r="AD465" s="213">
        <f t="shared" si="244"/>
        <v>3.431656974</v>
      </c>
      <c r="AE465" s="212"/>
      <c r="AF465" s="212" t="str">
        <f t="shared" si="94"/>
        <v>#REF!</v>
      </c>
      <c r="AG465" s="210" t="str">
        <f t="shared" si="95"/>
        <v>#REF!</v>
      </c>
      <c r="AH465" s="120" t="str">
        <f t="shared" si="96"/>
        <v>#REF!</v>
      </c>
      <c r="AI465" s="121">
        <f t="shared" si="497"/>
        <v>0.1</v>
      </c>
      <c r="AJ465" s="121">
        <v>0.1</v>
      </c>
      <c r="AK465" s="122">
        <v>0.295</v>
      </c>
      <c r="AL465" s="123">
        <f t="shared" si="11"/>
        <v>0.9414750909</v>
      </c>
      <c r="AM465" s="122" t="s">
        <v>6</v>
      </c>
      <c r="AN465" s="111">
        <f t="shared" si="673"/>
        <v>2.872296888</v>
      </c>
      <c r="AO465" s="112">
        <f t="shared" si="644"/>
        <v>0.2166666667</v>
      </c>
      <c r="AP465" s="127"/>
      <c r="AQ465" s="128">
        <f t="shared" ref="AQ465:AR465" si="722">BC465/(1-AI465)</f>
        <v>2.587740579</v>
      </c>
      <c r="AR465" s="139">
        <f t="shared" si="722"/>
        <v>2.499962106</v>
      </c>
      <c r="AS465" s="126">
        <f t="shared" si="646"/>
        <v>0.315</v>
      </c>
      <c r="AT465" s="126">
        <f t="shared" si="647"/>
        <v>0.2166666667</v>
      </c>
      <c r="AU465" s="129"/>
      <c r="AV465" s="39" t="s">
        <v>1275</v>
      </c>
      <c r="AW465" s="130"/>
      <c r="AX465" s="140"/>
      <c r="AY465" s="140"/>
      <c r="AZ465" s="130">
        <v>3.0</v>
      </c>
      <c r="BA465" s="130">
        <f>7+0.5*12</f>
        <v>13</v>
      </c>
      <c r="BB465" s="130">
        <f t="shared" si="585"/>
        <v>16</v>
      </c>
      <c r="BC465" s="131">
        <f t="shared" si="648"/>
        <v>2.328966521</v>
      </c>
      <c r="BD465" s="132">
        <f t="shared" si="649"/>
        <v>2.249965895</v>
      </c>
      <c r="BE465" s="315"/>
      <c r="BF465" s="134">
        <v>8.517799E9</v>
      </c>
      <c r="BG465" s="49"/>
      <c r="BH465" s="212">
        <f t="shared" si="714"/>
        <v>10.63813662</v>
      </c>
      <c r="BI465" s="212">
        <f t="shared" si="715"/>
        <v>6.382881972</v>
      </c>
      <c r="BJ465" s="212">
        <f t="shared" si="716"/>
        <v>5.31906831</v>
      </c>
      <c r="BK465" s="212">
        <f t="shared" si="717"/>
        <v>4.255254648</v>
      </c>
      <c r="BL465" s="49"/>
      <c r="BM465" s="49"/>
      <c r="BN465" s="49"/>
      <c r="BO465" s="49"/>
      <c r="BP465" s="49"/>
      <c r="BQ465" s="49"/>
      <c r="BR465" s="49"/>
      <c r="BS465" s="49"/>
      <c r="BT465" s="49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</row>
    <row r="466" ht="14.25" customHeight="1">
      <c r="A466" s="103" t="s">
        <v>84</v>
      </c>
      <c r="B466" s="103" t="s">
        <v>120</v>
      </c>
      <c r="C466" s="103" t="s">
        <v>120</v>
      </c>
      <c r="D466" s="103" t="s">
        <v>1266</v>
      </c>
      <c r="E466" s="103" t="s">
        <v>1633</v>
      </c>
      <c r="F466" s="104" t="s">
        <v>1757</v>
      </c>
      <c r="G466" s="110" t="s">
        <v>1340</v>
      </c>
      <c r="H466" s="110"/>
      <c r="I466" s="107"/>
      <c r="J466" s="220" t="s">
        <v>1770</v>
      </c>
      <c r="K466" s="220" t="str">
        <f>_xlfn.XLOOKUP(J466,[1]Sheet1!$A:$A,[1]Sheet1!$B:$B,"")</f>
        <v>#ERROR!</v>
      </c>
      <c r="L466" s="103" t="s">
        <v>1771</v>
      </c>
      <c r="M466" s="103" t="s">
        <v>1772</v>
      </c>
      <c r="N466" s="110"/>
      <c r="O466" s="104" t="s">
        <v>95</v>
      </c>
      <c r="P466" s="110"/>
      <c r="Q466" s="104" t="s">
        <v>554</v>
      </c>
      <c r="R466" s="110" t="s">
        <v>1176</v>
      </c>
      <c r="S466" s="110">
        <v>540.0</v>
      </c>
      <c r="T466" s="110" t="s">
        <v>1773</v>
      </c>
      <c r="U466" s="110" t="s">
        <v>509</v>
      </c>
      <c r="V466" s="112">
        <v>0.017</v>
      </c>
      <c r="W466" s="113">
        <v>30.0</v>
      </c>
      <c r="X466" s="110">
        <v>45.0</v>
      </c>
      <c r="Y466" s="110">
        <v>55.0</v>
      </c>
      <c r="Z466" s="110" t="s">
        <v>99</v>
      </c>
      <c r="AA466" s="114">
        <f t="shared" si="641"/>
        <v>3.069400322</v>
      </c>
      <c r="AB466" s="115"/>
      <c r="AC466" s="212">
        <f t="shared" si="642"/>
        <v>2.64229718</v>
      </c>
      <c r="AD466" s="213">
        <f t="shared" si="244"/>
        <v>2.841179764</v>
      </c>
      <c r="AE466" s="212"/>
      <c r="AF466" s="212" t="str">
        <f t="shared" si="94"/>
        <v>#REF!</v>
      </c>
      <c r="AG466" s="210" t="str">
        <f t="shared" si="95"/>
        <v>#REF!</v>
      </c>
      <c r="AH466" s="120" t="str">
        <f t="shared" si="96"/>
        <v>#REF!</v>
      </c>
      <c r="AI466" s="121">
        <f t="shared" si="497"/>
        <v>0.1</v>
      </c>
      <c r="AJ466" s="121">
        <v>0.1</v>
      </c>
      <c r="AK466" s="122">
        <v>0.295</v>
      </c>
      <c r="AL466" s="123">
        <f t="shared" si="11"/>
        <v>0.7794776682</v>
      </c>
      <c r="AM466" s="122" t="s">
        <v>6</v>
      </c>
      <c r="AN466" s="111">
        <f t="shared" si="673"/>
        <v>2.378067462</v>
      </c>
      <c r="AO466" s="112">
        <f t="shared" si="644"/>
        <v>0.2166666667</v>
      </c>
      <c r="AP466" s="127"/>
      <c r="AQ466" s="128">
        <f t="shared" ref="AQ466:AR466" si="723">BC466/(1-AI466)</f>
        <v>2.10253922</v>
      </c>
      <c r="AR466" s="139">
        <f t="shared" si="723"/>
        <v>2.069799458</v>
      </c>
      <c r="AS466" s="126">
        <f t="shared" si="646"/>
        <v>0.315</v>
      </c>
      <c r="AT466" s="126">
        <f t="shared" si="647"/>
        <v>0.2166666667</v>
      </c>
      <c r="AU466" s="129">
        <v>1.47</v>
      </c>
      <c r="AV466" s="39" t="s">
        <v>1275</v>
      </c>
      <c r="AW466" s="130"/>
      <c r="AX466" s="140"/>
      <c r="AY466" s="140"/>
      <c r="AZ466" s="130">
        <v>3.0</v>
      </c>
      <c r="BA466" s="130">
        <f>7+0.25*12</f>
        <v>10</v>
      </c>
      <c r="BB466" s="130">
        <f t="shared" si="585"/>
        <v>13</v>
      </c>
      <c r="BC466" s="131">
        <f t="shared" si="648"/>
        <v>1.892285298</v>
      </c>
      <c r="BD466" s="132">
        <f t="shared" si="649"/>
        <v>1.862819512</v>
      </c>
      <c r="BE466" s="315"/>
      <c r="BF466" s="134">
        <v>8.517799E9</v>
      </c>
      <c r="BG466" s="49"/>
      <c r="BH466" s="212">
        <f t="shared" si="714"/>
        <v>8.807657268</v>
      </c>
      <c r="BI466" s="212">
        <f t="shared" si="715"/>
        <v>5.284594361</v>
      </c>
      <c r="BJ466" s="212">
        <f t="shared" si="716"/>
        <v>4.403828634</v>
      </c>
      <c r="BK466" s="212">
        <f t="shared" si="717"/>
        <v>3.523062907</v>
      </c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</row>
    <row r="467" ht="14.25" customHeight="1">
      <c r="A467" s="103" t="s">
        <v>84</v>
      </c>
      <c r="B467" s="103" t="s">
        <v>120</v>
      </c>
      <c r="C467" s="103" t="s">
        <v>120</v>
      </c>
      <c r="D467" s="103" t="s">
        <v>1266</v>
      </c>
      <c r="E467" s="103" t="s">
        <v>1633</v>
      </c>
      <c r="F467" s="104" t="s">
        <v>1757</v>
      </c>
      <c r="G467" s="110" t="s">
        <v>1663</v>
      </c>
      <c r="H467" s="110"/>
      <c r="I467" s="107"/>
      <c r="J467" s="220" t="s">
        <v>1774</v>
      </c>
      <c r="K467" s="220" t="str">
        <f>_xlfn.XLOOKUP(J467,[1]Sheet1!$A:$A,[1]Sheet1!$B:$B,"")</f>
        <v>#ERROR!</v>
      </c>
      <c r="L467" s="103" t="s">
        <v>1775</v>
      </c>
      <c r="M467" s="103" t="s">
        <v>1776</v>
      </c>
      <c r="N467" s="110"/>
      <c r="O467" s="104" t="s">
        <v>95</v>
      </c>
      <c r="P467" s="110"/>
      <c r="Q467" s="104" t="s">
        <v>554</v>
      </c>
      <c r="R467" s="110" t="s">
        <v>1176</v>
      </c>
      <c r="S467" s="110">
        <v>540.0</v>
      </c>
      <c r="T467" s="110"/>
      <c r="U467" s="110" t="s">
        <v>509</v>
      </c>
      <c r="V467" s="112">
        <v>0.017</v>
      </c>
      <c r="W467" s="113">
        <v>30.0</v>
      </c>
      <c r="X467" s="110">
        <v>45.0</v>
      </c>
      <c r="Y467" s="110">
        <v>55.0</v>
      </c>
      <c r="Z467" s="110" t="s">
        <v>99</v>
      </c>
      <c r="AA467" s="114">
        <f t="shared" si="641"/>
        <v>3.777723473</v>
      </c>
      <c r="AB467" s="115"/>
      <c r="AC467" s="212">
        <f t="shared" si="642"/>
        <v>3.191440986</v>
      </c>
      <c r="AD467" s="213">
        <f t="shared" si="244"/>
        <v>3.431656974</v>
      </c>
      <c r="AE467" s="212"/>
      <c r="AF467" s="212" t="str">
        <f t="shared" si="94"/>
        <v>#REF!</v>
      </c>
      <c r="AG467" s="210" t="str">
        <f t="shared" si="95"/>
        <v>#REF!</v>
      </c>
      <c r="AH467" s="120" t="str">
        <f t="shared" si="96"/>
        <v>#REF!</v>
      </c>
      <c r="AI467" s="121">
        <f t="shared" si="497"/>
        <v>0.1</v>
      </c>
      <c r="AJ467" s="121">
        <v>0.1</v>
      </c>
      <c r="AK467" s="122">
        <v>0.295</v>
      </c>
      <c r="AL467" s="123">
        <f t="shared" si="11"/>
        <v>0.9414750909</v>
      </c>
      <c r="AM467" s="122" t="s">
        <v>6</v>
      </c>
      <c r="AN467" s="111">
        <f t="shared" si="673"/>
        <v>2.872296888</v>
      </c>
      <c r="AO467" s="112">
        <f t="shared" si="644"/>
        <v>0.2166666667</v>
      </c>
      <c r="AP467" s="127"/>
      <c r="AQ467" s="128">
        <f t="shared" ref="AQ467:AR467" si="724">BC467/(1-AI467)</f>
        <v>2.587740579</v>
      </c>
      <c r="AR467" s="139">
        <f t="shared" si="724"/>
        <v>2.499962106</v>
      </c>
      <c r="AS467" s="126">
        <f t="shared" si="646"/>
        <v>0.315</v>
      </c>
      <c r="AT467" s="126">
        <f t="shared" si="647"/>
        <v>0.2166666667</v>
      </c>
      <c r="AU467" s="129"/>
      <c r="AV467" s="39" t="s">
        <v>1275</v>
      </c>
      <c r="AW467" s="130"/>
      <c r="AX467" s="140"/>
      <c r="AY467" s="140"/>
      <c r="AZ467" s="130">
        <v>3.0</v>
      </c>
      <c r="BA467" s="130">
        <f>7+0.25*24</f>
        <v>13</v>
      </c>
      <c r="BB467" s="130">
        <f t="shared" si="585"/>
        <v>16</v>
      </c>
      <c r="BC467" s="131">
        <f t="shared" si="648"/>
        <v>2.328966521</v>
      </c>
      <c r="BD467" s="132">
        <f t="shared" si="649"/>
        <v>2.249965895</v>
      </c>
      <c r="BE467" s="315"/>
      <c r="BF467" s="134">
        <v>8.517799E9</v>
      </c>
      <c r="BG467" s="49"/>
      <c r="BH467" s="212">
        <f t="shared" si="714"/>
        <v>10.63813662</v>
      </c>
      <c r="BI467" s="212">
        <f t="shared" si="715"/>
        <v>6.382881972</v>
      </c>
      <c r="BJ467" s="212">
        <f t="shared" si="716"/>
        <v>5.31906831</v>
      </c>
      <c r="BK467" s="212">
        <f t="shared" si="717"/>
        <v>4.255254648</v>
      </c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</row>
    <row r="468" ht="14.25" customHeight="1">
      <c r="A468" s="103" t="s">
        <v>84</v>
      </c>
      <c r="B468" s="103" t="s">
        <v>85</v>
      </c>
      <c r="C468" s="103" t="s">
        <v>120</v>
      </c>
      <c r="D468" s="103" t="s">
        <v>1266</v>
      </c>
      <c r="E468" s="103" t="s">
        <v>1633</v>
      </c>
      <c r="F468" s="104" t="s">
        <v>1757</v>
      </c>
      <c r="G468" s="110" t="s">
        <v>1340</v>
      </c>
      <c r="H468" s="110"/>
      <c r="I468" s="107"/>
      <c r="J468" s="220" t="s">
        <v>1777</v>
      </c>
      <c r="K468" s="220" t="str">
        <f>_xlfn.XLOOKUP(J468,[1]Sheet1!$A:$A,[1]Sheet1!$B:$B,"")</f>
        <v>#ERROR!</v>
      </c>
      <c r="L468" s="316" t="s">
        <v>1778</v>
      </c>
      <c r="M468" s="103" t="s">
        <v>1779</v>
      </c>
      <c r="N468" s="110"/>
      <c r="O468" s="104" t="s">
        <v>95</v>
      </c>
      <c r="P468" s="110"/>
      <c r="Q468" s="104" t="s">
        <v>554</v>
      </c>
      <c r="R468" s="110" t="s">
        <v>1176</v>
      </c>
      <c r="S468" s="110">
        <v>540.0</v>
      </c>
      <c r="T468" s="110" t="s">
        <v>1780</v>
      </c>
      <c r="U468" s="110" t="s">
        <v>509</v>
      </c>
      <c r="V468" s="112">
        <v>0.017</v>
      </c>
      <c r="W468" s="113">
        <v>30.0</v>
      </c>
      <c r="X468" s="110">
        <v>45.0</v>
      </c>
      <c r="Y468" s="110">
        <v>55.0</v>
      </c>
      <c r="Z468" s="110" t="s">
        <v>99</v>
      </c>
      <c r="AA468" s="114">
        <f t="shared" si="641"/>
        <v>3.069400322</v>
      </c>
      <c r="AB468" s="115"/>
      <c r="AC468" s="212">
        <f t="shared" si="642"/>
        <v>2.64229718</v>
      </c>
      <c r="AD468" s="213">
        <f t="shared" si="244"/>
        <v>2.841179764</v>
      </c>
      <c r="AE468" s="212"/>
      <c r="AF468" s="212" t="str">
        <f t="shared" si="94"/>
        <v>#REF!</v>
      </c>
      <c r="AG468" s="210" t="str">
        <f t="shared" si="95"/>
        <v>#REF!</v>
      </c>
      <c r="AH468" s="120" t="str">
        <f t="shared" si="96"/>
        <v>#REF!</v>
      </c>
      <c r="AI468" s="121">
        <f t="shared" si="497"/>
        <v>0.1</v>
      </c>
      <c r="AJ468" s="121">
        <v>0.1</v>
      </c>
      <c r="AK468" s="122">
        <v>0.295</v>
      </c>
      <c r="AL468" s="123">
        <f t="shared" si="11"/>
        <v>0.7794776682</v>
      </c>
      <c r="AM468" s="122" t="s">
        <v>6</v>
      </c>
      <c r="AN468" s="111">
        <f t="shared" si="673"/>
        <v>2.378067462</v>
      </c>
      <c r="AO468" s="112">
        <f t="shared" si="644"/>
        <v>0.2166666667</v>
      </c>
      <c r="AP468" s="127"/>
      <c r="AQ468" s="128">
        <f t="shared" ref="AQ468:AR468" si="725">BC468/(1-AI468)</f>
        <v>2.10253922</v>
      </c>
      <c r="AR468" s="139">
        <f t="shared" si="725"/>
        <v>2.069799458</v>
      </c>
      <c r="AS468" s="126">
        <f t="shared" si="646"/>
        <v>0.315</v>
      </c>
      <c r="AT468" s="126">
        <f t="shared" si="647"/>
        <v>0.2166666667</v>
      </c>
      <c r="AU468" s="129"/>
      <c r="AV468" s="39" t="s">
        <v>1275</v>
      </c>
      <c r="AW468" s="130"/>
      <c r="AX468" s="140"/>
      <c r="AY468" s="140"/>
      <c r="AZ468" s="130">
        <v>2.2</v>
      </c>
      <c r="BA468" s="130">
        <f>7.8+0.25*12</f>
        <v>10.8</v>
      </c>
      <c r="BB468" s="130">
        <f t="shared" si="585"/>
        <v>13</v>
      </c>
      <c r="BC468" s="131">
        <f t="shared" si="648"/>
        <v>1.892285298</v>
      </c>
      <c r="BD468" s="132">
        <f t="shared" si="649"/>
        <v>1.862819512</v>
      </c>
      <c r="BE468" s="315"/>
      <c r="BF468" s="134">
        <v>8.517799E9</v>
      </c>
      <c r="BG468" s="49"/>
      <c r="BH468" s="212">
        <f t="shared" si="714"/>
        <v>8.807657268</v>
      </c>
      <c r="BI468" s="212">
        <f t="shared" si="715"/>
        <v>5.284594361</v>
      </c>
      <c r="BJ468" s="212">
        <f t="shared" si="716"/>
        <v>4.403828634</v>
      </c>
      <c r="BK468" s="212">
        <f t="shared" si="717"/>
        <v>3.523062907</v>
      </c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</row>
    <row r="469" ht="14.25" customHeight="1">
      <c r="A469" s="103" t="s">
        <v>84</v>
      </c>
      <c r="B469" s="103" t="s">
        <v>85</v>
      </c>
      <c r="C469" s="103" t="s">
        <v>120</v>
      </c>
      <c r="D469" s="103" t="s">
        <v>1266</v>
      </c>
      <c r="E469" s="103" t="s">
        <v>1633</v>
      </c>
      <c r="F469" s="104" t="s">
        <v>1757</v>
      </c>
      <c r="G469" s="110" t="s">
        <v>1340</v>
      </c>
      <c r="H469" s="110"/>
      <c r="I469" s="107"/>
      <c r="J469" s="220" t="s">
        <v>1781</v>
      </c>
      <c r="K469" s="220" t="str">
        <f>_xlfn.XLOOKUP(J469,[1]Sheet1!$A:$A,[1]Sheet1!$B:$B,"")</f>
        <v>#ERROR!</v>
      </c>
      <c r="L469" s="316" t="s">
        <v>1782</v>
      </c>
      <c r="M469" s="103" t="s">
        <v>1783</v>
      </c>
      <c r="N469" s="110"/>
      <c r="O469" s="104" t="s">
        <v>95</v>
      </c>
      <c r="P469" s="110"/>
      <c r="Q469" s="104" t="s">
        <v>554</v>
      </c>
      <c r="R469" s="110" t="s">
        <v>1176</v>
      </c>
      <c r="S469" s="110">
        <v>540.0</v>
      </c>
      <c r="T469" s="110" t="s">
        <v>1784</v>
      </c>
      <c r="U469" s="110" t="s">
        <v>509</v>
      </c>
      <c r="V469" s="112">
        <v>0.017</v>
      </c>
      <c r="W469" s="113">
        <v>30.0</v>
      </c>
      <c r="X469" s="110">
        <v>45.0</v>
      </c>
      <c r="Y469" s="110">
        <v>55.0</v>
      </c>
      <c r="Z469" s="110" t="s">
        <v>99</v>
      </c>
      <c r="AA469" s="114">
        <f t="shared" si="641"/>
        <v>3.777723473</v>
      </c>
      <c r="AB469" s="115"/>
      <c r="AC469" s="212">
        <f t="shared" si="642"/>
        <v>3.191440986</v>
      </c>
      <c r="AD469" s="213">
        <f t="shared" si="244"/>
        <v>3.431656974</v>
      </c>
      <c r="AE469" s="212"/>
      <c r="AF469" s="212" t="str">
        <f t="shared" si="94"/>
        <v>#REF!</v>
      </c>
      <c r="AG469" s="210" t="str">
        <f t="shared" si="95"/>
        <v>#REF!</v>
      </c>
      <c r="AH469" s="120" t="str">
        <f t="shared" si="96"/>
        <v>#REF!</v>
      </c>
      <c r="AI469" s="121">
        <f t="shared" si="497"/>
        <v>0.1</v>
      </c>
      <c r="AJ469" s="121">
        <v>0.1</v>
      </c>
      <c r="AK469" s="122">
        <v>0.295</v>
      </c>
      <c r="AL469" s="123">
        <f t="shared" si="11"/>
        <v>0.9414750909</v>
      </c>
      <c r="AM469" s="122" t="s">
        <v>6</v>
      </c>
      <c r="AN469" s="111">
        <f t="shared" si="673"/>
        <v>2.872296888</v>
      </c>
      <c r="AO469" s="112">
        <f t="shared" si="644"/>
        <v>0.2166666667</v>
      </c>
      <c r="AP469" s="127"/>
      <c r="AQ469" s="128">
        <f t="shared" ref="AQ469:AR469" si="726">BC469/(1-AI469)</f>
        <v>2.587740579</v>
      </c>
      <c r="AR469" s="139">
        <f t="shared" si="726"/>
        <v>2.499962106</v>
      </c>
      <c r="AS469" s="126">
        <f t="shared" si="646"/>
        <v>0.315</v>
      </c>
      <c r="AT469" s="126">
        <f t="shared" si="647"/>
        <v>0.2166666667</v>
      </c>
      <c r="AU469" s="129"/>
      <c r="AV469" s="39" t="s">
        <v>1275</v>
      </c>
      <c r="AW469" s="130"/>
      <c r="AX469" s="140"/>
      <c r="AY469" s="140"/>
      <c r="AZ469" s="130">
        <v>2.2</v>
      </c>
      <c r="BA469" s="130">
        <f>7.8+0.25*24</f>
        <v>13.8</v>
      </c>
      <c r="BB469" s="130">
        <f t="shared" si="585"/>
        <v>16</v>
      </c>
      <c r="BC469" s="131">
        <f t="shared" si="648"/>
        <v>2.328966521</v>
      </c>
      <c r="BD469" s="132">
        <f t="shared" si="649"/>
        <v>2.249965895</v>
      </c>
      <c r="BE469" s="315"/>
      <c r="BF469" s="134">
        <v>8.517799E9</v>
      </c>
      <c r="BG469" s="49"/>
      <c r="BH469" s="212">
        <f t="shared" si="714"/>
        <v>10.63813662</v>
      </c>
      <c r="BI469" s="212">
        <f t="shared" si="715"/>
        <v>6.382881972</v>
      </c>
      <c r="BJ469" s="212">
        <f t="shared" si="716"/>
        <v>5.31906831</v>
      </c>
      <c r="BK469" s="212">
        <f t="shared" si="717"/>
        <v>4.255254648</v>
      </c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</row>
    <row r="470" ht="14.25" customHeight="1">
      <c r="A470" s="103" t="s">
        <v>84</v>
      </c>
      <c r="B470" s="103" t="s">
        <v>85</v>
      </c>
      <c r="C470" s="103" t="s">
        <v>120</v>
      </c>
      <c r="D470" s="103" t="s">
        <v>1266</v>
      </c>
      <c r="E470" s="103" t="s">
        <v>1633</v>
      </c>
      <c r="F470" s="104" t="s">
        <v>1757</v>
      </c>
      <c r="G470" s="110" t="s">
        <v>1340</v>
      </c>
      <c r="H470" s="110"/>
      <c r="I470" s="107"/>
      <c r="J470" s="220" t="s">
        <v>1785</v>
      </c>
      <c r="K470" s="220" t="s">
        <v>1786</v>
      </c>
      <c r="L470" s="103" t="s">
        <v>1787</v>
      </c>
      <c r="M470" s="103" t="s">
        <v>1788</v>
      </c>
      <c r="N470" s="110"/>
      <c r="O470" s="104" t="s">
        <v>95</v>
      </c>
      <c r="P470" s="110"/>
      <c r="Q470" s="104" t="s">
        <v>554</v>
      </c>
      <c r="R470" s="110" t="s">
        <v>741</v>
      </c>
      <c r="S470" s="110"/>
      <c r="T470" s="110"/>
      <c r="U470" s="110" t="s">
        <v>509</v>
      </c>
      <c r="V470" s="112">
        <v>0.017</v>
      </c>
      <c r="W470" s="113">
        <v>30.0</v>
      </c>
      <c r="X470" s="110">
        <v>45.0</v>
      </c>
      <c r="Y470" s="110">
        <v>55.0</v>
      </c>
      <c r="Z470" s="110" t="s">
        <v>99</v>
      </c>
      <c r="AA470" s="114"/>
      <c r="AB470" s="115"/>
      <c r="AC470" s="212"/>
      <c r="AD470" s="213">
        <f t="shared" si="244"/>
        <v>0</v>
      </c>
      <c r="AE470" s="212"/>
      <c r="AF470" s="212" t="str">
        <f t="shared" si="94"/>
        <v>#REF!</v>
      </c>
      <c r="AG470" s="210" t="str">
        <f t="shared" si="95"/>
        <v>#REF!</v>
      </c>
      <c r="AH470" s="120" t="str">
        <f t="shared" si="96"/>
        <v>#REF!</v>
      </c>
      <c r="AI470" s="121">
        <f t="shared" si="497"/>
        <v>0.1</v>
      </c>
      <c r="AJ470" s="121">
        <v>0.1</v>
      </c>
      <c r="AK470" s="122">
        <v>0.295</v>
      </c>
      <c r="AL470" s="123">
        <f t="shared" si="11"/>
        <v>0</v>
      </c>
      <c r="AM470" s="122" t="s">
        <v>6</v>
      </c>
      <c r="AN470" s="111"/>
      <c r="AO470" s="112"/>
      <c r="AP470" s="127"/>
      <c r="AQ470" s="128"/>
      <c r="AR470" s="139"/>
      <c r="AS470" s="126"/>
      <c r="AT470" s="126"/>
      <c r="AU470" s="129"/>
      <c r="AV470" s="39" t="s">
        <v>1275</v>
      </c>
      <c r="AW470" s="130"/>
      <c r="AX470" s="140"/>
      <c r="AY470" s="140"/>
      <c r="AZ470" s="130"/>
      <c r="BA470" s="130"/>
      <c r="BB470" s="130">
        <v>106.0</v>
      </c>
      <c r="BC470" s="131"/>
      <c r="BD470" s="132"/>
      <c r="BE470" s="315"/>
      <c r="BF470" s="134">
        <v>8.517799E9</v>
      </c>
      <c r="BG470" s="49"/>
      <c r="BH470" s="212">
        <f t="shared" si="714"/>
        <v>0</v>
      </c>
      <c r="BI470" s="212">
        <f t="shared" si="715"/>
        <v>0</v>
      </c>
      <c r="BJ470" s="212">
        <f t="shared" si="716"/>
        <v>0</v>
      </c>
      <c r="BK470" s="212">
        <f t="shared" si="717"/>
        <v>0</v>
      </c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</row>
    <row r="471" ht="14.25" customHeight="1">
      <c r="A471" s="103" t="s">
        <v>84</v>
      </c>
      <c r="B471" s="103" t="s">
        <v>85</v>
      </c>
      <c r="C471" s="103" t="s">
        <v>120</v>
      </c>
      <c r="D471" s="103" t="s">
        <v>1266</v>
      </c>
      <c r="E471" s="103" t="s">
        <v>1633</v>
      </c>
      <c r="F471" s="104" t="s">
        <v>1757</v>
      </c>
      <c r="G471" s="110" t="s">
        <v>1789</v>
      </c>
      <c r="H471" s="110"/>
      <c r="I471" s="107"/>
      <c r="J471" s="220" t="s">
        <v>1790</v>
      </c>
      <c r="K471" s="220" t="str">
        <f>_xlfn.XLOOKUP(J471,[1]Sheet1!$A:$A,[1]Sheet1!$B:$B,"")</f>
        <v>#ERROR!</v>
      </c>
      <c r="L471" s="103" t="s">
        <v>1791</v>
      </c>
      <c r="M471" s="103" t="s">
        <v>1792</v>
      </c>
      <c r="N471" s="110"/>
      <c r="O471" s="104" t="s">
        <v>95</v>
      </c>
      <c r="P471" s="110"/>
      <c r="Q471" s="104" t="s">
        <v>554</v>
      </c>
      <c r="R471" s="110" t="s">
        <v>1176</v>
      </c>
      <c r="S471" s="110">
        <v>540.0</v>
      </c>
      <c r="T471" s="110"/>
      <c r="U471" s="110" t="s">
        <v>509</v>
      </c>
      <c r="V471" s="112">
        <v>0.017</v>
      </c>
      <c r="W471" s="113">
        <v>30.0</v>
      </c>
      <c r="X471" s="110">
        <v>45.0</v>
      </c>
      <c r="Y471" s="110">
        <v>55.0</v>
      </c>
      <c r="Z471" s="110" t="s">
        <v>99</v>
      </c>
      <c r="AA471" s="114">
        <f t="shared" ref="AA471:AA512" si="728">AQ471/(1-(AK471+2%))</f>
        <v>14.99284003</v>
      </c>
      <c r="AB471" s="115"/>
      <c r="AC471" s="212">
        <f t="shared" ref="AC471:AC501" si="729">BD471/(1-AK471)</f>
        <v>11.88621791</v>
      </c>
      <c r="AD471" s="213">
        <f t="shared" si="244"/>
        <v>12.78087948</v>
      </c>
      <c r="AE471" s="212"/>
      <c r="AF471" s="212" t="str">
        <f t="shared" si="94"/>
        <v>#REF!</v>
      </c>
      <c r="AG471" s="210" t="str">
        <f t="shared" si="95"/>
        <v>#REF!</v>
      </c>
      <c r="AH471" s="120" t="str">
        <f t="shared" si="96"/>
        <v>#REF!</v>
      </c>
      <c r="AI471" s="121">
        <f t="shared" si="497"/>
        <v>0.1</v>
      </c>
      <c r="AJ471" s="121">
        <v>0.1</v>
      </c>
      <c r="AK471" s="122">
        <v>0.295</v>
      </c>
      <c r="AL471" s="123">
        <f t="shared" si="11"/>
        <v>3.506434284</v>
      </c>
      <c r="AM471" s="122" t="s">
        <v>6</v>
      </c>
      <c r="AN471" s="111">
        <f t="shared" ref="AN471:AN479" si="730">AC471*(1-$AN$3)</f>
        <v>10.69759612</v>
      </c>
      <c r="AO471" s="112">
        <f t="shared" ref="AO471:AO501" si="731">1-(BD471/AN471)</f>
        <v>0.2166666667</v>
      </c>
      <c r="AP471" s="127"/>
      <c r="AQ471" s="146">
        <f t="shared" ref="AQ471:AR471" si="727">BC471/(1-AI471)</f>
        <v>10.27009542</v>
      </c>
      <c r="AR471" s="352">
        <f t="shared" si="727"/>
        <v>9.310870698</v>
      </c>
      <c r="AS471" s="148">
        <f t="shared" ref="AS471:AS880" si="733">1-(AQ471/AA471)</f>
        <v>0.315</v>
      </c>
      <c r="AT471" s="148">
        <f t="shared" ref="AT471:AT501" si="734">1-(AR471/AC471)</f>
        <v>0.2166666667</v>
      </c>
      <c r="AU471" s="129"/>
      <c r="AV471" s="39" t="s">
        <v>1275</v>
      </c>
      <c r="AW471" s="130"/>
      <c r="AX471" s="140"/>
      <c r="AY471" s="140"/>
      <c r="AZ471" s="130">
        <f>4</f>
        <v>4</v>
      </c>
      <c r="BA471" s="130">
        <v>59.5</v>
      </c>
      <c r="BB471" s="130">
        <f t="shared" ref="BB471:BB558" si="735">AZ471+BA471</f>
        <v>63.5</v>
      </c>
      <c r="BC471" s="131">
        <f t="shared" ref="BC471:BC558" si="736">(AZ471+BA471)/$F$5</f>
        <v>9.243085881</v>
      </c>
      <c r="BD471" s="132">
        <f t="shared" ref="BD471:BD501" si="737">(BC471/$F$6)+(($F$9+$G$9)/40/S471)+BC471*V471</f>
        <v>8.379783628</v>
      </c>
      <c r="BE471" s="315"/>
      <c r="BF471" s="134">
        <v>8.517799E9</v>
      </c>
      <c r="BG471" s="49"/>
      <c r="BH471" s="212">
        <f t="shared" si="714"/>
        <v>39.62072638</v>
      </c>
      <c r="BI471" s="212">
        <f t="shared" si="715"/>
        <v>23.77243583</v>
      </c>
      <c r="BJ471" s="212">
        <f t="shared" si="716"/>
        <v>19.81036319</v>
      </c>
      <c r="BK471" s="212">
        <f t="shared" si="717"/>
        <v>15.84829055</v>
      </c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</row>
    <row r="472" ht="14.25" customHeight="1">
      <c r="A472" s="103" t="s">
        <v>84</v>
      </c>
      <c r="B472" s="103" t="s">
        <v>120</v>
      </c>
      <c r="C472" s="103" t="s">
        <v>120</v>
      </c>
      <c r="D472" s="103" t="s">
        <v>1266</v>
      </c>
      <c r="E472" s="103" t="s">
        <v>1633</v>
      </c>
      <c r="F472" s="104" t="s">
        <v>1757</v>
      </c>
      <c r="G472" s="110" t="s">
        <v>1288</v>
      </c>
      <c r="H472" s="103"/>
      <c r="I472" s="107"/>
      <c r="J472" s="108" t="s">
        <v>1793</v>
      </c>
      <c r="K472" s="108" t="str">
        <f>_xlfn.XLOOKUP(J472,[1]Sheet1!$A:$A,[1]Sheet1!$B:$B,"")</f>
        <v>#ERROR!</v>
      </c>
      <c r="L472" s="353" t="s">
        <v>1794</v>
      </c>
      <c r="M472" s="105" t="s">
        <v>1795</v>
      </c>
      <c r="N472" s="110" t="s">
        <v>1796</v>
      </c>
      <c r="O472" s="104" t="s">
        <v>95</v>
      </c>
      <c r="P472" s="104"/>
      <c r="Q472" s="104" t="s">
        <v>554</v>
      </c>
      <c r="R472" s="110" t="s">
        <v>1176</v>
      </c>
      <c r="S472" s="110">
        <v>540.0</v>
      </c>
      <c r="T472" s="110" t="s">
        <v>1797</v>
      </c>
      <c r="U472" s="110" t="s">
        <v>1671</v>
      </c>
      <c r="V472" s="112">
        <v>0.021</v>
      </c>
      <c r="W472" s="113">
        <v>30.0</v>
      </c>
      <c r="X472" s="110">
        <v>45.0</v>
      </c>
      <c r="Y472" s="110">
        <v>55.0</v>
      </c>
      <c r="Z472" s="110" t="s">
        <v>99</v>
      </c>
      <c r="AA472" s="114">
        <f t="shared" si="728"/>
        <v>10.86095498</v>
      </c>
      <c r="AB472" s="115"/>
      <c r="AC472" s="212">
        <f t="shared" si="729"/>
        <v>8.720869279</v>
      </c>
      <c r="AD472" s="213">
        <f t="shared" si="244"/>
        <v>9.377278795</v>
      </c>
      <c r="AE472" s="212"/>
      <c r="AF472" s="212" t="str">
        <f t="shared" si="94"/>
        <v>#REF!</v>
      </c>
      <c r="AG472" s="210" t="str">
        <f t="shared" si="95"/>
        <v>#REF!</v>
      </c>
      <c r="AH472" s="120" t="str">
        <f t="shared" si="96"/>
        <v>#REF!</v>
      </c>
      <c r="AI472" s="121">
        <f t="shared" si="497"/>
        <v>0.1</v>
      </c>
      <c r="AJ472" s="121">
        <v>0.1</v>
      </c>
      <c r="AK472" s="122">
        <v>0.295</v>
      </c>
      <c r="AL472" s="123">
        <f t="shared" si="11"/>
        <v>2.572656437</v>
      </c>
      <c r="AM472" s="122" t="s">
        <v>6</v>
      </c>
      <c r="AN472" s="111">
        <f t="shared" si="730"/>
        <v>7.848782351</v>
      </c>
      <c r="AO472" s="112">
        <f t="shared" si="731"/>
        <v>0.2166666667</v>
      </c>
      <c r="AP472" s="127"/>
      <c r="AQ472" s="146">
        <f t="shared" ref="AQ472:AR472" si="732">BC472/(1-AI472)</f>
        <v>7.439754165</v>
      </c>
      <c r="AR472" s="352">
        <f t="shared" si="732"/>
        <v>6.831347602</v>
      </c>
      <c r="AS472" s="148">
        <f t="shared" si="733"/>
        <v>0.315</v>
      </c>
      <c r="AT472" s="148">
        <f t="shared" si="734"/>
        <v>0.2166666667</v>
      </c>
      <c r="AU472" s="129">
        <v>7.25</v>
      </c>
      <c r="AV472" s="39" t="s">
        <v>1275</v>
      </c>
      <c r="AW472" s="354"/>
      <c r="AX472" s="140"/>
      <c r="AY472" s="140"/>
      <c r="AZ472" s="130">
        <v>3.0</v>
      </c>
      <c r="BA472" s="130">
        <f>7+1.5*24</f>
        <v>43</v>
      </c>
      <c r="BB472" s="130">
        <f t="shared" si="735"/>
        <v>46</v>
      </c>
      <c r="BC472" s="131">
        <f t="shared" si="736"/>
        <v>6.695778748</v>
      </c>
      <c r="BD472" s="132">
        <f t="shared" si="737"/>
        <v>6.148212842</v>
      </c>
      <c r="BE472" s="315"/>
      <c r="BF472" s="134">
        <v>8.517799E9</v>
      </c>
      <c r="BG472" s="49"/>
      <c r="BH472" s="224">
        <f t="shared" si="714"/>
        <v>29.06956426</v>
      </c>
      <c r="BI472" s="224">
        <f t="shared" si="715"/>
        <v>17.44173856</v>
      </c>
      <c r="BJ472" s="224">
        <f t="shared" si="716"/>
        <v>14.53478213</v>
      </c>
      <c r="BK472" s="224">
        <f t="shared" si="717"/>
        <v>11.62782571</v>
      </c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</row>
    <row r="473" ht="14.25" customHeight="1">
      <c r="A473" s="103" t="s">
        <v>84</v>
      </c>
      <c r="B473" s="103" t="s">
        <v>120</v>
      </c>
      <c r="C473" s="103" t="s">
        <v>120</v>
      </c>
      <c r="D473" s="103" t="s">
        <v>1266</v>
      </c>
      <c r="E473" s="103" t="s">
        <v>1633</v>
      </c>
      <c r="F473" s="104" t="s">
        <v>1757</v>
      </c>
      <c r="G473" s="110" t="s">
        <v>1288</v>
      </c>
      <c r="H473" s="103"/>
      <c r="I473" s="107"/>
      <c r="J473" s="108" t="s">
        <v>1798</v>
      </c>
      <c r="K473" s="108" t="str">
        <f>_xlfn.XLOOKUP(J473,[1]Sheet1!$A:$A,[1]Sheet1!$B:$B,"")</f>
        <v>#ERROR!</v>
      </c>
      <c r="L473" s="353" t="s">
        <v>1799</v>
      </c>
      <c r="M473" s="105" t="s">
        <v>1800</v>
      </c>
      <c r="N473" s="110" t="s">
        <v>1796</v>
      </c>
      <c r="O473" s="104" t="s">
        <v>95</v>
      </c>
      <c r="P473" s="104"/>
      <c r="Q473" s="104" t="s">
        <v>554</v>
      </c>
      <c r="R473" s="110" t="s">
        <v>1176</v>
      </c>
      <c r="S473" s="110">
        <v>540.0</v>
      </c>
      <c r="T473" s="110" t="s">
        <v>1801</v>
      </c>
      <c r="U473" s="110" t="s">
        <v>1671</v>
      </c>
      <c r="V473" s="112">
        <v>0.021</v>
      </c>
      <c r="W473" s="113">
        <v>30.0</v>
      </c>
      <c r="X473" s="110">
        <v>45.0</v>
      </c>
      <c r="Y473" s="110">
        <v>55.0</v>
      </c>
      <c r="Z473" s="110" t="s">
        <v>99</v>
      </c>
      <c r="AA473" s="114">
        <f t="shared" si="728"/>
        <v>8.02766238</v>
      </c>
      <c r="AB473" s="115"/>
      <c r="AC473" s="212">
        <f t="shared" si="729"/>
        <v>6.51438356</v>
      </c>
      <c r="AD473" s="213">
        <f t="shared" si="244"/>
        <v>7.004713505</v>
      </c>
      <c r="AE473" s="212"/>
      <c r="AF473" s="212" t="str">
        <f t="shared" si="94"/>
        <v>#REF!</v>
      </c>
      <c r="AG473" s="210" t="str">
        <f t="shared" si="95"/>
        <v>#REF!</v>
      </c>
      <c r="AH473" s="120" t="str">
        <f t="shared" si="96"/>
        <v>#REF!</v>
      </c>
      <c r="AI473" s="121">
        <f t="shared" si="497"/>
        <v>0.1</v>
      </c>
      <c r="AJ473" s="121">
        <v>0.1</v>
      </c>
      <c r="AK473" s="122">
        <v>0.295</v>
      </c>
      <c r="AL473" s="123">
        <f t="shared" si="11"/>
        <v>1.92174315</v>
      </c>
      <c r="AM473" s="122" t="s">
        <v>6</v>
      </c>
      <c r="AN473" s="111">
        <f t="shared" si="730"/>
        <v>5.862945204</v>
      </c>
      <c r="AO473" s="112">
        <f t="shared" si="731"/>
        <v>0.2166666667</v>
      </c>
      <c r="AP473" s="127"/>
      <c r="AQ473" s="146">
        <f t="shared" ref="AQ473:AR473" si="738">BC473/(1-AI473)</f>
        <v>5.49894873</v>
      </c>
      <c r="AR473" s="352">
        <f t="shared" si="738"/>
        <v>5.102933788</v>
      </c>
      <c r="AS473" s="148">
        <f t="shared" si="733"/>
        <v>0.315</v>
      </c>
      <c r="AT473" s="148">
        <f t="shared" si="734"/>
        <v>0.2166666667</v>
      </c>
      <c r="AU473" s="129">
        <v>4.41</v>
      </c>
      <c r="AV473" s="39" t="s">
        <v>1275</v>
      </c>
      <c r="AW473" s="354"/>
      <c r="AX473" s="140"/>
      <c r="AY473" s="140"/>
      <c r="AZ473" s="130">
        <v>3.0</v>
      </c>
      <c r="BA473" s="130">
        <f>7+1.5*12+0.5*12</f>
        <v>31</v>
      </c>
      <c r="BB473" s="130">
        <f t="shared" si="735"/>
        <v>34</v>
      </c>
      <c r="BC473" s="131">
        <f t="shared" si="736"/>
        <v>4.949053857</v>
      </c>
      <c r="BD473" s="132">
        <f t="shared" si="737"/>
        <v>4.59264041</v>
      </c>
      <c r="BE473" s="315"/>
      <c r="BF473" s="134">
        <v>8.517799E9</v>
      </c>
      <c r="BG473" s="49"/>
      <c r="BH473" s="224">
        <f t="shared" si="714"/>
        <v>21.71461187</v>
      </c>
      <c r="BI473" s="224">
        <f t="shared" si="715"/>
        <v>13.02876712</v>
      </c>
      <c r="BJ473" s="224">
        <f t="shared" si="716"/>
        <v>10.85730593</v>
      </c>
      <c r="BK473" s="224">
        <f t="shared" si="717"/>
        <v>8.685844746</v>
      </c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</row>
    <row r="474" ht="14.25" customHeight="1">
      <c r="A474" s="103" t="s">
        <v>84</v>
      </c>
      <c r="B474" s="103" t="s">
        <v>120</v>
      </c>
      <c r="C474" s="103" t="s">
        <v>120</v>
      </c>
      <c r="D474" s="103" t="s">
        <v>1266</v>
      </c>
      <c r="E474" s="103" t="s">
        <v>1633</v>
      </c>
      <c r="F474" s="104" t="s">
        <v>1757</v>
      </c>
      <c r="G474" s="110" t="s">
        <v>1268</v>
      </c>
      <c r="H474" s="103"/>
      <c r="I474" s="107"/>
      <c r="J474" s="108" t="s">
        <v>1802</v>
      </c>
      <c r="K474" s="108" t="str">
        <f>_xlfn.XLOOKUP(J474,[1]Sheet1!$A:$A,[1]Sheet1!$B:$B,"")</f>
        <v>#ERROR!</v>
      </c>
      <c r="L474" s="353" t="s">
        <v>1803</v>
      </c>
      <c r="M474" s="105" t="s">
        <v>1804</v>
      </c>
      <c r="N474" s="110" t="s">
        <v>1796</v>
      </c>
      <c r="O474" s="104" t="s">
        <v>95</v>
      </c>
      <c r="P474" s="104"/>
      <c r="Q474" s="104" t="s">
        <v>554</v>
      </c>
      <c r="R474" s="110" t="s">
        <v>1176</v>
      </c>
      <c r="S474" s="110">
        <v>540.0</v>
      </c>
      <c r="T474" s="110" t="s">
        <v>1805</v>
      </c>
      <c r="U474" s="110" t="s">
        <v>1671</v>
      </c>
      <c r="V474" s="112">
        <v>0.021</v>
      </c>
      <c r="W474" s="113">
        <v>30.0</v>
      </c>
      <c r="X474" s="110">
        <v>45.0</v>
      </c>
      <c r="Y474" s="110">
        <v>55.0</v>
      </c>
      <c r="Z474" s="110" t="s">
        <v>99</v>
      </c>
      <c r="AA474" s="114">
        <f t="shared" si="728"/>
        <v>13.69424759</v>
      </c>
      <c r="AB474" s="115"/>
      <c r="AC474" s="212">
        <f t="shared" si="729"/>
        <v>10.927355</v>
      </c>
      <c r="AD474" s="213">
        <f t="shared" si="244"/>
        <v>11.74984408</v>
      </c>
      <c r="AE474" s="212"/>
      <c r="AF474" s="212" t="str">
        <f t="shared" si="94"/>
        <v>#REF!</v>
      </c>
      <c r="AG474" s="210" t="str">
        <f t="shared" si="95"/>
        <v>#REF!</v>
      </c>
      <c r="AH474" s="120" t="str">
        <f t="shared" si="96"/>
        <v>#REF!</v>
      </c>
      <c r="AI474" s="121">
        <f t="shared" si="497"/>
        <v>0.1</v>
      </c>
      <c r="AJ474" s="121">
        <v>0.1</v>
      </c>
      <c r="AK474" s="122">
        <v>0.295</v>
      </c>
      <c r="AL474" s="123">
        <f t="shared" si="11"/>
        <v>3.223569724</v>
      </c>
      <c r="AM474" s="122" t="s">
        <v>6</v>
      </c>
      <c r="AN474" s="111">
        <f t="shared" si="730"/>
        <v>9.834619498</v>
      </c>
      <c r="AO474" s="112">
        <f t="shared" si="731"/>
        <v>0.2166666667</v>
      </c>
      <c r="AP474" s="127"/>
      <c r="AQ474" s="146">
        <f t="shared" ref="AQ474:AR474" si="739">BC474/(1-AI474)</f>
        <v>9.380559599</v>
      </c>
      <c r="AR474" s="352">
        <f t="shared" si="739"/>
        <v>8.559761415</v>
      </c>
      <c r="AS474" s="148">
        <f t="shared" si="733"/>
        <v>0.315</v>
      </c>
      <c r="AT474" s="148">
        <f t="shared" si="734"/>
        <v>0.2166666667</v>
      </c>
      <c r="AU474" s="129"/>
      <c r="AV474" s="39" t="s">
        <v>1275</v>
      </c>
      <c r="AW474" s="354"/>
      <c r="AX474" s="140"/>
      <c r="AY474" s="140"/>
      <c r="AZ474" s="130">
        <v>3.0</v>
      </c>
      <c r="BA474" s="130">
        <f>7+24*2</f>
        <v>55</v>
      </c>
      <c r="BB474" s="130">
        <f t="shared" si="735"/>
        <v>58</v>
      </c>
      <c r="BC474" s="131">
        <f t="shared" si="736"/>
        <v>8.442503639</v>
      </c>
      <c r="BD474" s="132">
        <f t="shared" si="737"/>
        <v>7.703785274</v>
      </c>
      <c r="BE474" s="315"/>
      <c r="BF474" s="134">
        <v>8.517799E9</v>
      </c>
      <c r="BG474" s="49"/>
      <c r="BH474" s="224">
        <f t="shared" si="714"/>
        <v>36.42451666</v>
      </c>
      <c r="BI474" s="224">
        <f t="shared" si="715"/>
        <v>21.85471</v>
      </c>
      <c r="BJ474" s="224">
        <f t="shared" si="716"/>
        <v>18.21225833</v>
      </c>
      <c r="BK474" s="224">
        <f t="shared" si="717"/>
        <v>14.56980666</v>
      </c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</row>
    <row r="475" ht="14.25" customHeight="1">
      <c r="A475" s="103" t="s">
        <v>84</v>
      </c>
      <c r="B475" s="103" t="s">
        <v>120</v>
      </c>
      <c r="C475" s="103" t="s">
        <v>120</v>
      </c>
      <c r="D475" s="103" t="s">
        <v>1266</v>
      </c>
      <c r="E475" s="103" t="s">
        <v>1633</v>
      </c>
      <c r="F475" s="104" t="s">
        <v>1757</v>
      </c>
      <c r="G475" s="110" t="s">
        <v>1268</v>
      </c>
      <c r="H475" s="103"/>
      <c r="I475" s="107"/>
      <c r="J475" s="108" t="s">
        <v>1806</v>
      </c>
      <c r="K475" s="108" t="str">
        <f>_xlfn.XLOOKUP(J475,[1]Sheet1!$A:$A,[1]Sheet1!$B:$B,"")</f>
        <v>#ERROR!</v>
      </c>
      <c r="L475" s="353" t="s">
        <v>1807</v>
      </c>
      <c r="M475" s="105" t="s">
        <v>1808</v>
      </c>
      <c r="N475" s="110" t="s">
        <v>1796</v>
      </c>
      <c r="O475" s="104" t="s">
        <v>95</v>
      </c>
      <c r="P475" s="104"/>
      <c r="Q475" s="104" t="s">
        <v>554</v>
      </c>
      <c r="R475" s="110" t="s">
        <v>1176</v>
      </c>
      <c r="S475" s="110">
        <v>540.0</v>
      </c>
      <c r="T475" s="110" t="s">
        <v>1809</v>
      </c>
      <c r="U475" s="110" t="s">
        <v>1671</v>
      </c>
      <c r="V475" s="112">
        <v>0.021</v>
      </c>
      <c r="W475" s="113">
        <v>30.0</v>
      </c>
      <c r="X475" s="110">
        <v>45.0</v>
      </c>
      <c r="Y475" s="110">
        <v>55.0</v>
      </c>
      <c r="Z475" s="110" t="s">
        <v>99</v>
      </c>
      <c r="AA475" s="114">
        <f t="shared" si="728"/>
        <v>8.735985531</v>
      </c>
      <c r="AB475" s="115"/>
      <c r="AC475" s="212">
        <f t="shared" si="729"/>
        <v>7.066004989</v>
      </c>
      <c r="AD475" s="213">
        <f t="shared" si="244"/>
        <v>7.597854827</v>
      </c>
      <c r="AE475" s="212"/>
      <c r="AF475" s="212" t="str">
        <f t="shared" si="94"/>
        <v>#REF!</v>
      </c>
      <c r="AG475" s="210" t="str">
        <f t="shared" si="95"/>
        <v>#REF!</v>
      </c>
      <c r="AH475" s="120" t="str">
        <f t="shared" si="96"/>
        <v>#REF!</v>
      </c>
      <c r="AI475" s="121">
        <f t="shared" si="497"/>
        <v>0.1</v>
      </c>
      <c r="AJ475" s="121">
        <v>0.1</v>
      </c>
      <c r="AK475" s="122">
        <v>0.295</v>
      </c>
      <c r="AL475" s="123">
        <f t="shared" si="11"/>
        <v>2.084471472</v>
      </c>
      <c r="AM475" s="122" t="s">
        <v>6</v>
      </c>
      <c r="AN475" s="111">
        <f t="shared" si="730"/>
        <v>6.359404491</v>
      </c>
      <c r="AO475" s="112">
        <f t="shared" si="731"/>
        <v>0.2166666667</v>
      </c>
      <c r="AP475" s="127"/>
      <c r="AQ475" s="146">
        <f t="shared" ref="AQ475:AR475" si="740">BC475/(1-AI475)</f>
        <v>5.984150089</v>
      </c>
      <c r="AR475" s="352">
        <f t="shared" si="740"/>
        <v>5.535037242</v>
      </c>
      <c r="AS475" s="148">
        <f t="shared" si="733"/>
        <v>0.315</v>
      </c>
      <c r="AT475" s="148">
        <f t="shared" si="734"/>
        <v>0.2166666667</v>
      </c>
      <c r="AU475" s="129">
        <v>5.36</v>
      </c>
      <c r="AV475" s="39" t="s">
        <v>1275</v>
      </c>
      <c r="AW475" s="354"/>
      <c r="AX475" s="140"/>
      <c r="AY475" s="140"/>
      <c r="AZ475" s="130">
        <v>3.0</v>
      </c>
      <c r="BA475" s="130">
        <f>7+12*2+0.25*12</f>
        <v>34</v>
      </c>
      <c r="BB475" s="130">
        <f t="shared" si="735"/>
        <v>37</v>
      </c>
      <c r="BC475" s="131">
        <f t="shared" si="736"/>
        <v>5.38573508</v>
      </c>
      <c r="BD475" s="132">
        <f t="shared" si="737"/>
        <v>4.981533518</v>
      </c>
      <c r="BE475" s="315"/>
      <c r="BF475" s="134">
        <v>8.517799E9</v>
      </c>
      <c r="BG475" s="49"/>
      <c r="BH475" s="224">
        <f t="shared" si="714"/>
        <v>23.55334996</v>
      </c>
      <c r="BI475" s="224">
        <f t="shared" si="715"/>
        <v>14.13200998</v>
      </c>
      <c r="BJ475" s="224">
        <f t="shared" si="716"/>
        <v>11.77667498</v>
      </c>
      <c r="BK475" s="224">
        <f t="shared" si="717"/>
        <v>9.421339986</v>
      </c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</row>
    <row r="476" ht="14.25" customHeight="1">
      <c r="A476" s="103" t="s">
        <v>84</v>
      </c>
      <c r="B476" s="103" t="s">
        <v>120</v>
      </c>
      <c r="C476" s="103" t="s">
        <v>120</v>
      </c>
      <c r="D476" s="103" t="s">
        <v>1266</v>
      </c>
      <c r="E476" s="103" t="s">
        <v>1633</v>
      </c>
      <c r="F476" s="104" t="s">
        <v>1757</v>
      </c>
      <c r="G476" s="110" t="s">
        <v>1288</v>
      </c>
      <c r="H476" s="103"/>
      <c r="I476" s="107"/>
      <c r="J476" s="108" t="s">
        <v>1810</v>
      </c>
      <c r="K476" s="108" t="str">
        <f>_xlfn.XLOOKUP(J476,[1]Sheet1!$A:$A,[1]Sheet1!$B:$B,"")</f>
        <v>#ERROR!</v>
      </c>
      <c r="L476" s="353" t="s">
        <v>1811</v>
      </c>
      <c r="M476" s="105" t="s">
        <v>1812</v>
      </c>
      <c r="N476" s="110" t="s">
        <v>1796</v>
      </c>
      <c r="O476" s="104" t="s">
        <v>95</v>
      </c>
      <c r="P476" s="104"/>
      <c r="Q476" s="104" t="s">
        <v>554</v>
      </c>
      <c r="R476" s="110" t="s">
        <v>1176</v>
      </c>
      <c r="S476" s="110">
        <v>540.0</v>
      </c>
      <c r="T476" s="110" t="s">
        <v>1813</v>
      </c>
      <c r="U476" s="110" t="s">
        <v>1671</v>
      </c>
      <c r="V476" s="112">
        <v>0.021</v>
      </c>
      <c r="W476" s="113">
        <v>30.0</v>
      </c>
      <c r="X476" s="110">
        <v>45.0</v>
      </c>
      <c r="Y476" s="110">
        <v>55.0</v>
      </c>
      <c r="Z476" s="110" t="s">
        <v>99</v>
      </c>
      <c r="AA476" s="114">
        <f t="shared" si="728"/>
        <v>10.86095498</v>
      </c>
      <c r="AB476" s="115"/>
      <c r="AC476" s="212">
        <f t="shared" si="729"/>
        <v>8.720869279</v>
      </c>
      <c r="AD476" s="213">
        <f t="shared" si="244"/>
        <v>9.377278795</v>
      </c>
      <c r="AE476" s="212"/>
      <c r="AF476" s="212" t="str">
        <f t="shared" si="94"/>
        <v>#REF!</v>
      </c>
      <c r="AG476" s="210" t="str">
        <f t="shared" si="95"/>
        <v>#REF!</v>
      </c>
      <c r="AH476" s="120" t="str">
        <f t="shared" si="96"/>
        <v>#REF!</v>
      </c>
      <c r="AI476" s="121">
        <f t="shared" si="497"/>
        <v>0.1</v>
      </c>
      <c r="AJ476" s="121">
        <v>0.1</v>
      </c>
      <c r="AK476" s="122">
        <v>0.295</v>
      </c>
      <c r="AL476" s="123">
        <f t="shared" si="11"/>
        <v>2.572656437</v>
      </c>
      <c r="AM476" s="122" t="s">
        <v>6</v>
      </c>
      <c r="AN476" s="111">
        <f t="shared" si="730"/>
        <v>7.848782351</v>
      </c>
      <c r="AO476" s="112">
        <f t="shared" si="731"/>
        <v>0.2166666667</v>
      </c>
      <c r="AP476" s="127"/>
      <c r="AQ476" s="146">
        <f t="shared" ref="AQ476:AR476" si="741">BC476/(1-AI476)</f>
        <v>7.439754165</v>
      </c>
      <c r="AR476" s="352">
        <f t="shared" si="741"/>
        <v>6.831347602</v>
      </c>
      <c r="AS476" s="148">
        <f t="shared" si="733"/>
        <v>0.315</v>
      </c>
      <c r="AT476" s="148">
        <f t="shared" si="734"/>
        <v>0.2166666667</v>
      </c>
      <c r="AU476" s="129">
        <v>7.25</v>
      </c>
      <c r="AV476" s="39" t="s">
        <v>1275</v>
      </c>
      <c r="AW476" s="354"/>
      <c r="AX476" s="140"/>
      <c r="AY476" s="140"/>
      <c r="AZ476" s="130">
        <v>3.0</v>
      </c>
      <c r="BA476" s="130">
        <f>7+1.5*24</f>
        <v>43</v>
      </c>
      <c r="BB476" s="130">
        <f t="shared" si="735"/>
        <v>46</v>
      </c>
      <c r="BC476" s="131">
        <f t="shared" si="736"/>
        <v>6.695778748</v>
      </c>
      <c r="BD476" s="132">
        <f t="shared" si="737"/>
        <v>6.148212842</v>
      </c>
      <c r="BE476" s="315"/>
      <c r="BF476" s="134">
        <v>8.517799E9</v>
      </c>
      <c r="BG476" s="49"/>
      <c r="BH476" s="224">
        <f t="shared" si="714"/>
        <v>29.06956426</v>
      </c>
      <c r="BI476" s="224">
        <f t="shared" si="715"/>
        <v>17.44173856</v>
      </c>
      <c r="BJ476" s="224">
        <f t="shared" si="716"/>
        <v>14.53478213</v>
      </c>
      <c r="BK476" s="224">
        <f t="shared" si="717"/>
        <v>11.62782571</v>
      </c>
      <c r="BL476" s="49"/>
      <c r="BM476" s="49"/>
      <c r="BN476" s="49"/>
      <c r="BO476" s="49"/>
      <c r="BP476" s="49"/>
      <c r="BQ476" s="49"/>
      <c r="BR476" s="49"/>
      <c r="BS476" s="49"/>
      <c r="BT476" s="49"/>
      <c r="BU476" s="49"/>
      <c r="BV476" s="49"/>
      <c r="BW476" s="49"/>
      <c r="BX476" s="49"/>
      <c r="BY476" s="49"/>
      <c r="BZ476" s="49"/>
      <c r="CA476" s="49"/>
      <c r="CB476" s="49"/>
      <c r="CC476" s="49"/>
      <c r="CD476" s="49"/>
      <c r="CE476" s="49"/>
      <c r="CF476" s="49"/>
    </row>
    <row r="477" ht="14.25" customHeight="1">
      <c r="A477" s="103" t="s">
        <v>84</v>
      </c>
      <c r="B477" s="103" t="s">
        <v>120</v>
      </c>
      <c r="C477" s="103" t="s">
        <v>120</v>
      </c>
      <c r="D477" s="103" t="s">
        <v>1266</v>
      </c>
      <c r="E477" s="103" t="s">
        <v>1633</v>
      </c>
      <c r="F477" s="104" t="s">
        <v>1757</v>
      </c>
      <c r="G477" s="110" t="s">
        <v>1288</v>
      </c>
      <c r="H477" s="103"/>
      <c r="I477" s="107"/>
      <c r="J477" s="108" t="s">
        <v>1814</v>
      </c>
      <c r="K477" s="108" t="str">
        <f>_xlfn.XLOOKUP(J477,[1]Sheet1!$A:$A,[1]Sheet1!$B:$B,"")</f>
        <v>#ERROR!</v>
      </c>
      <c r="L477" s="353" t="s">
        <v>1815</v>
      </c>
      <c r="M477" s="105" t="s">
        <v>1816</v>
      </c>
      <c r="N477" s="110" t="s">
        <v>1796</v>
      </c>
      <c r="O477" s="104" t="s">
        <v>95</v>
      </c>
      <c r="P477" s="104"/>
      <c r="Q477" s="104" t="s">
        <v>554</v>
      </c>
      <c r="R477" s="110" t="s">
        <v>1176</v>
      </c>
      <c r="S477" s="110">
        <v>540.0</v>
      </c>
      <c r="T477" s="110" t="s">
        <v>1817</v>
      </c>
      <c r="U477" s="110" t="s">
        <v>1671</v>
      </c>
      <c r="V477" s="112">
        <v>0.021</v>
      </c>
      <c r="W477" s="113">
        <v>30.0</v>
      </c>
      <c r="X477" s="110">
        <v>45.0</v>
      </c>
      <c r="Y477" s="110">
        <v>55.0</v>
      </c>
      <c r="Z477" s="110" t="s">
        <v>99</v>
      </c>
      <c r="AA477" s="114">
        <f t="shared" si="728"/>
        <v>8.02766238</v>
      </c>
      <c r="AB477" s="115"/>
      <c r="AC477" s="212">
        <f t="shared" si="729"/>
        <v>6.51438356</v>
      </c>
      <c r="AD477" s="213">
        <f t="shared" si="244"/>
        <v>7.004713505</v>
      </c>
      <c r="AE477" s="212"/>
      <c r="AF477" s="212" t="str">
        <f t="shared" si="94"/>
        <v>#REF!</v>
      </c>
      <c r="AG477" s="210" t="str">
        <f t="shared" si="95"/>
        <v>#REF!</v>
      </c>
      <c r="AH477" s="120" t="str">
        <f t="shared" si="96"/>
        <v>#REF!</v>
      </c>
      <c r="AI477" s="121">
        <f t="shared" si="497"/>
        <v>0.1</v>
      </c>
      <c r="AJ477" s="121">
        <v>0.1</v>
      </c>
      <c r="AK477" s="122">
        <v>0.295</v>
      </c>
      <c r="AL477" s="123">
        <f t="shared" si="11"/>
        <v>1.92174315</v>
      </c>
      <c r="AM477" s="122" t="s">
        <v>6</v>
      </c>
      <c r="AN477" s="111">
        <f t="shared" si="730"/>
        <v>5.862945204</v>
      </c>
      <c r="AO477" s="112">
        <f t="shared" si="731"/>
        <v>0.2166666667</v>
      </c>
      <c r="AP477" s="127"/>
      <c r="AQ477" s="146">
        <f t="shared" ref="AQ477:AR477" si="742">BC477/(1-AI477)</f>
        <v>5.49894873</v>
      </c>
      <c r="AR477" s="352">
        <f t="shared" si="742"/>
        <v>5.102933788</v>
      </c>
      <c r="AS477" s="148">
        <f t="shared" si="733"/>
        <v>0.315</v>
      </c>
      <c r="AT477" s="148">
        <f t="shared" si="734"/>
        <v>0.2166666667</v>
      </c>
      <c r="AU477" s="129">
        <v>4.41</v>
      </c>
      <c r="AV477" s="39" t="s">
        <v>1275</v>
      </c>
      <c r="AW477" s="354"/>
      <c r="AX477" s="140"/>
      <c r="AY477" s="140"/>
      <c r="AZ477" s="130">
        <v>3.0</v>
      </c>
      <c r="BA477" s="130">
        <f>7+1.5*12+0.5*12</f>
        <v>31</v>
      </c>
      <c r="BB477" s="130">
        <f t="shared" si="735"/>
        <v>34</v>
      </c>
      <c r="BC477" s="131">
        <f t="shared" si="736"/>
        <v>4.949053857</v>
      </c>
      <c r="BD477" s="132">
        <f t="shared" si="737"/>
        <v>4.59264041</v>
      </c>
      <c r="BE477" s="315"/>
      <c r="BF477" s="134">
        <v>8.517799E9</v>
      </c>
      <c r="BG477" s="49"/>
      <c r="BH477" s="224">
        <f t="shared" si="714"/>
        <v>21.71461187</v>
      </c>
      <c r="BI477" s="224">
        <f t="shared" si="715"/>
        <v>13.02876712</v>
      </c>
      <c r="BJ477" s="224">
        <f t="shared" si="716"/>
        <v>10.85730593</v>
      </c>
      <c r="BK477" s="224">
        <f t="shared" si="717"/>
        <v>8.685844746</v>
      </c>
      <c r="BL477" s="49"/>
      <c r="BM477" s="49"/>
      <c r="BN477" s="49"/>
      <c r="BO477" s="49"/>
      <c r="BP477" s="49"/>
      <c r="BQ477" s="49"/>
      <c r="BR477" s="49"/>
      <c r="BS477" s="49"/>
      <c r="BT477" s="49"/>
      <c r="BU477" s="49"/>
      <c r="BV477" s="49"/>
      <c r="BW477" s="49"/>
      <c r="BX477" s="49"/>
      <c r="BY477" s="49"/>
      <c r="BZ477" s="49"/>
      <c r="CA477" s="49"/>
      <c r="CB477" s="49"/>
      <c r="CC477" s="49"/>
      <c r="CD477" s="49"/>
      <c r="CE477" s="49"/>
      <c r="CF477" s="49"/>
    </row>
    <row r="478" ht="14.25" customHeight="1">
      <c r="A478" s="103" t="s">
        <v>84</v>
      </c>
      <c r="B478" s="103" t="s">
        <v>120</v>
      </c>
      <c r="C478" s="103" t="s">
        <v>120</v>
      </c>
      <c r="D478" s="103" t="s">
        <v>1266</v>
      </c>
      <c r="E478" s="103" t="s">
        <v>1633</v>
      </c>
      <c r="F478" s="104" t="s">
        <v>1757</v>
      </c>
      <c r="G478" s="110" t="s">
        <v>1268</v>
      </c>
      <c r="H478" s="103"/>
      <c r="I478" s="107"/>
      <c r="J478" s="108" t="s">
        <v>1818</v>
      </c>
      <c r="K478" s="108" t="str">
        <f>_xlfn.XLOOKUP(J478,[1]Sheet1!$A:$A,[1]Sheet1!$B:$B,"")</f>
        <v>#ERROR!</v>
      </c>
      <c r="L478" s="353" t="s">
        <v>1819</v>
      </c>
      <c r="M478" s="105" t="s">
        <v>1820</v>
      </c>
      <c r="N478" s="110" t="s">
        <v>1796</v>
      </c>
      <c r="O478" s="104" t="s">
        <v>95</v>
      </c>
      <c r="P478" s="104"/>
      <c r="Q478" s="104" t="s">
        <v>554</v>
      </c>
      <c r="R478" s="110" t="s">
        <v>1176</v>
      </c>
      <c r="S478" s="110">
        <v>540.0</v>
      </c>
      <c r="T478" s="110" t="s">
        <v>1821</v>
      </c>
      <c r="U478" s="110" t="s">
        <v>1671</v>
      </c>
      <c r="V478" s="112">
        <v>0.021</v>
      </c>
      <c r="W478" s="113">
        <v>30.0</v>
      </c>
      <c r="X478" s="110">
        <v>45.0</v>
      </c>
      <c r="Y478" s="110">
        <v>55.0</v>
      </c>
      <c r="Z478" s="110" t="s">
        <v>99</v>
      </c>
      <c r="AA478" s="114">
        <f t="shared" si="728"/>
        <v>13.69424759</v>
      </c>
      <c r="AB478" s="115"/>
      <c r="AC478" s="212">
        <f t="shared" si="729"/>
        <v>10.927355</v>
      </c>
      <c r="AD478" s="213">
        <f t="shared" si="244"/>
        <v>11.74984408</v>
      </c>
      <c r="AE478" s="212"/>
      <c r="AF478" s="212" t="str">
        <f t="shared" si="94"/>
        <v>#REF!</v>
      </c>
      <c r="AG478" s="210" t="str">
        <f t="shared" si="95"/>
        <v>#REF!</v>
      </c>
      <c r="AH478" s="120" t="str">
        <f t="shared" si="96"/>
        <v>#REF!</v>
      </c>
      <c r="AI478" s="121">
        <f t="shared" si="497"/>
        <v>0.1</v>
      </c>
      <c r="AJ478" s="121">
        <v>0.1</v>
      </c>
      <c r="AK478" s="122">
        <v>0.295</v>
      </c>
      <c r="AL478" s="123">
        <f t="shared" si="11"/>
        <v>3.223569724</v>
      </c>
      <c r="AM478" s="122" t="s">
        <v>6</v>
      </c>
      <c r="AN478" s="111">
        <f t="shared" si="730"/>
        <v>9.834619498</v>
      </c>
      <c r="AO478" s="112">
        <f t="shared" si="731"/>
        <v>0.2166666667</v>
      </c>
      <c r="AP478" s="127"/>
      <c r="AQ478" s="146">
        <f t="shared" ref="AQ478:AR478" si="743">BC478/(1-AI478)</f>
        <v>9.380559599</v>
      </c>
      <c r="AR478" s="352">
        <f t="shared" si="743"/>
        <v>8.559761415</v>
      </c>
      <c r="AS478" s="148">
        <f t="shared" si="733"/>
        <v>0.315</v>
      </c>
      <c r="AT478" s="148">
        <f t="shared" si="734"/>
        <v>0.2166666667</v>
      </c>
      <c r="AU478" s="129"/>
      <c r="AV478" s="39" t="s">
        <v>1275</v>
      </c>
      <c r="AW478" s="354"/>
      <c r="AX478" s="140"/>
      <c r="AY478" s="140"/>
      <c r="AZ478" s="130">
        <v>3.0</v>
      </c>
      <c r="BA478" s="130">
        <f>7+24*2</f>
        <v>55</v>
      </c>
      <c r="BB478" s="130">
        <f t="shared" si="735"/>
        <v>58</v>
      </c>
      <c r="BC478" s="131">
        <f t="shared" si="736"/>
        <v>8.442503639</v>
      </c>
      <c r="BD478" s="132">
        <f t="shared" si="737"/>
        <v>7.703785274</v>
      </c>
      <c r="BE478" s="315"/>
      <c r="BF478" s="134">
        <v>8.517799E9</v>
      </c>
      <c r="BG478" s="49"/>
      <c r="BH478" s="224">
        <f t="shared" si="714"/>
        <v>36.42451666</v>
      </c>
      <c r="BI478" s="224">
        <f t="shared" si="715"/>
        <v>21.85471</v>
      </c>
      <c r="BJ478" s="224">
        <f t="shared" si="716"/>
        <v>18.21225833</v>
      </c>
      <c r="BK478" s="224">
        <f t="shared" si="717"/>
        <v>14.56980666</v>
      </c>
      <c r="BL478" s="49"/>
      <c r="BM478" s="49"/>
      <c r="BN478" s="49"/>
      <c r="BO478" s="49"/>
      <c r="BP478" s="49"/>
      <c r="BQ478" s="49"/>
      <c r="BR478" s="49"/>
      <c r="BS478" s="49"/>
      <c r="BT478" s="49"/>
      <c r="BU478" s="49"/>
      <c r="BV478" s="49"/>
      <c r="BW478" s="49"/>
      <c r="BX478" s="49"/>
      <c r="BY478" s="49"/>
      <c r="BZ478" s="49"/>
      <c r="CA478" s="49"/>
      <c r="CB478" s="49"/>
      <c r="CC478" s="49"/>
      <c r="CD478" s="49"/>
      <c r="CE478" s="49"/>
      <c r="CF478" s="49"/>
    </row>
    <row r="479" ht="14.25" customHeight="1">
      <c r="A479" s="103" t="s">
        <v>84</v>
      </c>
      <c r="B479" s="103" t="s">
        <v>120</v>
      </c>
      <c r="C479" s="103" t="s">
        <v>120</v>
      </c>
      <c r="D479" s="103" t="s">
        <v>1266</v>
      </c>
      <c r="E479" s="103" t="s">
        <v>1633</v>
      </c>
      <c r="F479" s="104" t="s">
        <v>1757</v>
      </c>
      <c r="G479" s="110" t="s">
        <v>1268</v>
      </c>
      <c r="H479" s="103"/>
      <c r="I479" s="107"/>
      <c r="J479" s="108" t="s">
        <v>1822</v>
      </c>
      <c r="K479" s="108" t="str">
        <f>_xlfn.XLOOKUP(J479,[1]Sheet1!$A:$A,[1]Sheet1!$B:$B,"")</f>
        <v>#ERROR!</v>
      </c>
      <c r="L479" s="353" t="s">
        <v>1823</v>
      </c>
      <c r="M479" s="105" t="s">
        <v>1824</v>
      </c>
      <c r="N479" s="110"/>
      <c r="O479" s="104" t="s">
        <v>95</v>
      </c>
      <c r="P479" s="110"/>
      <c r="Q479" s="104" t="s">
        <v>554</v>
      </c>
      <c r="R479" s="110" t="s">
        <v>1176</v>
      </c>
      <c r="S479" s="110">
        <v>540.0</v>
      </c>
      <c r="T479" s="110" t="s">
        <v>1825</v>
      </c>
      <c r="U479" s="110" t="s">
        <v>1671</v>
      </c>
      <c r="V479" s="112">
        <v>0.021</v>
      </c>
      <c r="W479" s="113">
        <v>30.0</v>
      </c>
      <c r="X479" s="110">
        <v>45.0</v>
      </c>
      <c r="Y479" s="110">
        <v>55.0</v>
      </c>
      <c r="Z479" s="110" t="s">
        <v>99</v>
      </c>
      <c r="AA479" s="114">
        <f t="shared" si="728"/>
        <v>8.735985531</v>
      </c>
      <c r="AB479" s="115"/>
      <c r="AC479" s="212">
        <f t="shared" si="729"/>
        <v>7.066004989</v>
      </c>
      <c r="AD479" s="213">
        <f t="shared" si="244"/>
        <v>7.597854827</v>
      </c>
      <c r="AE479" s="212"/>
      <c r="AF479" s="212" t="str">
        <f t="shared" si="94"/>
        <v>#REF!</v>
      </c>
      <c r="AG479" s="210" t="str">
        <f t="shared" si="95"/>
        <v>#REF!</v>
      </c>
      <c r="AH479" s="120" t="str">
        <f t="shared" si="96"/>
        <v>#REF!</v>
      </c>
      <c r="AI479" s="121">
        <f t="shared" si="497"/>
        <v>0.1</v>
      </c>
      <c r="AJ479" s="121">
        <v>0.1</v>
      </c>
      <c r="AK479" s="122">
        <v>0.295</v>
      </c>
      <c r="AL479" s="123">
        <f t="shared" si="11"/>
        <v>2.084471472</v>
      </c>
      <c r="AM479" s="122" t="s">
        <v>6</v>
      </c>
      <c r="AN479" s="111">
        <f t="shared" si="730"/>
        <v>6.359404491</v>
      </c>
      <c r="AO479" s="112">
        <f t="shared" si="731"/>
        <v>0.2166666667</v>
      </c>
      <c r="AP479" s="127"/>
      <c r="AQ479" s="146">
        <f t="shared" ref="AQ479:AR479" si="744">BC479/(1-AI479)</f>
        <v>5.984150089</v>
      </c>
      <c r="AR479" s="352">
        <f t="shared" si="744"/>
        <v>5.535037242</v>
      </c>
      <c r="AS479" s="148">
        <f t="shared" si="733"/>
        <v>0.315</v>
      </c>
      <c r="AT479" s="148">
        <f t="shared" si="734"/>
        <v>0.2166666667</v>
      </c>
      <c r="AU479" s="129"/>
      <c r="AV479" s="39" t="s">
        <v>1275</v>
      </c>
      <c r="AW479" s="130"/>
      <c r="AX479" s="140"/>
      <c r="AY479" s="140"/>
      <c r="AZ479" s="130">
        <v>3.0</v>
      </c>
      <c r="BA479" s="130">
        <f>7+12*2+0.25*12</f>
        <v>34</v>
      </c>
      <c r="BB479" s="130">
        <f t="shared" si="735"/>
        <v>37</v>
      </c>
      <c r="BC479" s="131">
        <f t="shared" si="736"/>
        <v>5.38573508</v>
      </c>
      <c r="BD479" s="132">
        <f t="shared" si="737"/>
        <v>4.981533518</v>
      </c>
      <c r="BE479" s="315"/>
      <c r="BF479" s="134">
        <v>8.517799E9</v>
      </c>
      <c r="BG479" s="49"/>
      <c r="BH479" s="224">
        <f t="shared" si="714"/>
        <v>23.55334996</v>
      </c>
      <c r="BI479" s="224">
        <f t="shared" si="715"/>
        <v>14.13200998</v>
      </c>
      <c r="BJ479" s="224">
        <f t="shared" si="716"/>
        <v>11.77667498</v>
      </c>
      <c r="BK479" s="224">
        <f t="shared" si="717"/>
        <v>9.421339986</v>
      </c>
      <c r="BL479" s="49"/>
      <c r="BM479" s="49"/>
      <c r="BN479" s="49"/>
      <c r="BO479" s="49"/>
      <c r="BP479" s="49"/>
      <c r="BQ479" s="49"/>
      <c r="BR479" s="49"/>
      <c r="BS479" s="49"/>
      <c r="BT479" s="49"/>
      <c r="BU479" s="49"/>
      <c r="BV479" s="49"/>
      <c r="BW479" s="49"/>
      <c r="BX479" s="49"/>
      <c r="BY479" s="49"/>
      <c r="BZ479" s="49"/>
      <c r="CA479" s="49"/>
      <c r="CB479" s="49"/>
      <c r="CC479" s="49"/>
      <c r="CD479" s="49"/>
      <c r="CE479" s="49"/>
      <c r="CF479" s="49"/>
    </row>
    <row r="480" ht="14.25" customHeight="1">
      <c r="A480" s="103" t="s">
        <v>84</v>
      </c>
      <c r="B480" s="103" t="s">
        <v>120</v>
      </c>
      <c r="C480" s="103" t="s">
        <v>120</v>
      </c>
      <c r="D480" s="103" t="s">
        <v>1266</v>
      </c>
      <c r="E480" s="103" t="s">
        <v>1826</v>
      </c>
      <c r="F480" s="104" t="s">
        <v>1288</v>
      </c>
      <c r="G480" s="110" t="s">
        <v>1319</v>
      </c>
      <c r="H480" s="110"/>
      <c r="I480" s="107"/>
      <c r="J480" s="220" t="s">
        <v>1827</v>
      </c>
      <c r="K480" s="220" t="str">
        <f>_xlfn.XLOOKUP(J480,[1]Sheet1!$A:$A,[1]Sheet1!$B:$B,"")</f>
        <v>#ERROR!</v>
      </c>
      <c r="L480" s="103" t="s">
        <v>1828</v>
      </c>
      <c r="M480" s="103" t="s">
        <v>1829</v>
      </c>
      <c r="N480" s="110"/>
      <c r="O480" s="104" t="s">
        <v>95</v>
      </c>
      <c r="P480" s="110"/>
      <c r="Q480" s="104" t="s">
        <v>1323</v>
      </c>
      <c r="R480" s="110" t="s">
        <v>1176</v>
      </c>
      <c r="S480" s="110">
        <v>10800.0</v>
      </c>
      <c r="T480" s="110" t="e">
        <v>#N/A</v>
      </c>
      <c r="U480" s="110">
        <v>8.5447E9</v>
      </c>
      <c r="V480" s="112">
        <v>0.0</v>
      </c>
      <c r="W480" s="113">
        <v>30.0</v>
      </c>
      <c r="X480" s="110">
        <v>45.0</v>
      </c>
      <c r="Y480" s="110">
        <v>55.0</v>
      </c>
      <c r="Z480" s="110" t="s">
        <v>99</v>
      </c>
      <c r="AA480" s="114">
        <f t="shared" si="728"/>
        <v>0.6376932141</v>
      </c>
      <c r="AB480" s="115"/>
      <c r="AC480" s="212">
        <f t="shared" si="729"/>
        <v>0.4980614409</v>
      </c>
      <c r="AD480" s="213">
        <f t="shared" si="244"/>
        <v>0.5355499364</v>
      </c>
      <c r="AE480" s="212"/>
      <c r="AF480" s="212" t="str">
        <f t="shared" si="94"/>
        <v>#REF!</v>
      </c>
      <c r="AG480" s="210" t="str">
        <f t="shared" si="95"/>
        <v>#REF!</v>
      </c>
      <c r="AH480" s="120" t="str">
        <f t="shared" si="96"/>
        <v>#REF!</v>
      </c>
      <c r="AI480" s="121">
        <f t="shared" si="497"/>
        <v>0.1</v>
      </c>
      <c r="AJ480" s="121">
        <v>0.1</v>
      </c>
      <c r="AK480" s="122">
        <v>0.28</v>
      </c>
      <c r="AL480" s="123">
        <f t="shared" si="11"/>
        <v>0.1394572034</v>
      </c>
      <c r="AM480" s="122" t="s">
        <v>10</v>
      </c>
      <c r="AN480" s="125">
        <f t="shared" ref="AN480:AN501" si="746">AC480</f>
        <v>0.4980614409</v>
      </c>
      <c r="AO480" s="112">
        <f t="shared" si="731"/>
        <v>0.28</v>
      </c>
      <c r="AP480" s="127"/>
      <c r="AQ480" s="128">
        <f t="shared" ref="AQ480:AR480" si="745">BC480/(1-AI480)</f>
        <v>0.4463852499</v>
      </c>
      <c r="AR480" s="139">
        <f t="shared" si="745"/>
        <v>0.3984491527</v>
      </c>
      <c r="AS480" s="126">
        <f t="shared" si="733"/>
        <v>0.3</v>
      </c>
      <c r="AT480" s="126">
        <f t="shared" si="734"/>
        <v>0.2</v>
      </c>
      <c r="AU480" s="129"/>
      <c r="AV480" s="39" t="s">
        <v>1275</v>
      </c>
      <c r="AW480" s="130"/>
      <c r="AX480" s="140"/>
      <c r="AY480" s="140"/>
      <c r="AZ480" s="130"/>
      <c r="BA480" s="130">
        <v>2.76</v>
      </c>
      <c r="BB480" s="130">
        <f t="shared" si="735"/>
        <v>2.76</v>
      </c>
      <c r="BC480" s="131">
        <f t="shared" si="736"/>
        <v>0.4017467249</v>
      </c>
      <c r="BD480" s="132">
        <f t="shared" si="737"/>
        <v>0.3586042374</v>
      </c>
      <c r="BE480" s="39"/>
      <c r="BF480" s="134">
        <v>8.5447E9</v>
      </c>
      <c r="BG480" s="49"/>
      <c r="BH480" s="212">
        <f t="shared" si="714"/>
        <v>1.660204803</v>
      </c>
      <c r="BI480" s="212">
        <f t="shared" si="715"/>
        <v>0.9961228817</v>
      </c>
      <c r="BJ480" s="212">
        <f t="shared" si="716"/>
        <v>0.8301024014</v>
      </c>
      <c r="BK480" s="212">
        <f t="shared" si="717"/>
        <v>0.6640819212</v>
      </c>
      <c r="BL480" s="49"/>
      <c r="BM480" s="49"/>
      <c r="BN480" s="49"/>
      <c r="BO480" s="49"/>
      <c r="BP480" s="49"/>
      <c r="BQ480" s="49"/>
      <c r="BR480" s="49"/>
      <c r="BS480" s="49"/>
      <c r="BT480" s="49"/>
      <c r="BU480" s="49"/>
      <c r="BV480" s="49"/>
      <c r="BW480" s="49"/>
      <c r="BX480" s="49"/>
      <c r="BY480" s="49"/>
      <c r="BZ480" s="49"/>
      <c r="CA480" s="49"/>
      <c r="CB480" s="49"/>
      <c r="CC480" s="49"/>
      <c r="CD480" s="49"/>
      <c r="CE480" s="49"/>
      <c r="CF480" s="49"/>
    </row>
    <row r="481" ht="14.25" customHeight="1">
      <c r="A481" s="103" t="s">
        <v>84</v>
      </c>
      <c r="B481" s="103" t="s">
        <v>120</v>
      </c>
      <c r="C481" s="103" t="s">
        <v>120</v>
      </c>
      <c r="D481" s="103" t="s">
        <v>1266</v>
      </c>
      <c r="E481" s="103" t="s">
        <v>1826</v>
      </c>
      <c r="F481" s="104" t="s">
        <v>1268</v>
      </c>
      <c r="G481" s="110" t="s">
        <v>1319</v>
      </c>
      <c r="H481" s="110"/>
      <c r="I481" s="107"/>
      <c r="J481" s="220" t="s">
        <v>1830</v>
      </c>
      <c r="K481" s="220" t="str">
        <f>_xlfn.XLOOKUP(J481,[1]Sheet1!$A:$A,[1]Sheet1!$B:$B,"")</f>
        <v>#ERROR!</v>
      </c>
      <c r="L481" s="103" t="s">
        <v>1831</v>
      </c>
      <c r="M481" s="103" t="s">
        <v>1832</v>
      </c>
      <c r="N481" s="110"/>
      <c r="O481" s="104" t="s">
        <v>95</v>
      </c>
      <c r="P481" s="110"/>
      <c r="Q481" s="104" t="s">
        <v>1323</v>
      </c>
      <c r="R481" s="110" t="s">
        <v>1176</v>
      </c>
      <c r="S481" s="110">
        <v>10800.0</v>
      </c>
      <c r="T481" s="110" t="e">
        <v>#N/A</v>
      </c>
      <c r="U481" s="110">
        <v>8.5447E9</v>
      </c>
      <c r="V481" s="112">
        <v>0.0</v>
      </c>
      <c r="W481" s="113">
        <v>30.0</v>
      </c>
      <c r="X481" s="110">
        <v>45.0</v>
      </c>
      <c r="Y481" s="110">
        <v>55.0</v>
      </c>
      <c r="Z481" s="110" t="s">
        <v>99</v>
      </c>
      <c r="AA481" s="114">
        <f t="shared" si="728"/>
        <v>0.6376932141</v>
      </c>
      <c r="AB481" s="115"/>
      <c r="AC481" s="212">
        <f t="shared" si="729"/>
        <v>0.4980614409</v>
      </c>
      <c r="AD481" s="213">
        <f t="shared" si="244"/>
        <v>0.5355499364</v>
      </c>
      <c r="AE481" s="212"/>
      <c r="AF481" s="212" t="str">
        <f t="shared" si="94"/>
        <v>#REF!</v>
      </c>
      <c r="AG481" s="210" t="str">
        <f t="shared" si="95"/>
        <v>#REF!</v>
      </c>
      <c r="AH481" s="120" t="str">
        <f t="shared" si="96"/>
        <v>#REF!</v>
      </c>
      <c r="AI481" s="121">
        <f t="shared" si="497"/>
        <v>0.1</v>
      </c>
      <c r="AJ481" s="121">
        <v>0.1</v>
      </c>
      <c r="AK481" s="122">
        <v>0.28</v>
      </c>
      <c r="AL481" s="123">
        <f t="shared" si="11"/>
        <v>0.1394572034</v>
      </c>
      <c r="AM481" s="122" t="s">
        <v>10</v>
      </c>
      <c r="AN481" s="125">
        <f t="shared" si="746"/>
        <v>0.4980614409</v>
      </c>
      <c r="AO481" s="112">
        <f t="shared" si="731"/>
        <v>0.28</v>
      </c>
      <c r="AP481" s="127"/>
      <c r="AQ481" s="128">
        <f t="shared" ref="AQ481:AR481" si="747">BC481/(1-AI481)</f>
        <v>0.4463852499</v>
      </c>
      <c r="AR481" s="139">
        <f t="shared" si="747"/>
        <v>0.3984491527</v>
      </c>
      <c r="AS481" s="126">
        <f t="shared" si="733"/>
        <v>0.3</v>
      </c>
      <c r="AT481" s="126">
        <f t="shared" si="734"/>
        <v>0.2</v>
      </c>
      <c r="AU481" s="129"/>
      <c r="AV481" s="39" t="s">
        <v>1275</v>
      </c>
      <c r="AW481" s="130"/>
      <c r="AX481" s="140"/>
      <c r="AY481" s="140"/>
      <c r="AZ481" s="130"/>
      <c r="BA481" s="130">
        <v>2.76</v>
      </c>
      <c r="BB481" s="130">
        <f t="shared" si="735"/>
        <v>2.76</v>
      </c>
      <c r="BC481" s="131">
        <f t="shared" si="736"/>
        <v>0.4017467249</v>
      </c>
      <c r="BD481" s="132">
        <f t="shared" si="737"/>
        <v>0.3586042374</v>
      </c>
      <c r="BE481" s="39"/>
      <c r="BF481" s="134">
        <v>8.5447E9</v>
      </c>
      <c r="BG481" s="49"/>
      <c r="BH481" s="212">
        <f t="shared" si="714"/>
        <v>1.660204803</v>
      </c>
      <c r="BI481" s="212">
        <f t="shared" si="715"/>
        <v>0.9961228817</v>
      </c>
      <c r="BJ481" s="212">
        <f t="shared" si="716"/>
        <v>0.8301024014</v>
      </c>
      <c r="BK481" s="212">
        <f t="shared" si="717"/>
        <v>0.6640819212</v>
      </c>
      <c r="BL481" s="49"/>
      <c r="BM481" s="49"/>
      <c r="BN481" s="49"/>
      <c r="BO481" s="49"/>
      <c r="BP481" s="49"/>
      <c r="BQ481" s="49"/>
      <c r="BR481" s="49"/>
      <c r="BS481" s="49"/>
      <c r="BT481" s="49"/>
      <c r="BU481" s="49"/>
      <c r="BV481" s="49"/>
      <c r="BW481" s="49"/>
      <c r="BX481" s="49"/>
      <c r="BY481" s="49"/>
      <c r="BZ481" s="49"/>
      <c r="CA481" s="49"/>
      <c r="CB481" s="49"/>
      <c r="CC481" s="49"/>
      <c r="CD481" s="49"/>
      <c r="CE481" s="49"/>
      <c r="CF481" s="49"/>
    </row>
    <row r="482" ht="14.25" customHeight="1">
      <c r="A482" s="103" t="s">
        <v>84</v>
      </c>
      <c r="B482" s="103" t="s">
        <v>120</v>
      </c>
      <c r="C482" s="103" t="s">
        <v>120</v>
      </c>
      <c r="D482" s="103" t="s">
        <v>1266</v>
      </c>
      <c r="E482" s="103" t="s">
        <v>1826</v>
      </c>
      <c r="F482" s="104" t="s">
        <v>1288</v>
      </c>
      <c r="G482" s="110" t="s">
        <v>1395</v>
      </c>
      <c r="H482" s="110"/>
      <c r="I482" s="107"/>
      <c r="J482" s="220" t="s">
        <v>1833</v>
      </c>
      <c r="K482" s="220" t="str">
        <f>_xlfn.XLOOKUP(J482,[1]Sheet1!$A:$A,[1]Sheet1!$B:$B,"")</f>
        <v>#ERROR!</v>
      </c>
      <c r="L482" s="103" t="s">
        <v>1834</v>
      </c>
      <c r="M482" s="103" t="s">
        <v>1835</v>
      </c>
      <c r="N482" s="110"/>
      <c r="O482" s="104" t="s">
        <v>95</v>
      </c>
      <c r="P482" s="110"/>
      <c r="Q482" s="104" t="s">
        <v>1323</v>
      </c>
      <c r="R482" s="110" t="s">
        <v>1176</v>
      </c>
      <c r="S482" s="110">
        <v>10800.0</v>
      </c>
      <c r="T482" s="110" t="e">
        <v>#N/A</v>
      </c>
      <c r="U482" s="110">
        <v>8.5447E9</v>
      </c>
      <c r="V482" s="112">
        <v>0.0</v>
      </c>
      <c r="W482" s="113">
        <v>30.0</v>
      </c>
      <c r="X482" s="110">
        <v>45.0</v>
      </c>
      <c r="Y482" s="110">
        <v>55.0</v>
      </c>
      <c r="Z482" s="110" t="s">
        <v>99</v>
      </c>
      <c r="AA482" s="114">
        <f t="shared" si="728"/>
        <v>0.8132898963</v>
      </c>
      <c r="AB482" s="115"/>
      <c r="AC482" s="212">
        <f t="shared" si="729"/>
        <v>0.6316676121</v>
      </c>
      <c r="AD482" s="213">
        <f t="shared" si="244"/>
        <v>0.6792124861</v>
      </c>
      <c r="AE482" s="212"/>
      <c r="AF482" s="212" t="str">
        <f t="shared" si="94"/>
        <v>#REF!</v>
      </c>
      <c r="AG482" s="210" t="str">
        <f t="shared" si="95"/>
        <v>#REF!</v>
      </c>
      <c r="AH482" s="120" t="str">
        <f t="shared" si="96"/>
        <v>#REF!</v>
      </c>
      <c r="AI482" s="121">
        <f t="shared" si="497"/>
        <v>0.1</v>
      </c>
      <c r="AJ482" s="121">
        <v>0.1</v>
      </c>
      <c r="AK482" s="122">
        <v>0.28</v>
      </c>
      <c r="AL482" s="123">
        <f t="shared" si="11"/>
        <v>0.1768669314</v>
      </c>
      <c r="AM482" s="122" t="s">
        <v>10</v>
      </c>
      <c r="AN482" s="125">
        <f t="shared" si="746"/>
        <v>0.6316676121</v>
      </c>
      <c r="AO482" s="112">
        <f t="shared" si="731"/>
        <v>0.28</v>
      </c>
      <c r="AP482" s="127"/>
      <c r="AQ482" s="128">
        <f t="shared" ref="AQ482:AR482" si="748">BC482/(1-AI482)</f>
        <v>0.5693029274</v>
      </c>
      <c r="AR482" s="139">
        <f t="shared" si="748"/>
        <v>0.5053340897</v>
      </c>
      <c r="AS482" s="126">
        <f t="shared" si="733"/>
        <v>0.3</v>
      </c>
      <c r="AT482" s="126">
        <f t="shared" si="734"/>
        <v>0.2</v>
      </c>
      <c r="AU482" s="129"/>
      <c r="AV482" s="39" t="s">
        <v>1275</v>
      </c>
      <c r="AW482" s="130"/>
      <c r="AX482" s="140"/>
      <c r="AY482" s="140"/>
      <c r="AZ482" s="130"/>
      <c r="BA482" s="130">
        <v>3.52</v>
      </c>
      <c r="BB482" s="130">
        <f t="shared" si="735"/>
        <v>3.52</v>
      </c>
      <c r="BC482" s="131">
        <f t="shared" si="736"/>
        <v>0.5123726346</v>
      </c>
      <c r="BD482" s="132">
        <f t="shared" si="737"/>
        <v>0.4548006807</v>
      </c>
      <c r="BE482" s="39"/>
      <c r="BF482" s="134">
        <v>8.5447E9</v>
      </c>
      <c r="BG482" s="49"/>
      <c r="BH482" s="212">
        <f t="shared" si="714"/>
        <v>2.105558707</v>
      </c>
      <c r="BI482" s="212">
        <f t="shared" si="715"/>
        <v>1.263335224</v>
      </c>
      <c r="BJ482" s="212">
        <f t="shared" si="716"/>
        <v>1.052779353</v>
      </c>
      <c r="BK482" s="212">
        <f t="shared" si="717"/>
        <v>0.8422234828</v>
      </c>
      <c r="BL482" s="49"/>
      <c r="BM482" s="49"/>
      <c r="BN482" s="49"/>
      <c r="BO482" s="49"/>
      <c r="BP482" s="49"/>
      <c r="BQ482" s="49"/>
      <c r="BR482" s="49"/>
      <c r="BS482" s="49"/>
      <c r="BT482" s="49"/>
      <c r="BU482" s="49"/>
      <c r="BV482" s="49"/>
      <c r="BW482" s="49"/>
      <c r="BX482" s="49"/>
      <c r="BY482" s="49"/>
      <c r="BZ482" s="49"/>
      <c r="CA482" s="49"/>
      <c r="CB482" s="49"/>
      <c r="CC482" s="49"/>
      <c r="CD482" s="49"/>
      <c r="CE482" s="49"/>
      <c r="CF482" s="49"/>
    </row>
    <row r="483" ht="14.25" customHeight="1">
      <c r="A483" s="103" t="s">
        <v>84</v>
      </c>
      <c r="B483" s="103" t="s">
        <v>120</v>
      </c>
      <c r="C483" s="103" t="s">
        <v>120</v>
      </c>
      <c r="D483" s="103" t="s">
        <v>1266</v>
      </c>
      <c r="E483" s="103" t="s">
        <v>1826</v>
      </c>
      <c r="F483" s="104" t="s">
        <v>1268</v>
      </c>
      <c r="G483" s="110" t="s">
        <v>1395</v>
      </c>
      <c r="H483" s="110"/>
      <c r="I483" s="107"/>
      <c r="J483" s="220" t="s">
        <v>1836</v>
      </c>
      <c r="K483" s="220" t="str">
        <f>_xlfn.XLOOKUP(J483,[1]Sheet1!$A:$A,[1]Sheet1!$B:$B,"")</f>
        <v>#ERROR!</v>
      </c>
      <c r="L483" s="103" t="s">
        <v>1837</v>
      </c>
      <c r="M483" s="103" t="s">
        <v>1838</v>
      </c>
      <c r="N483" s="110"/>
      <c r="O483" s="104" t="s">
        <v>95</v>
      </c>
      <c r="P483" s="110"/>
      <c r="Q483" s="104" t="s">
        <v>1323</v>
      </c>
      <c r="R483" s="110" t="s">
        <v>1176</v>
      </c>
      <c r="S483" s="110">
        <v>10800.0</v>
      </c>
      <c r="T483" s="110" t="e">
        <v>#N/A</v>
      </c>
      <c r="U483" s="110">
        <v>8.5447E9</v>
      </c>
      <c r="V483" s="112">
        <v>0.0</v>
      </c>
      <c r="W483" s="113">
        <v>30.0</v>
      </c>
      <c r="X483" s="110">
        <v>45.0</v>
      </c>
      <c r="Y483" s="110">
        <v>55.0</v>
      </c>
      <c r="Z483" s="110" t="s">
        <v>99</v>
      </c>
      <c r="AA483" s="114">
        <f t="shared" si="728"/>
        <v>0.8132898963</v>
      </c>
      <c r="AB483" s="115"/>
      <c r="AC483" s="212">
        <f t="shared" si="729"/>
        <v>0.6316676121</v>
      </c>
      <c r="AD483" s="213">
        <f t="shared" si="244"/>
        <v>0.6792124861</v>
      </c>
      <c r="AE483" s="212"/>
      <c r="AF483" s="212" t="str">
        <f t="shared" si="94"/>
        <v>#REF!</v>
      </c>
      <c r="AG483" s="210" t="str">
        <f t="shared" si="95"/>
        <v>#REF!</v>
      </c>
      <c r="AH483" s="120" t="str">
        <f t="shared" si="96"/>
        <v>#REF!</v>
      </c>
      <c r="AI483" s="121">
        <f t="shared" si="497"/>
        <v>0.1</v>
      </c>
      <c r="AJ483" s="121">
        <v>0.1</v>
      </c>
      <c r="AK483" s="122">
        <v>0.28</v>
      </c>
      <c r="AL483" s="123">
        <f t="shared" si="11"/>
        <v>0.1768669314</v>
      </c>
      <c r="AM483" s="122" t="s">
        <v>10</v>
      </c>
      <c r="AN483" s="125">
        <f t="shared" si="746"/>
        <v>0.6316676121</v>
      </c>
      <c r="AO483" s="112">
        <f t="shared" si="731"/>
        <v>0.28</v>
      </c>
      <c r="AP483" s="127"/>
      <c r="AQ483" s="128">
        <f t="shared" ref="AQ483:AR483" si="749">BC483/(1-AI483)</f>
        <v>0.5693029274</v>
      </c>
      <c r="AR483" s="139">
        <f t="shared" si="749"/>
        <v>0.5053340897</v>
      </c>
      <c r="AS483" s="126">
        <f t="shared" si="733"/>
        <v>0.3</v>
      </c>
      <c r="AT483" s="126">
        <f t="shared" si="734"/>
        <v>0.2</v>
      </c>
      <c r="AU483" s="129"/>
      <c r="AV483" s="39" t="s">
        <v>1275</v>
      </c>
      <c r="AW483" s="130"/>
      <c r="AX483" s="140"/>
      <c r="AY483" s="140"/>
      <c r="AZ483" s="130"/>
      <c r="BA483" s="130">
        <v>3.52</v>
      </c>
      <c r="BB483" s="130">
        <f t="shared" si="735"/>
        <v>3.52</v>
      </c>
      <c r="BC483" s="131">
        <f t="shared" si="736"/>
        <v>0.5123726346</v>
      </c>
      <c r="BD483" s="132">
        <f t="shared" si="737"/>
        <v>0.4548006807</v>
      </c>
      <c r="BE483" s="39"/>
      <c r="BF483" s="134">
        <v>8.5447E9</v>
      </c>
      <c r="BG483" s="49"/>
      <c r="BH483" s="212">
        <f t="shared" si="714"/>
        <v>2.105558707</v>
      </c>
      <c r="BI483" s="212">
        <f t="shared" si="715"/>
        <v>1.263335224</v>
      </c>
      <c r="BJ483" s="212">
        <f t="shared" si="716"/>
        <v>1.052779353</v>
      </c>
      <c r="BK483" s="212">
        <f t="shared" si="717"/>
        <v>0.8422234828</v>
      </c>
      <c r="BL483" s="49"/>
      <c r="BM483" s="49"/>
      <c r="BN483" s="49"/>
      <c r="BO483" s="49"/>
      <c r="BP483" s="49"/>
      <c r="BQ483" s="49"/>
      <c r="BR483" s="49"/>
      <c r="BS483" s="49"/>
      <c r="BT483" s="49"/>
      <c r="BU483" s="49"/>
      <c r="BV483" s="49"/>
      <c r="BW483" s="49"/>
      <c r="BX483" s="49"/>
      <c r="BY483" s="49"/>
      <c r="BZ483" s="49"/>
      <c r="CA483" s="49"/>
      <c r="CB483" s="49"/>
      <c r="CC483" s="49"/>
      <c r="CD483" s="49"/>
      <c r="CE483" s="49"/>
      <c r="CF483" s="49"/>
    </row>
    <row r="484" ht="14.25" customHeight="1">
      <c r="A484" s="103" t="s">
        <v>84</v>
      </c>
      <c r="B484" s="103" t="s">
        <v>85</v>
      </c>
      <c r="C484" s="103" t="s">
        <v>85</v>
      </c>
      <c r="D484" s="103" t="s">
        <v>1266</v>
      </c>
      <c r="E484" s="103" t="s">
        <v>1826</v>
      </c>
      <c r="F484" s="104" t="s">
        <v>1288</v>
      </c>
      <c r="G484" s="110" t="s">
        <v>1465</v>
      </c>
      <c r="H484" s="110"/>
      <c r="I484" s="107"/>
      <c r="J484" s="220" t="s">
        <v>1839</v>
      </c>
      <c r="K484" s="220" t="str">
        <f>_xlfn.XLOOKUP(J484,[1]Sheet1!$A:$A,[1]Sheet1!$B:$B,"")</f>
        <v>#ERROR!</v>
      </c>
      <c r="L484" s="103" t="s">
        <v>1840</v>
      </c>
      <c r="M484" s="103" t="s">
        <v>1841</v>
      </c>
      <c r="N484" s="110"/>
      <c r="O484" s="104" t="s">
        <v>95</v>
      </c>
      <c r="P484" s="110"/>
      <c r="Q484" s="104" t="s">
        <v>1323</v>
      </c>
      <c r="R484" s="110" t="s">
        <v>1176</v>
      </c>
      <c r="S484" s="110">
        <v>10800.0</v>
      </c>
      <c r="T484" s="110" t="e">
        <v>#N/A</v>
      </c>
      <c r="U484" s="110">
        <v>8.5447E9</v>
      </c>
      <c r="V484" s="112">
        <v>0.0</v>
      </c>
      <c r="W484" s="113">
        <v>30.0</v>
      </c>
      <c r="X484" s="110">
        <v>45.0</v>
      </c>
      <c r="Y484" s="110">
        <v>55.0</v>
      </c>
      <c r="Z484" s="110" t="s">
        <v>99</v>
      </c>
      <c r="AA484" s="114">
        <f t="shared" si="728"/>
        <v>1.083616367</v>
      </c>
      <c r="AB484" s="115"/>
      <c r="AC484" s="212">
        <f t="shared" si="729"/>
        <v>0.8373507967</v>
      </c>
      <c r="AD484" s="213">
        <f t="shared" si="244"/>
        <v>0.9003772007</v>
      </c>
      <c r="AE484" s="212"/>
      <c r="AF484" s="212" t="str">
        <f t="shared" si="94"/>
        <v>#REF!</v>
      </c>
      <c r="AG484" s="210" t="str">
        <f t="shared" si="95"/>
        <v>#REF!</v>
      </c>
      <c r="AH484" s="120" t="str">
        <f t="shared" si="96"/>
        <v>#REF!</v>
      </c>
      <c r="AI484" s="121">
        <f t="shared" si="497"/>
        <v>0.1</v>
      </c>
      <c r="AJ484" s="121">
        <v>0.1</v>
      </c>
      <c r="AK484" s="122">
        <v>0.28</v>
      </c>
      <c r="AL484" s="123">
        <f t="shared" si="11"/>
        <v>0.2344582231</v>
      </c>
      <c r="AM484" s="122" t="s">
        <v>10</v>
      </c>
      <c r="AN484" s="125">
        <f t="shared" si="746"/>
        <v>0.8373507967</v>
      </c>
      <c r="AO484" s="112">
        <f t="shared" si="731"/>
        <v>0.28</v>
      </c>
      <c r="AP484" s="127"/>
      <c r="AQ484" s="128">
        <f t="shared" ref="AQ484:AR484" si="750">BC484/(1-AI484)</f>
        <v>0.7585314572</v>
      </c>
      <c r="AR484" s="139">
        <f t="shared" si="750"/>
        <v>0.6698806373</v>
      </c>
      <c r="AS484" s="126">
        <f t="shared" si="733"/>
        <v>0.3</v>
      </c>
      <c r="AT484" s="126">
        <f t="shared" si="734"/>
        <v>0.2</v>
      </c>
      <c r="AU484" s="129"/>
      <c r="AV484" s="39" t="s">
        <v>1275</v>
      </c>
      <c r="AW484" s="130"/>
      <c r="AX484" s="140"/>
      <c r="AY484" s="140"/>
      <c r="AZ484" s="130"/>
      <c r="BA484" s="130">
        <v>4.69</v>
      </c>
      <c r="BB484" s="130">
        <f t="shared" si="735"/>
        <v>4.69</v>
      </c>
      <c r="BC484" s="131">
        <f t="shared" si="736"/>
        <v>0.6826783115</v>
      </c>
      <c r="BD484" s="132">
        <f t="shared" si="737"/>
        <v>0.6028925736</v>
      </c>
      <c r="BE484" s="39"/>
      <c r="BF484" s="134">
        <v>8.5447E9</v>
      </c>
      <c r="BG484" s="49"/>
      <c r="BH484" s="212">
        <f t="shared" si="714"/>
        <v>2.791169322</v>
      </c>
      <c r="BI484" s="212">
        <f t="shared" si="715"/>
        <v>1.674701593</v>
      </c>
      <c r="BJ484" s="212">
        <f t="shared" si="716"/>
        <v>1.395584661</v>
      </c>
      <c r="BK484" s="212">
        <f t="shared" si="717"/>
        <v>1.116467729</v>
      </c>
      <c r="BL484" s="49"/>
      <c r="BM484" s="49"/>
      <c r="BN484" s="49"/>
      <c r="BO484" s="49"/>
      <c r="BP484" s="49"/>
      <c r="BQ484" s="49"/>
      <c r="BR484" s="49"/>
      <c r="BS484" s="49"/>
      <c r="BT484" s="49"/>
      <c r="BU484" s="49"/>
      <c r="BV484" s="49"/>
      <c r="BW484" s="49"/>
      <c r="BX484" s="49"/>
      <c r="BY484" s="49"/>
      <c r="BZ484" s="49"/>
      <c r="CA484" s="49"/>
      <c r="CB484" s="49"/>
      <c r="CC484" s="49"/>
      <c r="CD484" s="49"/>
      <c r="CE484" s="49"/>
      <c r="CF484" s="49"/>
    </row>
    <row r="485" ht="14.25" customHeight="1">
      <c r="A485" s="103" t="s">
        <v>84</v>
      </c>
      <c r="B485" s="103" t="s">
        <v>85</v>
      </c>
      <c r="C485" s="103" t="s">
        <v>85</v>
      </c>
      <c r="D485" s="103" t="s">
        <v>1266</v>
      </c>
      <c r="E485" s="103" t="s">
        <v>1826</v>
      </c>
      <c r="F485" s="104" t="s">
        <v>1268</v>
      </c>
      <c r="G485" s="110" t="s">
        <v>1465</v>
      </c>
      <c r="H485" s="110"/>
      <c r="I485" s="107"/>
      <c r="J485" s="220" t="s">
        <v>1842</v>
      </c>
      <c r="K485" s="220" t="str">
        <f>_xlfn.XLOOKUP(J485,[1]Sheet1!$A:$A,[1]Sheet1!$B:$B,"")</f>
        <v>#ERROR!</v>
      </c>
      <c r="L485" s="103" t="s">
        <v>1843</v>
      </c>
      <c r="M485" s="103" t="s">
        <v>1844</v>
      </c>
      <c r="N485" s="110"/>
      <c r="O485" s="104" t="s">
        <v>95</v>
      </c>
      <c r="P485" s="110"/>
      <c r="Q485" s="104" t="s">
        <v>1323</v>
      </c>
      <c r="R485" s="110" t="s">
        <v>1176</v>
      </c>
      <c r="S485" s="110">
        <v>10800.0</v>
      </c>
      <c r="T485" s="110" t="e">
        <v>#N/A</v>
      </c>
      <c r="U485" s="110">
        <v>8.5447E9</v>
      </c>
      <c r="V485" s="112">
        <v>0.0</v>
      </c>
      <c r="W485" s="113">
        <v>30.0</v>
      </c>
      <c r="X485" s="110">
        <v>45.0</v>
      </c>
      <c r="Y485" s="110">
        <v>55.0</v>
      </c>
      <c r="Z485" s="110" t="s">
        <v>99</v>
      </c>
      <c r="AA485" s="114">
        <f t="shared" si="728"/>
        <v>1.083616367</v>
      </c>
      <c r="AB485" s="115"/>
      <c r="AC485" s="212">
        <f t="shared" si="729"/>
        <v>0.8373507967</v>
      </c>
      <c r="AD485" s="213">
        <f t="shared" si="244"/>
        <v>0.9003772007</v>
      </c>
      <c r="AE485" s="212"/>
      <c r="AF485" s="212" t="str">
        <f t="shared" si="94"/>
        <v>#REF!</v>
      </c>
      <c r="AG485" s="210" t="str">
        <f t="shared" si="95"/>
        <v>#REF!</v>
      </c>
      <c r="AH485" s="120" t="str">
        <f t="shared" si="96"/>
        <v>#REF!</v>
      </c>
      <c r="AI485" s="121">
        <f t="shared" si="497"/>
        <v>0.1</v>
      </c>
      <c r="AJ485" s="121">
        <v>0.1</v>
      </c>
      <c r="AK485" s="122">
        <v>0.28</v>
      </c>
      <c r="AL485" s="123">
        <f t="shared" si="11"/>
        <v>0.2344582231</v>
      </c>
      <c r="AM485" s="122" t="s">
        <v>10</v>
      </c>
      <c r="AN485" s="125">
        <f t="shared" si="746"/>
        <v>0.8373507967</v>
      </c>
      <c r="AO485" s="112">
        <f t="shared" si="731"/>
        <v>0.28</v>
      </c>
      <c r="AP485" s="127"/>
      <c r="AQ485" s="128">
        <f t="shared" ref="AQ485:AR485" si="751">BC485/(1-AI485)</f>
        <v>0.7585314572</v>
      </c>
      <c r="AR485" s="139">
        <f t="shared" si="751"/>
        <v>0.6698806373</v>
      </c>
      <c r="AS485" s="126">
        <f t="shared" si="733"/>
        <v>0.3</v>
      </c>
      <c r="AT485" s="126">
        <f t="shared" si="734"/>
        <v>0.2</v>
      </c>
      <c r="AU485" s="129"/>
      <c r="AV485" s="39" t="s">
        <v>1275</v>
      </c>
      <c r="AW485" s="130"/>
      <c r="AX485" s="140"/>
      <c r="AY485" s="140"/>
      <c r="AZ485" s="130"/>
      <c r="BA485" s="130">
        <v>4.69</v>
      </c>
      <c r="BB485" s="130">
        <f t="shared" si="735"/>
        <v>4.69</v>
      </c>
      <c r="BC485" s="131">
        <f t="shared" si="736"/>
        <v>0.6826783115</v>
      </c>
      <c r="BD485" s="132">
        <f t="shared" si="737"/>
        <v>0.6028925736</v>
      </c>
      <c r="BE485" s="39"/>
      <c r="BF485" s="134">
        <v>8.5447E9</v>
      </c>
      <c r="BG485" s="49"/>
      <c r="BH485" s="212">
        <f t="shared" si="714"/>
        <v>2.791169322</v>
      </c>
      <c r="BI485" s="212">
        <f t="shared" si="715"/>
        <v>1.674701593</v>
      </c>
      <c r="BJ485" s="212">
        <f t="shared" si="716"/>
        <v>1.395584661</v>
      </c>
      <c r="BK485" s="212">
        <f t="shared" si="717"/>
        <v>1.116467729</v>
      </c>
      <c r="BL485" s="49"/>
      <c r="BM485" s="49"/>
      <c r="BN485" s="49"/>
      <c r="BO485" s="49"/>
      <c r="BP485" s="49"/>
      <c r="BQ485" s="49"/>
      <c r="BR485" s="49"/>
      <c r="BS485" s="49"/>
      <c r="BT485" s="49"/>
      <c r="BU485" s="49"/>
      <c r="BV485" s="49"/>
      <c r="BW485" s="49"/>
      <c r="BX485" s="49"/>
      <c r="BY485" s="49"/>
      <c r="BZ485" s="49"/>
      <c r="CA485" s="49"/>
      <c r="CB485" s="49"/>
      <c r="CC485" s="49"/>
      <c r="CD485" s="49"/>
      <c r="CE485" s="49"/>
      <c r="CF485" s="49"/>
    </row>
    <row r="486" ht="14.25" customHeight="1">
      <c r="A486" s="103" t="s">
        <v>84</v>
      </c>
      <c r="B486" s="103" t="s">
        <v>120</v>
      </c>
      <c r="C486" s="103" t="s">
        <v>120</v>
      </c>
      <c r="D486" s="103" t="s">
        <v>1266</v>
      </c>
      <c r="E486" s="103" t="s">
        <v>1826</v>
      </c>
      <c r="F486" s="104" t="s">
        <v>1288</v>
      </c>
      <c r="G486" s="110" t="s">
        <v>1520</v>
      </c>
      <c r="H486" s="110"/>
      <c r="I486" s="107"/>
      <c r="J486" s="220" t="s">
        <v>1845</v>
      </c>
      <c r="K486" s="220" t="str">
        <f>_xlfn.XLOOKUP(J486,[1]Sheet1!$A:$A,[1]Sheet1!$B:$B,"")</f>
        <v>#ERROR!</v>
      </c>
      <c r="L486" s="103" t="s">
        <v>1846</v>
      </c>
      <c r="M486" s="103" t="s">
        <v>1847</v>
      </c>
      <c r="N486" s="110"/>
      <c r="O486" s="104" t="s">
        <v>95</v>
      </c>
      <c r="P486" s="110"/>
      <c r="Q486" s="104" t="s">
        <v>1323</v>
      </c>
      <c r="R486" s="110" t="s">
        <v>1176</v>
      </c>
      <c r="S486" s="110">
        <v>10800.0</v>
      </c>
      <c r="T486" s="110" t="s">
        <v>1848</v>
      </c>
      <c r="U486" s="110">
        <v>8.5447E9</v>
      </c>
      <c r="V486" s="112">
        <v>0.0</v>
      </c>
      <c r="W486" s="113">
        <v>30.0</v>
      </c>
      <c r="X486" s="110">
        <v>45.0</v>
      </c>
      <c r="Y486" s="110">
        <v>55.0</v>
      </c>
      <c r="Z486" s="110" t="s">
        <v>99</v>
      </c>
      <c r="AA486" s="114">
        <f t="shared" si="728"/>
        <v>0.7322129593</v>
      </c>
      <c r="AB486" s="115"/>
      <c r="AC486" s="212">
        <f t="shared" si="729"/>
        <v>0.5691740091</v>
      </c>
      <c r="AD486" s="213">
        <f t="shared" si="244"/>
        <v>0.6120150636</v>
      </c>
      <c r="AE486" s="212"/>
      <c r="AF486" s="212" t="str">
        <f t="shared" si="94"/>
        <v>#REF!</v>
      </c>
      <c r="AG486" s="210" t="str">
        <f t="shared" si="95"/>
        <v>#REF!</v>
      </c>
      <c r="AH486" s="120" t="str">
        <f t="shared" si="96"/>
        <v>#REF!</v>
      </c>
      <c r="AI486" s="121">
        <f t="shared" si="497"/>
        <v>0.1</v>
      </c>
      <c r="AJ486" s="121">
        <v>0.1</v>
      </c>
      <c r="AK486" s="122">
        <v>0.43</v>
      </c>
      <c r="AL486" s="123">
        <f t="shared" si="11"/>
        <v>0.2447448239</v>
      </c>
      <c r="AM486" s="122" t="str">
        <f t="shared" ref="AM486:AM489" si="753">VLOOKUP(J486,'[3]PO &amp; SC March 2024'!$F$11:$AA$197,20,FALSE)</f>
        <v>#REF!</v>
      </c>
      <c r="AN486" s="125">
        <f t="shared" si="746"/>
        <v>0.5691740091</v>
      </c>
      <c r="AO486" s="112">
        <f t="shared" si="731"/>
        <v>0.43</v>
      </c>
      <c r="AP486" s="127"/>
      <c r="AQ486" s="128">
        <f t="shared" ref="AQ486:AR486" si="752">BC486/(1-AI486)</f>
        <v>0.4027171276</v>
      </c>
      <c r="AR486" s="139">
        <f t="shared" si="752"/>
        <v>0.3604768725</v>
      </c>
      <c r="AS486" s="126">
        <f t="shared" si="733"/>
        <v>0.45</v>
      </c>
      <c r="AT486" s="126">
        <f t="shared" si="734"/>
        <v>0.3666666667</v>
      </c>
      <c r="AU486" s="129"/>
      <c r="AV486" s="39" t="s">
        <v>1275</v>
      </c>
      <c r="AW486" s="130"/>
      <c r="AX486" s="140"/>
      <c r="AY486" s="140"/>
      <c r="AZ486" s="130"/>
      <c r="BA486" s="130">
        <v>2.49</v>
      </c>
      <c r="BB486" s="130">
        <f t="shared" si="735"/>
        <v>2.49</v>
      </c>
      <c r="BC486" s="131">
        <f t="shared" si="736"/>
        <v>0.3624454148</v>
      </c>
      <c r="BD486" s="132">
        <f t="shared" si="737"/>
        <v>0.3244291852</v>
      </c>
      <c r="BE486" s="39"/>
      <c r="BF486" s="134">
        <v>8.5447E9</v>
      </c>
      <c r="BG486" s="49"/>
      <c r="BH486" s="224">
        <f t="shared" si="714"/>
        <v>1.897246697</v>
      </c>
      <c r="BI486" s="224">
        <f t="shared" si="715"/>
        <v>1.138348018</v>
      </c>
      <c r="BJ486" s="224">
        <f t="shared" si="716"/>
        <v>0.9486233486</v>
      </c>
      <c r="BK486" s="224">
        <f t="shared" si="717"/>
        <v>0.7588986789</v>
      </c>
      <c r="BL486" s="49"/>
      <c r="BM486" s="49"/>
      <c r="BN486" s="49"/>
      <c r="BO486" s="49"/>
      <c r="BP486" s="49"/>
      <c r="BQ486" s="49"/>
      <c r="BR486" s="49"/>
      <c r="BS486" s="49"/>
      <c r="BT486" s="49"/>
      <c r="BU486" s="49"/>
      <c r="BV486" s="49"/>
      <c r="BW486" s="49"/>
      <c r="BX486" s="49"/>
      <c r="BY486" s="49"/>
      <c r="BZ486" s="49"/>
      <c r="CA486" s="49"/>
      <c r="CB486" s="49"/>
      <c r="CC486" s="49"/>
      <c r="CD486" s="49"/>
      <c r="CE486" s="49"/>
      <c r="CF486" s="49"/>
    </row>
    <row r="487" ht="14.25" customHeight="1">
      <c r="A487" s="103" t="s">
        <v>84</v>
      </c>
      <c r="B487" s="103" t="s">
        <v>120</v>
      </c>
      <c r="C487" s="103" t="s">
        <v>120</v>
      </c>
      <c r="D487" s="103" t="s">
        <v>1266</v>
      </c>
      <c r="E487" s="103" t="s">
        <v>1826</v>
      </c>
      <c r="F487" s="104" t="s">
        <v>1268</v>
      </c>
      <c r="G487" s="110" t="s">
        <v>1520</v>
      </c>
      <c r="H487" s="110"/>
      <c r="I487" s="107"/>
      <c r="J487" s="220" t="s">
        <v>1849</v>
      </c>
      <c r="K487" s="220" t="str">
        <f>_xlfn.XLOOKUP(J487,[1]Sheet1!$A:$A,[1]Sheet1!$B:$B,"")</f>
        <v>#ERROR!</v>
      </c>
      <c r="L487" s="103" t="s">
        <v>1850</v>
      </c>
      <c r="M487" s="103" t="s">
        <v>1851</v>
      </c>
      <c r="N487" s="110"/>
      <c r="O487" s="104" t="s">
        <v>95</v>
      </c>
      <c r="P487" s="110"/>
      <c r="Q487" s="104" t="s">
        <v>1323</v>
      </c>
      <c r="R487" s="110" t="s">
        <v>1176</v>
      </c>
      <c r="S487" s="110">
        <v>10800.0</v>
      </c>
      <c r="T487" s="110" t="s">
        <v>1852</v>
      </c>
      <c r="U487" s="110">
        <v>8.5447E9</v>
      </c>
      <c r="V487" s="112">
        <v>0.0</v>
      </c>
      <c r="W487" s="113">
        <v>30.0</v>
      </c>
      <c r="X487" s="110">
        <v>45.0</v>
      </c>
      <c r="Y487" s="110">
        <v>55.0</v>
      </c>
      <c r="Z487" s="110" t="s">
        <v>99</v>
      </c>
      <c r="AA487" s="114">
        <f t="shared" si="728"/>
        <v>0.7322129593</v>
      </c>
      <c r="AB487" s="115"/>
      <c r="AC487" s="212">
        <f t="shared" si="729"/>
        <v>0.5691740091</v>
      </c>
      <c r="AD487" s="213">
        <f t="shared" si="244"/>
        <v>0.6120150636</v>
      </c>
      <c r="AE487" s="212"/>
      <c r="AF487" s="212" t="str">
        <f t="shared" si="94"/>
        <v>#REF!</v>
      </c>
      <c r="AG487" s="210" t="str">
        <f t="shared" si="95"/>
        <v>#REF!</v>
      </c>
      <c r="AH487" s="120" t="str">
        <f t="shared" si="96"/>
        <v>#REF!</v>
      </c>
      <c r="AI487" s="121">
        <f t="shared" si="497"/>
        <v>0.1</v>
      </c>
      <c r="AJ487" s="121">
        <v>0.1</v>
      </c>
      <c r="AK487" s="122">
        <v>0.43</v>
      </c>
      <c r="AL487" s="123">
        <f t="shared" si="11"/>
        <v>0.2447448239</v>
      </c>
      <c r="AM487" s="122" t="str">
        <f t="shared" si="753"/>
        <v>#REF!</v>
      </c>
      <c r="AN487" s="125">
        <f t="shared" si="746"/>
        <v>0.5691740091</v>
      </c>
      <c r="AO487" s="112">
        <f t="shared" si="731"/>
        <v>0.43</v>
      </c>
      <c r="AP487" s="127"/>
      <c r="AQ487" s="128">
        <f t="shared" ref="AQ487:AR487" si="754">BC487/(1-AI487)</f>
        <v>0.4027171276</v>
      </c>
      <c r="AR487" s="139">
        <f t="shared" si="754"/>
        <v>0.3604768725</v>
      </c>
      <c r="AS487" s="126">
        <f t="shared" si="733"/>
        <v>0.45</v>
      </c>
      <c r="AT487" s="126">
        <f t="shared" si="734"/>
        <v>0.3666666667</v>
      </c>
      <c r="AU487" s="129"/>
      <c r="AV487" s="39" t="s">
        <v>1275</v>
      </c>
      <c r="AW487" s="130"/>
      <c r="AX487" s="140"/>
      <c r="AY487" s="140"/>
      <c r="AZ487" s="130"/>
      <c r="BA487" s="130">
        <v>2.49</v>
      </c>
      <c r="BB487" s="130">
        <f t="shared" si="735"/>
        <v>2.49</v>
      </c>
      <c r="BC487" s="131">
        <f t="shared" si="736"/>
        <v>0.3624454148</v>
      </c>
      <c r="BD487" s="132">
        <f t="shared" si="737"/>
        <v>0.3244291852</v>
      </c>
      <c r="BE487" s="39"/>
      <c r="BF487" s="134">
        <v>8.5447E9</v>
      </c>
      <c r="BG487" s="49"/>
      <c r="BH487" s="224">
        <f t="shared" si="714"/>
        <v>1.897246697</v>
      </c>
      <c r="BI487" s="224">
        <f t="shared" si="715"/>
        <v>1.138348018</v>
      </c>
      <c r="BJ487" s="224">
        <f t="shared" si="716"/>
        <v>0.9486233486</v>
      </c>
      <c r="BK487" s="224">
        <f t="shared" si="717"/>
        <v>0.7588986789</v>
      </c>
      <c r="BL487" s="49"/>
      <c r="BM487" s="49"/>
      <c r="BN487" s="49"/>
      <c r="BO487" s="49"/>
      <c r="BP487" s="49"/>
      <c r="BQ487" s="49"/>
      <c r="BR487" s="49"/>
      <c r="BS487" s="49"/>
      <c r="BT487" s="49"/>
      <c r="BU487" s="49"/>
      <c r="BV487" s="49"/>
      <c r="BW487" s="49"/>
      <c r="BX487" s="49"/>
      <c r="BY487" s="49"/>
      <c r="BZ487" s="49"/>
      <c r="CA487" s="49"/>
      <c r="CB487" s="49"/>
      <c r="CC487" s="49"/>
      <c r="CD487" s="49"/>
      <c r="CE487" s="49"/>
      <c r="CF487" s="49"/>
    </row>
    <row r="488" ht="14.25" customHeight="1">
      <c r="A488" s="103" t="s">
        <v>84</v>
      </c>
      <c r="B488" s="103" t="s">
        <v>120</v>
      </c>
      <c r="C488" s="103" t="s">
        <v>120</v>
      </c>
      <c r="D488" s="103" t="s">
        <v>1266</v>
      </c>
      <c r="E488" s="103" t="s">
        <v>1826</v>
      </c>
      <c r="F488" s="104" t="s">
        <v>1288</v>
      </c>
      <c r="G488" s="110" t="s">
        <v>1591</v>
      </c>
      <c r="H488" s="110"/>
      <c r="I488" s="107"/>
      <c r="J488" s="355" t="s">
        <v>1853</v>
      </c>
      <c r="K488" s="220" t="str">
        <f>_xlfn.XLOOKUP(J488,[1]Sheet1!$A:$A,[1]Sheet1!$B:$B,"")</f>
        <v>#ERROR!</v>
      </c>
      <c r="L488" s="103" t="s">
        <v>1846</v>
      </c>
      <c r="M488" s="103" t="s">
        <v>1847</v>
      </c>
      <c r="N488" s="110"/>
      <c r="O488" s="104" t="s">
        <v>95</v>
      </c>
      <c r="P488" s="110"/>
      <c r="Q488" s="104" t="s">
        <v>1323</v>
      </c>
      <c r="R488" s="110" t="s">
        <v>1176</v>
      </c>
      <c r="S488" s="110">
        <v>10800.0</v>
      </c>
      <c r="T488" s="110" t="s">
        <v>1848</v>
      </c>
      <c r="U488" s="110">
        <v>8.5447E9</v>
      </c>
      <c r="V488" s="112">
        <v>0.0</v>
      </c>
      <c r="W488" s="113">
        <v>30.0</v>
      </c>
      <c r="X488" s="110">
        <v>45.0</v>
      </c>
      <c r="Y488" s="110">
        <v>55.0</v>
      </c>
      <c r="Z488" s="110" t="s">
        <v>99</v>
      </c>
      <c r="AA488" s="114">
        <f t="shared" si="728"/>
        <v>0.7498566451</v>
      </c>
      <c r="AB488" s="115"/>
      <c r="AC488" s="212">
        <f t="shared" si="729"/>
        <v>0.5824976162</v>
      </c>
      <c r="AD488" s="213">
        <f t="shared" si="244"/>
        <v>0.6263415228</v>
      </c>
      <c r="AE488" s="212"/>
      <c r="AF488" s="212" t="str">
        <f t="shared" si="94"/>
        <v>#REF!</v>
      </c>
      <c r="AG488" s="210" t="str">
        <f t="shared" si="95"/>
        <v>#REF!</v>
      </c>
      <c r="AH488" s="120" t="str">
        <f t="shared" si="96"/>
        <v>#REF!</v>
      </c>
      <c r="AI488" s="121">
        <f t="shared" si="497"/>
        <v>0.1</v>
      </c>
      <c r="AJ488" s="121">
        <v>0.1</v>
      </c>
      <c r="AK488" s="122">
        <v>0.43</v>
      </c>
      <c r="AL488" s="123">
        <f t="shared" si="11"/>
        <v>0.250473975</v>
      </c>
      <c r="AM488" s="122" t="str">
        <f t="shared" si="753"/>
        <v>#REF!</v>
      </c>
      <c r="AN488" s="125">
        <f t="shared" si="746"/>
        <v>0.5824976162</v>
      </c>
      <c r="AO488" s="112">
        <f t="shared" si="731"/>
        <v>0.43</v>
      </c>
      <c r="AP488" s="127"/>
      <c r="AQ488" s="128">
        <f t="shared" ref="AQ488:AR488" si="755">BC488/(1-AI488)</f>
        <v>0.4124211548</v>
      </c>
      <c r="AR488" s="139">
        <f t="shared" si="755"/>
        <v>0.368915157</v>
      </c>
      <c r="AS488" s="126">
        <f t="shared" si="733"/>
        <v>0.45</v>
      </c>
      <c r="AT488" s="126">
        <f t="shared" si="734"/>
        <v>0.3666666667</v>
      </c>
      <c r="AU488" s="129"/>
      <c r="AV488" s="39" t="s">
        <v>1275</v>
      </c>
      <c r="AW488" s="130"/>
      <c r="AX488" s="140"/>
      <c r="AY488" s="140"/>
      <c r="AZ488" s="130">
        <f t="shared" ref="AZ488:AZ489" si="757">0.03*2</f>
        <v>0.06</v>
      </c>
      <c r="BA488" s="130">
        <v>2.49</v>
      </c>
      <c r="BB488" s="130">
        <f t="shared" si="735"/>
        <v>2.55</v>
      </c>
      <c r="BC488" s="131">
        <f t="shared" si="736"/>
        <v>0.3711790393</v>
      </c>
      <c r="BD488" s="132">
        <f t="shared" si="737"/>
        <v>0.3320236413</v>
      </c>
      <c r="BE488" s="39"/>
      <c r="BF488" s="134">
        <v>8.5447E9</v>
      </c>
      <c r="BG488" s="49"/>
      <c r="BH488" s="224">
        <f t="shared" si="714"/>
        <v>1.941658721</v>
      </c>
      <c r="BI488" s="224">
        <f t="shared" si="715"/>
        <v>1.164995232</v>
      </c>
      <c r="BJ488" s="224">
        <f t="shared" si="716"/>
        <v>0.9708293604</v>
      </c>
      <c r="BK488" s="224">
        <f t="shared" si="717"/>
        <v>0.7766634883</v>
      </c>
      <c r="BL488" s="49"/>
      <c r="BM488" s="49"/>
      <c r="BN488" s="49"/>
      <c r="BO488" s="49"/>
      <c r="BP488" s="49"/>
      <c r="BQ488" s="49"/>
      <c r="BR488" s="49"/>
      <c r="BS488" s="49"/>
      <c r="BT488" s="49"/>
      <c r="BU488" s="49"/>
      <c r="BV488" s="49"/>
      <c r="BW488" s="49"/>
      <c r="BX488" s="49"/>
      <c r="BY488" s="49"/>
      <c r="BZ488" s="49"/>
      <c r="CA488" s="49"/>
      <c r="CB488" s="49"/>
      <c r="CC488" s="49"/>
      <c r="CD488" s="49"/>
      <c r="CE488" s="49"/>
      <c r="CF488" s="49"/>
    </row>
    <row r="489" ht="14.25" customHeight="1">
      <c r="A489" s="103" t="s">
        <v>84</v>
      </c>
      <c r="B489" s="103" t="s">
        <v>120</v>
      </c>
      <c r="C489" s="103" t="s">
        <v>120</v>
      </c>
      <c r="D489" s="103" t="s">
        <v>1266</v>
      </c>
      <c r="E489" s="103" t="s">
        <v>1826</v>
      </c>
      <c r="F489" s="104" t="s">
        <v>1268</v>
      </c>
      <c r="G489" s="110" t="s">
        <v>1591</v>
      </c>
      <c r="H489" s="110"/>
      <c r="I489" s="107"/>
      <c r="J489" s="355" t="s">
        <v>1854</v>
      </c>
      <c r="K489" s="220" t="str">
        <f>_xlfn.XLOOKUP(J489,[1]Sheet1!$A:$A,[1]Sheet1!$B:$B,"")</f>
        <v>#ERROR!</v>
      </c>
      <c r="L489" s="103" t="s">
        <v>1850</v>
      </c>
      <c r="M489" s="103" t="s">
        <v>1851</v>
      </c>
      <c r="N489" s="110"/>
      <c r="O489" s="104" t="s">
        <v>95</v>
      </c>
      <c r="P489" s="110"/>
      <c r="Q489" s="104" t="s">
        <v>1323</v>
      </c>
      <c r="R489" s="110" t="s">
        <v>1176</v>
      </c>
      <c r="S489" s="110">
        <v>10800.0</v>
      </c>
      <c r="T489" s="110" t="s">
        <v>1852</v>
      </c>
      <c r="U489" s="110">
        <v>8.5447E9</v>
      </c>
      <c r="V489" s="112">
        <v>0.0</v>
      </c>
      <c r="W489" s="113">
        <v>30.0</v>
      </c>
      <c r="X489" s="110">
        <v>45.0</v>
      </c>
      <c r="Y489" s="110">
        <v>55.0</v>
      </c>
      <c r="Z489" s="110" t="s">
        <v>99</v>
      </c>
      <c r="AA489" s="114">
        <f t="shared" si="728"/>
        <v>0.7498566451</v>
      </c>
      <c r="AB489" s="115"/>
      <c r="AC489" s="212">
        <f t="shared" si="729"/>
        <v>0.5824976162</v>
      </c>
      <c r="AD489" s="213">
        <f t="shared" si="244"/>
        <v>0.6263415228</v>
      </c>
      <c r="AE489" s="212"/>
      <c r="AF489" s="212" t="str">
        <f t="shared" si="94"/>
        <v>#REF!</v>
      </c>
      <c r="AG489" s="210" t="str">
        <f t="shared" si="95"/>
        <v>#REF!</v>
      </c>
      <c r="AH489" s="120" t="str">
        <f t="shared" si="96"/>
        <v>#REF!</v>
      </c>
      <c r="AI489" s="121">
        <f t="shared" si="497"/>
        <v>0.1</v>
      </c>
      <c r="AJ489" s="121">
        <v>0.1</v>
      </c>
      <c r="AK489" s="122">
        <v>0.43</v>
      </c>
      <c r="AL489" s="123">
        <f t="shared" si="11"/>
        <v>0.250473975</v>
      </c>
      <c r="AM489" s="122" t="str">
        <f t="shared" si="753"/>
        <v>#REF!</v>
      </c>
      <c r="AN489" s="125">
        <f t="shared" si="746"/>
        <v>0.5824976162</v>
      </c>
      <c r="AO489" s="112">
        <f t="shared" si="731"/>
        <v>0.43</v>
      </c>
      <c r="AP489" s="127"/>
      <c r="AQ489" s="128">
        <f t="shared" ref="AQ489:AR489" si="756">BC489/(1-AI489)</f>
        <v>0.4124211548</v>
      </c>
      <c r="AR489" s="139">
        <f t="shared" si="756"/>
        <v>0.368915157</v>
      </c>
      <c r="AS489" s="126">
        <f t="shared" si="733"/>
        <v>0.45</v>
      </c>
      <c r="AT489" s="126">
        <f t="shared" si="734"/>
        <v>0.3666666667</v>
      </c>
      <c r="AU489" s="129"/>
      <c r="AV489" s="39" t="s">
        <v>1275</v>
      </c>
      <c r="AW489" s="130"/>
      <c r="AX489" s="140"/>
      <c r="AY489" s="140"/>
      <c r="AZ489" s="130">
        <f t="shared" si="757"/>
        <v>0.06</v>
      </c>
      <c r="BA489" s="130">
        <v>2.49</v>
      </c>
      <c r="BB489" s="130">
        <f t="shared" si="735"/>
        <v>2.55</v>
      </c>
      <c r="BC489" s="131">
        <f t="shared" si="736"/>
        <v>0.3711790393</v>
      </c>
      <c r="BD489" s="132">
        <f t="shared" si="737"/>
        <v>0.3320236413</v>
      </c>
      <c r="BE489" s="39"/>
      <c r="BF489" s="134">
        <v>8.5447E9</v>
      </c>
      <c r="BG489" s="49"/>
      <c r="BH489" s="224">
        <f t="shared" si="714"/>
        <v>1.941658721</v>
      </c>
      <c r="BI489" s="224">
        <f t="shared" si="715"/>
        <v>1.164995232</v>
      </c>
      <c r="BJ489" s="224">
        <f t="shared" si="716"/>
        <v>0.9708293604</v>
      </c>
      <c r="BK489" s="224">
        <f t="shared" si="717"/>
        <v>0.7766634883</v>
      </c>
      <c r="BL489" s="49"/>
      <c r="BM489" s="49"/>
      <c r="BN489" s="49"/>
      <c r="BO489" s="49"/>
      <c r="BP489" s="49"/>
      <c r="BQ489" s="49"/>
      <c r="BR489" s="49"/>
      <c r="BS489" s="49"/>
      <c r="BT489" s="49"/>
      <c r="BU489" s="49"/>
      <c r="BV489" s="49"/>
      <c r="BW489" s="49"/>
      <c r="BX489" s="49"/>
      <c r="BY489" s="49"/>
      <c r="BZ489" s="49"/>
      <c r="CA489" s="49"/>
      <c r="CB489" s="49"/>
      <c r="CC489" s="49"/>
      <c r="CD489" s="49"/>
      <c r="CE489" s="49"/>
      <c r="CF489" s="49"/>
    </row>
    <row r="490" ht="14.25" customHeight="1">
      <c r="A490" s="103" t="s">
        <v>84</v>
      </c>
      <c r="B490" s="103" t="s">
        <v>120</v>
      </c>
      <c r="C490" s="103" t="s">
        <v>120</v>
      </c>
      <c r="D490" s="103" t="s">
        <v>1266</v>
      </c>
      <c r="E490" s="103" t="s">
        <v>1826</v>
      </c>
      <c r="F490" s="104" t="s">
        <v>1288</v>
      </c>
      <c r="G490" s="110" t="s">
        <v>1319</v>
      </c>
      <c r="H490" s="356" t="s">
        <v>1855</v>
      </c>
      <c r="I490" s="357"/>
      <c r="J490" s="358" t="s">
        <v>1856</v>
      </c>
      <c r="K490" s="220" t="s">
        <v>1855</v>
      </c>
      <c r="L490" s="103" t="s">
        <v>1857</v>
      </c>
      <c r="M490" s="103" t="s">
        <v>1858</v>
      </c>
      <c r="N490" s="110"/>
      <c r="O490" s="104" t="s">
        <v>95</v>
      </c>
      <c r="P490" s="110"/>
      <c r="Q490" s="103" t="s">
        <v>1859</v>
      </c>
      <c r="R490" s="110" t="s">
        <v>1637</v>
      </c>
      <c r="S490" s="110">
        <v>480.0</v>
      </c>
      <c r="T490" s="110"/>
      <c r="U490" s="110">
        <v>8.5447E9</v>
      </c>
      <c r="V490" s="112">
        <v>0.0</v>
      </c>
      <c r="W490" s="113">
        <v>30.0</v>
      </c>
      <c r="X490" s="110">
        <v>45.0</v>
      </c>
      <c r="Y490" s="110">
        <v>55.0</v>
      </c>
      <c r="Z490" s="110" t="s">
        <v>99</v>
      </c>
      <c r="AA490" s="114">
        <f t="shared" si="728"/>
        <v>8.183729581</v>
      </c>
      <c r="AB490" s="115"/>
      <c r="AC490" s="212">
        <f t="shared" si="729"/>
        <v>6.51610262</v>
      </c>
      <c r="AD490" s="213">
        <f t="shared" si="244"/>
        <v>7.006561957</v>
      </c>
      <c r="AE490" s="212"/>
      <c r="AF490" s="212" t="str">
        <f t="shared" si="94"/>
        <v>#REF!</v>
      </c>
      <c r="AG490" s="210" t="str">
        <f t="shared" si="95"/>
        <v>#REF!</v>
      </c>
      <c r="AH490" s="120" t="str">
        <f t="shared" si="96"/>
        <v>#REF!</v>
      </c>
      <c r="AI490" s="121">
        <f t="shared" si="497"/>
        <v>0.1</v>
      </c>
      <c r="AJ490" s="121">
        <v>0.1</v>
      </c>
      <c r="AK490" s="122">
        <v>0.28</v>
      </c>
      <c r="AL490" s="123">
        <f t="shared" si="11"/>
        <v>1.824508734</v>
      </c>
      <c r="AM490" s="122" t="s">
        <v>10</v>
      </c>
      <c r="AN490" s="125">
        <f t="shared" si="746"/>
        <v>6.51610262</v>
      </c>
      <c r="AO490" s="112">
        <f t="shared" si="731"/>
        <v>0.28</v>
      </c>
      <c r="AP490" s="127"/>
      <c r="AQ490" s="128">
        <f t="shared" ref="AQ490:AR490" si="758">BC490/(1-AI490)</f>
        <v>5.728610707</v>
      </c>
      <c r="AR490" s="139">
        <f t="shared" si="758"/>
        <v>5.212882096</v>
      </c>
      <c r="AS490" s="126">
        <f t="shared" si="733"/>
        <v>0.3</v>
      </c>
      <c r="AT490" s="126">
        <f t="shared" si="734"/>
        <v>0.2</v>
      </c>
      <c r="AU490" s="129"/>
      <c r="AV490" s="39" t="s">
        <v>1275</v>
      </c>
      <c r="AW490" s="130"/>
      <c r="AX490" s="140"/>
      <c r="AY490" s="140"/>
      <c r="AZ490" s="130"/>
      <c r="BA490" s="359">
        <v>35.42</v>
      </c>
      <c r="BB490" s="130">
        <f t="shared" si="735"/>
        <v>35.42</v>
      </c>
      <c r="BC490" s="131">
        <f t="shared" si="736"/>
        <v>5.155749636</v>
      </c>
      <c r="BD490" s="132">
        <f t="shared" si="737"/>
        <v>4.691593886</v>
      </c>
      <c r="BE490" s="39"/>
      <c r="BF490" s="134"/>
      <c r="BG490" s="49"/>
      <c r="BH490" s="224">
        <f t="shared" si="714"/>
        <v>21.72034207</v>
      </c>
      <c r="BI490" s="224">
        <f t="shared" si="715"/>
        <v>13.03220524</v>
      </c>
      <c r="BJ490" s="224">
        <f t="shared" si="716"/>
        <v>10.86017103</v>
      </c>
      <c r="BK490" s="224">
        <f t="shared" si="717"/>
        <v>8.688136827</v>
      </c>
      <c r="BL490" s="49"/>
      <c r="BM490" s="49"/>
      <c r="BN490" s="49"/>
      <c r="BO490" s="49"/>
      <c r="BP490" s="49"/>
      <c r="BQ490" s="49"/>
      <c r="BR490" s="49"/>
      <c r="BS490" s="49"/>
      <c r="BT490" s="49"/>
      <c r="BU490" s="49"/>
      <c r="BV490" s="49"/>
      <c r="BW490" s="49"/>
      <c r="BX490" s="49"/>
      <c r="BY490" s="49"/>
      <c r="BZ490" s="49"/>
      <c r="CA490" s="49"/>
      <c r="CB490" s="49"/>
      <c r="CC490" s="49"/>
      <c r="CD490" s="49"/>
      <c r="CE490" s="49"/>
      <c r="CF490" s="49"/>
    </row>
    <row r="491" ht="14.25" customHeight="1">
      <c r="A491" s="103" t="s">
        <v>84</v>
      </c>
      <c r="B491" s="103" t="s">
        <v>120</v>
      </c>
      <c r="C491" s="103" t="s">
        <v>120</v>
      </c>
      <c r="D491" s="103" t="s">
        <v>1266</v>
      </c>
      <c r="E491" s="103" t="s">
        <v>1826</v>
      </c>
      <c r="F491" s="104" t="s">
        <v>1268</v>
      </c>
      <c r="G491" s="110" t="s">
        <v>1319</v>
      </c>
      <c r="H491" s="356" t="s">
        <v>1860</v>
      </c>
      <c r="I491" s="357"/>
      <c r="J491" s="358" t="s">
        <v>1861</v>
      </c>
      <c r="K491" s="220" t="s">
        <v>1860</v>
      </c>
      <c r="L491" s="103" t="s">
        <v>1862</v>
      </c>
      <c r="M491" s="103" t="s">
        <v>1863</v>
      </c>
      <c r="N491" s="110"/>
      <c r="O491" s="104" t="s">
        <v>95</v>
      </c>
      <c r="P491" s="110"/>
      <c r="Q491" s="103" t="s">
        <v>1859</v>
      </c>
      <c r="R491" s="110" t="s">
        <v>1637</v>
      </c>
      <c r="S491" s="110">
        <v>480.0</v>
      </c>
      <c r="T491" s="110"/>
      <c r="U491" s="110">
        <v>8.5447E9</v>
      </c>
      <c r="V491" s="112">
        <v>0.0</v>
      </c>
      <c r="W491" s="113">
        <v>30.0</v>
      </c>
      <c r="X491" s="110">
        <v>45.0</v>
      </c>
      <c r="Y491" s="110">
        <v>55.0</v>
      </c>
      <c r="Z491" s="110" t="s">
        <v>99</v>
      </c>
      <c r="AA491" s="114">
        <f t="shared" si="728"/>
        <v>8.183729581</v>
      </c>
      <c r="AB491" s="115"/>
      <c r="AC491" s="212">
        <f t="shared" si="729"/>
        <v>6.51610262</v>
      </c>
      <c r="AD491" s="213">
        <f t="shared" si="244"/>
        <v>7.006561957</v>
      </c>
      <c r="AE491" s="212"/>
      <c r="AF491" s="212" t="str">
        <f t="shared" si="94"/>
        <v>#REF!</v>
      </c>
      <c r="AG491" s="210" t="str">
        <f t="shared" si="95"/>
        <v>#REF!</v>
      </c>
      <c r="AH491" s="120" t="str">
        <f t="shared" si="96"/>
        <v>#REF!</v>
      </c>
      <c r="AI491" s="121">
        <f t="shared" si="497"/>
        <v>0.1</v>
      </c>
      <c r="AJ491" s="121">
        <v>0.1</v>
      </c>
      <c r="AK491" s="122">
        <v>0.28</v>
      </c>
      <c r="AL491" s="123">
        <f t="shared" si="11"/>
        <v>1.824508734</v>
      </c>
      <c r="AM491" s="122" t="s">
        <v>10</v>
      </c>
      <c r="AN491" s="125">
        <f t="shared" si="746"/>
        <v>6.51610262</v>
      </c>
      <c r="AO491" s="112">
        <f t="shared" si="731"/>
        <v>0.28</v>
      </c>
      <c r="AP491" s="127"/>
      <c r="AQ491" s="128">
        <f t="shared" ref="AQ491:AR491" si="759">BC491/(1-AI491)</f>
        <v>5.728610707</v>
      </c>
      <c r="AR491" s="139">
        <f t="shared" si="759"/>
        <v>5.212882096</v>
      </c>
      <c r="AS491" s="126">
        <f t="shared" si="733"/>
        <v>0.3</v>
      </c>
      <c r="AT491" s="126">
        <f t="shared" si="734"/>
        <v>0.2</v>
      </c>
      <c r="AU491" s="129"/>
      <c r="AV491" s="39" t="s">
        <v>1275</v>
      </c>
      <c r="AW491" s="130"/>
      <c r="AX491" s="140"/>
      <c r="AY491" s="140"/>
      <c r="AZ491" s="130"/>
      <c r="BA491" s="359">
        <v>35.42</v>
      </c>
      <c r="BB491" s="130">
        <f t="shared" si="735"/>
        <v>35.42</v>
      </c>
      <c r="BC491" s="131">
        <f t="shared" si="736"/>
        <v>5.155749636</v>
      </c>
      <c r="BD491" s="132">
        <f t="shared" si="737"/>
        <v>4.691593886</v>
      </c>
      <c r="BE491" s="39"/>
      <c r="BF491" s="134"/>
      <c r="BG491" s="49"/>
      <c r="BH491" s="224">
        <f t="shared" si="714"/>
        <v>21.72034207</v>
      </c>
      <c r="BI491" s="224">
        <f t="shared" si="715"/>
        <v>13.03220524</v>
      </c>
      <c r="BJ491" s="224">
        <f t="shared" si="716"/>
        <v>10.86017103</v>
      </c>
      <c r="BK491" s="224">
        <f t="shared" si="717"/>
        <v>8.688136827</v>
      </c>
      <c r="BL491" s="49"/>
      <c r="BM491" s="49"/>
      <c r="BN491" s="49"/>
      <c r="BO491" s="49"/>
      <c r="BP491" s="49"/>
      <c r="BQ491" s="49"/>
      <c r="BR491" s="49"/>
      <c r="BS491" s="49"/>
      <c r="BT491" s="49"/>
      <c r="BU491" s="49"/>
      <c r="BV491" s="49"/>
      <c r="BW491" s="49"/>
      <c r="BX491" s="49"/>
      <c r="BY491" s="49"/>
      <c r="BZ491" s="49"/>
      <c r="CA491" s="49"/>
      <c r="CB491" s="49"/>
      <c r="CC491" s="49"/>
      <c r="CD491" s="49"/>
      <c r="CE491" s="49"/>
      <c r="CF491" s="49"/>
    </row>
    <row r="492" ht="14.25" customHeight="1">
      <c r="A492" s="103" t="s">
        <v>84</v>
      </c>
      <c r="B492" s="103" t="s">
        <v>120</v>
      </c>
      <c r="C492" s="103" t="s">
        <v>120</v>
      </c>
      <c r="D492" s="103" t="s">
        <v>1266</v>
      </c>
      <c r="E492" s="103" t="s">
        <v>1826</v>
      </c>
      <c r="F492" s="104" t="s">
        <v>1288</v>
      </c>
      <c r="G492" s="110" t="s">
        <v>1395</v>
      </c>
      <c r="H492" s="356" t="s">
        <v>1864</v>
      </c>
      <c r="I492" s="357"/>
      <c r="J492" s="358" t="s">
        <v>1865</v>
      </c>
      <c r="K492" s="220" t="s">
        <v>1864</v>
      </c>
      <c r="L492" s="103" t="s">
        <v>1866</v>
      </c>
      <c r="M492" s="103" t="s">
        <v>1867</v>
      </c>
      <c r="N492" s="110"/>
      <c r="O492" s="104" t="s">
        <v>95</v>
      </c>
      <c r="P492" s="110"/>
      <c r="Q492" s="103" t="s">
        <v>1859</v>
      </c>
      <c r="R492" s="110" t="s">
        <v>1637</v>
      </c>
      <c r="S492" s="110">
        <v>480.0</v>
      </c>
      <c r="T492" s="110"/>
      <c r="U492" s="110">
        <v>8.5447E9</v>
      </c>
      <c r="V492" s="112">
        <v>0.0</v>
      </c>
      <c r="W492" s="113">
        <v>30.0</v>
      </c>
      <c r="X492" s="110">
        <v>45.0</v>
      </c>
      <c r="Y492" s="110">
        <v>55.0</v>
      </c>
      <c r="Z492" s="110" t="s">
        <v>99</v>
      </c>
      <c r="AA492" s="114">
        <f t="shared" si="728"/>
        <v>9.759478755</v>
      </c>
      <c r="AB492" s="115"/>
      <c r="AC492" s="212">
        <f t="shared" si="729"/>
        <v>7.715042209</v>
      </c>
      <c r="AD492" s="213">
        <f t="shared" si="244"/>
        <v>8.295744311</v>
      </c>
      <c r="AE492" s="212"/>
      <c r="AF492" s="212" t="str">
        <f t="shared" si="94"/>
        <v>#REF!</v>
      </c>
      <c r="AG492" s="210" t="str">
        <f t="shared" si="95"/>
        <v>#REF!</v>
      </c>
      <c r="AH492" s="120" t="str">
        <f t="shared" si="96"/>
        <v>#REF!</v>
      </c>
      <c r="AI492" s="121">
        <f t="shared" si="497"/>
        <v>0.1</v>
      </c>
      <c r="AJ492" s="121">
        <v>0.1</v>
      </c>
      <c r="AK492" s="122">
        <v>0.28</v>
      </c>
      <c r="AL492" s="123">
        <f t="shared" si="11"/>
        <v>2.160211819</v>
      </c>
      <c r="AM492" s="122" t="s">
        <v>10</v>
      </c>
      <c r="AN492" s="125">
        <f t="shared" si="746"/>
        <v>7.715042209</v>
      </c>
      <c r="AO492" s="112">
        <f t="shared" si="731"/>
        <v>0.28</v>
      </c>
      <c r="AP492" s="127"/>
      <c r="AQ492" s="128">
        <f t="shared" ref="AQ492:AR492" si="760">BC492/(1-AI492)</f>
        <v>6.831635129</v>
      </c>
      <c r="AR492" s="139">
        <f t="shared" si="760"/>
        <v>6.172033767</v>
      </c>
      <c r="AS492" s="126">
        <f t="shared" si="733"/>
        <v>0.3</v>
      </c>
      <c r="AT492" s="126">
        <f t="shared" si="734"/>
        <v>0.2</v>
      </c>
      <c r="AU492" s="129"/>
      <c r="AV492" s="39" t="s">
        <v>1275</v>
      </c>
      <c r="AW492" s="130"/>
      <c r="AX492" s="140"/>
      <c r="AY492" s="140"/>
      <c r="AZ492" s="130"/>
      <c r="BA492" s="359">
        <v>42.24</v>
      </c>
      <c r="BB492" s="130">
        <f t="shared" si="735"/>
        <v>42.24</v>
      </c>
      <c r="BC492" s="131">
        <f t="shared" si="736"/>
        <v>6.148471616</v>
      </c>
      <c r="BD492" s="132">
        <f t="shared" si="737"/>
        <v>5.55483039</v>
      </c>
      <c r="BE492" s="39"/>
      <c r="BF492" s="134"/>
      <c r="BG492" s="49"/>
      <c r="BH492" s="224">
        <f t="shared" si="714"/>
        <v>25.71680736</v>
      </c>
      <c r="BI492" s="224">
        <f t="shared" si="715"/>
        <v>15.43008442</v>
      </c>
      <c r="BJ492" s="224">
        <f t="shared" si="716"/>
        <v>12.85840368</v>
      </c>
      <c r="BK492" s="224">
        <f t="shared" si="717"/>
        <v>10.28672295</v>
      </c>
      <c r="BL492" s="49"/>
      <c r="BM492" s="49"/>
      <c r="BN492" s="49"/>
      <c r="BO492" s="49"/>
      <c r="BP492" s="49"/>
      <c r="BQ492" s="49"/>
      <c r="BR492" s="49"/>
      <c r="BS492" s="49"/>
      <c r="BT492" s="49"/>
      <c r="BU492" s="49"/>
      <c r="BV492" s="49"/>
      <c r="BW492" s="49"/>
      <c r="BX492" s="49"/>
      <c r="BY492" s="49"/>
      <c r="BZ492" s="49"/>
      <c r="CA492" s="49"/>
      <c r="CB492" s="49"/>
      <c r="CC492" s="49"/>
      <c r="CD492" s="49"/>
      <c r="CE492" s="49"/>
      <c r="CF492" s="49"/>
    </row>
    <row r="493" ht="14.25" customHeight="1">
      <c r="A493" s="103" t="s">
        <v>84</v>
      </c>
      <c r="B493" s="103" t="s">
        <v>120</v>
      </c>
      <c r="C493" s="103" t="s">
        <v>120</v>
      </c>
      <c r="D493" s="103" t="s">
        <v>1266</v>
      </c>
      <c r="E493" s="103" t="s">
        <v>1826</v>
      </c>
      <c r="F493" s="104" t="s">
        <v>1268</v>
      </c>
      <c r="G493" s="110" t="s">
        <v>1395</v>
      </c>
      <c r="H493" s="356" t="s">
        <v>1868</v>
      </c>
      <c r="I493" s="357"/>
      <c r="J493" s="358" t="s">
        <v>1869</v>
      </c>
      <c r="K493" s="220" t="s">
        <v>1868</v>
      </c>
      <c r="L493" s="103" t="s">
        <v>1870</v>
      </c>
      <c r="M493" s="103" t="s">
        <v>1871</v>
      </c>
      <c r="N493" s="110"/>
      <c r="O493" s="104" t="s">
        <v>95</v>
      </c>
      <c r="P493" s="110"/>
      <c r="Q493" s="103" t="s">
        <v>1859</v>
      </c>
      <c r="R493" s="110" t="s">
        <v>1637</v>
      </c>
      <c r="S493" s="110">
        <v>480.0</v>
      </c>
      <c r="T493" s="110"/>
      <c r="U493" s="110">
        <v>8.5447E9</v>
      </c>
      <c r="V493" s="112">
        <v>0.0</v>
      </c>
      <c r="W493" s="113">
        <v>30.0</v>
      </c>
      <c r="X493" s="110">
        <v>45.0</v>
      </c>
      <c r="Y493" s="110">
        <v>55.0</v>
      </c>
      <c r="Z493" s="110" t="s">
        <v>99</v>
      </c>
      <c r="AA493" s="114">
        <f t="shared" si="728"/>
        <v>9.759478755</v>
      </c>
      <c r="AB493" s="115"/>
      <c r="AC493" s="212">
        <f t="shared" si="729"/>
        <v>7.715042209</v>
      </c>
      <c r="AD493" s="213">
        <f t="shared" si="244"/>
        <v>8.295744311</v>
      </c>
      <c r="AE493" s="212"/>
      <c r="AF493" s="212" t="str">
        <f t="shared" si="94"/>
        <v>#REF!</v>
      </c>
      <c r="AG493" s="210" t="str">
        <f t="shared" si="95"/>
        <v>#REF!</v>
      </c>
      <c r="AH493" s="120" t="str">
        <f t="shared" si="96"/>
        <v>#REF!</v>
      </c>
      <c r="AI493" s="121">
        <f t="shared" si="497"/>
        <v>0.1</v>
      </c>
      <c r="AJ493" s="121">
        <v>0.1</v>
      </c>
      <c r="AK493" s="122">
        <v>0.28</v>
      </c>
      <c r="AL493" s="123">
        <f t="shared" si="11"/>
        <v>2.160211819</v>
      </c>
      <c r="AM493" s="122" t="s">
        <v>10</v>
      </c>
      <c r="AN493" s="125">
        <f t="shared" si="746"/>
        <v>7.715042209</v>
      </c>
      <c r="AO493" s="112">
        <f t="shared" si="731"/>
        <v>0.28</v>
      </c>
      <c r="AP493" s="127"/>
      <c r="AQ493" s="128">
        <f t="shared" ref="AQ493:AR493" si="761">BC493/(1-AI493)</f>
        <v>6.831635129</v>
      </c>
      <c r="AR493" s="139">
        <f t="shared" si="761"/>
        <v>6.172033767</v>
      </c>
      <c r="AS493" s="126">
        <f t="shared" si="733"/>
        <v>0.3</v>
      </c>
      <c r="AT493" s="126">
        <f t="shared" si="734"/>
        <v>0.2</v>
      </c>
      <c r="AU493" s="129"/>
      <c r="AV493" s="39" t="s">
        <v>1275</v>
      </c>
      <c r="AW493" s="130"/>
      <c r="AX493" s="140"/>
      <c r="AY493" s="140"/>
      <c r="AZ493" s="130"/>
      <c r="BA493" s="359">
        <v>42.24</v>
      </c>
      <c r="BB493" s="130">
        <f t="shared" si="735"/>
        <v>42.24</v>
      </c>
      <c r="BC493" s="131">
        <f t="shared" si="736"/>
        <v>6.148471616</v>
      </c>
      <c r="BD493" s="132">
        <f t="shared" si="737"/>
        <v>5.55483039</v>
      </c>
      <c r="BE493" s="39"/>
      <c r="BF493" s="134"/>
      <c r="BG493" s="49"/>
      <c r="BH493" s="224">
        <f t="shared" si="714"/>
        <v>25.71680736</v>
      </c>
      <c r="BI493" s="224">
        <f t="shared" si="715"/>
        <v>15.43008442</v>
      </c>
      <c r="BJ493" s="224">
        <f t="shared" si="716"/>
        <v>12.85840368</v>
      </c>
      <c r="BK493" s="224">
        <f t="shared" si="717"/>
        <v>10.28672295</v>
      </c>
      <c r="BL493" s="49"/>
      <c r="BM493" s="49"/>
      <c r="BN493" s="49"/>
      <c r="BO493" s="49"/>
      <c r="BP493" s="49"/>
      <c r="BQ493" s="49"/>
      <c r="BR493" s="49"/>
      <c r="BS493" s="49"/>
      <c r="BT493" s="49"/>
      <c r="BU493" s="49"/>
      <c r="BV493" s="49"/>
      <c r="BW493" s="49"/>
      <c r="BX493" s="49"/>
      <c r="BY493" s="49"/>
      <c r="BZ493" s="49"/>
      <c r="CA493" s="49"/>
      <c r="CB493" s="49"/>
      <c r="CC493" s="49"/>
      <c r="CD493" s="49"/>
      <c r="CE493" s="49"/>
      <c r="CF493" s="49"/>
    </row>
    <row r="494" ht="14.25" customHeight="1">
      <c r="A494" s="103" t="s">
        <v>84</v>
      </c>
      <c r="B494" s="103" t="s">
        <v>120</v>
      </c>
      <c r="C494" s="103" t="s">
        <v>120</v>
      </c>
      <c r="D494" s="103" t="s">
        <v>1266</v>
      </c>
      <c r="E494" s="103" t="s">
        <v>1826</v>
      </c>
      <c r="F494" s="104" t="s">
        <v>1288</v>
      </c>
      <c r="G494" s="110" t="s">
        <v>1465</v>
      </c>
      <c r="H494" s="356"/>
      <c r="I494" s="357"/>
      <c r="J494" s="358" t="s">
        <v>1872</v>
      </c>
      <c r="K494" s="220"/>
      <c r="L494" s="103" t="s">
        <v>1873</v>
      </c>
      <c r="M494" s="103" t="s">
        <v>1874</v>
      </c>
      <c r="N494" s="110"/>
      <c r="O494" s="104" t="s">
        <v>95</v>
      </c>
      <c r="P494" s="110"/>
      <c r="Q494" s="103" t="s">
        <v>1859</v>
      </c>
      <c r="R494" s="110" t="s">
        <v>1637</v>
      </c>
      <c r="S494" s="110">
        <v>480.0</v>
      </c>
      <c r="T494" s="110"/>
      <c r="U494" s="110">
        <v>8.5447E9</v>
      </c>
      <c r="V494" s="112">
        <v>0.0</v>
      </c>
      <c r="W494" s="113">
        <v>30.0</v>
      </c>
      <c r="X494" s="110">
        <v>45.0</v>
      </c>
      <c r="Y494" s="110">
        <v>55.0</v>
      </c>
      <c r="Z494" s="110" t="s">
        <v>99</v>
      </c>
      <c r="AA494" s="114">
        <f t="shared" si="728"/>
        <v>13.30144867</v>
      </c>
      <c r="AB494" s="115"/>
      <c r="AC494" s="212">
        <f t="shared" si="729"/>
        <v>10.41001932</v>
      </c>
      <c r="AD494" s="213">
        <f t="shared" si="244"/>
        <v>11.19356916</v>
      </c>
      <c r="AE494" s="212"/>
      <c r="AF494" s="212" t="str">
        <f t="shared" si="94"/>
        <v>#REF!</v>
      </c>
      <c r="AG494" s="210" t="str">
        <f t="shared" si="95"/>
        <v>#REF!</v>
      </c>
      <c r="AH494" s="120" t="str">
        <f t="shared" si="96"/>
        <v>#REF!</v>
      </c>
      <c r="AI494" s="121">
        <f t="shared" si="497"/>
        <v>0.1</v>
      </c>
      <c r="AJ494" s="121">
        <v>0.1</v>
      </c>
      <c r="AK494" s="122">
        <v>0.28</v>
      </c>
      <c r="AL494" s="123">
        <f t="shared" si="11"/>
        <v>2.91480541</v>
      </c>
      <c r="AM494" s="122" t="s">
        <v>10</v>
      </c>
      <c r="AN494" s="125">
        <f t="shared" si="746"/>
        <v>10.41001932</v>
      </c>
      <c r="AO494" s="112">
        <f t="shared" si="731"/>
        <v>0.28</v>
      </c>
      <c r="AP494" s="127"/>
      <c r="AQ494" s="128">
        <f t="shared" ref="AQ494:AR494" si="762">BC494/(1-AI494)</f>
        <v>9.311014071</v>
      </c>
      <c r="AR494" s="139">
        <f t="shared" si="762"/>
        <v>8.328015456</v>
      </c>
      <c r="AS494" s="126">
        <f t="shared" si="733"/>
        <v>0.3</v>
      </c>
      <c r="AT494" s="126">
        <f t="shared" si="734"/>
        <v>0.2</v>
      </c>
      <c r="AU494" s="129"/>
      <c r="AV494" s="39" t="s">
        <v>1275</v>
      </c>
      <c r="AW494" s="130"/>
      <c r="AX494" s="140"/>
      <c r="AY494" s="140"/>
      <c r="AZ494" s="130"/>
      <c r="BA494" s="359">
        <v>57.57</v>
      </c>
      <c r="BB494" s="130">
        <f t="shared" si="735"/>
        <v>57.57</v>
      </c>
      <c r="BC494" s="131">
        <f t="shared" si="736"/>
        <v>8.379912664</v>
      </c>
      <c r="BD494" s="132">
        <f t="shared" si="737"/>
        <v>7.495213911</v>
      </c>
      <c r="BE494" s="39"/>
      <c r="BF494" s="134"/>
      <c r="BG494" s="49"/>
      <c r="BH494" s="224">
        <f t="shared" si="714"/>
        <v>34.7000644</v>
      </c>
      <c r="BI494" s="224">
        <f t="shared" si="715"/>
        <v>20.82003864</v>
      </c>
      <c r="BJ494" s="224">
        <f t="shared" si="716"/>
        <v>17.3500322</v>
      </c>
      <c r="BK494" s="224">
        <f t="shared" si="717"/>
        <v>13.88002576</v>
      </c>
      <c r="BL494" s="49"/>
      <c r="BM494" s="49"/>
      <c r="BN494" s="49"/>
      <c r="BO494" s="49"/>
      <c r="BP494" s="49"/>
      <c r="BQ494" s="49"/>
      <c r="BR494" s="49"/>
      <c r="BS494" s="49"/>
      <c r="BT494" s="49"/>
      <c r="BU494" s="49"/>
      <c r="BV494" s="49"/>
      <c r="BW494" s="49"/>
      <c r="BX494" s="49"/>
      <c r="BY494" s="49"/>
      <c r="BZ494" s="49"/>
      <c r="CA494" s="49"/>
      <c r="CB494" s="49"/>
      <c r="CC494" s="49"/>
      <c r="CD494" s="49"/>
      <c r="CE494" s="49"/>
      <c r="CF494" s="49"/>
    </row>
    <row r="495" ht="14.25" customHeight="1">
      <c r="A495" s="103" t="s">
        <v>84</v>
      </c>
      <c r="B495" s="103" t="s">
        <v>120</v>
      </c>
      <c r="C495" s="103" t="s">
        <v>120</v>
      </c>
      <c r="D495" s="103" t="s">
        <v>1266</v>
      </c>
      <c r="E495" s="103" t="s">
        <v>1826</v>
      </c>
      <c r="F495" s="104" t="s">
        <v>1268</v>
      </c>
      <c r="G495" s="110" t="s">
        <v>1465</v>
      </c>
      <c r="H495" s="356"/>
      <c r="I495" s="357"/>
      <c r="J495" s="358" t="s">
        <v>1875</v>
      </c>
      <c r="K495" s="220"/>
      <c r="L495" s="103" t="s">
        <v>1876</v>
      </c>
      <c r="M495" s="103" t="s">
        <v>1877</v>
      </c>
      <c r="N495" s="110"/>
      <c r="O495" s="104" t="s">
        <v>95</v>
      </c>
      <c r="P495" s="110"/>
      <c r="Q495" s="103" t="s">
        <v>1859</v>
      </c>
      <c r="R495" s="110" t="s">
        <v>1637</v>
      </c>
      <c r="S495" s="110">
        <v>480.0</v>
      </c>
      <c r="T495" s="110"/>
      <c r="U495" s="110">
        <v>8.5447E9</v>
      </c>
      <c r="V495" s="112">
        <v>0.0</v>
      </c>
      <c r="W495" s="113">
        <v>30.0</v>
      </c>
      <c r="X495" s="110">
        <v>45.0</v>
      </c>
      <c r="Y495" s="110">
        <v>55.0</v>
      </c>
      <c r="Z495" s="110" t="s">
        <v>99</v>
      </c>
      <c r="AA495" s="114">
        <f t="shared" si="728"/>
        <v>13.30144867</v>
      </c>
      <c r="AB495" s="115"/>
      <c r="AC495" s="212">
        <f t="shared" si="729"/>
        <v>10.41001932</v>
      </c>
      <c r="AD495" s="213">
        <f t="shared" si="244"/>
        <v>11.19356916</v>
      </c>
      <c r="AE495" s="212"/>
      <c r="AF495" s="212" t="str">
        <f t="shared" si="94"/>
        <v>#REF!</v>
      </c>
      <c r="AG495" s="210" t="str">
        <f t="shared" si="95"/>
        <v>#REF!</v>
      </c>
      <c r="AH495" s="120" t="str">
        <f t="shared" si="96"/>
        <v>#REF!</v>
      </c>
      <c r="AI495" s="121">
        <f t="shared" si="497"/>
        <v>0.1</v>
      </c>
      <c r="AJ495" s="121">
        <v>0.1</v>
      </c>
      <c r="AK495" s="122">
        <v>0.28</v>
      </c>
      <c r="AL495" s="123">
        <f t="shared" si="11"/>
        <v>2.91480541</v>
      </c>
      <c r="AM495" s="122" t="s">
        <v>10</v>
      </c>
      <c r="AN495" s="125">
        <f t="shared" si="746"/>
        <v>10.41001932</v>
      </c>
      <c r="AO495" s="112">
        <f t="shared" si="731"/>
        <v>0.28</v>
      </c>
      <c r="AP495" s="127"/>
      <c r="AQ495" s="128">
        <f t="shared" ref="AQ495:AR495" si="763">BC495/(1-AI495)</f>
        <v>9.311014071</v>
      </c>
      <c r="AR495" s="139">
        <f t="shared" si="763"/>
        <v>8.328015456</v>
      </c>
      <c r="AS495" s="126">
        <f t="shared" si="733"/>
        <v>0.3</v>
      </c>
      <c r="AT495" s="126">
        <f t="shared" si="734"/>
        <v>0.2</v>
      </c>
      <c r="AU495" s="129"/>
      <c r="AV495" s="39" t="s">
        <v>1275</v>
      </c>
      <c r="AW495" s="130"/>
      <c r="AX495" s="140"/>
      <c r="AY495" s="140"/>
      <c r="AZ495" s="130"/>
      <c r="BA495" s="359">
        <v>57.57</v>
      </c>
      <c r="BB495" s="130">
        <f t="shared" si="735"/>
        <v>57.57</v>
      </c>
      <c r="BC495" s="131">
        <f t="shared" si="736"/>
        <v>8.379912664</v>
      </c>
      <c r="BD495" s="132">
        <f t="shared" si="737"/>
        <v>7.495213911</v>
      </c>
      <c r="BE495" s="39"/>
      <c r="BF495" s="134"/>
      <c r="BG495" s="49"/>
      <c r="BH495" s="224">
        <f t="shared" si="714"/>
        <v>34.7000644</v>
      </c>
      <c r="BI495" s="224">
        <f t="shared" si="715"/>
        <v>20.82003864</v>
      </c>
      <c r="BJ495" s="224">
        <f t="shared" si="716"/>
        <v>17.3500322</v>
      </c>
      <c r="BK495" s="224">
        <f t="shared" si="717"/>
        <v>13.88002576</v>
      </c>
      <c r="BL495" s="49"/>
      <c r="BM495" s="49"/>
      <c r="BN495" s="49"/>
      <c r="BO495" s="49"/>
      <c r="BP495" s="49"/>
      <c r="BQ495" s="49"/>
      <c r="BR495" s="49"/>
      <c r="BS495" s="49"/>
      <c r="BT495" s="49"/>
      <c r="BU495" s="49"/>
      <c r="BV495" s="49"/>
      <c r="BW495" s="49"/>
      <c r="BX495" s="49"/>
      <c r="BY495" s="49"/>
      <c r="BZ495" s="49"/>
      <c r="CA495" s="49"/>
      <c r="CB495" s="49"/>
      <c r="CC495" s="49"/>
      <c r="CD495" s="49"/>
      <c r="CE495" s="49"/>
      <c r="CF495" s="49"/>
    </row>
    <row r="496" ht="14.25" customHeight="1">
      <c r="A496" s="103" t="s">
        <v>84</v>
      </c>
      <c r="B496" s="103" t="s">
        <v>120</v>
      </c>
      <c r="C496" s="103" t="s">
        <v>120</v>
      </c>
      <c r="D496" s="103" t="s">
        <v>1266</v>
      </c>
      <c r="E496" s="103" t="s">
        <v>1826</v>
      </c>
      <c r="F496" s="104" t="s">
        <v>1288</v>
      </c>
      <c r="G496" s="110" t="s">
        <v>1591</v>
      </c>
      <c r="H496" s="356" t="s">
        <v>1878</v>
      </c>
      <c r="I496" s="357"/>
      <c r="J496" s="360" t="s">
        <v>1879</v>
      </c>
      <c r="K496" s="220" t="s">
        <v>1878</v>
      </c>
      <c r="L496" s="103" t="s">
        <v>1880</v>
      </c>
      <c r="M496" s="103" t="s">
        <v>1881</v>
      </c>
      <c r="N496" s="110"/>
      <c r="O496" s="104" t="s">
        <v>95</v>
      </c>
      <c r="P496" s="110"/>
      <c r="Q496" s="103" t="s">
        <v>1859</v>
      </c>
      <c r="R496" s="110" t="s">
        <v>1637</v>
      </c>
      <c r="S496" s="110">
        <v>480.0</v>
      </c>
      <c r="T496" s="110"/>
      <c r="U496" s="110">
        <v>8.5447E9</v>
      </c>
      <c r="V496" s="112">
        <v>0.0</v>
      </c>
      <c r="W496" s="113">
        <v>30.0</v>
      </c>
      <c r="X496" s="110">
        <v>45.0</v>
      </c>
      <c r="Y496" s="110">
        <v>55.0</v>
      </c>
      <c r="Z496" s="110" t="s">
        <v>99</v>
      </c>
      <c r="AA496" s="114">
        <f t="shared" si="728"/>
        <v>9.12766677</v>
      </c>
      <c r="AB496" s="115"/>
      <c r="AC496" s="212">
        <f t="shared" si="729"/>
        <v>7.258243149</v>
      </c>
      <c r="AD496" s="213">
        <f t="shared" si="244"/>
        <v>7.804562526</v>
      </c>
      <c r="AE496" s="212"/>
      <c r="AF496" s="212" t="str">
        <f t="shared" si="94"/>
        <v>#REF!</v>
      </c>
      <c r="AG496" s="210" t="str">
        <f t="shared" si="95"/>
        <v>#REF!</v>
      </c>
      <c r="AH496" s="120" t="str">
        <f t="shared" si="96"/>
        <v>#REF!</v>
      </c>
      <c r="AI496" s="121">
        <f t="shared" si="497"/>
        <v>0.1</v>
      </c>
      <c r="AJ496" s="121">
        <v>0.1</v>
      </c>
      <c r="AK496" s="122">
        <v>0.43</v>
      </c>
      <c r="AL496" s="123">
        <f t="shared" si="11"/>
        <v>3.121044554</v>
      </c>
      <c r="AM496" s="122" t="s">
        <v>10</v>
      </c>
      <c r="AN496" s="125">
        <f t="shared" si="746"/>
        <v>7.258243149</v>
      </c>
      <c r="AO496" s="112">
        <f t="shared" si="731"/>
        <v>0.43</v>
      </c>
      <c r="AP496" s="127"/>
      <c r="AQ496" s="128">
        <f t="shared" ref="AQ496:AR496" si="764">BC496/(1-AI496)</f>
        <v>5.020216723</v>
      </c>
      <c r="AR496" s="139">
        <f t="shared" si="764"/>
        <v>4.596887328</v>
      </c>
      <c r="AS496" s="126">
        <f t="shared" si="733"/>
        <v>0.45</v>
      </c>
      <c r="AT496" s="126">
        <f t="shared" si="734"/>
        <v>0.3666666667</v>
      </c>
      <c r="AU496" s="129"/>
      <c r="AV496" s="39" t="s">
        <v>1275</v>
      </c>
      <c r="AW496" s="130"/>
      <c r="AX496" s="140"/>
      <c r="AY496" s="140"/>
      <c r="AZ496" s="130"/>
      <c r="BA496" s="359">
        <v>31.04</v>
      </c>
      <c r="BB496" s="130">
        <f t="shared" si="735"/>
        <v>31.04</v>
      </c>
      <c r="BC496" s="131">
        <f t="shared" si="736"/>
        <v>4.518195051</v>
      </c>
      <c r="BD496" s="132">
        <f t="shared" si="737"/>
        <v>4.137198595</v>
      </c>
      <c r="BE496" s="39"/>
      <c r="BF496" s="134"/>
      <c r="BG496" s="49"/>
      <c r="BH496" s="224">
        <f t="shared" si="714"/>
        <v>24.19414383</v>
      </c>
      <c r="BI496" s="224">
        <f t="shared" si="715"/>
        <v>14.5164863</v>
      </c>
      <c r="BJ496" s="224">
        <f t="shared" si="716"/>
        <v>12.09707192</v>
      </c>
      <c r="BK496" s="224">
        <f t="shared" si="717"/>
        <v>9.677657532</v>
      </c>
      <c r="BL496" s="49"/>
      <c r="BM496" s="49"/>
      <c r="BN496" s="49"/>
      <c r="BO496" s="49"/>
      <c r="BP496" s="49"/>
      <c r="BQ496" s="49"/>
      <c r="BR496" s="49"/>
      <c r="BS496" s="49"/>
      <c r="BT496" s="49"/>
      <c r="BU496" s="49"/>
      <c r="BV496" s="49"/>
      <c r="BW496" s="49"/>
      <c r="BX496" s="49"/>
      <c r="BY496" s="49"/>
      <c r="BZ496" s="49"/>
      <c r="CA496" s="49"/>
      <c r="CB496" s="49"/>
      <c r="CC496" s="49"/>
      <c r="CD496" s="49"/>
      <c r="CE496" s="49"/>
      <c r="CF496" s="49"/>
    </row>
    <row r="497" ht="14.25" customHeight="1">
      <c r="A497" s="103" t="s">
        <v>84</v>
      </c>
      <c r="B497" s="103" t="s">
        <v>120</v>
      </c>
      <c r="C497" s="103" t="s">
        <v>120</v>
      </c>
      <c r="D497" s="103" t="s">
        <v>1266</v>
      </c>
      <c r="E497" s="103" t="s">
        <v>1826</v>
      </c>
      <c r="F497" s="104" t="s">
        <v>1268</v>
      </c>
      <c r="G497" s="110" t="s">
        <v>1591</v>
      </c>
      <c r="H497" s="356" t="s">
        <v>1882</v>
      </c>
      <c r="I497" s="357"/>
      <c r="J497" s="360" t="s">
        <v>1883</v>
      </c>
      <c r="K497" s="220" t="s">
        <v>1882</v>
      </c>
      <c r="L497" s="103" t="s">
        <v>1884</v>
      </c>
      <c r="M497" s="103" t="s">
        <v>1885</v>
      </c>
      <c r="N497" s="110"/>
      <c r="O497" s="104" t="s">
        <v>95</v>
      </c>
      <c r="P497" s="110"/>
      <c r="Q497" s="103" t="s">
        <v>1859</v>
      </c>
      <c r="R497" s="110" t="s">
        <v>1637</v>
      </c>
      <c r="S497" s="110">
        <v>480.0</v>
      </c>
      <c r="T497" s="110"/>
      <c r="U497" s="110">
        <v>8.5447E9</v>
      </c>
      <c r="V497" s="112">
        <v>0.0</v>
      </c>
      <c r="W497" s="113">
        <v>30.0</v>
      </c>
      <c r="X497" s="110">
        <v>45.0</v>
      </c>
      <c r="Y497" s="110">
        <v>55.0</v>
      </c>
      <c r="Z497" s="110" t="s">
        <v>99</v>
      </c>
      <c r="AA497" s="114">
        <f t="shared" si="728"/>
        <v>9.12766677</v>
      </c>
      <c r="AB497" s="115"/>
      <c r="AC497" s="212">
        <f t="shared" si="729"/>
        <v>7.258243149</v>
      </c>
      <c r="AD497" s="213">
        <f t="shared" si="244"/>
        <v>7.804562526</v>
      </c>
      <c r="AE497" s="212"/>
      <c r="AF497" s="212" t="str">
        <f t="shared" si="94"/>
        <v>#REF!</v>
      </c>
      <c r="AG497" s="210" t="str">
        <f t="shared" si="95"/>
        <v>#REF!</v>
      </c>
      <c r="AH497" s="120" t="str">
        <f t="shared" si="96"/>
        <v>#REF!</v>
      </c>
      <c r="AI497" s="121">
        <f t="shared" si="497"/>
        <v>0.1</v>
      </c>
      <c r="AJ497" s="121">
        <v>0.1</v>
      </c>
      <c r="AK497" s="122">
        <v>0.43</v>
      </c>
      <c r="AL497" s="123">
        <f t="shared" si="11"/>
        <v>3.121044554</v>
      </c>
      <c r="AM497" s="122" t="s">
        <v>10</v>
      </c>
      <c r="AN497" s="125">
        <f t="shared" si="746"/>
        <v>7.258243149</v>
      </c>
      <c r="AO497" s="112">
        <f t="shared" si="731"/>
        <v>0.43</v>
      </c>
      <c r="AP497" s="127"/>
      <c r="AQ497" s="128">
        <f t="shared" ref="AQ497:AR497" si="765">BC497/(1-AI497)</f>
        <v>5.020216723</v>
      </c>
      <c r="AR497" s="139">
        <f t="shared" si="765"/>
        <v>4.596887328</v>
      </c>
      <c r="AS497" s="126">
        <f t="shared" si="733"/>
        <v>0.45</v>
      </c>
      <c r="AT497" s="126">
        <f t="shared" si="734"/>
        <v>0.3666666667</v>
      </c>
      <c r="AU497" s="129"/>
      <c r="AV497" s="39" t="s">
        <v>1275</v>
      </c>
      <c r="AW497" s="130"/>
      <c r="AX497" s="140"/>
      <c r="AY497" s="140"/>
      <c r="AZ497" s="130"/>
      <c r="BA497" s="359">
        <v>31.04</v>
      </c>
      <c r="BB497" s="130">
        <f t="shared" si="735"/>
        <v>31.04</v>
      </c>
      <c r="BC497" s="131">
        <f t="shared" si="736"/>
        <v>4.518195051</v>
      </c>
      <c r="BD497" s="132">
        <f t="shared" si="737"/>
        <v>4.137198595</v>
      </c>
      <c r="BE497" s="39"/>
      <c r="BF497" s="134"/>
      <c r="BG497" s="49"/>
      <c r="BH497" s="224">
        <f t="shared" si="714"/>
        <v>24.19414383</v>
      </c>
      <c r="BI497" s="224">
        <f t="shared" si="715"/>
        <v>14.5164863</v>
      </c>
      <c r="BJ497" s="224">
        <f t="shared" si="716"/>
        <v>12.09707192</v>
      </c>
      <c r="BK497" s="224">
        <f t="shared" si="717"/>
        <v>9.677657532</v>
      </c>
      <c r="BL497" s="49"/>
      <c r="BM497" s="49"/>
      <c r="BN497" s="49"/>
      <c r="BO497" s="49"/>
      <c r="BP497" s="49"/>
      <c r="BQ497" s="49"/>
      <c r="BR497" s="49"/>
      <c r="BS497" s="49"/>
      <c r="BT497" s="49"/>
      <c r="BU497" s="49"/>
      <c r="BV497" s="49"/>
      <c r="BW497" s="49"/>
      <c r="BX497" s="49"/>
      <c r="BY497" s="49"/>
      <c r="BZ497" s="49"/>
      <c r="CA497" s="49"/>
      <c r="CB497" s="49"/>
      <c r="CC497" s="49"/>
      <c r="CD497" s="49"/>
      <c r="CE497" s="49"/>
      <c r="CF497" s="49"/>
    </row>
    <row r="498" ht="14.25" customHeight="1">
      <c r="A498" s="103" t="s">
        <v>84</v>
      </c>
      <c r="B498" s="103" t="s">
        <v>85</v>
      </c>
      <c r="C498" s="103" t="s">
        <v>85</v>
      </c>
      <c r="D498" s="103" t="s">
        <v>1886</v>
      </c>
      <c r="E498" s="103" t="s">
        <v>1887</v>
      </c>
      <c r="F498" s="104" t="s">
        <v>1887</v>
      </c>
      <c r="G498" s="110"/>
      <c r="H498" s="110"/>
      <c r="I498" s="107"/>
      <c r="J498" s="220" t="s">
        <v>1888</v>
      </c>
      <c r="K498" s="220" t="str">
        <f>_xlfn.XLOOKUP(J498,[1]Sheet1!$A:$A,[1]Sheet1!$B:$B,"")</f>
        <v>#ERROR!</v>
      </c>
      <c r="L498" s="104" t="s">
        <v>1889</v>
      </c>
      <c r="M498" s="104" t="s">
        <v>1890</v>
      </c>
      <c r="N498" s="110"/>
      <c r="O498" s="104" t="s">
        <v>95</v>
      </c>
      <c r="P498" s="110"/>
      <c r="Q498" s="104" t="s">
        <v>554</v>
      </c>
      <c r="R498" s="110" t="s">
        <v>1176</v>
      </c>
      <c r="S498" s="110">
        <v>400.0</v>
      </c>
      <c r="T498" s="110" t="e">
        <v>#N/A</v>
      </c>
      <c r="U498" s="110" t="s">
        <v>509</v>
      </c>
      <c r="V498" s="112">
        <v>0.017</v>
      </c>
      <c r="W498" s="113">
        <v>45.0</v>
      </c>
      <c r="X498" s="113">
        <v>45.0</v>
      </c>
      <c r="Y498" s="113">
        <v>55.0</v>
      </c>
      <c r="Z498" s="113" t="s">
        <v>699</v>
      </c>
      <c r="AA498" s="114">
        <f t="shared" si="728"/>
        <v>2.881225196</v>
      </c>
      <c r="AB498" s="115"/>
      <c r="AC498" s="212">
        <f t="shared" si="729"/>
        <v>2.603463455</v>
      </c>
      <c r="AD498" s="213">
        <f t="shared" si="244"/>
        <v>2.799423069</v>
      </c>
      <c r="AE498" s="212"/>
      <c r="AF498" s="212" t="str">
        <f t="shared" si="94"/>
        <v>#REF!</v>
      </c>
      <c r="AG498" s="210" t="str">
        <f t="shared" si="95"/>
        <v>#REF!</v>
      </c>
      <c r="AH498" s="120" t="str">
        <f t="shared" si="96"/>
        <v>#REF!</v>
      </c>
      <c r="AI498" s="121">
        <f t="shared" si="497"/>
        <v>0.1</v>
      </c>
      <c r="AJ498" s="121">
        <v>0.1</v>
      </c>
      <c r="AK498" s="122">
        <v>0.33</v>
      </c>
      <c r="AL498" s="123">
        <f t="shared" si="11"/>
        <v>0.85914294</v>
      </c>
      <c r="AM498" s="122" t="str">
        <f t="shared" ref="AM498:AM501" si="767">VLOOKUP(J498,'[3]PO &amp; SC March 2024'!$F$11:$AA$197,20,FALSE)</f>
        <v>#REF!</v>
      </c>
      <c r="AN498" s="125">
        <f t="shared" si="746"/>
        <v>2.603463455</v>
      </c>
      <c r="AO498" s="112">
        <f t="shared" si="731"/>
        <v>0.33</v>
      </c>
      <c r="AP498" s="127"/>
      <c r="AQ498" s="128">
        <f t="shared" ref="AQ498:AR498" si="766">BC498/(1-AI498)</f>
        <v>1.872796377</v>
      </c>
      <c r="AR498" s="139">
        <f t="shared" si="766"/>
        <v>1.938133905</v>
      </c>
      <c r="AS498" s="126">
        <f t="shared" si="733"/>
        <v>0.35</v>
      </c>
      <c r="AT498" s="126">
        <f t="shared" si="734"/>
        <v>0.2555555556</v>
      </c>
      <c r="AU498" s="129"/>
      <c r="AV498" s="39" t="s">
        <v>510</v>
      </c>
      <c r="AW498" s="214"/>
      <c r="AX498" s="214"/>
      <c r="AY498" s="214"/>
      <c r="AZ498" s="214">
        <v>2.07</v>
      </c>
      <c r="BA498" s="214">
        <v>9.5095</v>
      </c>
      <c r="BB498" s="130">
        <f t="shared" si="735"/>
        <v>11.5795</v>
      </c>
      <c r="BC498" s="131">
        <f t="shared" si="736"/>
        <v>1.685516739</v>
      </c>
      <c r="BD498" s="132">
        <f t="shared" si="737"/>
        <v>1.744320515</v>
      </c>
      <c r="BE498" s="215"/>
      <c r="BF498" s="134"/>
      <c r="BG498" s="49"/>
      <c r="BH498" s="212">
        <f t="shared" si="714"/>
        <v>8.678211515</v>
      </c>
      <c r="BI498" s="212">
        <f t="shared" si="715"/>
        <v>5.206926909</v>
      </c>
      <c r="BJ498" s="212">
        <f t="shared" si="716"/>
        <v>4.339105758</v>
      </c>
      <c r="BK498" s="212">
        <f t="shared" si="717"/>
        <v>3.471284606</v>
      </c>
      <c r="BL498" s="49"/>
      <c r="BM498" s="49"/>
      <c r="BN498" s="49"/>
      <c r="BO498" s="49"/>
      <c r="BP498" s="49"/>
      <c r="BQ498" s="49"/>
      <c r="BR498" s="49"/>
      <c r="BS498" s="49"/>
      <c r="BT498" s="49"/>
      <c r="BU498" s="49"/>
      <c r="BV498" s="49"/>
      <c r="BW498" s="49"/>
      <c r="BX498" s="49"/>
      <c r="BY498" s="49"/>
      <c r="BZ498" s="49"/>
      <c r="CA498" s="49"/>
      <c r="CB498" s="49"/>
      <c r="CC498" s="49"/>
      <c r="CD498" s="49"/>
      <c r="CE498" s="49"/>
      <c r="CF498" s="49"/>
    </row>
    <row r="499" ht="14.25" customHeight="1">
      <c r="A499" s="103" t="s">
        <v>84</v>
      </c>
      <c r="B499" s="103" t="s">
        <v>120</v>
      </c>
      <c r="C499" s="103" t="s">
        <v>120</v>
      </c>
      <c r="D499" s="103" t="s">
        <v>1886</v>
      </c>
      <c r="E499" s="103" t="s">
        <v>1887</v>
      </c>
      <c r="F499" s="104" t="s">
        <v>1887</v>
      </c>
      <c r="G499" s="110"/>
      <c r="H499" s="110"/>
      <c r="I499" s="107"/>
      <c r="J499" s="220" t="s">
        <v>1891</v>
      </c>
      <c r="K499" s="220" t="str">
        <f>_xlfn.XLOOKUP(J499,[1]Sheet1!$A:$A,[1]Sheet1!$B:$B,"")</f>
        <v>#ERROR!</v>
      </c>
      <c r="L499" s="104" t="s">
        <v>1892</v>
      </c>
      <c r="M499" s="104" t="s">
        <v>1893</v>
      </c>
      <c r="N499" s="110"/>
      <c r="O499" s="104" t="s">
        <v>95</v>
      </c>
      <c r="P499" s="110"/>
      <c r="Q499" s="104" t="s">
        <v>554</v>
      </c>
      <c r="R499" s="110" t="s">
        <v>1176</v>
      </c>
      <c r="S499" s="110">
        <v>400.0</v>
      </c>
      <c r="T499" s="110" t="e">
        <v>#N/A</v>
      </c>
      <c r="U499" s="110" t="s">
        <v>509</v>
      </c>
      <c r="V499" s="112">
        <v>0.017</v>
      </c>
      <c r="W499" s="113">
        <v>45.0</v>
      </c>
      <c r="X499" s="113">
        <v>45.0</v>
      </c>
      <c r="Y499" s="113">
        <v>55.0</v>
      </c>
      <c r="Z499" s="113" t="s">
        <v>699</v>
      </c>
      <c r="AA499" s="114">
        <f t="shared" si="728"/>
        <v>3.107776907</v>
      </c>
      <c r="AB499" s="115"/>
      <c r="AC499" s="212">
        <f t="shared" si="729"/>
        <v>2.778834988</v>
      </c>
      <c r="AD499" s="213">
        <f t="shared" si="244"/>
        <v>2.987994611</v>
      </c>
      <c r="AE499" s="212"/>
      <c r="AF499" s="212" t="str">
        <f t="shared" si="94"/>
        <v>#REF!</v>
      </c>
      <c r="AG499" s="210" t="str">
        <f t="shared" si="95"/>
        <v>#REF!</v>
      </c>
      <c r="AH499" s="120" t="str">
        <f t="shared" si="96"/>
        <v>#REF!</v>
      </c>
      <c r="AI499" s="121">
        <f t="shared" si="497"/>
        <v>0.1</v>
      </c>
      <c r="AJ499" s="121">
        <v>0.1</v>
      </c>
      <c r="AK499" s="122">
        <v>0.33</v>
      </c>
      <c r="AL499" s="123">
        <f t="shared" si="11"/>
        <v>0.917015546</v>
      </c>
      <c r="AM499" s="122" t="str">
        <f t="shared" si="767"/>
        <v>#REF!</v>
      </c>
      <c r="AN499" s="125">
        <f t="shared" si="746"/>
        <v>2.778834988</v>
      </c>
      <c r="AO499" s="112">
        <f t="shared" si="731"/>
        <v>0.33</v>
      </c>
      <c r="AP499" s="127"/>
      <c r="AQ499" s="128">
        <f t="shared" ref="AQ499:AR499" si="768">BC499/(1-AI499)</f>
        <v>2.020054989</v>
      </c>
      <c r="AR499" s="139">
        <f t="shared" si="768"/>
        <v>2.068688269</v>
      </c>
      <c r="AS499" s="126">
        <f t="shared" si="733"/>
        <v>0.35</v>
      </c>
      <c r="AT499" s="126">
        <f t="shared" si="734"/>
        <v>0.2555555556</v>
      </c>
      <c r="AU499" s="129">
        <v>1.73</v>
      </c>
      <c r="AV499" s="39" t="s">
        <v>510</v>
      </c>
      <c r="AW499" s="214"/>
      <c r="AX499" s="214"/>
      <c r="AY499" s="214"/>
      <c r="AZ499" s="214">
        <v>2.07</v>
      </c>
      <c r="BA499" s="214">
        <f>9.51+0.91</f>
        <v>10.42</v>
      </c>
      <c r="BB499" s="130">
        <f t="shared" si="735"/>
        <v>12.49</v>
      </c>
      <c r="BC499" s="131">
        <f t="shared" si="736"/>
        <v>1.818049491</v>
      </c>
      <c r="BD499" s="132">
        <f t="shared" si="737"/>
        <v>1.861819442</v>
      </c>
      <c r="BE499" s="2" t="s">
        <v>1178</v>
      </c>
      <c r="BF499" s="134"/>
      <c r="BG499" s="49"/>
      <c r="BH499" s="212">
        <f t="shared" si="714"/>
        <v>9.262783293</v>
      </c>
      <c r="BI499" s="212">
        <f t="shared" si="715"/>
        <v>5.557669976</v>
      </c>
      <c r="BJ499" s="212">
        <f t="shared" si="716"/>
        <v>4.631391646</v>
      </c>
      <c r="BK499" s="212">
        <f t="shared" si="717"/>
        <v>3.705113317</v>
      </c>
      <c r="BL499" s="49"/>
      <c r="BM499" s="49"/>
      <c r="BN499" s="49"/>
      <c r="BO499" s="49"/>
      <c r="BP499" s="49"/>
      <c r="BQ499" s="49"/>
      <c r="BR499" s="49"/>
      <c r="BS499" s="49"/>
      <c r="BT499" s="49"/>
      <c r="BU499" s="49"/>
      <c r="BV499" s="49"/>
      <c r="BW499" s="49"/>
      <c r="BX499" s="49"/>
      <c r="BY499" s="49"/>
      <c r="BZ499" s="49"/>
      <c r="CA499" s="49"/>
      <c r="CB499" s="49"/>
      <c r="CC499" s="49"/>
      <c r="CD499" s="49"/>
      <c r="CE499" s="49"/>
      <c r="CF499" s="49"/>
    </row>
    <row r="500" ht="14.25" customHeight="1">
      <c r="A500" s="105" t="s">
        <v>84</v>
      </c>
      <c r="B500" s="103" t="s">
        <v>120</v>
      </c>
      <c r="C500" s="103" t="s">
        <v>120</v>
      </c>
      <c r="D500" s="105" t="s">
        <v>1886</v>
      </c>
      <c r="E500" s="105" t="s">
        <v>1887</v>
      </c>
      <c r="F500" s="105" t="s">
        <v>1887</v>
      </c>
      <c r="G500" s="106"/>
      <c r="H500" s="110"/>
      <c r="I500" s="107"/>
      <c r="J500" s="220" t="s">
        <v>1894</v>
      </c>
      <c r="K500" s="220" t="str">
        <f>_xlfn.XLOOKUP(J500,[1]Sheet1!$A:$A,[1]Sheet1!$B:$B,"")</f>
        <v>#ERROR!</v>
      </c>
      <c r="L500" s="105" t="s">
        <v>1895</v>
      </c>
      <c r="M500" s="105" t="s">
        <v>1896</v>
      </c>
      <c r="N500" s="110"/>
      <c r="O500" s="104" t="s">
        <v>95</v>
      </c>
      <c r="P500" s="110"/>
      <c r="Q500" s="104" t="s">
        <v>554</v>
      </c>
      <c r="R500" s="110" t="s">
        <v>1176</v>
      </c>
      <c r="S500" s="110">
        <v>400.0</v>
      </c>
      <c r="T500" s="110" t="s">
        <v>1897</v>
      </c>
      <c r="U500" s="110" t="s">
        <v>509</v>
      </c>
      <c r="V500" s="112">
        <v>0.017</v>
      </c>
      <c r="W500" s="113">
        <v>45.0</v>
      </c>
      <c r="X500" s="113">
        <v>45.0</v>
      </c>
      <c r="Y500" s="113">
        <v>55.0</v>
      </c>
      <c r="Z500" s="113" t="s">
        <v>699</v>
      </c>
      <c r="AA500" s="114">
        <f t="shared" si="728"/>
        <v>3.811178413</v>
      </c>
      <c r="AB500" s="115"/>
      <c r="AC500" s="212">
        <f t="shared" si="729"/>
        <v>3.336567009</v>
      </c>
      <c r="AD500" s="213">
        <f t="shared" si="244"/>
        <v>3.587706462</v>
      </c>
      <c r="AE500" s="212"/>
      <c r="AF500" s="212" t="str">
        <f t="shared" si="94"/>
        <v>#REF!</v>
      </c>
      <c r="AG500" s="210" t="str">
        <f t="shared" si="95"/>
        <v>#REF!</v>
      </c>
      <c r="AH500" s="120" t="str">
        <f t="shared" si="96"/>
        <v>#REF!</v>
      </c>
      <c r="AI500" s="121">
        <f t="shared" si="497"/>
        <v>0.1</v>
      </c>
      <c r="AJ500" s="121">
        <v>0.1</v>
      </c>
      <c r="AK500" s="122">
        <v>0.36</v>
      </c>
      <c r="AL500" s="123">
        <f t="shared" si="11"/>
        <v>1.201164123</v>
      </c>
      <c r="AM500" s="122" t="str">
        <f t="shared" si="767"/>
        <v>#REF!</v>
      </c>
      <c r="AN500" s="125">
        <f t="shared" si="746"/>
        <v>3.336567009</v>
      </c>
      <c r="AO500" s="112">
        <f t="shared" si="731"/>
        <v>0.36</v>
      </c>
      <c r="AP500" s="127"/>
      <c r="AQ500" s="128">
        <f t="shared" ref="AQ500:AR500" si="769">BC500/(1-AI500)</f>
        <v>2.362930616</v>
      </c>
      <c r="AR500" s="139">
        <f t="shared" si="769"/>
        <v>2.372669873</v>
      </c>
      <c r="AS500" s="126">
        <f t="shared" si="733"/>
        <v>0.38</v>
      </c>
      <c r="AT500" s="126">
        <f t="shared" si="734"/>
        <v>0.2888888889</v>
      </c>
      <c r="AU500" s="129">
        <v>2.08</v>
      </c>
      <c r="AV500" s="39" t="s">
        <v>510</v>
      </c>
      <c r="AW500" s="214"/>
      <c r="AX500" s="214"/>
      <c r="AY500" s="214"/>
      <c r="AZ500" s="214"/>
      <c r="BA500" s="214">
        <v>14.61</v>
      </c>
      <c r="BB500" s="130">
        <f t="shared" si="735"/>
        <v>14.61</v>
      </c>
      <c r="BC500" s="131">
        <f t="shared" si="736"/>
        <v>2.126637555</v>
      </c>
      <c r="BD500" s="132">
        <f t="shared" si="737"/>
        <v>2.135402886</v>
      </c>
      <c r="BE500" s="2" t="s">
        <v>1191</v>
      </c>
      <c r="BF500" s="134"/>
      <c r="BG500" s="49"/>
      <c r="BH500" s="212">
        <f t="shared" si="714"/>
        <v>11.12189003</v>
      </c>
      <c r="BI500" s="212">
        <f t="shared" si="715"/>
        <v>6.673134018</v>
      </c>
      <c r="BJ500" s="212">
        <f t="shared" si="716"/>
        <v>5.560945015</v>
      </c>
      <c r="BK500" s="212">
        <f t="shared" si="717"/>
        <v>4.448756012</v>
      </c>
      <c r="BL500" s="49"/>
      <c r="BM500" s="49"/>
      <c r="BN500" s="49"/>
      <c r="BO500" s="49"/>
      <c r="BP500" s="49"/>
      <c r="BQ500" s="49"/>
      <c r="BR500" s="49"/>
      <c r="BS500" s="49"/>
      <c r="BT500" s="49"/>
      <c r="BU500" s="49"/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</row>
    <row r="501" ht="14.25" customHeight="1">
      <c r="A501" s="105" t="s">
        <v>84</v>
      </c>
      <c r="B501" s="103" t="s">
        <v>120</v>
      </c>
      <c r="C501" s="103" t="s">
        <v>120</v>
      </c>
      <c r="D501" s="105" t="s">
        <v>1886</v>
      </c>
      <c r="E501" s="105" t="s">
        <v>1887</v>
      </c>
      <c r="F501" s="105" t="s">
        <v>1887</v>
      </c>
      <c r="G501" s="106"/>
      <c r="H501" s="110"/>
      <c r="I501" s="107"/>
      <c r="J501" s="220" t="s">
        <v>1898</v>
      </c>
      <c r="K501" s="220" t="str">
        <f>_xlfn.XLOOKUP(J501,[1]Sheet1!$A:$A,[1]Sheet1!$B:$B,"")</f>
        <v>#ERROR!</v>
      </c>
      <c r="L501" s="105" t="s">
        <v>1899</v>
      </c>
      <c r="M501" s="105" t="s">
        <v>1900</v>
      </c>
      <c r="N501" s="110"/>
      <c r="O501" s="104" t="s">
        <v>95</v>
      </c>
      <c r="P501" s="110"/>
      <c r="Q501" s="104" t="s">
        <v>554</v>
      </c>
      <c r="R501" s="110" t="s">
        <v>555</v>
      </c>
      <c r="S501" s="110">
        <v>360.0</v>
      </c>
      <c r="T501" s="155" t="s">
        <v>1901</v>
      </c>
      <c r="U501" s="110" t="s">
        <v>509</v>
      </c>
      <c r="V501" s="112">
        <v>0.017</v>
      </c>
      <c r="W501" s="113">
        <v>45.0</v>
      </c>
      <c r="X501" s="113">
        <v>45.0</v>
      </c>
      <c r="Y501" s="113">
        <v>55.0</v>
      </c>
      <c r="Z501" s="113" t="s">
        <v>99</v>
      </c>
      <c r="AA501" s="114">
        <f t="shared" si="728"/>
        <v>4.434636073</v>
      </c>
      <c r="AB501" s="115"/>
      <c r="AC501" s="212">
        <f t="shared" si="729"/>
        <v>3.861886378</v>
      </c>
      <c r="AD501" s="213">
        <f t="shared" si="244"/>
        <v>4.152565998</v>
      </c>
      <c r="AE501" s="212"/>
      <c r="AF501" s="212" t="str">
        <f t="shared" si="94"/>
        <v>#REF!</v>
      </c>
      <c r="AG501" s="210" t="str">
        <f t="shared" si="95"/>
        <v>#REF!</v>
      </c>
      <c r="AH501" s="120" t="str">
        <f t="shared" si="96"/>
        <v>#REF!</v>
      </c>
      <c r="AI501" s="121">
        <f t="shared" si="497"/>
        <v>0.1</v>
      </c>
      <c r="AJ501" s="121">
        <v>0.1</v>
      </c>
      <c r="AK501" s="122">
        <v>0.36</v>
      </c>
      <c r="AL501" s="123">
        <f t="shared" si="11"/>
        <v>1.390279096</v>
      </c>
      <c r="AM501" s="122" t="str">
        <f t="shared" si="767"/>
        <v>#REF!</v>
      </c>
      <c r="AN501" s="125">
        <f t="shared" si="746"/>
        <v>3.861886378</v>
      </c>
      <c r="AO501" s="112">
        <f t="shared" si="731"/>
        <v>0.36</v>
      </c>
      <c r="AP501" s="127"/>
      <c r="AQ501" s="128">
        <f t="shared" ref="AQ501:AR501" si="770">BC501/(1-AI501)</f>
        <v>2.749474365</v>
      </c>
      <c r="AR501" s="139">
        <f t="shared" si="770"/>
        <v>2.746230314</v>
      </c>
      <c r="AS501" s="126">
        <f t="shared" si="733"/>
        <v>0.38</v>
      </c>
      <c r="AT501" s="126">
        <f t="shared" si="734"/>
        <v>0.2888888889</v>
      </c>
      <c r="AU501" s="129"/>
      <c r="AV501" s="39" t="s">
        <v>1902</v>
      </c>
      <c r="AW501" s="214"/>
      <c r="AX501" s="140"/>
      <c r="AY501" s="140"/>
      <c r="AZ501" s="214"/>
      <c r="BA501" s="130">
        <v>17.0</v>
      </c>
      <c r="BB501" s="130">
        <f t="shared" si="735"/>
        <v>17</v>
      </c>
      <c r="BC501" s="131">
        <f t="shared" si="736"/>
        <v>2.474526929</v>
      </c>
      <c r="BD501" s="132">
        <f t="shared" si="737"/>
        <v>2.471607282</v>
      </c>
      <c r="BE501" s="133"/>
      <c r="BF501" s="361">
        <v>8.51762299E9</v>
      </c>
      <c r="BG501" s="49"/>
      <c r="BH501" s="212">
        <f t="shared" si="714"/>
        <v>12.87295459</v>
      </c>
      <c r="BI501" s="212">
        <f t="shared" si="715"/>
        <v>7.723772757</v>
      </c>
      <c r="BJ501" s="212">
        <f t="shared" si="716"/>
        <v>6.436477297</v>
      </c>
      <c r="BK501" s="212">
        <f t="shared" si="717"/>
        <v>5.149181838</v>
      </c>
      <c r="BL501" s="49"/>
      <c r="BM501" s="49"/>
      <c r="BN501" s="49"/>
      <c r="BO501" s="49"/>
      <c r="BP501" s="49"/>
      <c r="BQ501" s="49"/>
      <c r="BR501" s="49"/>
      <c r="BS501" s="49"/>
      <c r="BT501" s="49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</row>
    <row r="502" ht="14.25" customHeight="1">
      <c r="A502" s="105" t="s">
        <v>84</v>
      </c>
      <c r="B502" s="103" t="s">
        <v>120</v>
      </c>
      <c r="C502" s="103" t="s">
        <v>120</v>
      </c>
      <c r="D502" s="105" t="s">
        <v>1886</v>
      </c>
      <c r="E502" s="105" t="s">
        <v>1887</v>
      </c>
      <c r="F502" s="105" t="s">
        <v>1887</v>
      </c>
      <c r="G502" s="106"/>
      <c r="H502" s="110"/>
      <c r="I502" s="107"/>
      <c r="J502" s="220" t="s">
        <v>1903</v>
      </c>
      <c r="K502" s="220" t="s">
        <v>1904</v>
      </c>
      <c r="L502" s="105" t="s">
        <v>1905</v>
      </c>
      <c r="M502" s="105" t="s">
        <v>1906</v>
      </c>
      <c r="N502" s="110"/>
      <c r="O502" s="104" t="s">
        <v>95</v>
      </c>
      <c r="P502" s="110"/>
      <c r="Q502" s="104" t="s">
        <v>554</v>
      </c>
      <c r="R502" s="110" t="s">
        <v>1176</v>
      </c>
      <c r="S502" s="110"/>
      <c r="T502" s="110"/>
      <c r="U502" s="110" t="s">
        <v>509</v>
      </c>
      <c r="V502" s="112">
        <v>0.017</v>
      </c>
      <c r="W502" s="113">
        <v>45.0</v>
      </c>
      <c r="X502" s="113">
        <v>45.0</v>
      </c>
      <c r="Y502" s="113">
        <v>55.0</v>
      </c>
      <c r="Z502" s="113" t="s">
        <v>99</v>
      </c>
      <c r="AA502" s="114">
        <f t="shared" si="728"/>
        <v>9.782285455</v>
      </c>
      <c r="AB502" s="115"/>
      <c r="AC502" s="212"/>
      <c r="AD502" s="213">
        <f t="shared" si="244"/>
        <v>0</v>
      </c>
      <c r="AE502" s="212"/>
      <c r="AF502" s="212" t="str">
        <f t="shared" si="94"/>
        <v>#REF!</v>
      </c>
      <c r="AG502" s="210" t="str">
        <f t="shared" si="95"/>
        <v>#REF!</v>
      </c>
      <c r="AH502" s="120" t="str">
        <f t="shared" si="96"/>
        <v>#REF!</v>
      </c>
      <c r="AI502" s="121">
        <f t="shared" si="497"/>
        <v>0.1</v>
      </c>
      <c r="AJ502" s="121">
        <v>0.1</v>
      </c>
      <c r="AK502" s="122">
        <v>0.36</v>
      </c>
      <c r="AL502" s="123">
        <f t="shared" si="11"/>
        <v>0</v>
      </c>
      <c r="AM502" s="122"/>
      <c r="AN502" s="125"/>
      <c r="AO502" s="112"/>
      <c r="AP502" s="127"/>
      <c r="AQ502" s="128">
        <f t="shared" ref="AQ502:AQ580" si="771">BC502/(1-AI502)</f>
        <v>6.065016982</v>
      </c>
      <c r="AR502" s="139"/>
      <c r="AS502" s="126">
        <f t="shared" si="733"/>
        <v>0.38</v>
      </c>
      <c r="AT502" s="126"/>
      <c r="AU502" s="129"/>
      <c r="AV502" s="39" t="s">
        <v>1902</v>
      </c>
      <c r="AW502" s="214"/>
      <c r="AX502" s="140"/>
      <c r="AY502" s="140"/>
      <c r="AZ502" s="214"/>
      <c r="BA502" s="130">
        <v>37.5</v>
      </c>
      <c r="BB502" s="130">
        <f t="shared" si="735"/>
        <v>37.5</v>
      </c>
      <c r="BC502" s="131">
        <f t="shared" si="736"/>
        <v>5.458515284</v>
      </c>
      <c r="BD502" s="132"/>
      <c r="BE502" s="133"/>
      <c r="BF502" s="361">
        <v>8.51762299E9</v>
      </c>
      <c r="BG502" s="49"/>
      <c r="BH502" s="212">
        <f t="shared" si="714"/>
        <v>0</v>
      </c>
      <c r="BI502" s="212">
        <f t="shared" si="715"/>
        <v>0</v>
      </c>
      <c r="BJ502" s="212">
        <f t="shared" si="716"/>
        <v>0</v>
      </c>
      <c r="BK502" s="212">
        <f t="shared" si="717"/>
        <v>0</v>
      </c>
      <c r="BL502" s="49"/>
      <c r="BM502" s="49"/>
      <c r="BN502" s="49"/>
      <c r="BO502" s="49"/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49"/>
      <c r="CA502" s="49"/>
      <c r="CB502" s="49"/>
      <c r="CC502" s="49"/>
      <c r="CD502" s="49"/>
      <c r="CE502" s="49"/>
      <c r="CF502" s="49"/>
    </row>
    <row r="503" ht="14.25" customHeight="1">
      <c r="A503" s="105" t="s">
        <v>84</v>
      </c>
      <c r="B503" s="103" t="s">
        <v>120</v>
      </c>
      <c r="C503" s="103" t="s">
        <v>120</v>
      </c>
      <c r="D503" s="105" t="s">
        <v>1886</v>
      </c>
      <c r="E503" s="105" t="s">
        <v>1887</v>
      </c>
      <c r="F503" s="105" t="s">
        <v>1887</v>
      </c>
      <c r="G503" s="106"/>
      <c r="H503" s="110"/>
      <c r="I503" s="107"/>
      <c r="J503" s="220" t="s">
        <v>1907</v>
      </c>
      <c r="K503" s="220" t="str">
        <f>_xlfn.XLOOKUP(J503,[1]Sheet1!$A:$A,[1]Sheet1!$B:$B,"")</f>
        <v>#ERROR!</v>
      </c>
      <c r="L503" s="105" t="s">
        <v>1908</v>
      </c>
      <c r="M503" s="105" t="s">
        <v>1909</v>
      </c>
      <c r="N503" s="110"/>
      <c r="O503" s="104" t="s">
        <v>95</v>
      </c>
      <c r="P503" s="110"/>
      <c r="Q503" s="104" t="s">
        <v>554</v>
      </c>
      <c r="R503" s="110" t="s">
        <v>555</v>
      </c>
      <c r="S503" s="110">
        <v>360.0</v>
      </c>
      <c r="T503" s="110" t="e">
        <v>#N/A</v>
      </c>
      <c r="U503" s="110" t="s">
        <v>509</v>
      </c>
      <c r="V503" s="112">
        <v>0.017</v>
      </c>
      <c r="W503" s="113">
        <v>45.0</v>
      </c>
      <c r="X503" s="113">
        <v>45.0</v>
      </c>
      <c r="Y503" s="113">
        <v>55.0</v>
      </c>
      <c r="Z503" s="113" t="s">
        <v>99</v>
      </c>
      <c r="AA503" s="114">
        <f t="shared" si="728"/>
        <v>13.79954402</v>
      </c>
      <c r="AB503" s="115"/>
      <c r="AC503" s="212">
        <f t="shared" ref="AC503:AC880" si="772">BD503/(1-AK503)</f>
        <v>11.10071719</v>
      </c>
      <c r="AD503" s="213">
        <f t="shared" si="244"/>
        <v>11.93625504</v>
      </c>
      <c r="AE503" s="212"/>
      <c r="AF503" s="212" t="str">
        <f t="shared" si="94"/>
        <v>#REF!</v>
      </c>
      <c r="AG503" s="210" t="str">
        <f t="shared" si="95"/>
        <v>#REF!</v>
      </c>
      <c r="AH503" s="120" t="str">
        <f t="shared" si="96"/>
        <v>#REF!</v>
      </c>
      <c r="AI503" s="121">
        <f t="shared" si="497"/>
        <v>0.1</v>
      </c>
      <c r="AJ503" s="121">
        <v>0.1</v>
      </c>
      <c r="AK503" s="122">
        <v>0.36</v>
      </c>
      <c r="AL503" s="123">
        <f t="shared" si="11"/>
        <v>3.996258188</v>
      </c>
      <c r="AM503" s="122" t="str">
        <f t="shared" ref="AM503:AM508" si="773">VLOOKUP(J503,'[3]PO &amp; SC March 2024'!$F$11:$AA$197,20,FALSE)</f>
        <v>#REF!</v>
      </c>
      <c r="AN503" s="125">
        <f t="shared" ref="AN503:AN785" si="774">AC503</f>
        <v>11.10071719</v>
      </c>
      <c r="AO503" s="112">
        <f t="shared" ref="AO503:AO880" si="775">1-(BD503/AN503)</f>
        <v>0.36</v>
      </c>
      <c r="AP503" s="127"/>
      <c r="AQ503" s="128">
        <f t="shared" si="771"/>
        <v>8.555717289</v>
      </c>
      <c r="AR503" s="139">
        <f t="shared" ref="AR503:AR780" si="776">BD503/(1-AJ503)</f>
        <v>7.893843334</v>
      </c>
      <c r="AS503" s="126">
        <f t="shared" si="733"/>
        <v>0.38</v>
      </c>
      <c r="AT503" s="126">
        <f t="shared" ref="AT503:AT880" si="777">1-(AR503/AC503)</f>
        <v>0.2888888889</v>
      </c>
      <c r="AU503" s="129"/>
      <c r="AV503" s="39" t="s">
        <v>1902</v>
      </c>
      <c r="AW503" s="214"/>
      <c r="AX503" s="140"/>
      <c r="AY503" s="140"/>
      <c r="AZ503" s="214"/>
      <c r="BA503" s="130">
        <v>52.9</v>
      </c>
      <c r="BB503" s="130">
        <f t="shared" si="735"/>
        <v>52.9</v>
      </c>
      <c r="BC503" s="131">
        <f t="shared" si="736"/>
        <v>7.70014556</v>
      </c>
      <c r="BD503" s="132">
        <f t="shared" ref="BD503:BD580" si="778">(BC503/$F$6)+(($F$9+$G$9)/40/S503)+BC503*V503</f>
        <v>7.104459</v>
      </c>
      <c r="BE503" s="133"/>
      <c r="BF503" s="361">
        <v>8.51762299E9</v>
      </c>
      <c r="BG503" s="49"/>
      <c r="BH503" s="212">
        <f t="shared" si="714"/>
        <v>37.00239063</v>
      </c>
      <c r="BI503" s="212">
        <f t="shared" si="715"/>
        <v>22.20143438</v>
      </c>
      <c r="BJ503" s="212">
        <f t="shared" si="716"/>
        <v>18.50119531</v>
      </c>
      <c r="BK503" s="212">
        <f t="shared" si="717"/>
        <v>14.80095625</v>
      </c>
      <c r="BL503" s="49"/>
      <c r="BM503" s="49"/>
      <c r="BN503" s="49"/>
      <c r="BO503" s="49"/>
      <c r="BP503" s="49"/>
      <c r="BQ503" s="49"/>
      <c r="BR503" s="49"/>
      <c r="BS503" s="49"/>
      <c r="BT503" s="49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</row>
    <row r="504" ht="14.25" customHeight="1">
      <c r="A504" s="103" t="s">
        <v>84</v>
      </c>
      <c r="B504" s="103" t="s">
        <v>85</v>
      </c>
      <c r="C504" s="103" t="s">
        <v>85</v>
      </c>
      <c r="D504" s="103" t="s">
        <v>1886</v>
      </c>
      <c r="E504" s="103" t="s">
        <v>1887</v>
      </c>
      <c r="F504" s="104" t="s">
        <v>1887</v>
      </c>
      <c r="G504" s="110"/>
      <c r="H504" s="110"/>
      <c r="I504" s="107"/>
      <c r="J504" s="220" t="s">
        <v>1910</v>
      </c>
      <c r="K504" s="220" t="str">
        <f>_xlfn.XLOOKUP(J504,[1]Sheet1!$A:$A,[1]Sheet1!$B:$B,"")</f>
        <v>#ERROR!</v>
      </c>
      <c r="L504" s="104" t="s">
        <v>1911</v>
      </c>
      <c r="M504" s="104" t="s">
        <v>1912</v>
      </c>
      <c r="N504" s="110"/>
      <c r="O504" s="104" t="s">
        <v>95</v>
      </c>
      <c r="P504" s="110"/>
      <c r="Q504" s="104" t="s">
        <v>554</v>
      </c>
      <c r="R504" s="110" t="s">
        <v>1176</v>
      </c>
      <c r="S504" s="110">
        <v>1600.0</v>
      </c>
      <c r="T504" s="110" t="e">
        <v>#N/A</v>
      </c>
      <c r="U504" s="110" t="s">
        <v>509</v>
      </c>
      <c r="V504" s="112">
        <v>0.017</v>
      </c>
      <c r="W504" s="113">
        <v>45.0</v>
      </c>
      <c r="X504" s="113">
        <v>45.0</v>
      </c>
      <c r="Y504" s="113">
        <v>55.0</v>
      </c>
      <c r="Z504" s="113" t="s">
        <v>699</v>
      </c>
      <c r="AA504" s="114">
        <f t="shared" si="728"/>
        <v>3.749735627</v>
      </c>
      <c r="AB504" s="115"/>
      <c r="AC504" s="212">
        <f t="shared" si="772"/>
        <v>2.995918405</v>
      </c>
      <c r="AD504" s="213">
        <f t="shared" si="244"/>
        <v>3.22141764</v>
      </c>
      <c r="AE504" s="212"/>
      <c r="AF504" s="212" t="str">
        <f t="shared" si="94"/>
        <v>#REF!</v>
      </c>
      <c r="AG504" s="210" t="str">
        <f t="shared" si="95"/>
        <v>#REF!</v>
      </c>
      <c r="AH504" s="120" t="str">
        <f t="shared" si="96"/>
        <v>#REF!</v>
      </c>
      <c r="AI504" s="121">
        <f t="shared" si="497"/>
        <v>0.1</v>
      </c>
      <c r="AJ504" s="121">
        <v>0.1</v>
      </c>
      <c r="AK504" s="122">
        <v>0.33</v>
      </c>
      <c r="AL504" s="123">
        <f t="shared" si="11"/>
        <v>0.9886530736</v>
      </c>
      <c r="AM504" s="122" t="str">
        <f t="shared" si="773"/>
        <v>#REF!</v>
      </c>
      <c r="AN504" s="125">
        <f t="shared" si="774"/>
        <v>2.995918405</v>
      </c>
      <c r="AO504" s="112">
        <f t="shared" si="775"/>
        <v>0.33</v>
      </c>
      <c r="AP504" s="127"/>
      <c r="AQ504" s="128">
        <f t="shared" si="771"/>
        <v>2.437328158</v>
      </c>
      <c r="AR504" s="139">
        <f t="shared" si="776"/>
        <v>2.230294813</v>
      </c>
      <c r="AS504" s="126">
        <f t="shared" si="733"/>
        <v>0.35</v>
      </c>
      <c r="AT504" s="126">
        <f t="shared" si="777"/>
        <v>0.2555555556</v>
      </c>
      <c r="AU504" s="129"/>
      <c r="AV504" s="39" t="s">
        <v>510</v>
      </c>
      <c r="AW504" s="214"/>
      <c r="AX504" s="214"/>
      <c r="AY504" s="214"/>
      <c r="AZ504" s="214">
        <v>1.57</v>
      </c>
      <c r="BA504" s="214">
        <v>13.5</v>
      </c>
      <c r="BB504" s="130">
        <f t="shared" si="735"/>
        <v>15.07</v>
      </c>
      <c r="BC504" s="131">
        <f t="shared" si="736"/>
        <v>2.193595342</v>
      </c>
      <c r="BD504" s="132">
        <f t="shared" si="778"/>
        <v>2.007265331</v>
      </c>
      <c r="BE504" s="215"/>
      <c r="BF504" s="134"/>
      <c r="BG504" s="49"/>
      <c r="BH504" s="212">
        <f t="shared" si="714"/>
        <v>9.986394683</v>
      </c>
      <c r="BI504" s="212">
        <f t="shared" si="715"/>
        <v>5.99183681</v>
      </c>
      <c r="BJ504" s="212">
        <f t="shared" si="716"/>
        <v>4.993197342</v>
      </c>
      <c r="BK504" s="212">
        <f t="shared" si="717"/>
        <v>3.994557873</v>
      </c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</row>
    <row r="505" ht="14.25" customHeight="1">
      <c r="A505" s="103" t="s">
        <v>84</v>
      </c>
      <c r="B505" s="103" t="s">
        <v>120</v>
      </c>
      <c r="C505" s="103" t="s">
        <v>120</v>
      </c>
      <c r="D505" s="103" t="s">
        <v>1886</v>
      </c>
      <c r="E505" s="103" t="s">
        <v>1887</v>
      </c>
      <c r="F505" s="104" t="s">
        <v>1887</v>
      </c>
      <c r="G505" s="110"/>
      <c r="H505" s="110"/>
      <c r="I505" s="107"/>
      <c r="J505" s="220" t="s">
        <v>1913</v>
      </c>
      <c r="K505" s="220" t="str">
        <f>_xlfn.XLOOKUP(J505,[1]Sheet1!$A:$A,[1]Sheet1!$B:$B,"")</f>
        <v>#ERROR!</v>
      </c>
      <c r="L505" s="104" t="s">
        <v>1914</v>
      </c>
      <c r="M505" s="104" t="s">
        <v>1915</v>
      </c>
      <c r="N505" s="110"/>
      <c r="O505" s="104" t="s">
        <v>95</v>
      </c>
      <c r="P505" s="110"/>
      <c r="Q505" s="104" t="s">
        <v>554</v>
      </c>
      <c r="R505" s="110" t="s">
        <v>1176</v>
      </c>
      <c r="S505" s="110">
        <v>1600.0</v>
      </c>
      <c r="T505" s="110" t="s">
        <v>1916</v>
      </c>
      <c r="U505" s="110" t="s">
        <v>509</v>
      </c>
      <c r="V505" s="362">
        <v>0.017</v>
      </c>
      <c r="W505" s="363">
        <v>45.0</v>
      </c>
      <c r="X505" s="172">
        <v>45.0</v>
      </c>
      <c r="Y505" s="172">
        <v>55.0</v>
      </c>
      <c r="Z505" s="363" t="s">
        <v>699</v>
      </c>
      <c r="AA505" s="322">
        <f t="shared" si="728"/>
        <v>3.976162928</v>
      </c>
      <c r="AB505" s="364"/>
      <c r="AC505" s="365">
        <f t="shared" si="772"/>
        <v>3.171193633</v>
      </c>
      <c r="AD505" s="325">
        <f t="shared" si="244"/>
        <v>3.409885627</v>
      </c>
      <c r="AE505" s="365"/>
      <c r="AF505" s="365" t="str">
        <f t="shared" si="94"/>
        <v>#REF!</v>
      </c>
      <c r="AG505" s="366" t="str">
        <f t="shared" si="95"/>
        <v>#REF!</v>
      </c>
      <c r="AH505" s="120" t="str">
        <f t="shared" si="96"/>
        <v>#REF!</v>
      </c>
      <c r="AI505" s="367">
        <f t="shared" si="497"/>
        <v>0.1</v>
      </c>
      <c r="AJ505" s="367">
        <v>0.1</v>
      </c>
      <c r="AK505" s="368">
        <v>0.33</v>
      </c>
      <c r="AL505" s="123">
        <f t="shared" si="11"/>
        <v>1.046493899</v>
      </c>
      <c r="AM505" s="368" t="str">
        <f t="shared" si="773"/>
        <v>#REF!</v>
      </c>
      <c r="AN505" s="369">
        <f t="shared" si="774"/>
        <v>3.171193633</v>
      </c>
      <c r="AO505" s="362">
        <f t="shared" si="775"/>
        <v>0.33</v>
      </c>
      <c r="AP505" s="328"/>
      <c r="AQ505" s="370">
        <f t="shared" si="771"/>
        <v>2.584505903</v>
      </c>
      <c r="AR505" s="371">
        <f t="shared" si="776"/>
        <v>2.360777482</v>
      </c>
      <c r="AS505" s="372">
        <f t="shared" si="733"/>
        <v>0.35</v>
      </c>
      <c r="AT505" s="372">
        <f t="shared" si="777"/>
        <v>0.2555555556</v>
      </c>
      <c r="AU505" s="129">
        <v>2.22</v>
      </c>
      <c r="AV505" s="283" t="s">
        <v>510</v>
      </c>
      <c r="AW505" s="373"/>
      <c r="AX505" s="373"/>
      <c r="AY505" s="373"/>
      <c r="AZ505" s="373">
        <v>1.57</v>
      </c>
      <c r="BA505" s="373">
        <f>13.5+0.91</f>
        <v>14.41</v>
      </c>
      <c r="BB505" s="332">
        <f t="shared" si="735"/>
        <v>15.98</v>
      </c>
      <c r="BC505" s="334">
        <f t="shared" si="736"/>
        <v>2.326055313</v>
      </c>
      <c r="BD505" s="335">
        <f t="shared" si="778"/>
        <v>2.124699734</v>
      </c>
      <c r="BE505" s="374"/>
      <c r="BF505" s="337"/>
      <c r="BG505" s="216"/>
      <c r="BH505" s="365">
        <f t="shared" si="714"/>
        <v>10.57064544</v>
      </c>
      <c r="BI505" s="365">
        <f t="shared" si="715"/>
        <v>6.342387266</v>
      </c>
      <c r="BJ505" s="365">
        <f t="shared" si="716"/>
        <v>5.285322722</v>
      </c>
      <c r="BK505" s="365">
        <f t="shared" si="717"/>
        <v>4.228258178</v>
      </c>
      <c r="BL505" s="216" t="str">
        <f>VLOOKUP(J505,[4]Sheet1!$A$2:$C$689,3,FALSE)</f>
        <v>#ERROR!</v>
      </c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</row>
    <row r="506" ht="14.25" customHeight="1">
      <c r="A506" s="103" t="s">
        <v>84</v>
      </c>
      <c r="B506" s="103" t="s">
        <v>120</v>
      </c>
      <c r="C506" s="103" t="s">
        <v>120</v>
      </c>
      <c r="D506" s="103" t="s">
        <v>1886</v>
      </c>
      <c r="E506" s="103" t="s">
        <v>1887</v>
      </c>
      <c r="F506" s="104" t="s">
        <v>1887</v>
      </c>
      <c r="G506" s="110"/>
      <c r="H506" s="110"/>
      <c r="I506" s="107"/>
      <c r="J506" s="108" t="s">
        <v>1917</v>
      </c>
      <c r="K506" s="108" t="str">
        <f>_xlfn.XLOOKUP(J506,[1]Sheet1!$A:$A,[1]Sheet1!$B:$B,"")</f>
        <v>#ERROR!</v>
      </c>
      <c r="L506" s="103" t="s">
        <v>1918</v>
      </c>
      <c r="M506" s="103" t="s">
        <v>1919</v>
      </c>
      <c r="N506" s="110"/>
      <c r="O506" s="104" t="s">
        <v>95</v>
      </c>
      <c r="P506" s="110"/>
      <c r="Q506" s="104" t="s">
        <v>554</v>
      </c>
      <c r="R506" s="110" t="s">
        <v>741</v>
      </c>
      <c r="S506" s="110">
        <v>128.0</v>
      </c>
      <c r="T506" s="110" t="str">
        <f t="shared" ref="T506:T507" si="779">VLOOKUP(J506,'[5]GTIN code &amp; packing details'!$E$2:$K$199,8,FALSE)</f>
        <v>#REF!</v>
      </c>
      <c r="U506" s="171" t="s">
        <v>1920</v>
      </c>
      <c r="V506" s="375">
        <v>0.027</v>
      </c>
      <c r="W506" s="376">
        <v>45.0</v>
      </c>
      <c r="X506" s="171">
        <v>45.0</v>
      </c>
      <c r="Y506" s="171">
        <v>55.0</v>
      </c>
      <c r="Z506" s="376" t="s">
        <v>99</v>
      </c>
      <c r="AA506" s="377">
        <f t="shared" si="728"/>
        <v>7.763221737</v>
      </c>
      <c r="AB506" s="378"/>
      <c r="AC506" s="379">
        <f t="shared" si="772"/>
        <v>7.116114733</v>
      </c>
      <c r="AD506" s="380">
        <f t="shared" si="244"/>
        <v>7.651736272</v>
      </c>
      <c r="AE506" s="379"/>
      <c r="AF506" s="379" t="str">
        <f t="shared" si="94"/>
        <v>#REF!</v>
      </c>
      <c r="AG506" s="381" t="str">
        <f t="shared" si="95"/>
        <v>#REF!</v>
      </c>
      <c r="AH506" s="120" t="str">
        <f t="shared" si="96"/>
        <v>#REF!</v>
      </c>
      <c r="AI506" s="382">
        <f t="shared" si="497"/>
        <v>0.1</v>
      </c>
      <c r="AJ506" s="382">
        <v>0.1</v>
      </c>
      <c r="AK506" s="383">
        <v>0.23</v>
      </c>
      <c r="AL506" s="123">
        <f t="shared" si="11"/>
        <v>1.636706389</v>
      </c>
      <c r="AM506" s="383" t="str">
        <f t="shared" si="773"/>
        <v>#REF!</v>
      </c>
      <c r="AN506" s="384">
        <f t="shared" si="774"/>
        <v>7.116114733</v>
      </c>
      <c r="AO506" s="375">
        <f t="shared" si="775"/>
        <v>0.23</v>
      </c>
      <c r="AP506" s="12"/>
      <c r="AQ506" s="385">
        <f t="shared" si="771"/>
        <v>5.822416303</v>
      </c>
      <c r="AR506" s="386">
        <f t="shared" si="776"/>
        <v>6.088231494</v>
      </c>
      <c r="AS506" s="387">
        <f t="shared" si="733"/>
        <v>0.25</v>
      </c>
      <c r="AT506" s="387">
        <f t="shared" si="777"/>
        <v>0.1444444444</v>
      </c>
      <c r="AU506" s="129">
        <v>5.01</v>
      </c>
      <c r="AV506" s="8" t="s">
        <v>1902</v>
      </c>
      <c r="AW506" s="388"/>
      <c r="AX506" s="314"/>
      <c r="AY506" s="314"/>
      <c r="AZ506" s="388"/>
      <c r="BA506" s="314">
        <v>36.0</v>
      </c>
      <c r="BB506" s="314">
        <f t="shared" si="735"/>
        <v>36</v>
      </c>
      <c r="BC506" s="389">
        <f t="shared" si="736"/>
        <v>5.240174672</v>
      </c>
      <c r="BD506" s="386">
        <f t="shared" si="778"/>
        <v>5.479408344</v>
      </c>
      <c r="BE506" s="59"/>
      <c r="BF506" s="77"/>
      <c r="BG506" s="1"/>
      <c r="BH506" s="379">
        <f t="shared" si="714"/>
        <v>23.72038244</v>
      </c>
      <c r="BI506" s="379">
        <f t="shared" si="715"/>
        <v>14.23222947</v>
      </c>
      <c r="BJ506" s="379">
        <f t="shared" si="716"/>
        <v>11.86019122</v>
      </c>
      <c r="BK506" s="379">
        <f t="shared" si="717"/>
        <v>9.488152977</v>
      </c>
      <c r="BL506" s="1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</row>
    <row r="507" ht="14.25" customHeight="1">
      <c r="A507" s="103" t="s">
        <v>84</v>
      </c>
      <c r="B507" s="103" t="s">
        <v>120</v>
      </c>
      <c r="C507" s="103" t="s">
        <v>120</v>
      </c>
      <c r="D507" s="103" t="s">
        <v>1886</v>
      </c>
      <c r="E507" s="103" t="s">
        <v>1887</v>
      </c>
      <c r="F507" s="104" t="s">
        <v>1887</v>
      </c>
      <c r="G507" s="110"/>
      <c r="H507" s="110"/>
      <c r="I507" s="107"/>
      <c r="J507" s="108" t="s">
        <v>1921</v>
      </c>
      <c r="K507" s="108" t="str">
        <f>_xlfn.XLOOKUP(J507,[1]Sheet1!$A:$A,[1]Sheet1!$B:$B,"")</f>
        <v>#ERROR!</v>
      </c>
      <c r="L507" s="103" t="s">
        <v>1922</v>
      </c>
      <c r="M507" s="103" t="s">
        <v>1923</v>
      </c>
      <c r="N507" s="110"/>
      <c r="O507" s="104" t="s">
        <v>95</v>
      </c>
      <c r="P507" s="110"/>
      <c r="Q507" s="104" t="s">
        <v>554</v>
      </c>
      <c r="R507" s="110" t="s">
        <v>741</v>
      </c>
      <c r="S507" s="110">
        <v>200.0</v>
      </c>
      <c r="T507" s="110" t="str">
        <f t="shared" si="779"/>
        <v>#REF!</v>
      </c>
      <c r="U507" s="171" t="s">
        <v>1920</v>
      </c>
      <c r="V507" s="375">
        <v>0.027</v>
      </c>
      <c r="W507" s="376">
        <v>45.0</v>
      </c>
      <c r="X507" s="171">
        <v>45.0</v>
      </c>
      <c r="Y507" s="171">
        <v>55.0</v>
      </c>
      <c r="Z507" s="376" t="s">
        <v>99</v>
      </c>
      <c r="AA507" s="377">
        <f t="shared" si="728"/>
        <v>8.841446978</v>
      </c>
      <c r="AB507" s="378"/>
      <c r="AC507" s="379">
        <f t="shared" si="772"/>
        <v>7.598286152</v>
      </c>
      <c r="AD507" s="380">
        <f t="shared" si="244"/>
        <v>8.170200163</v>
      </c>
      <c r="AE507" s="379"/>
      <c r="AF507" s="379" t="str">
        <f t="shared" si="94"/>
        <v>#REF!</v>
      </c>
      <c r="AG507" s="381" t="str">
        <f t="shared" si="95"/>
        <v>#REF!</v>
      </c>
      <c r="AH507" s="120" t="str">
        <f t="shared" si="96"/>
        <v>#REF!</v>
      </c>
      <c r="AI507" s="382">
        <f t="shared" si="497"/>
        <v>0.1</v>
      </c>
      <c r="AJ507" s="382">
        <v>0.1</v>
      </c>
      <c r="AK507" s="383">
        <v>0.23</v>
      </c>
      <c r="AL507" s="123">
        <f t="shared" si="11"/>
        <v>1.747605815</v>
      </c>
      <c r="AM507" s="383" t="str">
        <f t="shared" si="773"/>
        <v>#REF!</v>
      </c>
      <c r="AN507" s="384">
        <f t="shared" si="774"/>
        <v>7.598286152</v>
      </c>
      <c r="AO507" s="375">
        <f t="shared" si="775"/>
        <v>0.23</v>
      </c>
      <c r="AP507" s="12"/>
      <c r="AQ507" s="385">
        <f t="shared" si="771"/>
        <v>6.631085234</v>
      </c>
      <c r="AR507" s="386">
        <f t="shared" si="776"/>
        <v>6.50075593</v>
      </c>
      <c r="AS507" s="387">
        <f t="shared" si="733"/>
        <v>0.25</v>
      </c>
      <c r="AT507" s="387">
        <f t="shared" si="777"/>
        <v>0.1444444444</v>
      </c>
      <c r="AU507" s="129"/>
      <c r="AV507" s="8" t="s">
        <v>1902</v>
      </c>
      <c r="AW507" s="388"/>
      <c r="AX507" s="314"/>
      <c r="AY507" s="314"/>
      <c r="AZ507" s="388"/>
      <c r="BA507" s="314">
        <v>41.0</v>
      </c>
      <c r="BB507" s="314">
        <f t="shared" si="735"/>
        <v>41</v>
      </c>
      <c r="BC507" s="389">
        <f t="shared" si="736"/>
        <v>5.96797671</v>
      </c>
      <c r="BD507" s="386">
        <f t="shared" si="778"/>
        <v>5.850680337</v>
      </c>
      <c r="BE507" s="59"/>
      <c r="BF507" s="77"/>
      <c r="BG507" s="1"/>
      <c r="BH507" s="379">
        <f t="shared" si="714"/>
        <v>25.32762051</v>
      </c>
      <c r="BI507" s="379">
        <f t="shared" si="715"/>
        <v>15.1965723</v>
      </c>
      <c r="BJ507" s="379">
        <f t="shared" si="716"/>
        <v>12.66381025</v>
      </c>
      <c r="BK507" s="379">
        <f t="shared" si="717"/>
        <v>10.1310482</v>
      </c>
      <c r="BL507" s="1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</row>
    <row r="508" ht="14.25" customHeight="1">
      <c r="A508" s="103" t="s">
        <v>84</v>
      </c>
      <c r="B508" s="103" t="s">
        <v>120</v>
      </c>
      <c r="C508" s="103" t="s">
        <v>120</v>
      </c>
      <c r="D508" s="103" t="s">
        <v>1886</v>
      </c>
      <c r="E508" s="103" t="s">
        <v>1887</v>
      </c>
      <c r="F508" s="104" t="s">
        <v>1887</v>
      </c>
      <c r="G508" s="110"/>
      <c r="H508" s="110"/>
      <c r="I508" s="107"/>
      <c r="J508" s="220" t="s">
        <v>1924</v>
      </c>
      <c r="K508" s="220" t="str">
        <f>_xlfn.XLOOKUP(J508,[1]Sheet1!$A:$A,[1]Sheet1!$B:$B,"")</f>
        <v>#ERROR!</v>
      </c>
      <c r="L508" s="103" t="s">
        <v>1925</v>
      </c>
      <c r="M508" s="103" t="s">
        <v>1926</v>
      </c>
      <c r="N508" s="110"/>
      <c r="O508" s="104" t="s">
        <v>95</v>
      </c>
      <c r="P508" s="110"/>
      <c r="Q508" s="104" t="s">
        <v>554</v>
      </c>
      <c r="R508" s="110" t="s">
        <v>1176</v>
      </c>
      <c r="S508" s="110">
        <v>900.0</v>
      </c>
      <c r="T508" s="110" t="e">
        <v>#N/A</v>
      </c>
      <c r="U508" s="110" t="s">
        <v>509</v>
      </c>
      <c r="V508" s="112">
        <v>0.017</v>
      </c>
      <c r="W508" s="113">
        <v>45.0</v>
      </c>
      <c r="X508" s="110">
        <v>45.0</v>
      </c>
      <c r="Y508" s="110">
        <v>55.0</v>
      </c>
      <c r="Z508" s="113" t="s">
        <v>699</v>
      </c>
      <c r="AA508" s="114">
        <f t="shared" si="728"/>
        <v>1.864559506</v>
      </c>
      <c r="AB508" s="115"/>
      <c r="AC508" s="212">
        <f t="shared" si="772"/>
        <v>1.600742891</v>
      </c>
      <c r="AD508" s="213">
        <f t="shared" si="244"/>
        <v>1.721228915</v>
      </c>
      <c r="AE508" s="212"/>
      <c r="AF508" s="212" t="str">
        <f t="shared" si="94"/>
        <v>#REF!</v>
      </c>
      <c r="AG508" s="210" t="str">
        <f t="shared" si="95"/>
        <v>#REF!</v>
      </c>
      <c r="AH508" s="120" t="str">
        <f t="shared" si="96"/>
        <v>#REF!</v>
      </c>
      <c r="AI508" s="121">
        <f t="shared" si="497"/>
        <v>0.1</v>
      </c>
      <c r="AJ508" s="121">
        <v>0.1</v>
      </c>
      <c r="AK508" s="122">
        <v>0.28</v>
      </c>
      <c r="AL508" s="123">
        <f t="shared" si="11"/>
        <v>0.4482080096</v>
      </c>
      <c r="AM508" s="122" t="str">
        <f t="shared" si="773"/>
        <v>#REF!</v>
      </c>
      <c r="AN508" s="125">
        <f t="shared" si="774"/>
        <v>1.600742891</v>
      </c>
      <c r="AO508" s="112">
        <f t="shared" si="775"/>
        <v>0.28</v>
      </c>
      <c r="AP508" s="127"/>
      <c r="AQ508" s="128">
        <f t="shared" si="771"/>
        <v>1.305191655</v>
      </c>
      <c r="AR508" s="139">
        <f t="shared" si="776"/>
        <v>1.280594313</v>
      </c>
      <c r="AS508" s="126">
        <f t="shared" si="733"/>
        <v>0.3</v>
      </c>
      <c r="AT508" s="126">
        <f t="shared" si="777"/>
        <v>0.2</v>
      </c>
      <c r="AU508" s="129"/>
      <c r="AV508" s="39" t="s">
        <v>1927</v>
      </c>
      <c r="AW508" s="214"/>
      <c r="AX508" s="214"/>
      <c r="AY508" s="214"/>
      <c r="AZ508" s="214">
        <v>1.57</v>
      </c>
      <c r="BA508" s="214">
        <v>6.5</v>
      </c>
      <c r="BB508" s="130">
        <f t="shared" si="735"/>
        <v>8.07</v>
      </c>
      <c r="BC508" s="131">
        <f t="shared" si="736"/>
        <v>1.174672489</v>
      </c>
      <c r="BD508" s="132">
        <f t="shared" si="778"/>
        <v>1.152534882</v>
      </c>
      <c r="BE508" s="215"/>
      <c r="BF508" s="361"/>
      <c r="BG508" s="49"/>
      <c r="BH508" s="212">
        <f t="shared" si="714"/>
        <v>5.335809638</v>
      </c>
      <c r="BI508" s="212">
        <f t="shared" si="715"/>
        <v>3.201485783</v>
      </c>
      <c r="BJ508" s="212">
        <f t="shared" si="716"/>
        <v>2.667904819</v>
      </c>
      <c r="BK508" s="212">
        <f t="shared" si="717"/>
        <v>2.134323855</v>
      </c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</row>
    <row r="509" ht="14.25" customHeight="1">
      <c r="A509" s="105" t="s">
        <v>84</v>
      </c>
      <c r="B509" s="103" t="s">
        <v>120</v>
      </c>
      <c r="C509" s="103" t="s">
        <v>120</v>
      </c>
      <c r="D509" s="105" t="s">
        <v>1886</v>
      </c>
      <c r="E509" s="105" t="s">
        <v>1887</v>
      </c>
      <c r="F509" s="105" t="s">
        <v>1887</v>
      </c>
      <c r="G509" s="106"/>
      <c r="H509" s="110"/>
      <c r="I509" s="107"/>
      <c r="J509" s="220" t="s">
        <v>1928</v>
      </c>
      <c r="K509" s="220" t="str">
        <f>_xlfn.XLOOKUP(J509,[1]Sheet1!$A:$A,[1]Sheet1!$B:$B,"")</f>
        <v>#ERROR!</v>
      </c>
      <c r="L509" s="105" t="s">
        <v>1929</v>
      </c>
      <c r="M509" s="105" t="s">
        <v>1930</v>
      </c>
      <c r="N509" s="110"/>
      <c r="O509" s="104" t="s">
        <v>95</v>
      </c>
      <c r="P509" s="110"/>
      <c r="Q509" s="104" t="s">
        <v>554</v>
      </c>
      <c r="R509" s="110" t="s">
        <v>1176</v>
      </c>
      <c r="S509" s="110">
        <v>400.0</v>
      </c>
      <c r="T509" s="110" t="e">
        <v>#N/A</v>
      </c>
      <c r="U509" s="110" t="s">
        <v>509</v>
      </c>
      <c r="V509" s="112">
        <v>0.017</v>
      </c>
      <c r="W509" s="113">
        <v>45.0</v>
      </c>
      <c r="X509" s="113">
        <v>45.0</v>
      </c>
      <c r="Y509" s="113">
        <v>55.0</v>
      </c>
      <c r="Z509" s="113" t="s">
        <v>699</v>
      </c>
      <c r="AA509" s="114">
        <f t="shared" si="728"/>
        <v>3.874679421</v>
      </c>
      <c r="AB509" s="115"/>
      <c r="AC509" s="212">
        <f t="shared" si="772"/>
        <v>3.352983725</v>
      </c>
      <c r="AD509" s="213">
        <f t="shared" si="244"/>
        <v>3.605358844</v>
      </c>
      <c r="AE509" s="212"/>
      <c r="AF509" s="212" t="str">
        <f t="shared" si="94"/>
        <v>#REF!</v>
      </c>
      <c r="AG509" s="210" t="str">
        <f t="shared" si="95"/>
        <v>#REF!</v>
      </c>
      <c r="AH509" s="120" t="str">
        <f t="shared" si="96"/>
        <v>#REF!</v>
      </c>
      <c r="AI509" s="121">
        <f t="shared" si="497"/>
        <v>0.1</v>
      </c>
      <c r="AJ509" s="121">
        <v>0.1</v>
      </c>
      <c r="AK509" s="122">
        <v>0.28</v>
      </c>
      <c r="AL509" s="123">
        <f t="shared" si="11"/>
        <v>0.9388354429</v>
      </c>
      <c r="AM509" s="122" t="s">
        <v>10</v>
      </c>
      <c r="AN509" s="125">
        <f t="shared" si="774"/>
        <v>3.352983725</v>
      </c>
      <c r="AO509" s="112">
        <f t="shared" si="775"/>
        <v>0.28</v>
      </c>
      <c r="AP509" s="127"/>
      <c r="AQ509" s="128">
        <f t="shared" si="771"/>
        <v>2.712275594</v>
      </c>
      <c r="AR509" s="139">
        <f t="shared" si="776"/>
        <v>2.68238698</v>
      </c>
      <c r="AS509" s="126">
        <f t="shared" si="733"/>
        <v>0.3</v>
      </c>
      <c r="AT509" s="126">
        <f t="shared" si="777"/>
        <v>0.2</v>
      </c>
      <c r="AU509" s="129"/>
      <c r="AV509" s="39" t="s">
        <v>510</v>
      </c>
      <c r="AW509" s="214"/>
      <c r="AX509" s="214"/>
      <c r="AY509" s="214"/>
      <c r="AZ509" s="217">
        <v>1.57</v>
      </c>
      <c r="BA509" s="214">
        <v>15.2</v>
      </c>
      <c r="BB509" s="130">
        <f t="shared" si="735"/>
        <v>16.77</v>
      </c>
      <c r="BC509" s="131">
        <f t="shared" si="736"/>
        <v>2.441048035</v>
      </c>
      <c r="BD509" s="132">
        <f t="shared" si="778"/>
        <v>2.414148282</v>
      </c>
      <c r="BE509" s="135" t="s">
        <v>1931</v>
      </c>
      <c r="BF509" s="134"/>
      <c r="BG509" s="49"/>
      <c r="BH509" s="212">
        <f t="shared" si="714"/>
        <v>11.17661242</v>
      </c>
      <c r="BI509" s="212">
        <f t="shared" si="715"/>
        <v>6.705967449</v>
      </c>
      <c r="BJ509" s="212">
        <f t="shared" si="716"/>
        <v>5.588306208</v>
      </c>
      <c r="BK509" s="212">
        <f t="shared" si="717"/>
        <v>4.470644966</v>
      </c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</row>
    <row r="510" ht="14.25" customHeight="1">
      <c r="A510" s="105" t="s">
        <v>84</v>
      </c>
      <c r="B510" s="103" t="s">
        <v>120</v>
      </c>
      <c r="C510" s="103" t="s">
        <v>120</v>
      </c>
      <c r="D510" s="105" t="s">
        <v>1886</v>
      </c>
      <c r="E510" s="105" t="s">
        <v>1932</v>
      </c>
      <c r="F510" s="105" t="s">
        <v>1932</v>
      </c>
      <c r="G510" s="106"/>
      <c r="H510" s="110"/>
      <c r="I510" s="107"/>
      <c r="J510" s="220" t="s">
        <v>1933</v>
      </c>
      <c r="K510" s="220" t="str">
        <f>_xlfn.XLOOKUP(J510,[1]Sheet1!$A:$A,[1]Sheet1!$B:$B,"")</f>
        <v>#ERROR!</v>
      </c>
      <c r="L510" s="105" t="s">
        <v>1934</v>
      </c>
      <c r="M510" s="105" t="s">
        <v>1935</v>
      </c>
      <c r="N510" s="110"/>
      <c r="O510" s="104" t="s">
        <v>95</v>
      </c>
      <c r="P510" s="110"/>
      <c r="Q510" s="104" t="s">
        <v>554</v>
      </c>
      <c r="R510" s="110" t="s">
        <v>1637</v>
      </c>
      <c r="S510" s="110">
        <v>240.0</v>
      </c>
      <c r="T510" s="110" t="s">
        <v>1936</v>
      </c>
      <c r="U510" s="110" t="s">
        <v>1937</v>
      </c>
      <c r="V510" s="112">
        <v>0.033</v>
      </c>
      <c r="W510" s="113">
        <v>45.0</v>
      </c>
      <c r="X510" s="113">
        <v>45.0</v>
      </c>
      <c r="Y510" s="113">
        <v>55.0</v>
      </c>
      <c r="Z510" s="113" t="s">
        <v>1938</v>
      </c>
      <c r="AA510" s="114">
        <f t="shared" si="728"/>
        <v>11.66632009</v>
      </c>
      <c r="AB510" s="115"/>
      <c r="AC510" s="212">
        <f t="shared" si="772"/>
        <v>9.792116594</v>
      </c>
      <c r="AD510" s="213">
        <f t="shared" si="244"/>
        <v>10.52915763</v>
      </c>
      <c r="AE510" s="212"/>
      <c r="AF510" s="212" t="str">
        <f t="shared" si="94"/>
        <v>#REF!</v>
      </c>
      <c r="AG510" s="210" t="str">
        <f t="shared" si="95"/>
        <v>#REF!</v>
      </c>
      <c r="AH510" s="120" t="str">
        <f t="shared" si="96"/>
        <v>#REF!</v>
      </c>
      <c r="AI510" s="121">
        <f t="shared" si="497"/>
        <v>0.1</v>
      </c>
      <c r="AJ510" s="121">
        <v>0.1</v>
      </c>
      <c r="AK510" s="122">
        <v>0.28</v>
      </c>
      <c r="AL510" s="123">
        <f t="shared" si="11"/>
        <v>2.741792646</v>
      </c>
      <c r="AM510" s="122" t="str">
        <f t="shared" ref="AM510:AM512" si="780">VLOOKUP(J510,'[3]PO &amp; SC March 2024'!$F$11:$AA$197,20,FALSE)</f>
        <v>#REF!</v>
      </c>
      <c r="AN510" s="125">
        <f t="shared" si="774"/>
        <v>9.792116594</v>
      </c>
      <c r="AO510" s="112">
        <f t="shared" si="775"/>
        <v>0.28</v>
      </c>
      <c r="AP510" s="127"/>
      <c r="AQ510" s="128">
        <f t="shared" si="771"/>
        <v>8.166424066</v>
      </c>
      <c r="AR510" s="139">
        <f t="shared" si="776"/>
        <v>7.833693275</v>
      </c>
      <c r="AS510" s="126">
        <f t="shared" si="733"/>
        <v>0.3</v>
      </c>
      <c r="AT510" s="126">
        <f t="shared" si="777"/>
        <v>0.2</v>
      </c>
      <c r="AU510" s="129">
        <v>7.18</v>
      </c>
      <c r="AV510" s="39" t="s">
        <v>1939</v>
      </c>
      <c r="AW510" s="214"/>
      <c r="AX510" s="214"/>
      <c r="AY510" s="214"/>
      <c r="AZ510" s="214">
        <f>2.03+0.23*7.1</f>
        <v>3.663</v>
      </c>
      <c r="BA510" s="214">
        <v>46.830000000000005</v>
      </c>
      <c r="BB510" s="130">
        <f t="shared" si="735"/>
        <v>50.493</v>
      </c>
      <c r="BC510" s="131">
        <f t="shared" si="736"/>
        <v>7.349781659</v>
      </c>
      <c r="BD510" s="132">
        <f t="shared" si="778"/>
        <v>7.050323948</v>
      </c>
      <c r="BE510" s="133"/>
      <c r="BF510" s="361" t="s">
        <v>1940</v>
      </c>
      <c r="BG510" s="49"/>
      <c r="BH510" s="212">
        <f t="shared" si="714"/>
        <v>32.64038865</v>
      </c>
      <c r="BI510" s="212">
        <f t="shared" si="715"/>
        <v>19.58423319</v>
      </c>
      <c r="BJ510" s="212">
        <f t="shared" si="716"/>
        <v>16.32019432</v>
      </c>
      <c r="BK510" s="212">
        <f t="shared" si="717"/>
        <v>13.05615546</v>
      </c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</row>
    <row r="511" ht="14.25" customHeight="1">
      <c r="A511" s="105" t="s">
        <v>84</v>
      </c>
      <c r="B511" s="103" t="s">
        <v>120</v>
      </c>
      <c r="C511" s="103" t="s">
        <v>120</v>
      </c>
      <c r="D511" s="105" t="s">
        <v>1886</v>
      </c>
      <c r="E511" s="105" t="s">
        <v>1932</v>
      </c>
      <c r="F511" s="105" t="s">
        <v>1932</v>
      </c>
      <c r="G511" s="106"/>
      <c r="H511" s="110"/>
      <c r="I511" s="107"/>
      <c r="J511" s="220" t="s">
        <v>1941</v>
      </c>
      <c r="K511" s="220" t="str">
        <f>_xlfn.XLOOKUP(J511,[1]Sheet1!$A:$A,[1]Sheet1!$B:$B,"")</f>
        <v>#ERROR!</v>
      </c>
      <c r="L511" s="105" t="s">
        <v>1942</v>
      </c>
      <c r="M511" s="105" t="s">
        <v>1943</v>
      </c>
      <c r="N511" s="110"/>
      <c r="O511" s="104" t="s">
        <v>95</v>
      </c>
      <c r="P511" s="110"/>
      <c r="Q511" s="104" t="s">
        <v>554</v>
      </c>
      <c r="R511" s="110" t="s">
        <v>1637</v>
      </c>
      <c r="S511" s="110">
        <v>240.0</v>
      </c>
      <c r="T511" s="110" t="s">
        <v>1944</v>
      </c>
      <c r="U511" s="110" t="s">
        <v>1937</v>
      </c>
      <c r="V511" s="112">
        <v>0.033</v>
      </c>
      <c r="W511" s="113">
        <v>45.0</v>
      </c>
      <c r="X511" s="113">
        <v>45.0</v>
      </c>
      <c r="Y511" s="113">
        <v>55.0</v>
      </c>
      <c r="Z511" s="113" t="s">
        <v>1938</v>
      </c>
      <c r="AA511" s="114">
        <f t="shared" si="728"/>
        <v>11.8353972</v>
      </c>
      <c r="AB511" s="115"/>
      <c r="AC511" s="212">
        <f t="shared" si="772"/>
        <v>9.930033729</v>
      </c>
      <c r="AD511" s="213">
        <f t="shared" si="244"/>
        <v>10.67745562</v>
      </c>
      <c r="AE511" s="212"/>
      <c r="AF511" s="212" t="str">
        <f t="shared" si="94"/>
        <v>#REF!</v>
      </c>
      <c r="AG511" s="210" t="str">
        <f t="shared" si="95"/>
        <v>#REF!</v>
      </c>
      <c r="AH511" s="120" t="str">
        <f t="shared" si="96"/>
        <v>#REF!</v>
      </c>
      <c r="AI511" s="121">
        <f t="shared" si="497"/>
        <v>0.1</v>
      </c>
      <c r="AJ511" s="121">
        <v>0.1</v>
      </c>
      <c r="AK511" s="122">
        <v>0.29000000000000004</v>
      </c>
      <c r="AL511" s="123">
        <f t="shared" si="11"/>
        <v>2.879709782</v>
      </c>
      <c r="AM511" s="122" t="str">
        <f t="shared" si="780"/>
        <v>#REF!</v>
      </c>
      <c r="AN511" s="125">
        <f t="shared" si="774"/>
        <v>9.930033729</v>
      </c>
      <c r="AO511" s="112">
        <f t="shared" si="775"/>
        <v>0.29</v>
      </c>
      <c r="AP511" s="127"/>
      <c r="AQ511" s="128">
        <f t="shared" si="771"/>
        <v>8.166424066</v>
      </c>
      <c r="AR511" s="139">
        <f t="shared" si="776"/>
        <v>7.833693275</v>
      </c>
      <c r="AS511" s="126">
        <f t="shared" si="733"/>
        <v>0.31</v>
      </c>
      <c r="AT511" s="126">
        <f t="shared" si="777"/>
        <v>0.2111111111</v>
      </c>
      <c r="AU511" s="129"/>
      <c r="AV511" s="39" t="s">
        <v>1939</v>
      </c>
      <c r="AW511" s="214"/>
      <c r="AX511" s="214"/>
      <c r="AY511" s="214"/>
      <c r="AZ511" s="214">
        <f t="shared" ref="AZ511:AZ512" si="781">0.23*7.1</f>
        <v>1.633</v>
      </c>
      <c r="BA511" s="214">
        <v>48.86</v>
      </c>
      <c r="BB511" s="130">
        <f t="shared" si="735"/>
        <v>50.493</v>
      </c>
      <c r="BC511" s="131">
        <f t="shared" si="736"/>
        <v>7.349781659</v>
      </c>
      <c r="BD511" s="132">
        <f t="shared" si="778"/>
        <v>7.050323948</v>
      </c>
      <c r="BE511" s="133"/>
      <c r="BF511" s="361" t="s">
        <v>1940</v>
      </c>
      <c r="BG511" s="49"/>
      <c r="BH511" s="212">
        <f t="shared" si="714"/>
        <v>33.10011243</v>
      </c>
      <c r="BI511" s="212">
        <f t="shared" si="715"/>
        <v>19.86006746</v>
      </c>
      <c r="BJ511" s="212">
        <f t="shared" si="716"/>
        <v>16.55005622</v>
      </c>
      <c r="BK511" s="212">
        <f t="shared" si="717"/>
        <v>13.24004497</v>
      </c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</row>
    <row r="512" ht="14.25" customHeight="1">
      <c r="A512" s="103" t="s">
        <v>84</v>
      </c>
      <c r="B512" s="103" t="s">
        <v>120</v>
      </c>
      <c r="C512" s="103" t="s">
        <v>120</v>
      </c>
      <c r="D512" s="103" t="s">
        <v>1886</v>
      </c>
      <c r="E512" s="103" t="s">
        <v>1932</v>
      </c>
      <c r="F512" s="104" t="s">
        <v>1932</v>
      </c>
      <c r="G512" s="110"/>
      <c r="H512" s="110"/>
      <c r="I512" s="107"/>
      <c r="J512" s="220" t="s">
        <v>1945</v>
      </c>
      <c r="K512" s="220" t="str">
        <f>_xlfn.XLOOKUP(J512,[1]Sheet1!$A:$A,[1]Sheet1!$B:$B,"")</f>
        <v>#ERROR!</v>
      </c>
      <c r="L512" s="103" t="s">
        <v>1946</v>
      </c>
      <c r="M512" s="103" t="s">
        <v>1947</v>
      </c>
      <c r="N512" s="110"/>
      <c r="O512" s="104" t="s">
        <v>95</v>
      </c>
      <c r="P512" s="110"/>
      <c r="Q512" s="104" t="s">
        <v>554</v>
      </c>
      <c r="R512" s="110" t="s">
        <v>1637</v>
      </c>
      <c r="S512" s="110">
        <v>240.0</v>
      </c>
      <c r="T512" s="110" t="e">
        <v>#N/A</v>
      </c>
      <c r="U512" s="110" t="s">
        <v>1937</v>
      </c>
      <c r="V512" s="112">
        <v>0.033</v>
      </c>
      <c r="W512" s="113">
        <v>45.0</v>
      </c>
      <c r="X512" s="110">
        <v>45.0</v>
      </c>
      <c r="Y512" s="110">
        <v>55.0</v>
      </c>
      <c r="Z512" s="110" t="s">
        <v>1938</v>
      </c>
      <c r="AA512" s="114">
        <f t="shared" si="728"/>
        <v>41.25999132</v>
      </c>
      <c r="AB512" s="115"/>
      <c r="AC512" s="212">
        <f t="shared" si="772"/>
        <v>33.08593392</v>
      </c>
      <c r="AD512" s="213">
        <f t="shared" si="244"/>
        <v>35.57627303</v>
      </c>
      <c r="AE512" s="212"/>
      <c r="AF512" s="212" t="str">
        <f t="shared" si="94"/>
        <v>#REF!</v>
      </c>
      <c r="AG512" s="210" t="str">
        <f t="shared" si="95"/>
        <v>#REF!</v>
      </c>
      <c r="AH512" s="120" t="str">
        <f t="shared" si="96"/>
        <v>#REF!</v>
      </c>
      <c r="AI512" s="121">
        <f t="shared" si="497"/>
        <v>0.1</v>
      </c>
      <c r="AJ512" s="121">
        <v>0.1</v>
      </c>
      <c r="AK512" s="122">
        <v>0.41000000000000003</v>
      </c>
      <c r="AL512" s="123">
        <f t="shared" si="11"/>
        <v>13.56523291</v>
      </c>
      <c r="AM512" s="122" t="str">
        <f t="shared" si="780"/>
        <v>#REF!</v>
      </c>
      <c r="AN512" s="125">
        <f t="shared" si="774"/>
        <v>33.08593392</v>
      </c>
      <c r="AO512" s="112">
        <f t="shared" si="775"/>
        <v>0.41</v>
      </c>
      <c r="AP512" s="127"/>
      <c r="AQ512" s="128">
        <f t="shared" si="771"/>
        <v>23.51819505</v>
      </c>
      <c r="AR512" s="139">
        <f t="shared" si="776"/>
        <v>21.68966779</v>
      </c>
      <c r="AS512" s="126">
        <f t="shared" si="733"/>
        <v>0.43</v>
      </c>
      <c r="AT512" s="126">
        <f t="shared" si="777"/>
        <v>0.3444444444</v>
      </c>
      <c r="AU512" s="129"/>
      <c r="AV512" s="39" t="s">
        <v>1939</v>
      </c>
      <c r="AW512" s="214"/>
      <c r="AX512" s="214"/>
      <c r="AY512" s="214"/>
      <c r="AZ512" s="214">
        <f t="shared" si="781"/>
        <v>1.633</v>
      </c>
      <c r="BA512" s="214">
        <v>143.78</v>
      </c>
      <c r="BB512" s="130">
        <f t="shared" si="735"/>
        <v>145.413</v>
      </c>
      <c r="BC512" s="131">
        <f t="shared" si="736"/>
        <v>21.16637555</v>
      </c>
      <c r="BD512" s="132">
        <f t="shared" si="778"/>
        <v>19.52070101</v>
      </c>
      <c r="BE512" s="133"/>
      <c r="BF512" s="361" t="s">
        <v>1940</v>
      </c>
      <c r="BG512" s="49"/>
      <c r="BH512" s="212">
        <f t="shared" si="714"/>
        <v>110.2864464</v>
      </c>
      <c r="BI512" s="212">
        <f t="shared" si="715"/>
        <v>66.17186784</v>
      </c>
      <c r="BJ512" s="212">
        <f t="shared" si="716"/>
        <v>55.1432232</v>
      </c>
      <c r="BK512" s="212">
        <f t="shared" si="717"/>
        <v>44.11457856</v>
      </c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</row>
    <row r="513" ht="14.25" customHeight="1">
      <c r="A513" s="103" t="s">
        <v>84</v>
      </c>
      <c r="B513" s="103" t="s">
        <v>85</v>
      </c>
      <c r="C513" s="103" t="s">
        <v>85</v>
      </c>
      <c r="D513" s="103" t="s">
        <v>1266</v>
      </c>
      <c r="E513" s="103" t="s">
        <v>1948</v>
      </c>
      <c r="F513" s="104" t="s">
        <v>1949</v>
      </c>
      <c r="G513" s="110" t="s">
        <v>1319</v>
      </c>
      <c r="H513" s="390" t="s">
        <v>1950</v>
      </c>
      <c r="I513" s="391" t="s">
        <v>1951</v>
      </c>
      <c r="J513" s="220" t="s">
        <v>1952</v>
      </c>
      <c r="K513" s="220" t="str">
        <f>_xlfn.XLOOKUP(J513,[1]Sheet1!$A:$A,[1]Sheet1!$B:$B,"")</f>
        <v>#ERROR!</v>
      </c>
      <c r="L513" s="103" t="s">
        <v>1953</v>
      </c>
      <c r="M513" s="103" t="s">
        <v>1954</v>
      </c>
      <c r="N513" s="110" t="s">
        <v>106</v>
      </c>
      <c r="O513" s="104" t="s">
        <v>95</v>
      </c>
      <c r="P513" s="110"/>
      <c r="Q513" s="104" t="s">
        <v>480</v>
      </c>
      <c r="R513" s="110" t="s">
        <v>1955</v>
      </c>
      <c r="S513" s="110">
        <v>4.0</v>
      </c>
      <c r="T513" s="110" t="e">
        <v>#N/A</v>
      </c>
      <c r="U513" s="110">
        <v>8.5447E9</v>
      </c>
      <c r="V513" s="112">
        <v>0.0</v>
      </c>
      <c r="W513" s="113">
        <v>30.0</v>
      </c>
      <c r="X513" s="110">
        <v>45.0</v>
      </c>
      <c r="Y513" s="110">
        <v>55.0</v>
      </c>
      <c r="Z513" s="110" t="s">
        <v>1938</v>
      </c>
      <c r="AA513" s="114">
        <f t="shared" ref="AA513:AA580" si="782">BC513/(1-(AK513+2%))</f>
        <v>606.8433893</v>
      </c>
      <c r="AB513" s="115"/>
      <c r="AC513" s="116">
        <f t="shared" si="772"/>
        <v>547.4792214</v>
      </c>
      <c r="AD513" s="117">
        <f t="shared" ref="AD513:AD780" si="783">AC513/0.95</f>
        <v>576.2939173</v>
      </c>
      <c r="AE513" s="116"/>
      <c r="AF513" s="116" t="str">
        <f t="shared" si="94"/>
        <v>#REF!</v>
      </c>
      <c r="AG513" s="210" t="str">
        <f t="shared" si="95"/>
        <v>#REF!</v>
      </c>
      <c r="AH513" s="120" t="str">
        <f t="shared" si="96"/>
        <v>#REF!</v>
      </c>
      <c r="AI513" s="121">
        <f t="shared" si="497"/>
        <v>0.1</v>
      </c>
      <c r="AJ513" s="121">
        <v>0.1</v>
      </c>
      <c r="AK513" s="122">
        <v>0.27</v>
      </c>
      <c r="AL513" s="123">
        <f t="shared" si="11"/>
        <v>147.8193898</v>
      </c>
      <c r="AM513" s="122" t="s">
        <v>10</v>
      </c>
      <c r="AN513" s="125">
        <f t="shared" si="774"/>
        <v>547.4792214</v>
      </c>
      <c r="AO513" s="112">
        <f t="shared" si="775"/>
        <v>0.27</v>
      </c>
      <c r="AP513" s="127"/>
      <c r="AQ513" s="128">
        <f t="shared" si="771"/>
        <v>478.7320071</v>
      </c>
      <c r="AR513" s="125">
        <f t="shared" si="776"/>
        <v>444.0664796</v>
      </c>
      <c r="AS513" s="126">
        <f t="shared" si="733"/>
        <v>0.2111111111</v>
      </c>
      <c r="AT513" s="126">
        <f t="shared" si="777"/>
        <v>0.1888888889</v>
      </c>
      <c r="AU513" s="129"/>
      <c r="AV513" s="39" t="s">
        <v>1956</v>
      </c>
      <c r="AW513" s="130"/>
      <c r="AX513" s="130"/>
      <c r="AY513" s="130"/>
      <c r="AZ513" s="130"/>
      <c r="BA513" s="130">
        <v>2960.0</v>
      </c>
      <c r="BB513" s="130">
        <f t="shared" si="735"/>
        <v>2960</v>
      </c>
      <c r="BC513" s="131">
        <f t="shared" si="736"/>
        <v>430.8588064</v>
      </c>
      <c r="BD513" s="132">
        <f t="shared" si="778"/>
        <v>399.6598317</v>
      </c>
      <c r="BE513" s="39"/>
      <c r="BF513" s="134">
        <v>8.5447E9</v>
      </c>
      <c r="BG513" s="49"/>
      <c r="BH513" s="116">
        <f t="shared" si="714"/>
        <v>1824.930738</v>
      </c>
      <c r="BI513" s="116">
        <f t="shared" si="715"/>
        <v>1094.958443</v>
      </c>
      <c r="BJ513" s="116">
        <f t="shared" si="716"/>
        <v>912.4653691</v>
      </c>
      <c r="BK513" s="116">
        <f t="shared" si="717"/>
        <v>729.9722953</v>
      </c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</row>
    <row r="514" ht="14.25" customHeight="1">
      <c r="A514" s="103" t="s">
        <v>84</v>
      </c>
      <c r="B514" s="103" t="s">
        <v>85</v>
      </c>
      <c r="C514" s="103" t="s">
        <v>85</v>
      </c>
      <c r="D514" s="103" t="s">
        <v>1266</v>
      </c>
      <c r="E514" s="103" t="s">
        <v>1948</v>
      </c>
      <c r="F514" s="104" t="s">
        <v>1949</v>
      </c>
      <c r="G514" s="110" t="s">
        <v>1319</v>
      </c>
      <c r="H514" s="390" t="s">
        <v>1957</v>
      </c>
      <c r="I514" s="391" t="s">
        <v>1958</v>
      </c>
      <c r="J514" s="220" t="s">
        <v>1959</v>
      </c>
      <c r="K514" s="220" t="str">
        <f>_xlfn.XLOOKUP(J514,[1]Sheet1!$A:$A,[1]Sheet1!$B:$B,"")</f>
        <v>#ERROR!</v>
      </c>
      <c r="L514" s="103" t="s">
        <v>1960</v>
      </c>
      <c r="M514" s="103" t="s">
        <v>1961</v>
      </c>
      <c r="N514" s="110" t="s">
        <v>106</v>
      </c>
      <c r="O514" s="104" t="s">
        <v>95</v>
      </c>
      <c r="P514" s="110"/>
      <c r="Q514" s="104" t="s">
        <v>480</v>
      </c>
      <c r="R514" s="110" t="s">
        <v>1955</v>
      </c>
      <c r="S514" s="110">
        <v>4.0</v>
      </c>
      <c r="T514" s="110" t="e">
        <v>#N/A</v>
      </c>
      <c r="U514" s="110">
        <v>8.5447E9</v>
      </c>
      <c r="V514" s="112">
        <v>0.0</v>
      </c>
      <c r="W514" s="113">
        <v>30.0</v>
      </c>
      <c r="X514" s="110">
        <v>45.0</v>
      </c>
      <c r="Y514" s="110">
        <v>55.0</v>
      </c>
      <c r="Z514" s="110" t="s">
        <v>1938</v>
      </c>
      <c r="AA514" s="114">
        <f t="shared" si="782"/>
        <v>749.7386063</v>
      </c>
      <c r="AB514" s="115"/>
      <c r="AC514" s="116">
        <f t="shared" si="772"/>
        <v>668.3316385</v>
      </c>
      <c r="AD514" s="117">
        <f t="shared" si="783"/>
        <v>703.5069878</v>
      </c>
      <c r="AE514" s="116"/>
      <c r="AF514" s="116" t="str">
        <f t="shared" si="94"/>
        <v>#REF!</v>
      </c>
      <c r="AG514" s="210" t="str">
        <f t="shared" si="95"/>
        <v>#REF!</v>
      </c>
      <c r="AH514" s="120" t="str">
        <f t="shared" si="96"/>
        <v>#REF!</v>
      </c>
      <c r="AI514" s="121">
        <f t="shared" si="497"/>
        <v>0.1</v>
      </c>
      <c r="AJ514" s="121">
        <v>0.1</v>
      </c>
      <c r="AK514" s="122">
        <v>0.27</v>
      </c>
      <c r="AL514" s="123">
        <f t="shared" si="11"/>
        <v>180.4495424</v>
      </c>
      <c r="AM514" s="122" t="s">
        <v>10</v>
      </c>
      <c r="AN514" s="125">
        <f t="shared" si="774"/>
        <v>668.3316385</v>
      </c>
      <c r="AO514" s="112">
        <f t="shared" si="775"/>
        <v>0.27</v>
      </c>
      <c r="AP514" s="127"/>
      <c r="AQ514" s="128">
        <f t="shared" si="771"/>
        <v>591.4604561</v>
      </c>
      <c r="AR514" s="125">
        <f t="shared" si="776"/>
        <v>542.0912179</v>
      </c>
      <c r="AS514" s="126">
        <f t="shared" si="733"/>
        <v>0.2111111111</v>
      </c>
      <c r="AT514" s="126">
        <f t="shared" si="777"/>
        <v>0.1888888889</v>
      </c>
      <c r="AU514" s="129"/>
      <c r="AV514" s="39" t="s">
        <v>1956</v>
      </c>
      <c r="AW514" s="130"/>
      <c r="AX514" s="130"/>
      <c r="AY514" s="130"/>
      <c r="AZ514" s="130"/>
      <c r="BA514" s="130">
        <v>3657.0</v>
      </c>
      <c r="BB514" s="130">
        <f t="shared" si="735"/>
        <v>3657</v>
      </c>
      <c r="BC514" s="131">
        <f t="shared" si="736"/>
        <v>532.3144105</v>
      </c>
      <c r="BD514" s="132">
        <f t="shared" si="778"/>
        <v>487.8820961</v>
      </c>
      <c r="BE514" s="39"/>
      <c r="BF514" s="134">
        <v>8.5447E9</v>
      </c>
      <c r="BG514" s="49"/>
      <c r="BH514" s="116">
        <f t="shared" si="714"/>
        <v>2227.772128</v>
      </c>
      <c r="BI514" s="116">
        <f t="shared" si="715"/>
        <v>1336.663277</v>
      </c>
      <c r="BJ514" s="116">
        <f t="shared" si="716"/>
        <v>1113.886064</v>
      </c>
      <c r="BK514" s="116">
        <f t="shared" si="717"/>
        <v>891.1088513</v>
      </c>
      <c r="BL514" s="49"/>
      <c r="BM514" s="49"/>
      <c r="BN514" s="49"/>
      <c r="BO514" s="49"/>
      <c r="BP514" s="49"/>
      <c r="BQ514" s="49"/>
      <c r="BR514" s="49"/>
      <c r="BS514" s="49"/>
      <c r="BT514" s="49"/>
      <c r="BU514" s="49"/>
      <c r="BV514" s="49"/>
      <c r="BW514" s="49"/>
      <c r="BX514" s="49"/>
      <c r="BY514" s="49"/>
      <c r="BZ514" s="49"/>
      <c r="CA514" s="49"/>
      <c r="CB514" s="49"/>
      <c r="CC514" s="49"/>
      <c r="CD514" s="49"/>
      <c r="CE514" s="49"/>
      <c r="CF514" s="49"/>
    </row>
    <row r="515" ht="14.25" customHeight="1">
      <c r="A515" s="103" t="s">
        <v>84</v>
      </c>
      <c r="B515" s="103" t="s">
        <v>85</v>
      </c>
      <c r="C515" s="103" t="s">
        <v>85</v>
      </c>
      <c r="D515" s="103" t="s">
        <v>1266</v>
      </c>
      <c r="E515" s="103" t="s">
        <v>1948</v>
      </c>
      <c r="F515" s="104" t="s">
        <v>1949</v>
      </c>
      <c r="G515" s="110" t="s">
        <v>1319</v>
      </c>
      <c r="H515" s="390" t="s">
        <v>1962</v>
      </c>
      <c r="I515" s="391" t="s">
        <v>1963</v>
      </c>
      <c r="J515" s="220" t="s">
        <v>1964</v>
      </c>
      <c r="K515" s="220" t="str">
        <f>_xlfn.XLOOKUP(J515,[1]Sheet1!$A:$A,[1]Sheet1!$B:$B,"")</f>
        <v>#ERROR!</v>
      </c>
      <c r="L515" s="103" t="s">
        <v>1965</v>
      </c>
      <c r="M515" s="103" t="s">
        <v>1966</v>
      </c>
      <c r="N515" s="110" t="s">
        <v>106</v>
      </c>
      <c r="O515" s="104" t="s">
        <v>95</v>
      </c>
      <c r="P515" s="110"/>
      <c r="Q515" s="104" t="s">
        <v>480</v>
      </c>
      <c r="R515" s="110" t="s">
        <v>1955</v>
      </c>
      <c r="S515" s="110">
        <v>4.0</v>
      </c>
      <c r="T515" s="110" t="e">
        <v>#N/A</v>
      </c>
      <c r="U515" s="110">
        <v>8.5447E9</v>
      </c>
      <c r="V515" s="112">
        <v>0.0</v>
      </c>
      <c r="W515" s="113">
        <v>30.0</v>
      </c>
      <c r="X515" s="110">
        <v>45.0</v>
      </c>
      <c r="Y515" s="110">
        <v>55.0</v>
      </c>
      <c r="Z515" s="110" t="s">
        <v>1938</v>
      </c>
      <c r="AA515" s="114">
        <f t="shared" si="782"/>
        <v>1004.366812</v>
      </c>
      <c r="AB515" s="115"/>
      <c r="AC515" s="116">
        <f t="shared" si="772"/>
        <v>883.6812825</v>
      </c>
      <c r="AD515" s="117">
        <f t="shared" si="783"/>
        <v>930.1908237</v>
      </c>
      <c r="AE515" s="116"/>
      <c r="AF515" s="116" t="str">
        <f t="shared" si="94"/>
        <v>#REF!</v>
      </c>
      <c r="AG515" s="210" t="str">
        <f t="shared" si="95"/>
        <v>#REF!</v>
      </c>
      <c r="AH515" s="120" t="str">
        <f t="shared" si="96"/>
        <v>#REF!</v>
      </c>
      <c r="AI515" s="121">
        <f t="shared" si="497"/>
        <v>0.1</v>
      </c>
      <c r="AJ515" s="121">
        <v>0.1</v>
      </c>
      <c r="AK515" s="122">
        <v>0.27</v>
      </c>
      <c r="AL515" s="123">
        <f t="shared" si="11"/>
        <v>238.5939463</v>
      </c>
      <c r="AM515" s="122" t="s">
        <v>10</v>
      </c>
      <c r="AN515" s="125">
        <f t="shared" si="774"/>
        <v>883.6812825</v>
      </c>
      <c r="AO515" s="112">
        <f t="shared" si="775"/>
        <v>0.27</v>
      </c>
      <c r="AP515" s="127"/>
      <c r="AQ515" s="128">
        <f t="shared" si="771"/>
        <v>792.3338185</v>
      </c>
      <c r="AR515" s="125">
        <f t="shared" si="776"/>
        <v>716.7637069</v>
      </c>
      <c r="AS515" s="126">
        <f t="shared" si="733"/>
        <v>0.2111111111</v>
      </c>
      <c r="AT515" s="126">
        <f t="shared" si="777"/>
        <v>0.1888888889</v>
      </c>
      <c r="AU515" s="129"/>
      <c r="AV515" s="39" t="s">
        <v>1956</v>
      </c>
      <c r="AW515" s="130"/>
      <c r="AX515" s="130"/>
      <c r="AY515" s="130"/>
      <c r="AZ515" s="130"/>
      <c r="BA515" s="130">
        <v>4899.0</v>
      </c>
      <c r="BB515" s="130">
        <f t="shared" si="735"/>
        <v>4899</v>
      </c>
      <c r="BC515" s="131">
        <f t="shared" si="736"/>
        <v>713.1004367</v>
      </c>
      <c r="BD515" s="132">
        <f t="shared" si="778"/>
        <v>645.0873362</v>
      </c>
      <c r="BE515" s="39"/>
      <c r="BF515" s="134">
        <v>8.5447E9</v>
      </c>
      <c r="BG515" s="49"/>
      <c r="BH515" s="116">
        <f t="shared" si="714"/>
        <v>2945.604275</v>
      </c>
      <c r="BI515" s="116">
        <f t="shared" si="715"/>
        <v>1767.362565</v>
      </c>
      <c r="BJ515" s="116">
        <f t="shared" si="716"/>
        <v>1472.802138</v>
      </c>
      <c r="BK515" s="116">
        <f t="shared" si="717"/>
        <v>1178.24171</v>
      </c>
      <c r="BL515" s="49"/>
      <c r="BM515" s="49"/>
      <c r="BN515" s="49"/>
      <c r="BO515" s="49"/>
      <c r="BP515" s="49"/>
      <c r="BQ515" s="49"/>
      <c r="BR515" s="49"/>
      <c r="BS515" s="49"/>
      <c r="BT515" s="49"/>
      <c r="BU515" s="49"/>
      <c r="BV515" s="49"/>
      <c r="BW515" s="49"/>
      <c r="BX515" s="49"/>
      <c r="BY515" s="49"/>
      <c r="BZ515" s="49"/>
      <c r="CA515" s="49"/>
      <c r="CB515" s="49"/>
      <c r="CC515" s="49"/>
      <c r="CD515" s="49"/>
      <c r="CE515" s="49"/>
      <c r="CF515" s="49"/>
    </row>
    <row r="516" ht="14.25" customHeight="1">
      <c r="A516" s="103" t="s">
        <v>84</v>
      </c>
      <c r="B516" s="103" t="s">
        <v>85</v>
      </c>
      <c r="C516" s="103" t="s">
        <v>85</v>
      </c>
      <c r="D516" s="103" t="s">
        <v>1266</v>
      </c>
      <c r="E516" s="103" t="s">
        <v>1948</v>
      </c>
      <c r="F516" s="104" t="s">
        <v>1949</v>
      </c>
      <c r="G516" s="110" t="s">
        <v>1319</v>
      </c>
      <c r="H516" s="390" t="s">
        <v>1967</v>
      </c>
      <c r="I516" s="391" t="s">
        <v>1968</v>
      </c>
      <c r="J516" s="220" t="s">
        <v>1969</v>
      </c>
      <c r="K516" s="220" t="str">
        <f>_xlfn.XLOOKUP(J516,[1]Sheet1!$A:$A,[1]Sheet1!$B:$B,"")</f>
        <v>#ERROR!</v>
      </c>
      <c r="L516" s="103" t="s">
        <v>1970</v>
      </c>
      <c r="M516" s="103" t="s">
        <v>1971</v>
      </c>
      <c r="N516" s="110" t="s">
        <v>106</v>
      </c>
      <c r="O516" s="104" t="s">
        <v>95</v>
      </c>
      <c r="P516" s="110"/>
      <c r="Q516" s="104" t="s">
        <v>480</v>
      </c>
      <c r="R516" s="110" t="s">
        <v>1955</v>
      </c>
      <c r="S516" s="110">
        <v>4.0</v>
      </c>
      <c r="T516" s="110" t="e">
        <v>#N/A</v>
      </c>
      <c r="U516" s="110">
        <v>8.5447E9</v>
      </c>
      <c r="V516" s="112">
        <v>0.0</v>
      </c>
      <c r="W516" s="113">
        <v>30.0</v>
      </c>
      <c r="X516" s="110">
        <v>45.0</v>
      </c>
      <c r="Y516" s="110">
        <v>55.0</v>
      </c>
      <c r="Z516" s="110" t="s">
        <v>1938</v>
      </c>
      <c r="AA516" s="114">
        <f t="shared" si="782"/>
        <v>1810.689464</v>
      </c>
      <c r="AB516" s="115"/>
      <c r="AC516" s="116">
        <f t="shared" si="772"/>
        <v>1565.621822</v>
      </c>
      <c r="AD516" s="117">
        <f t="shared" si="783"/>
        <v>1648.022971</v>
      </c>
      <c r="AE516" s="116"/>
      <c r="AF516" s="116" t="str">
        <f t="shared" si="94"/>
        <v>#REF!</v>
      </c>
      <c r="AG516" s="210" t="str">
        <f t="shared" si="95"/>
        <v>#REF!</v>
      </c>
      <c r="AH516" s="120" t="str">
        <f t="shared" si="96"/>
        <v>#REF!</v>
      </c>
      <c r="AI516" s="121">
        <f t="shared" si="497"/>
        <v>0.1</v>
      </c>
      <c r="AJ516" s="121">
        <v>0.1</v>
      </c>
      <c r="AK516" s="122">
        <v>0.27</v>
      </c>
      <c r="AL516" s="123">
        <f t="shared" si="11"/>
        <v>422.717892</v>
      </c>
      <c r="AM516" s="122" t="s">
        <v>10</v>
      </c>
      <c r="AN516" s="125">
        <f t="shared" si="774"/>
        <v>1565.621822</v>
      </c>
      <c r="AO516" s="112">
        <f t="shared" si="775"/>
        <v>0.27</v>
      </c>
      <c r="AP516" s="127"/>
      <c r="AQ516" s="128">
        <f t="shared" si="771"/>
        <v>1428.4328</v>
      </c>
      <c r="AR516" s="125">
        <f t="shared" si="776"/>
        <v>1269.893256</v>
      </c>
      <c r="AS516" s="126">
        <f t="shared" si="733"/>
        <v>0.2111111111</v>
      </c>
      <c r="AT516" s="126">
        <f t="shared" si="777"/>
        <v>0.1888888889</v>
      </c>
      <c r="AU516" s="129">
        <v>900.07</v>
      </c>
      <c r="AV516" s="39" t="s">
        <v>1956</v>
      </c>
      <c r="AW516" s="130"/>
      <c r="AX516" s="130"/>
      <c r="AY516" s="130"/>
      <c r="AZ516" s="130"/>
      <c r="BA516" s="130">
        <v>8832.0</v>
      </c>
      <c r="BB516" s="130">
        <f t="shared" si="735"/>
        <v>8832</v>
      </c>
      <c r="BC516" s="131">
        <f t="shared" si="736"/>
        <v>1285.58952</v>
      </c>
      <c r="BD516" s="132">
        <f t="shared" si="778"/>
        <v>1142.90393</v>
      </c>
      <c r="BE516" s="39"/>
      <c r="BF516" s="134">
        <v>8.5447E9</v>
      </c>
      <c r="BG516" s="49"/>
      <c r="BH516" s="116">
        <f t="shared" si="714"/>
        <v>5218.739407</v>
      </c>
      <c r="BI516" s="116">
        <f t="shared" si="715"/>
        <v>3131.243644</v>
      </c>
      <c r="BJ516" s="116">
        <f t="shared" si="716"/>
        <v>2609.369703</v>
      </c>
      <c r="BK516" s="116">
        <f t="shared" si="717"/>
        <v>2087.495763</v>
      </c>
      <c r="BL516" s="49"/>
      <c r="BM516" s="49"/>
      <c r="BN516" s="49"/>
      <c r="BO516" s="49"/>
      <c r="BP516" s="49"/>
      <c r="BQ516" s="49"/>
      <c r="BR516" s="49"/>
      <c r="BS516" s="49"/>
      <c r="BT516" s="49"/>
      <c r="BU516" s="49"/>
      <c r="BV516" s="49"/>
      <c r="BW516" s="49"/>
      <c r="BX516" s="49"/>
      <c r="BY516" s="49"/>
      <c r="BZ516" s="49"/>
      <c r="CA516" s="49"/>
      <c r="CB516" s="49"/>
      <c r="CC516" s="49"/>
      <c r="CD516" s="49"/>
      <c r="CE516" s="49"/>
      <c r="CF516" s="49"/>
    </row>
    <row r="517" ht="14.25" customHeight="1">
      <c r="A517" s="103" t="s">
        <v>84</v>
      </c>
      <c r="B517" s="103" t="s">
        <v>85</v>
      </c>
      <c r="C517" s="103" t="s">
        <v>85</v>
      </c>
      <c r="D517" s="103" t="s">
        <v>1266</v>
      </c>
      <c r="E517" s="103" t="s">
        <v>1948</v>
      </c>
      <c r="F517" s="104" t="s">
        <v>1972</v>
      </c>
      <c r="G517" s="110" t="s">
        <v>1319</v>
      </c>
      <c r="H517" s="390" t="s">
        <v>1950</v>
      </c>
      <c r="I517" s="391" t="s">
        <v>1973</v>
      </c>
      <c r="J517" s="220" t="s">
        <v>1974</v>
      </c>
      <c r="K517" s="220" t="str">
        <f>_xlfn.XLOOKUP(J517,[1]Sheet1!$A:$A,[1]Sheet1!$B:$B,"")</f>
        <v>#ERROR!</v>
      </c>
      <c r="L517" s="103" t="s">
        <v>1975</v>
      </c>
      <c r="M517" s="103" t="s">
        <v>1976</v>
      </c>
      <c r="N517" s="110" t="s">
        <v>162</v>
      </c>
      <c r="O517" s="104" t="s">
        <v>95</v>
      </c>
      <c r="P517" s="110"/>
      <c r="Q517" s="104" t="s">
        <v>480</v>
      </c>
      <c r="R517" s="110" t="s">
        <v>1955</v>
      </c>
      <c r="S517" s="110">
        <v>4.0</v>
      </c>
      <c r="T517" s="110" t="e">
        <v>#N/A</v>
      </c>
      <c r="U517" s="110">
        <v>8.5447E9</v>
      </c>
      <c r="V517" s="112">
        <v>0.0</v>
      </c>
      <c r="W517" s="113">
        <v>30.0</v>
      </c>
      <c r="X517" s="110">
        <v>45.0</v>
      </c>
      <c r="Y517" s="110">
        <v>55.0</v>
      </c>
      <c r="Z517" s="110" t="s">
        <v>1938</v>
      </c>
      <c r="AA517" s="114">
        <f t="shared" si="782"/>
        <v>680.280846</v>
      </c>
      <c r="AB517" s="115"/>
      <c r="AC517" s="116">
        <f t="shared" si="772"/>
        <v>610.3614599</v>
      </c>
      <c r="AD517" s="117">
        <f t="shared" si="783"/>
        <v>642.4857473</v>
      </c>
      <c r="AE517" s="116"/>
      <c r="AF517" s="116" t="str">
        <f t="shared" si="94"/>
        <v>#REF!</v>
      </c>
      <c r="AG517" s="210" t="str">
        <f t="shared" si="95"/>
        <v>#REF!</v>
      </c>
      <c r="AH517" s="120" t="str">
        <f t="shared" si="96"/>
        <v>#REF!</v>
      </c>
      <c r="AI517" s="121">
        <f t="shared" si="497"/>
        <v>0.1</v>
      </c>
      <c r="AJ517" s="121">
        <v>0.1</v>
      </c>
      <c r="AK517" s="122">
        <v>0.3</v>
      </c>
      <c r="AL517" s="123">
        <f t="shared" si="11"/>
        <v>183.108438</v>
      </c>
      <c r="AM517" s="122" t="s">
        <v>10</v>
      </c>
      <c r="AN517" s="125">
        <f t="shared" si="774"/>
        <v>610.3614599</v>
      </c>
      <c r="AO517" s="112">
        <f t="shared" si="775"/>
        <v>0.3</v>
      </c>
      <c r="AP517" s="127"/>
      <c r="AQ517" s="128">
        <f t="shared" si="771"/>
        <v>513.9899725</v>
      </c>
      <c r="AR517" s="125">
        <f t="shared" si="776"/>
        <v>474.72558</v>
      </c>
      <c r="AS517" s="126">
        <f t="shared" si="733"/>
        <v>0.2444444444</v>
      </c>
      <c r="AT517" s="126">
        <f t="shared" si="777"/>
        <v>0.2222222222</v>
      </c>
      <c r="AU517" s="129"/>
      <c r="AV517" s="39" t="s">
        <v>1956</v>
      </c>
      <c r="AW517" s="130"/>
      <c r="AX517" s="130"/>
      <c r="AY517" s="130"/>
      <c r="AZ517" s="130"/>
      <c r="BA517" s="130">
        <v>3178.0</v>
      </c>
      <c r="BB517" s="130">
        <f t="shared" si="735"/>
        <v>3178</v>
      </c>
      <c r="BC517" s="131">
        <f t="shared" si="736"/>
        <v>462.5909753</v>
      </c>
      <c r="BD517" s="132">
        <f t="shared" si="778"/>
        <v>427.253022</v>
      </c>
      <c r="BE517" s="39"/>
      <c r="BF517" s="134">
        <v>8.5447E9</v>
      </c>
      <c r="BG517" s="49"/>
      <c r="BH517" s="116">
        <f t="shared" si="714"/>
        <v>2034.5382</v>
      </c>
      <c r="BI517" s="116">
        <f t="shared" si="715"/>
        <v>1220.72292</v>
      </c>
      <c r="BJ517" s="116">
        <f t="shared" si="716"/>
        <v>1017.2691</v>
      </c>
      <c r="BK517" s="116">
        <f t="shared" si="717"/>
        <v>813.8152799</v>
      </c>
      <c r="BL517" s="49"/>
      <c r="BM517" s="49"/>
      <c r="BN517" s="49"/>
      <c r="BO517" s="49"/>
      <c r="BP517" s="49"/>
      <c r="BQ517" s="49"/>
      <c r="BR517" s="49"/>
      <c r="BS517" s="49"/>
      <c r="BT517" s="49"/>
      <c r="BU517" s="49"/>
      <c r="BV517" s="49"/>
      <c r="BW517" s="49"/>
      <c r="BX517" s="49"/>
      <c r="BY517" s="49"/>
      <c r="BZ517" s="49"/>
      <c r="CA517" s="49"/>
      <c r="CB517" s="49"/>
      <c r="CC517" s="49"/>
      <c r="CD517" s="49"/>
      <c r="CE517" s="49"/>
      <c r="CF517" s="49"/>
    </row>
    <row r="518" ht="14.25" customHeight="1">
      <c r="A518" s="103" t="s">
        <v>84</v>
      </c>
      <c r="B518" s="103" t="s">
        <v>85</v>
      </c>
      <c r="C518" s="103" t="s">
        <v>85</v>
      </c>
      <c r="D518" s="103" t="s">
        <v>1266</v>
      </c>
      <c r="E518" s="103" t="s">
        <v>1948</v>
      </c>
      <c r="F518" s="104" t="s">
        <v>1972</v>
      </c>
      <c r="G518" s="110" t="s">
        <v>1319</v>
      </c>
      <c r="H518" s="390" t="s">
        <v>1957</v>
      </c>
      <c r="I518" s="391" t="s">
        <v>1977</v>
      </c>
      <c r="J518" s="220" t="s">
        <v>1978</v>
      </c>
      <c r="K518" s="220" t="str">
        <f>_xlfn.XLOOKUP(J518,[1]Sheet1!$A:$A,[1]Sheet1!$B:$B,"")</f>
        <v>#ERROR!</v>
      </c>
      <c r="L518" s="103" t="s">
        <v>1979</v>
      </c>
      <c r="M518" s="103" t="s">
        <v>1980</v>
      </c>
      <c r="N518" s="110" t="s">
        <v>162</v>
      </c>
      <c r="O518" s="104" t="s">
        <v>95</v>
      </c>
      <c r="P518" s="110"/>
      <c r="Q518" s="104" t="s">
        <v>480</v>
      </c>
      <c r="R518" s="110" t="s">
        <v>1955</v>
      </c>
      <c r="S518" s="110">
        <v>4.0</v>
      </c>
      <c r="T518" s="110" t="e">
        <v>#N/A</v>
      </c>
      <c r="U518" s="110">
        <v>8.5447E9</v>
      </c>
      <c r="V518" s="112">
        <v>0.0</v>
      </c>
      <c r="W518" s="113">
        <v>30.0</v>
      </c>
      <c r="X518" s="110">
        <v>45.0</v>
      </c>
      <c r="Y518" s="110">
        <v>55.0</v>
      </c>
      <c r="Z518" s="110" t="s">
        <v>1938</v>
      </c>
      <c r="AA518" s="114">
        <f t="shared" si="782"/>
        <v>823.7006593</v>
      </c>
      <c r="AB518" s="115"/>
      <c r="AC518" s="116">
        <f t="shared" si="772"/>
        <v>731.5111159</v>
      </c>
      <c r="AD518" s="117">
        <f t="shared" si="783"/>
        <v>770.011701</v>
      </c>
      <c r="AE518" s="116"/>
      <c r="AF518" s="116" t="str">
        <f t="shared" si="94"/>
        <v>#REF!</v>
      </c>
      <c r="AG518" s="210" t="str">
        <f t="shared" si="95"/>
        <v>#REF!</v>
      </c>
      <c r="AH518" s="120" t="str">
        <f t="shared" si="96"/>
        <v>#REF!</v>
      </c>
      <c r="AI518" s="121">
        <f t="shared" si="497"/>
        <v>0.1</v>
      </c>
      <c r="AJ518" s="121">
        <v>0.1</v>
      </c>
      <c r="AK518" s="122">
        <v>0.3</v>
      </c>
      <c r="AL518" s="123">
        <f t="shared" si="11"/>
        <v>219.4533348</v>
      </c>
      <c r="AM518" s="122" t="s">
        <v>10</v>
      </c>
      <c r="AN518" s="125">
        <f t="shared" si="774"/>
        <v>731.5111159</v>
      </c>
      <c r="AO518" s="112">
        <f t="shared" si="775"/>
        <v>0.3</v>
      </c>
      <c r="AP518" s="127"/>
      <c r="AQ518" s="128">
        <f t="shared" si="771"/>
        <v>622.3516093</v>
      </c>
      <c r="AR518" s="125">
        <f t="shared" si="776"/>
        <v>568.9530902</v>
      </c>
      <c r="AS518" s="126">
        <f t="shared" si="733"/>
        <v>0.2444444444</v>
      </c>
      <c r="AT518" s="126">
        <f t="shared" si="777"/>
        <v>0.2222222222</v>
      </c>
      <c r="AU518" s="129"/>
      <c r="AV518" s="39" t="s">
        <v>1956</v>
      </c>
      <c r="AW518" s="130"/>
      <c r="AX518" s="130"/>
      <c r="AY518" s="130"/>
      <c r="AZ518" s="130"/>
      <c r="BA518" s="130">
        <v>3848.0</v>
      </c>
      <c r="BB518" s="130">
        <f t="shared" si="735"/>
        <v>3848</v>
      </c>
      <c r="BC518" s="131">
        <f t="shared" si="736"/>
        <v>560.1164483</v>
      </c>
      <c r="BD518" s="132">
        <f t="shared" si="778"/>
        <v>512.0577812</v>
      </c>
      <c r="BE518" s="39"/>
      <c r="BF518" s="134">
        <v>8.5447E9</v>
      </c>
      <c r="BG518" s="49"/>
      <c r="BH518" s="116">
        <f t="shared" si="714"/>
        <v>2438.370386</v>
      </c>
      <c r="BI518" s="116">
        <f t="shared" si="715"/>
        <v>1463.022232</v>
      </c>
      <c r="BJ518" s="116">
        <f t="shared" si="716"/>
        <v>1219.185193</v>
      </c>
      <c r="BK518" s="116">
        <f t="shared" si="717"/>
        <v>975.3481546</v>
      </c>
      <c r="BL518" s="49"/>
      <c r="BM518" s="49"/>
      <c r="BN518" s="49"/>
      <c r="BO518" s="49"/>
      <c r="BP518" s="49"/>
      <c r="BQ518" s="49"/>
      <c r="BR518" s="49"/>
      <c r="BS518" s="49"/>
      <c r="BT518" s="49"/>
      <c r="BU518" s="49"/>
      <c r="BV518" s="49"/>
      <c r="BW518" s="49"/>
      <c r="BX518" s="49"/>
      <c r="BY518" s="49"/>
      <c r="BZ518" s="49"/>
      <c r="CA518" s="49"/>
      <c r="CB518" s="49"/>
      <c r="CC518" s="49"/>
      <c r="CD518" s="49"/>
      <c r="CE518" s="49"/>
      <c r="CF518" s="49"/>
    </row>
    <row r="519" ht="14.25" customHeight="1">
      <c r="A519" s="103" t="s">
        <v>84</v>
      </c>
      <c r="B519" s="103" t="s">
        <v>85</v>
      </c>
      <c r="C519" s="103" t="s">
        <v>85</v>
      </c>
      <c r="D519" s="103" t="s">
        <v>1266</v>
      </c>
      <c r="E519" s="103" t="s">
        <v>1948</v>
      </c>
      <c r="F519" s="104" t="s">
        <v>1972</v>
      </c>
      <c r="G519" s="110" t="s">
        <v>1319</v>
      </c>
      <c r="H519" s="390" t="s">
        <v>1962</v>
      </c>
      <c r="I519" s="391" t="s">
        <v>1981</v>
      </c>
      <c r="J519" s="220" t="s">
        <v>1982</v>
      </c>
      <c r="K519" s="220" t="str">
        <f>_xlfn.XLOOKUP(J519,[1]Sheet1!$A:$A,[1]Sheet1!$B:$B,"")</f>
        <v>#ERROR!</v>
      </c>
      <c r="L519" s="103" t="s">
        <v>1983</v>
      </c>
      <c r="M519" s="103" t="s">
        <v>1984</v>
      </c>
      <c r="N519" s="110" t="s">
        <v>162</v>
      </c>
      <c r="O519" s="104" t="s">
        <v>95</v>
      </c>
      <c r="P519" s="110"/>
      <c r="Q519" s="104" t="s">
        <v>480</v>
      </c>
      <c r="R519" s="110" t="s">
        <v>1955</v>
      </c>
      <c r="S519" s="110">
        <v>4.0</v>
      </c>
      <c r="T519" s="110" t="e">
        <v>#N/A</v>
      </c>
      <c r="U519" s="110">
        <v>8.5447E9</v>
      </c>
      <c r="V519" s="112">
        <v>0.0</v>
      </c>
      <c r="W519" s="113">
        <v>30.0</v>
      </c>
      <c r="X519" s="110">
        <v>45.0</v>
      </c>
      <c r="Y519" s="110">
        <v>55.0</v>
      </c>
      <c r="Z519" s="110" t="s">
        <v>1938</v>
      </c>
      <c r="AA519" s="114">
        <f t="shared" si="782"/>
        <v>1088.278106</v>
      </c>
      <c r="AB519" s="115"/>
      <c r="AC519" s="116">
        <f t="shared" si="772"/>
        <v>955.0051082</v>
      </c>
      <c r="AD519" s="117">
        <f t="shared" si="783"/>
        <v>1005.268535</v>
      </c>
      <c r="AE519" s="116"/>
      <c r="AF519" s="116" t="str">
        <f t="shared" si="94"/>
        <v>#REF!</v>
      </c>
      <c r="AG519" s="210" t="str">
        <f t="shared" si="95"/>
        <v>#REF!</v>
      </c>
      <c r="AH519" s="120" t="str">
        <f t="shared" si="96"/>
        <v>#REF!</v>
      </c>
      <c r="AI519" s="121">
        <f t="shared" si="497"/>
        <v>0.1</v>
      </c>
      <c r="AJ519" s="121">
        <v>0.1</v>
      </c>
      <c r="AK519" s="122">
        <v>0.3</v>
      </c>
      <c r="AL519" s="123">
        <f t="shared" si="11"/>
        <v>286.5015325</v>
      </c>
      <c r="AM519" s="122" t="s">
        <v>10</v>
      </c>
      <c r="AN519" s="125">
        <f t="shared" si="774"/>
        <v>955.0051082</v>
      </c>
      <c r="AO519" s="112">
        <f t="shared" si="775"/>
        <v>0.3</v>
      </c>
      <c r="AP519" s="127"/>
      <c r="AQ519" s="128">
        <f t="shared" si="771"/>
        <v>822.254569</v>
      </c>
      <c r="AR519" s="125">
        <f t="shared" si="776"/>
        <v>742.7817508</v>
      </c>
      <c r="AS519" s="126">
        <f t="shared" si="733"/>
        <v>0.2444444444</v>
      </c>
      <c r="AT519" s="126">
        <f t="shared" si="777"/>
        <v>0.2222222222</v>
      </c>
      <c r="AU519" s="129"/>
      <c r="AV519" s="39" t="s">
        <v>1956</v>
      </c>
      <c r="AW519" s="130"/>
      <c r="AX519" s="130"/>
      <c r="AY519" s="130"/>
      <c r="AZ519" s="130"/>
      <c r="BA519" s="130">
        <v>5084.0</v>
      </c>
      <c r="BB519" s="130">
        <f t="shared" si="735"/>
        <v>5084</v>
      </c>
      <c r="BC519" s="131">
        <f t="shared" si="736"/>
        <v>740.0291121</v>
      </c>
      <c r="BD519" s="132">
        <f t="shared" si="778"/>
        <v>668.5035757</v>
      </c>
      <c r="BE519" s="39"/>
      <c r="BF519" s="134">
        <v>8.5447E9</v>
      </c>
      <c r="BG519" s="49"/>
      <c r="BH519" s="116">
        <f t="shared" si="714"/>
        <v>3183.350361</v>
      </c>
      <c r="BI519" s="116">
        <f t="shared" si="715"/>
        <v>1910.010216</v>
      </c>
      <c r="BJ519" s="116">
        <f t="shared" si="716"/>
        <v>1591.67518</v>
      </c>
      <c r="BK519" s="116">
        <f t="shared" si="717"/>
        <v>1273.340144</v>
      </c>
      <c r="BL519" s="49"/>
      <c r="BM519" s="49"/>
      <c r="BN519" s="49"/>
      <c r="BO519" s="49"/>
      <c r="BP519" s="49"/>
      <c r="BQ519" s="49"/>
      <c r="BR519" s="49"/>
      <c r="BS519" s="49"/>
      <c r="BT519" s="49"/>
      <c r="BU519" s="49"/>
      <c r="BV519" s="49"/>
      <c r="BW519" s="49"/>
      <c r="BX519" s="49"/>
      <c r="BY519" s="49"/>
      <c r="BZ519" s="49"/>
      <c r="CA519" s="49"/>
      <c r="CB519" s="49"/>
      <c r="CC519" s="49"/>
      <c r="CD519" s="49"/>
      <c r="CE519" s="49"/>
      <c r="CF519" s="49"/>
    </row>
    <row r="520" ht="14.25" customHeight="1">
      <c r="A520" s="103" t="s">
        <v>84</v>
      </c>
      <c r="B520" s="103" t="s">
        <v>85</v>
      </c>
      <c r="C520" s="103" t="s">
        <v>85</v>
      </c>
      <c r="D520" s="103" t="s">
        <v>1266</v>
      </c>
      <c r="E520" s="103" t="s">
        <v>1948</v>
      </c>
      <c r="F520" s="104" t="s">
        <v>1972</v>
      </c>
      <c r="G520" s="110" t="s">
        <v>1319</v>
      </c>
      <c r="H520" s="390" t="s">
        <v>1967</v>
      </c>
      <c r="I520" s="391" t="s">
        <v>1985</v>
      </c>
      <c r="J520" s="220" t="s">
        <v>1986</v>
      </c>
      <c r="K520" s="220" t="str">
        <f>_xlfn.XLOOKUP(J520,[1]Sheet1!$A:$A,[1]Sheet1!$B:$B,"")</f>
        <v>#ERROR!</v>
      </c>
      <c r="L520" s="103" t="s">
        <v>1987</v>
      </c>
      <c r="M520" s="103" t="s">
        <v>1988</v>
      </c>
      <c r="N520" s="110" t="s">
        <v>162</v>
      </c>
      <c r="O520" s="104" t="s">
        <v>95</v>
      </c>
      <c r="P520" s="110"/>
      <c r="Q520" s="104" t="s">
        <v>1989</v>
      </c>
      <c r="R520" s="110" t="s">
        <v>1990</v>
      </c>
      <c r="S520" s="110">
        <v>4.0</v>
      </c>
      <c r="T520" s="110" t="e">
        <v>#N/A</v>
      </c>
      <c r="U520" s="110">
        <v>8.5447E9</v>
      </c>
      <c r="V520" s="112">
        <v>0.0</v>
      </c>
      <c r="W520" s="113">
        <v>30.0</v>
      </c>
      <c r="X520" s="110">
        <v>45.0</v>
      </c>
      <c r="Y520" s="110">
        <v>55.0</v>
      </c>
      <c r="Z520" s="110" t="s">
        <v>1938</v>
      </c>
      <c r="AA520" s="114">
        <f t="shared" si="782"/>
        <v>2067.814025</v>
      </c>
      <c r="AB520" s="115"/>
      <c r="AC520" s="116">
        <f t="shared" si="772"/>
        <v>1782.439177</v>
      </c>
      <c r="AD520" s="117">
        <f t="shared" si="783"/>
        <v>1876.251765</v>
      </c>
      <c r="AE520" s="116"/>
      <c r="AF520" s="116" t="str">
        <f t="shared" si="94"/>
        <v>#REF!</v>
      </c>
      <c r="AG520" s="210" t="str">
        <f t="shared" si="95"/>
        <v>#REF!</v>
      </c>
      <c r="AH520" s="120" t="str">
        <f t="shared" si="96"/>
        <v>#REF!</v>
      </c>
      <c r="AI520" s="121">
        <f t="shared" si="497"/>
        <v>0.1</v>
      </c>
      <c r="AJ520" s="121">
        <v>0.1</v>
      </c>
      <c r="AK520" s="122">
        <v>0.3</v>
      </c>
      <c r="AL520" s="123">
        <f t="shared" si="11"/>
        <v>534.731753</v>
      </c>
      <c r="AM520" s="122" t="s">
        <v>10</v>
      </c>
      <c r="AN520" s="125">
        <f t="shared" si="774"/>
        <v>1782.439177</v>
      </c>
      <c r="AO520" s="112">
        <f t="shared" si="775"/>
        <v>0.3</v>
      </c>
      <c r="AP520" s="127"/>
      <c r="AQ520" s="128">
        <f t="shared" si="771"/>
        <v>1562.348375</v>
      </c>
      <c r="AR520" s="125">
        <f t="shared" si="776"/>
        <v>1386.341582</v>
      </c>
      <c r="AS520" s="126">
        <f t="shared" si="733"/>
        <v>0.2444444444</v>
      </c>
      <c r="AT520" s="126">
        <f t="shared" si="777"/>
        <v>0.2222222222</v>
      </c>
      <c r="AU520" s="129"/>
      <c r="AV520" s="39" t="s">
        <v>1956</v>
      </c>
      <c r="AW520" s="130"/>
      <c r="AX520" s="130"/>
      <c r="AY520" s="130"/>
      <c r="AZ520" s="130"/>
      <c r="BA520" s="130">
        <v>9660.0</v>
      </c>
      <c r="BB520" s="130">
        <f t="shared" si="735"/>
        <v>9660</v>
      </c>
      <c r="BC520" s="131">
        <f t="shared" si="736"/>
        <v>1406.113537</v>
      </c>
      <c r="BD520" s="132">
        <f t="shared" si="778"/>
        <v>1247.707424</v>
      </c>
      <c r="BE520" s="39"/>
      <c r="BF520" s="134">
        <v>8.5447E9</v>
      </c>
      <c r="BG520" s="49"/>
      <c r="BH520" s="116">
        <f t="shared" si="714"/>
        <v>5941.463922</v>
      </c>
      <c r="BI520" s="116">
        <f t="shared" si="715"/>
        <v>3564.878353</v>
      </c>
      <c r="BJ520" s="116">
        <f t="shared" si="716"/>
        <v>2970.731961</v>
      </c>
      <c r="BK520" s="116">
        <f t="shared" si="717"/>
        <v>2376.585569</v>
      </c>
      <c r="BL520" s="49"/>
      <c r="BM520" s="49"/>
      <c r="BN520" s="49"/>
      <c r="BO520" s="49"/>
      <c r="BP520" s="49"/>
      <c r="BQ520" s="49"/>
      <c r="BR520" s="49"/>
      <c r="BS520" s="49"/>
      <c r="BT520" s="49"/>
      <c r="BU520" s="49"/>
      <c r="BV520" s="49"/>
      <c r="BW520" s="49"/>
      <c r="BX520" s="49"/>
      <c r="BY520" s="49"/>
      <c r="BZ520" s="49"/>
      <c r="CA520" s="49"/>
      <c r="CB520" s="49"/>
      <c r="CC520" s="49"/>
      <c r="CD520" s="49"/>
      <c r="CE520" s="49"/>
      <c r="CF520" s="49"/>
    </row>
    <row r="521" ht="14.25" customHeight="1">
      <c r="A521" s="103" t="s">
        <v>84</v>
      </c>
      <c r="B521" s="103" t="s">
        <v>85</v>
      </c>
      <c r="C521" s="103" t="s">
        <v>85</v>
      </c>
      <c r="D521" s="103" t="s">
        <v>1266</v>
      </c>
      <c r="E521" s="103" t="s">
        <v>1948</v>
      </c>
      <c r="F521" s="104" t="s">
        <v>1991</v>
      </c>
      <c r="G521" s="110" t="s">
        <v>1319</v>
      </c>
      <c r="H521" s="390" t="s">
        <v>1950</v>
      </c>
      <c r="I521" s="391" t="s">
        <v>1992</v>
      </c>
      <c r="J521" s="220" t="s">
        <v>1993</v>
      </c>
      <c r="K521" s="220" t="str">
        <f>_xlfn.XLOOKUP(J521,[1]Sheet1!$A:$A,[1]Sheet1!$B:$B,"")</f>
        <v>#ERROR!</v>
      </c>
      <c r="L521" s="103" t="s">
        <v>1994</v>
      </c>
      <c r="M521" s="103" t="s">
        <v>1995</v>
      </c>
      <c r="N521" s="110" t="s">
        <v>206</v>
      </c>
      <c r="O521" s="104" t="s">
        <v>95</v>
      </c>
      <c r="P521" s="110"/>
      <c r="Q521" s="104" t="s">
        <v>480</v>
      </c>
      <c r="R521" s="110" t="s">
        <v>1955</v>
      </c>
      <c r="S521" s="110">
        <v>4.0</v>
      </c>
      <c r="T521" s="110" t="e">
        <v>#N/A</v>
      </c>
      <c r="U521" s="110">
        <v>8.5447E9</v>
      </c>
      <c r="V521" s="112">
        <v>0.0</v>
      </c>
      <c r="W521" s="113">
        <v>30.0</v>
      </c>
      <c r="X521" s="110">
        <v>45.0</v>
      </c>
      <c r="Y521" s="110">
        <v>55.0</v>
      </c>
      <c r="Z521" s="110" t="s">
        <v>1938</v>
      </c>
      <c r="AA521" s="114">
        <f t="shared" si="782"/>
        <v>541.6926596</v>
      </c>
      <c r="AB521" s="115"/>
      <c r="AC521" s="116">
        <f t="shared" si="772"/>
        <v>492.6749538</v>
      </c>
      <c r="AD521" s="117">
        <f t="shared" si="783"/>
        <v>518.6052145</v>
      </c>
      <c r="AE521" s="116"/>
      <c r="AF521" s="116" t="str">
        <f t="shared" si="94"/>
        <v>#REF!</v>
      </c>
      <c r="AG521" s="210" t="str">
        <f t="shared" si="95"/>
        <v>#REF!</v>
      </c>
      <c r="AH521" s="120" t="str">
        <f t="shared" si="96"/>
        <v>#REF!</v>
      </c>
      <c r="AI521" s="121">
        <f t="shared" si="497"/>
        <v>0.1</v>
      </c>
      <c r="AJ521" s="121">
        <v>0.1</v>
      </c>
      <c r="AK521" s="122">
        <v>0.28</v>
      </c>
      <c r="AL521" s="123">
        <f t="shared" si="11"/>
        <v>137.9489871</v>
      </c>
      <c r="AM521" s="122" t="s">
        <v>10</v>
      </c>
      <c r="AN521" s="125">
        <f t="shared" si="774"/>
        <v>492.6749538</v>
      </c>
      <c r="AO521" s="112">
        <f t="shared" si="775"/>
        <v>0.28</v>
      </c>
      <c r="AP521" s="127"/>
      <c r="AQ521" s="128">
        <f t="shared" si="771"/>
        <v>421.316513</v>
      </c>
      <c r="AR521" s="125">
        <f t="shared" si="776"/>
        <v>394.139963</v>
      </c>
      <c r="AS521" s="126">
        <f t="shared" si="733"/>
        <v>0.2222222222</v>
      </c>
      <c r="AT521" s="126">
        <f t="shared" si="777"/>
        <v>0.2</v>
      </c>
      <c r="AU521" s="129">
        <v>313.1</v>
      </c>
      <c r="AV521" s="39" t="s">
        <v>1956</v>
      </c>
      <c r="AW521" s="130"/>
      <c r="AX521" s="130"/>
      <c r="AY521" s="130"/>
      <c r="AZ521" s="130"/>
      <c r="BA521" s="130">
        <v>2605.0</v>
      </c>
      <c r="BB521" s="130">
        <f t="shared" si="735"/>
        <v>2605</v>
      </c>
      <c r="BC521" s="131">
        <f t="shared" si="736"/>
        <v>379.1848617</v>
      </c>
      <c r="BD521" s="132">
        <f t="shared" si="778"/>
        <v>354.7259667</v>
      </c>
      <c r="BE521" s="39"/>
      <c r="BF521" s="134">
        <v>8.5447E9</v>
      </c>
      <c r="BG521" s="49"/>
      <c r="BH521" s="116">
        <f t="shared" si="714"/>
        <v>1642.249846</v>
      </c>
      <c r="BI521" s="116">
        <f t="shared" si="715"/>
        <v>985.3499075</v>
      </c>
      <c r="BJ521" s="116">
        <f t="shared" si="716"/>
        <v>821.1249229</v>
      </c>
      <c r="BK521" s="116">
        <f t="shared" si="717"/>
        <v>656.8999384</v>
      </c>
      <c r="BL521" s="49"/>
      <c r="BM521" s="49"/>
      <c r="BN521" s="49"/>
      <c r="BO521" s="49"/>
      <c r="BP521" s="49"/>
      <c r="BQ521" s="49"/>
      <c r="BR521" s="49"/>
      <c r="BS521" s="49"/>
      <c r="BT521" s="49"/>
      <c r="BU521" s="49"/>
      <c r="BV521" s="49"/>
      <c r="BW521" s="49"/>
      <c r="BX521" s="49"/>
      <c r="BY521" s="49"/>
      <c r="BZ521" s="49"/>
      <c r="CA521" s="49"/>
      <c r="CB521" s="49"/>
      <c r="CC521" s="49"/>
      <c r="CD521" s="49"/>
      <c r="CE521" s="49"/>
      <c r="CF521" s="49"/>
    </row>
    <row r="522" ht="14.25" customHeight="1">
      <c r="A522" s="103" t="s">
        <v>84</v>
      </c>
      <c r="B522" s="103" t="s">
        <v>85</v>
      </c>
      <c r="C522" s="103" t="s">
        <v>85</v>
      </c>
      <c r="D522" s="103" t="s">
        <v>1266</v>
      </c>
      <c r="E522" s="103" t="s">
        <v>1948</v>
      </c>
      <c r="F522" s="104" t="s">
        <v>1991</v>
      </c>
      <c r="G522" s="110" t="s">
        <v>1319</v>
      </c>
      <c r="H522" s="390" t="s">
        <v>1957</v>
      </c>
      <c r="I522" s="391" t="s">
        <v>1996</v>
      </c>
      <c r="J522" s="220" t="s">
        <v>1997</v>
      </c>
      <c r="K522" s="220" t="str">
        <f>_xlfn.XLOOKUP(J522,[1]Sheet1!$A:$A,[1]Sheet1!$B:$B,"")</f>
        <v>#ERROR!</v>
      </c>
      <c r="L522" s="103" t="s">
        <v>1998</v>
      </c>
      <c r="M522" s="103" t="s">
        <v>1999</v>
      </c>
      <c r="N522" s="110" t="s">
        <v>206</v>
      </c>
      <c r="O522" s="104" t="s">
        <v>95</v>
      </c>
      <c r="P522" s="110"/>
      <c r="Q522" s="104" t="s">
        <v>480</v>
      </c>
      <c r="R522" s="110" t="s">
        <v>1955</v>
      </c>
      <c r="S522" s="110">
        <v>4.0</v>
      </c>
      <c r="T522" s="110" t="e">
        <v>#N/A</v>
      </c>
      <c r="U522" s="110">
        <v>8.5447E9</v>
      </c>
      <c r="V522" s="112">
        <v>0.0</v>
      </c>
      <c r="W522" s="113">
        <v>30.0</v>
      </c>
      <c r="X522" s="110">
        <v>45.0</v>
      </c>
      <c r="Y522" s="110">
        <v>55.0</v>
      </c>
      <c r="Z522" s="110" t="s">
        <v>1938</v>
      </c>
      <c r="AA522" s="114">
        <f t="shared" si="782"/>
        <v>660.8442504</v>
      </c>
      <c r="AB522" s="115"/>
      <c r="AC522" s="116">
        <f t="shared" si="772"/>
        <v>593.4069749</v>
      </c>
      <c r="AD522" s="117">
        <f t="shared" si="783"/>
        <v>624.638921</v>
      </c>
      <c r="AE522" s="116"/>
      <c r="AF522" s="116" t="str">
        <f t="shared" si="94"/>
        <v>#REF!</v>
      </c>
      <c r="AG522" s="210" t="str">
        <f t="shared" si="95"/>
        <v>#REF!</v>
      </c>
      <c r="AH522" s="120" t="str">
        <f t="shared" si="96"/>
        <v>#REF!</v>
      </c>
      <c r="AI522" s="121">
        <f t="shared" si="497"/>
        <v>0.1</v>
      </c>
      <c r="AJ522" s="121">
        <v>0.1</v>
      </c>
      <c r="AK522" s="122">
        <v>0.28</v>
      </c>
      <c r="AL522" s="123">
        <f t="shared" si="11"/>
        <v>166.153953</v>
      </c>
      <c r="AM522" s="122" t="s">
        <v>10</v>
      </c>
      <c r="AN522" s="125">
        <f t="shared" si="774"/>
        <v>593.4069749</v>
      </c>
      <c r="AO522" s="112">
        <f t="shared" si="775"/>
        <v>0.28</v>
      </c>
      <c r="AP522" s="127"/>
      <c r="AQ522" s="128">
        <f t="shared" si="771"/>
        <v>513.9899725</v>
      </c>
      <c r="AR522" s="125">
        <f t="shared" si="776"/>
        <v>474.72558</v>
      </c>
      <c r="AS522" s="126">
        <f t="shared" si="733"/>
        <v>0.2222222222</v>
      </c>
      <c r="AT522" s="126">
        <f t="shared" si="777"/>
        <v>0.2</v>
      </c>
      <c r="AU522" s="129"/>
      <c r="AV522" s="39" t="s">
        <v>1956</v>
      </c>
      <c r="AW522" s="130"/>
      <c r="AX522" s="130"/>
      <c r="AY522" s="130"/>
      <c r="AZ522" s="130"/>
      <c r="BA522" s="130">
        <v>3178.0</v>
      </c>
      <c r="BB522" s="130">
        <f t="shared" si="735"/>
        <v>3178</v>
      </c>
      <c r="BC522" s="131">
        <f t="shared" si="736"/>
        <v>462.5909753</v>
      </c>
      <c r="BD522" s="132">
        <f t="shared" si="778"/>
        <v>427.253022</v>
      </c>
      <c r="BE522" s="39"/>
      <c r="BF522" s="134">
        <v>8.5447E9</v>
      </c>
      <c r="BG522" s="49"/>
      <c r="BH522" s="116">
        <f t="shared" si="714"/>
        <v>1978.02325</v>
      </c>
      <c r="BI522" s="116">
        <f t="shared" si="715"/>
        <v>1186.81395</v>
      </c>
      <c r="BJ522" s="116">
        <f t="shared" si="716"/>
        <v>989.0116249</v>
      </c>
      <c r="BK522" s="116">
        <f t="shared" si="717"/>
        <v>791.2092999</v>
      </c>
      <c r="BL522" s="49"/>
      <c r="BM522" s="49"/>
      <c r="BN522" s="49"/>
      <c r="BO522" s="49"/>
      <c r="BP522" s="49"/>
      <c r="BQ522" s="49"/>
      <c r="BR522" s="49"/>
      <c r="BS522" s="49"/>
      <c r="BT522" s="49"/>
      <c r="BU522" s="49"/>
      <c r="BV522" s="49"/>
      <c r="BW522" s="49"/>
      <c r="BX522" s="49"/>
      <c r="BY522" s="49"/>
      <c r="BZ522" s="49"/>
      <c r="CA522" s="49"/>
      <c r="CB522" s="49"/>
      <c r="CC522" s="49"/>
      <c r="CD522" s="49"/>
      <c r="CE522" s="49"/>
      <c r="CF522" s="49"/>
    </row>
    <row r="523" ht="14.25" customHeight="1">
      <c r="A523" s="103" t="s">
        <v>84</v>
      </c>
      <c r="B523" s="103" t="s">
        <v>85</v>
      </c>
      <c r="C523" s="103" t="s">
        <v>85</v>
      </c>
      <c r="D523" s="103" t="s">
        <v>1266</v>
      </c>
      <c r="E523" s="103" t="s">
        <v>1948</v>
      </c>
      <c r="F523" s="104" t="s">
        <v>1991</v>
      </c>
      <c r="G523" s="110" t="s">
        <v>1319</v>
      </c>
      <c r="H523" s="390" t="s">
        <v>1962</v>
      </c>
      <c r="I523" s="391" t="s">
        <v>2000</v>
      </c>
      <c r="J523" s="220" t="s">
        <v>2001</v>
      </c>
      <c r="K523" s="220" t="str">
        <f>_xlfn.XLOOKUP(J523,[1]Sheet1!$A:$A,[1]Sheet1!$B:$B,"")</f>
        <v>#ERROR!</v>
      </c>
      <c r="L523" s="103" t="s">
        <v>2002</v>
      </c>
      <c r="M523" s="103" t="s">
        <v>2003</v>
      </c>
      <c r="N523" s="110" t="s">
        <v>206</v>
      </c>
      <c r="O523" s="104" t="s">
        <v>95</v>
      </c>
      <c r="P523" s="110"/>
      <c r="Q523" s="104" t="s">
        <v>480</v>
      </c>
      <c r="R523" s="110" t="s">
        <v>1955</v>
      </c>
      <c r="S523" s="110">
        <v>4.0</v>
      </c>
      <c r="T523" s="110" t="e">
        <v>#N/A</v>
      </c>
      <c r="U523" s="110">
        <v>8.5447E9</v>
      </c>
      <c r="V523" s="112">
        <v>0.0</v>
      </c>
      <c r="W523" s="113">
        <v>30.0</v>
      </c>
      <c r="X523" s="110">
        <v>45.0</v>
      </c>
      <c r="Y523" s="110">
        <v>55.0</v>
      </c>
      <c r="Z523" s="110" t="s">
        <v>1938</v>
      </c>
      <c r="AA523" s="114">
        <f t="shared" si="782"/>
        <v>868.9956332</v>
      </c>
      <c r="AB523" s="115"/>
      <c r="AC523" s="116">
        <f t="shared" si="772"/>
        <v>769.3803662</v>
      </c>
      <c r="AD523" s="117">
        <f t="shared" si="783"/>
        <v>809.8740697</v>
      </c>
      <c r="AE523" s="116"/>
      <c r="AF523" s="116" t="str">
        <f t="shared" si="94"/>
        <v>#REF!</v>
      </c>
      <c r="AG523" s="210" t="str">
        <f t="shared" si="95"/>
        <v>#REF!</v>
      </c>
      <c r="AH523" s="120" t="str">
        <f t="shared" si="96"/>
        <v>#REF!</v>
      </c>
      <c r="AI523" s="121">
        <f t="shared" si="497"/>
        <v>0.1</v>
      </c>
      <c r="AJ523" s="121">
        <v>0.1</v>
      </c>
      <c r="AK523" s="122">
        <v>0.28</v>
      </c>
      <c r="AL523" s="123">
        <f t="shared" si="11"/>
        <v>215.4265025</v>
      </c>
      <c r="AM523" s="122" t="s">
        <v>10</v>
      </c>
      <c r="AN523" s="125">
        <f t="shared" si="774"/>
        <v>769.3803662</v>
      </c>
      <c r="AO523" s="112">
        <f t="shared" si="775"/>
        <v>0.28</v>
      </c>
      <c r="AP523" s="127"/>
      <c r="AQ523" s="128">
        <f t="shared" si="771"/>
        <v>675.8854925</v>
      </c>
      <c r="AR523" s="125">
        <f t="shared" si="776"/>
        <v>615.504293</v>
      </c>
      <c r="AS523" s="126">
        <f t="shared" si="733"/>
        <v>0.2222222222</v>
      </c>
      <c r="AT523" s="126">
        <f t="shared" si="777"/>
        <v>0.2</v>
      </c>
      <c r="AU523" s="129">
        <v>494.6</v>
      </c>
      <c r="AV523" s="39" t="s">
        <v>1956</v>
      </c>
      <c r="AW523" s="130"/>
      <c r="AX523" s="130"/>
      <c r="AY523" s="130"/>
      <c r="AZ523" s="130"/>
      <c r="BA523" s="130">
        <v>4179.0</v>
      </c>
      <c r="BB523" s="130">
        <f t="shared" si="735"/>
        <v>4179</v>
      </c>
      <c r="BC523" s="131">
        <f t="shared" si="736"/>
        <v>608.2969432</v>
      </c>
      <c r="BD523" s="132">
        <f t="shared" si="778"/>
        <v>553.9538637</v>
      </c>
      <c r="BE523" s="39"/>
      <c r="BF523" s="134">
        <v>8.5447E9</v>
      </c>
      <c r="BG523" s="49"/>
      <c r="BH523" s="116">
        <f t="shared" si="714"/>
        <v>2564.601221</v>
      </c>
      <c r="BI523" s="116">
        <f t="shared" si="715"/>
        <v>1538.760732</v>
      </c>
      <c r="BJ523" s="116">
        <f t="shared" si="716"/>
        <v>1282.30061</v>
      </c>
      <c r="BK523" s="116">
        <f t="shared" si="717"/>
        <v>1025.840488</v>
      </c>
      <c r="BL523" s="49"/>
      <c r="BM523" s="49"/>
      <c r="BN523" s="49"/>
      <c r="BO523" s="49"/>
      <c r="BP523" s="49"/>
      <c r="BQ523" s="49"/>
      <c r="BR523" s="49"/>
      <c r="BS523" s="49"/>
      <c r="BT523" s="49"/>
      <c r="BU523" s="49"/>
      <c r="BV523" s="49"/>
      <c r="BW523" s="49"/>
      <c r="BX523" s="49"/>
      <c r="BY523" s="49"/>
      <c r="BZ523" s="49"/>
      <c r="CA523" s="49"/>
      <c r="CB523" s="49"/>
      <c r="CC523" s="49"/>
      <c r="CD523" s="49"/>
      <c r="CE523" s="49"/>
      <c r="CF523" s="49"/>
    </row>
    <row r="524" ht="14.25" customHeight="1">
      <c r="A524" s="103" t="s">
        <v>84</v>
      </c>
      <c r="B524" s="103" t="s">
        <v>85</v>
      </c>
      <c r="C524" s="103" t="s">
        <v>85</v>
      </c>
      <c r="D524" s="103" t="s">
        <v>1266</v>
      </c>
      <c r="E524" s="103" t="s">
        <v>1948</v>
      </c>
      <c r="F524" s="104" t="s">
        <v>1991</v>
      </c>
      <c r="G524" s="110" t="s">
        <v>1319</v>
      </c>
      <c r="H524" s="390" t="s">
        <v>1967</v>
      </c>
      <c r="I524" s="391" t="s">
        <v>2004</v>
      </c>
      <c r="J524" s="220" t="s">
        <v>2005</v>
      </c>
      <c r="K524" s="220" t="str">
        <f>_xlfn.XLOOKUP(J524,[1]Sheet1!$A:$A,[1]Sheet1!$B:$B,"")</f>
        <v>#ERROR!</v>
      </c>
      <c r="L524" s="103" t="s">
        <v>2006</v>
      </c>
      <c r="M524" s="103" t="s">
        <v>2007</v>
      </c>
      <c r="N524" s="110" t="s">
        <v>206</v>
      </c>
      <c r="O524" s="104" t="s">
        <v>95</v>
      </c>
      <c r="P524" s="110"/>
      <c r="Q524" s="104" t="s">
        <v>480</v>
      </c>
      <c r="R524" s="110" t="s">
        <v>1955</v>
      </c>
      <c r="S524" s="110">
        <v>4.0</v>
      </c>
      <c r="T524" s="110" t="e">
        <v>#N/A</v>
      </c>
      <c r="U524" s="110">
        <v>8.5447E9</v>
      </c>
      <c r="V524" s="112">
        <v>0.0</v>
      </c>
      <c r="W524" s="113">
        <v>30.0</v>
      </c>
      <c r="X524" s="110">
        <v>45.0</v>
      </c>
      <c r="Y524" s="110">
        <v>55.0</v>
      </c>
      <c r="Z524" s="110" t="s">
        <v>1938</v>
      </c>
      <c r="AA524" s="114">
        <f t="shared" si="782"/>
        <v>1563.526721</v>
      </c>
      <c r="AB524" s="115"/>
      <c r="AC524" s="116">
        <f t="shared" si="772"/>
        <v>1356.544329</v>
      </c>
      <c r="AD524" s="117">
        <f t="shared" si="783"/>
        <v>1427.941399</v>
      </c>
      <c r="AE524" s="116"/>
      <c r="AF524" s="116" t="str">
        <f t="shared" si="94"/>
        <v>#REF!</v>
      </c>
      <c r="AG524" s="210" t="str">
        <f t="shared" si="95"/>
        <v>#REF!</v>
      </c>
      <c r="AH524" s="120" t="str">
        <f t="shared" si="96"/>
        <v>#REF!</v>
      </c>
      <c r="AI524" s="121">
        <f t="shared" si="497"/>
        <v>0.1</v>
      </c>
      <c r="AJ524" s="121">
        <v>0.1</v>
      </c>
      <c r="AK524" s="122">
        <v>0.28</v>
      </c>
      <c r="AL524" s="123">
        <f t="shared" si="11"/>
        <v>379.8324122</v>
      </c>
      <c r="AM524" s="122" t="s">
        <v>10</v>
      </c>
      <c r="AN524" s="125">
        <f t="shared" si="774"/>
        <v>1356.544329</v>
      </c>
      <c r="AO524" s="112">
        <f t="shared" si="775"/>
        <v>0.28</v>
      </c>
      <c r="AP524" s="127"/>
      <c r="AQ524" s="128">
        <f t="shared" si="771"/>
        <v>1216.076338</v>
      </c>
      <c r="AR524" s="125">
        <f t="shared" si="776"/>
        <v>1085.235463</v>
      </c>
      <c r="AS524" s="126">
        <f t="shared" si="733"/>
        <v>0.2222222222</v>
      </c>
      <c r="AT524" s="126">
        <f t="shared" si="777"/>
        <v>0.2</v>
      </c>
      <c r="AU524" s="129"/>
      <c r="AV524" s="39" t="s">
        <v>1956</v>
      </c>
      <c r="AW524" s="130"/>
      <c r="AX524" s="130"/>
      <c r="AY524" s="130"/>
      <c r="AZ524" s="130"/>
      <c r="BA524" s="130">
        <v>7519.0</v>
      </c>
      <c r="BB524" s="130">
        <f t="shared" si="735"/>
        <v>7519</v>
      </c>
      <c r="BC524" s="131">
        <f t="shared" si="736"/>
        <v>1094.468705</v>
      </c>
      <c r="BD524" s="132">
        <f t="shared" si="778"/>
        <v>976.711917</v>
      </c>
      <c r="BE524" s="39"/>
      <c r="BF524" s="134">
        <v>8.5447E9</v>
      </c>
      <c r="BG524" s="49"/>
      <c r="BH524" s="116">
        <f t="shared" si="714"/>
        <v>4521.81443</v>
      </c>
      <c r="BI524" s="116">
        <f t="shared" si="715"/>
        <v>2713.088658</v>
      </c>
      <c r="BJ524" s="116">
        <f t="shared" si="716"/>
        <v>2260.907215</v>
      </c>
      <c r="BK524" s="116">
        <f t="shared" si="717"/>
        <v>1808.725772</v>
      </c>
      <c r="BL524" s="49"/>
      <c r="BM524" s="49"/>
      <c r="BN524" s="49"/>
      <c r="BO524" s="49"/>
      <c r="BP524" s="49"/>
      <c r="BQ524" s="49"/>
      <c r="BR524" s="49"/>
      <c r="BS524" s="49"/>
      <c r="BT524" s="49"/>
      <c r="BU524" s="49"/>
      <c r="BV524" s="49"/>
      <c r="BW524" s="49"/>
      <c r="BX524" s="49"/>
      <c r="BY524" s="49"/>
      <c r="BZ524" s="49"/>
      <c r="CA524" s="49"/>
      <c r="CB524" s="49"/>
      <c r="CC524" s="49"/>
      <c r="CD524" s="49"/>
      <c r="CE524" s="49"/>
      <c r="CF524" s="49"/>
    </row>
    <row r="525" ht="14.25" customHeight="1">
      <c r="A525" s="103" t="s">
        <v>84</v>
      </c>
      <c r="B525" s="103" t="s">
        <v>85</v>
      </c>
      <c r="C525" s="103" t="s">
        <v>85</v>
      </c>
      <c r="D525" s="103" t="s">
        <v>1266</v>
      </c>
      <c r="E525" s="103" t="s">
        <v>1948</v>
      </c>
      <c r="F525" s="104" t="s">
        <v>2008</v>
      </c>
      <c r="G525" s="110" t="s">
        <v>1319</v>
      </c>
      <c r="H525" s="390" t="s">
        <v>1950</v>
      </c>
      <c r="I525" s="391" t="s">
        <v>2009</v>
      </c>
      <c r="J525" s="220" t="s">
        <v>2010</v>
      </c>
      <c r="K525" s="220" t="str">
        <f>_xlfn.XLOOKUP(J525,[1]Sheet1!$A:$A,[1]Sheet1!$B:$B,"")</f>
        <v>#ERROR!</v>
      </c>
      <c r="L525" s="103" t="s">
        <v>2011</v>
      </c>
      <c r="M525" s="103" t="s">
        <v>2012</v>
      </c>
      <c r="N525" s="110" t="s">
        <v>206</v>
      </c>
      <c r="O525" s="104" t="s">
        <v>95</v>
      </c>
      <c r="P525" s="110"/>
      <c r="Q525" s="104" t="s">
        <v>480</v>
      </c>
      <c r="R525" s="110" t="s">
        <v>1955</v>
      </c>
      <c r="S525" s="110">
        <v>4.0</v>
      </c>
      <c r="T525" s="110" t="e">
        <v>#N/A</v>
      </c>
      <c r="U525" s="110">
        <v>8.5447E9</v>
      </c>
      <c r="V525" s="112">
        <v>0.0</v>
      </c>
      <c r="W525" s="113">
        <v>30.0</v>
      </c>
      <c r="X525" s="110">
        <v>45.0</v>
      </c>
      <c r="Y525" s="110">
        <v>55.0</v>
      </c>
      <c r="Z525" s="110" t="s">
        <v>1938</v>
      </c>
      <c r="AA525" s="114">
        <f t="shared" si="782"/>
        <v>666.4587232</v>
      </c>
      <c r="AB525" s="115"/>
      <c r="AC525" s="116">
        <f t="shared" si="772"/>
        <v>598.15351</v>
      </c>
      <c r="AD525" s="117">
        <f t="shared" si="783"/>
        <v>629.6352737</v>
      </c>
      <c r="AE525" s="116"/>
      <c r="AF525" s="116" t="str">
        <f t="shared" si="94"/>
        <v>#REF!</v>
      </c>
      <c r="AG525" s="210" t="str">
        <f t="shared" si="95"/>
        <v>#REF!</v>
      </c>
      <c r="AH525" s="120" t="str">
        <f t="shared" si="96"/>
        <v>#REF!</v>
      </c>
      <c r="AI525" s="121">
        <f t="shared" si="497"/>
        <v>0.1</v>
      </c>
      <c r="AJ525" s="121">
        <v>0.1</v>
      </c>
      <c r="AK525" s="122">
        <v>0.28</v>
      </c>
      <c r="AL525" s="123">
        <f t="shared" si="11"/>
        <v>167.4829828</v>
      </c>
      <c r="AM525" s="122" t="s">
        <v>10</v>
      </c>
      <c r="AN525" s="125">
        <f t="shared" si="774"/>
        <v>598.15351</v>
      </c>
      <c r="AO525" s="112">
        <f t="shared" si="775"/>
        <v>0.28</v>
      </c>
      <c r="AP525" s="127"/>
      <c r="AQ525" s="128">
        <f t="shared" si="771"/>
        <v>518.3567847</v>
      </c>
      <c r="AR525" s="125">
        <f t="shared" si="776"/>
        <v>478.522808</v>
      </c>
      <c r="AS525" s="126">
        <f t="shared" si="733"/>
        <v>0.2222222222</v>
      </c>
      <c r="AT525" s="126">
        <f t="shared" si="777"/>
        <v>0.2</v>
      </c>
      <c r="AU525" s="129"/>
      <c r="AV525" s="39" t="s">
        <v>1956</v>
      </c>
      <c r="AW525" s="130"/>
      <c r="AX525" s="130"/>
      <c r="AY525" s="130"/>
      <c r="AZ525" s="130"/>
      <c r="BA525" s="130">
        <v>3205.0</v>
      </c>
      <c r="BB525" s="130">
        <f t="shared" si="735"/>
        <v>3205</v>
      </c>
      <c r="BC525" s="131">
        <f t="shared" si="736"/>
        <v>466.5211063</v>
      </c>
      <c r="BD525" s="132">
        <f t="shared" si="778"/>
        <v>430.6705272</v>
      </c>
      <c r="BE525" s="39"/>
      <c r="BF525" s="134">
        <v>8.5447E9</v>
      </c>
      <c r="BG525" s="49"/>
      <c r="BH525" s="116">
        <f t="shared" si="714"/>
        <v>1993.845033</v>
      </c>
      <c r="BI525" s="116">
        <f t="shared" si="715"/>
        <v>1196.30702</v>
      </c>
      <c r="BJ525" s="116">
        <f t="shared" si="716"/>
        <v>996.9225166</v>
      </c>
      <c r="BK525" s="116">
        <f t="shared" si="717"/>
        <v>797.5380133</v>
      </c>
      <c r="BL525" s="49"/>
      <c r="BM525" s="49"/>
      <c r="BN525" s="49"/>
      <c r="BO525" s="49"/>
      <c r="BP525" s="49"/>
      <c r="BQ525" s="49"/>
      <c r="BR525" s="49"/>
      <c r="BS525" s="49"/>
      <c r="BT525" s="49"/>
      <c r="BU525" s="49"/>
      <c r="BV525" s="49"/>
      <c r="BW525" s="49"/>
      <c r="BX525" s="49"/>
      <c r="BY525" s="49"/>
      <c r="BZ525" s="49"/>
      <c r="CA525" s="49"/>
      <c r="CB525" s="49"/>
      <c r="CC525" s="49"/>
      <c r="CD525" s="49"/>
      <c r="CE525" s="49"/>
      <c r="CF525" s="49"/>
    </row>
    <row r="526" ht="14.25" customHeight="1">
      <c r="A526" s="103" t="s">
        <v>84</v>
      </c>
      <c r="B526" s="103" t="s">
        <v>85</v>
      </c>
      <c r="C526" s="103" t="s">
        <v>85</v>
      </c>
      <c r="D526" s="103" t="s">
        <v>1266</v>
      </c>
      <c r="E526" s="103" t="s">
        <v>1948</v>
      </c>
      <c r="F526" s="104" t="s">
        <v>2008</v>
      </c>
      <c r="G526" s="110" t="s">
        <v>1319</v>
      </c>
      <c r="H526" s="390" t="s">
        <v>1957</v>
      </c>
      <c r="I526" s="391" t="s">
        <v>2013</v>
      </c>
      <c r="J526" s="220" t="s">
        <v>2014</v>
      </c>
      <c r="K526" s="220" t="str">
        <f>_xlfn.XLOOKUP(J526,[1]Sheet1!$A:$A,[1]Sheet1!$B:$B,"")</f>
        <v>#ERROR!</v>
      </c>
      <c r="L526" s="103" t="s">
        <v>2015</v>
      </c>
      <c r="M526" s="103" t="s">
        <v>2016</v>
      </c>
      <c r="N526" s="110" t="s">
        <v>206</v>
      </c>
      <c r="O526" s="104" t="s">
        <v>95</v>
      </c>
      <c r="P526" s="110"/>
      <c r="Q526" s="104" t="s">
        <v>480</v>
      </c>
      <c r="R526" s="110" t="s">
        <v>1955</v>
      </c>
      <c r="S526" s="110">
        <v>4.0</v>
      </c>
      <c r="T526" s="110" t="e">
        <v>#N/A</v>
      </c>
      <c r="U526" s="110">
        <v>8.5447E9</v>
      </c>
      <c r="V526" s="112">
        <v>0.0</v>
      </c>
      <c r="W526" s="113">
        <v>30.0</v>
      </c>
      <c r="X526" s="110">
        <v>45.0</v>
      </c>
      <c r="Y526" s="110">
        <v>55.0</v>
      </c>
      <c r="Z526" s="110" t="s">
        <v>1938</v>
      </c>
      <c r="AA526" s="114">
        <f t="shared" si="782"/>
        <v>788.7294656</v>
      </c>
      <c r="AB526" s="115"/>
      <c r="AC526" s="116">
        <f t="shared" si="772"/>
        <v>701.5224951</v>
      </c>
      <c r="AD526" s="117">
        <f t="shared" si="783"/>
        <v>738.4447316</v>
      </c>
      <c r="AE526" s="116"/>
      <c r="AF526" s="116" t="str">
        <f t="shared" si="94"/>
        <v>#REF!</v>
      </c>
      <c r="AG526" s="210" t="str">
        <f t="shared" si="95"/>
        <v>#REF!</v>
      </c>
      <c r="AH526" s="120" t="str">
        <f t="shared" si="96"/>
        <v>#REF!</v>
      </c>
      <c r="AI526" s="121">
        <f t="shared" si="497"/>
        <v>0.1</v>
      </c>
      <c r="AJ526" s="121">
        <v>0.1</v>
      </c>
      <c r="AK526" s="122">
        <v>0.28</v>
      </c>
      <c r="AL526" s="123">
        <f t="shared" si="11"/>
        <v>196.4262986</v>
      </c>
      <c r="AM526" s="122" t="s">
        <v>10</v>
      </c>
      <c r="AN526" s="125">
        <f t="shared" si="774"/>
        <v>701.5224951</v>
      </c>
      <c r="AO526" s="112">
        <f t="shared" si="775"/>
        <v>0.28</v>
      </c>
      <c r="AP526" s="127"/>
      <c r="AQ526" s="128">
        <f t="shared" si="771"/>
        <v>613.456251</v>
      </c>
      <c r="AR526" s="125">
        <f t="shared" si="776"/>
        <v>561.217996</v>
      </c>
      <c r="AS526" s="126">
        <f t="shared" si="733"/>
        <v>0.2222222222</v>
      </c>
      <c r="AT526" s="126">
        <f t="shared" si="777"/>
        <v>0.2</v>
      </c>
      <c r="AU526" s="129"/>
      <c r="AV526" s="39" t="s">
        <v>1956</v>
      </c>
      <c r="AW526" s="130"/>
      <c r="AX526" s="130"/>
      <c r="AY526" s="130"/>
      <c r="AZ526" s="130"/>
      <c r="BA526" s="130">
        <v>3793.0</v>
      </c>
      <c r="BB526" s="130">
        <f t="shared" si="735"/>
        <v>3793</v>
      </c>
      <c r="BC526" s="131">
        <f t="shared" si="736"/>
        <v>552.1106259</v>
      </c>
      <c r="BD526" s="132">
        <f t="shared" si="778"/>
        <v>505.0961964</v>
      </c>
      <c r="BE526" s="39"/>
      <c r="BF526" s="134">
        <v>8.5447E9</v>
      </c>
      <c r="BG526" s="49"/>
      <c r="BH526" s="116">
        <f t="shared" si="714"/>
        <v>2338.408317</v>
      </c>
      <c r="BI526" s="116">
        <f t="shared" si="715"/>
        <v>1403.04499</v>
      </c>
      <c r="BJ526" s="116">
        <f t="shared" si="716"/>
        <v>1169.204158</v>
      </c>
      <c r="BK526" s="116">
        <f t="shared" si="717"/>
        <v>935.3633267</v>
      </c>
      <c r="BL526" s="49"/>
      <c r="BM526" s="49"/>
      <c r="BN526" s="49"/>
      <c r="BO526" s="49"/>
      <c r="BP526" s="49"/>
      <c r="BQ526" s="49"/>
      <c r="BR526" s="49"/>
      <c r="BS526" s="49"/>
      <c r="BT526" s="49"/>
      <c r="BU526" s="49"/>
      <c r="BV526" s="49"/>
      <c r="BW526" s="49"/>
      <c r="BX526" s="49"/>
      <c r="BY526" s="49"/>
      <c r="BZ526" s="49"/>
      <c r="CA526" s="49"/>
      <c r="CB526" s="49"/>
      <c r="CC526" s="49"/>
      <c r="CD526" s="49"/>
      <c r="CE526" s="49"/>
      <c r="CF526" s="49"/>
    </row>
    <row r="527" ht="14.25" customHeight="1">
      <c r="A527" s="103" t="s">
        <v>84</v>
      </c>
      <c r="B527" s="103" t="s">
        <v>85</v>
      </c>
      <c r="C527" s="103" t="s">
        <v>85</v>
      </c>
      <c r="D527" s="103" t="s">
        <v>1266</v>
      </c>
      <c r="E527" s="103" t="s">
        <v>1948</v>
      </c>
      <c r="F527" s="104" t="s">
        <v>2008</v>
      </c>
      <c r="G527" s="110" t="s">
        <v>1319</v>
      </c>
      <c r="H527" s="390" t="s">
        <v>1962</v>
      </c>
      <c r="I527" s="391" t="s">
        <v>2017</v>
      </c>
      <c r="J527" s="220" t="s">
        <v>2018</v>
      </c>
      <c r="K527" s="220" t="str">
        <f>_xlfn.XLOOKUP(J527,[1]Sheet1!$A:$A,[1]Sheet1!$B:$B,"")</f>
        <v>#ERROR!</v>
      </c>
      <c r="L527" s="103" t="s">
        <v>2019</v>
      </c>
      <c r="M527" s="103" t="s">
        <v>2020</v>
      </c>
      <c r="N527" s="110" t="s">
        <v>206</v>
      </c>
      <c r="O527" s="104" t="s">
        <v>95</v>
      </c>
      <c r="P527" s="110"/>
      <c r="Q527" s="104" t="s">
        <v>480</v>
      </c>
      <c r="R527" s="110" t="s">
        <v>1955</v>
      </c>
      <c r="S527" s="110">
        <v>4.0</v>
      </c>
      <c r="T527" s="110" t="e">
        <v>#N/A</v>
      </c>
      <c r="U527" s="110">
        <v>8.5447E9</v>
      </c>
      <c r="V527" s="112">
        <v>0.0</v>
      </c>
      <c r="W527" s="113">
        <v>30.0</v>
      </c>
      <c r="X527" s="110">
        <v>45.0</v>
      </c>
      <c r="Y527" s="110">
        <v>55.0</v>
      </c>
      <c r="Z527" s="110" t="s">
        <v>1938</v>
      </c>
      <c r="AA527" s="114">
        <f t="shared" si="782"/>
        <v>1041.796631</v>
      </c>
      <c r="AB527" s="115"/>
      <c r="AC527" s="116">
        <f t="shared" si="772"/>
        <v>915.4681666</v>
      </c>
      <c r="AD527" s="117">
        <f t="shared" si="783"/>
        <v>963.6507017</v>
      </c>
      <c r="AE527" s="116"/>
      <c r="AF527" s="116" t="str">
        <f t="shared" si="94"/>
        <v>#REF!</v>
      </c>
      <c r="AG527" s="210" t="str">
        <f t="shared" si="95"/>
        <v>#REF!</v>
      </c>
      <c r="AH527" s="120" t="str">
        <f t="shared" si="96"/>
        <v>#REF!</v>
      </c>
      <c r="AI527" s="121">
        <f t="shared" si="497"/>
        <v>0.1</v>
      </c>
      <c r="AJ527" s="121">
        <v>0.1</v>
      </c>
      <c r="AK527" s="122">
        <v>0.28</v>
      </c>
      <c r="AL527" s="123">
        <f t="shared" si="11"/>
        <v>256.3310866</v>
      </c>
      <c r="AM527" s="122" t="s">
        <v>10</v>
      </c>
      <c r="AN527" s="125">
        <f t="shared" si="774"/>
        <v>915.4681666</v>
      </c>
      <c r="AO527" s="112">
        <f t="shared" si="775"/>
        <v>0.28</v>
      </c>
      <c r="AP527" s="127"/>
      <c r="AQ527" s="128">
        <f t="shared" si="771"/>
        <v>810.2862688</v>
      </c>
      <c r="AR527" s="125">
        <f t="shared" si="776"/>
        <v>732.3745333</v>
      </c>
      <c r="AS527" s="126">
        <f t="shared" si="733"/>
        <v>0.2222222222</v>
      </c>
      <c r="AT527" s="126">
        <f t="shared" si="777"/>
        <v>0.2</v>
      </c>
      <c r="AU527" s="129"/>
      <c r="AV527" s="39" t="s">
        <v>1956</v>
      </c>
      <c r="AW527" s="130"/>
      <c r="AX527" s="130"/>
      <c r="AY527" s="130"/>
      <c r="AZ527" s="130"/>
      <c r="BA527" s="130">
        <v>5010.0</v>
      </c>
      <c r="BB527" s="130">
        <f t="shared" si="735"/>
        <v>5010</v>
      </c>
      <c r="BC527" s="131">
        <f t="shared" si="736"/>
        <v>729.2576419</v>
      </c>
      <c r="BD527" s="132">
        <f t="shared" si="778"/>
        <v>659.1370799</v>
      </c>
      <c r="BE527" s="39"/>
      <c r="BF527" s="134">
        <v>8.5447E9</v>
      </c>
      <c r="BG527" s="49"/>
      <c r="BH527" s="116">
        <f t="shared" si="714"/>
        <v>3051.560555</v>
      </c>
      <c r="BI527" s="116">
        <f t="shared" si="715"/>
        <v>1830.936333</v>
      </c>
      <c r="BJ527" s="116">
        <f t="shared" si="716"/>
        <v>1525.780278</v>
      </c>
      <c r="BK527" s="116">
        <f t="shared" si="717"/>
        <v>1220.624222</v>
      </c>
      <c r="BL527" s="49"/>
      <c r="BM527" s="49"/>
      <c r="BN527" s="49"/>
      <c r="BO527" s="49"/>
      <c r="BP527" s="49"/>
      <c r="BQ527" s="49"/>
      <c r="BR527" s="49"/>
      <c r="BS527" s="49"/>
      <c r="BT527" s="49"/>
      <c r="BU527" s="49"/>
      <c r="BV527" s="49"/>
      <c r="BW527" s="49"/>
      <c r="BX527" s="49"/>
      <c r="BY527" s="49"/>
      <c r="BZ527" s="49"/>
      <c r="CA527" s="49"/>
      <c r="CB527" s="49"/>
      <c r="CC527" s="49"/>
      <c r="CD527" s="49"/>
      <c r="CE527" s="49"/>
      <c r="CF527" s="49"/>
    </row>
    <row r="528" ht="14.25" customHeight="1">
      <c r="A528" s="103" t="s">
        <v>84</v>
      </c>
      <c r="B528" s="103" t="s">
        <v>85</v>
      </c>
      <c r="C528" s="103" t="s">
        <v>85</v>
      </c>
      <c r="D528" s="103" t="s">
        <v>1266</v>
      </c>
      <c r="E528" s="103" t="s">
        <v>1948</v>
      </c>
      <c r="F528" s="104" t="s">
        <v>2008</v>
      </c>
      <c r="G528" s="110" t="s">
        <v>1319</v>
      </c>
      <c r="H528" s="390" t="s">
        <v>1967</v>
      </c>
      <c r="I528" s="391" t="s">
        <v>2021</v>
      </c>
      <c r="J528" s="220" t="s">
        <v>2022</v>
      </c>
      <c r="K528" s="220" t="str">
        <f>_xlfn.XLOOKUP(J528,[1]Sheet1!$A:$A,[1]Sheet1!$B:$B,"")</f>
        <v>#ERROR!</v>
      </c>
      <c r="L528" s="103" t="s">
        <v>2023</v>
      </c>
      <c r="M528" s="103" t="s">
        <v>2024</v>
      </c>
      <c r="N528" s="110" t="s">
        <v>206</v>
      </c>
      <c r="O528" s="104" t="s">
        <v>95</v>
      </c>
      <c r="P528" s="110"/>
      <c r="Q528" s="104" t="s">
        <v>480</v>
      </c>
      <c r="R528" s="110" t="s">
        <v>1955</v>
      </c>
      <c r="S528" s="110">
        <v>4.0</v>
      </c>
      <c r="T528" s="110" t="e">
        <v>#N/A</v>
      </c>
      <c r="U528" s="110">
        <v>8.5447E9</v>
      </c>
      <c r="V528" s="112">
        <v>0.0</v>
      </c>
      <c r="W528" s="113">
        <v>30.0</v>
      </c>
      <c r="X528" s="110">
        <v>45.0</v>
      </c>
      <c r="Y528" s="110">
        <v>55.0</v>
      </c>
      <c r="Z528" s="110" t="s">
        <v>1938</v>
      </c>
      <c r="AA528" s="114">
        <f t="shared" si="782"/>
        <v>1853.399875</v>
      </c>
      <c r="AB528" s="115"/>
      <c r="AC528" s="116">
        <f t="shared" si="772"/>
        <v>1601.606175</v>
      </c>
      <c r="AD528" s="117">
        <f t="shared" si="783"/>
        <v>1685.901237</v>
      </c>
      <c r="AE528" s="116"/>
      <c r="AF528" s="116" t="str">
        <f t="shared" si="94"/>
        <v>#REF!</v>
      </c>
      <c r="AG528" s="210" t="str">
        <f t="shared" si="95"/>
        <v>#REF!</v>
      </c>
      <c r="AH528" s="120" t="str">
        <f t="shared" si="96"/>
        <v>#REF!</v>
      </c>
      <c r="AI528" s="121">
        <f t="shared" si="497"/>
        <v>0.1</v>
      </c>
      <c r="AJ528" s="121">
        <v>0.1</v>
      </c>
      <c r="AK528" s="122">
        <v>0.28</v>
      </c>
      <c r="AL528" s="123">
        <f t="shared" si="11"/>
        <v>448.4497289</v>
      </c>
      <c r="AM528" s="122" t="s">
        <v>10</v>
      </c>
      <c r="AN528" s="125">
        <f t="shared" si="774"/>
        <v>1601.606175</v>
      </c>
      <c r="AO528" s="112">
        <f t="shared" si="775"/>
        <v>0.28</v>
      </c>
      <c r="AP528" s="127"/>
      <c r="AQ528" s="128">
        <f t="shared" si="771"/>
        <v>1441.533236</v>
      </c>
      <c r="AR528" s="125">
        <f t="shared" si="776"/>
        <v>1281.28494</v>
      </c>
      <c r="AS528" s="126">
        <f t="shared" si="733"/>
        <v>0.2222222222</v>
      </c>
      <c r="AT528" s="126">
        <f t="shared" si="777"/>
        <v>0.2</v>
      </c>
      <c r="AU528" s="129"/>
      <c r="AV528" s="39" t="s">
        <v>1956</v>
      </c>
      <c r="AW528" s="130"/>
      <c r="AX528" s="130"/>
      <c r="AY528" s="130"/>
      <c r="AZ528" s="130"/>
      <c r="BA528" s="130">
        <v>8913.0</v>
      </c>
      <c r="BB528" s="130">
        <f t="shared" si="735"/>
        <v>8913</v>
      </c>
      <c r="BC528" s="131">
        <f t="shared" si="736"/>
        <v>1297.379913</v>
      </c>
      <c r="BD528" s="132">
        <f t="shared" si="778"/>
        <v>1153.156446</v>
      </c>
      <c r="BE528" s="39"/>
      <c r="BF528" s="134">
        <v>8.5447E9</v>
      </c>
      <c r="BG528" s="49"/>
      <c r="BH528" s="116">
        <f t="shared" si="714"/>
        <v>5338.687249</v>
      </c>
      <c r="BI528" s="116">
        <f t="shared" si="715"/>
        <v>3203.212349</v>
      </c>
      <c r="BJ528" s="116">
        <f t="shared" si="716"/>
        <v>2669.343625</v>
      </c>
      <c r="BK528" s="116">
        <f t="shared" si="717"/>
        <v>2135.4749</v>
      </c>
      <c r="BL528" s="49"/>
      <c r="BM528" s="49"/>
      <c r="BN528" s="49"/>
      <c r="BO528" s="49"/>
      <c r="BP528" s="49"/>
      <c r="BQ528" s="49"/>
      <c r="BR528" s="49"/>
      <c r="BS528" s="49"/>
      <c r="BT528" s="49"/>
      <c r="BU528" s="49"/>
      <c r="BV528" s="49"/>
      <c r="BW528" s="49"/>
      <c r="BX528" s="49"/>
      <c r="BY528" s="49"/>
      <c r="BZ528" s="49"/>
      <c r="CA528" s="49"/>
      <c r="CB528" s="49"/>
      <c r="CC528" s="49"/>
      <c r="CD528" s="49"/>
      <c r="CE528" s="49"/>
      <c r="CF528" s="49"/>
    </row>
    <row r="529" ht="14.25" customHeight="1">
      <c r="A529" s="103" t="s">
        <v>84</v>
      </c>
      <c r="B529" s="103" t="s">
        <v>85</v>
      </c>
      <c r="C529" s="103" t="s">
        <v>85</v>
      </c>
      <c r="D529" s="103" t="s">
        <v>1266</v>
      </c>
      <c r="E529" s="103" t="s">
        <v>1948</v>
      </c>
      <c r="F529" s="104" t="s">
        <v>2025</v>
      </c>
      <c r="G529" s="110" t="s">
        <v>1319</v>
      </c>
      <c r="H529" s="390" t="s">
        <v>2026</v>
      </c>
      <c r="I529" s="391" t="s">
        <v>2027</v>
      </c>
      <c r="J529" s="220" t="s">
        <v>2028</v>
      </c>
      <c r="K529" s="220" t="str">
        <f>_xlfn.XLOOKUP(J529,[1]Sheet1!$A:$A,[1]Sheet1!$B:$B,"")</f>
        <v>#ERROR!</v>
      </c>
      <c r="L529" s="103" t="s">
        <v>2029</v>
      </c>
      <c r="M529" s="103" t="s">
        <v>2030</v>
      </c>
      <c r="N529" s="110" t="s">
        <v>106</v>
      </c>
      <c r="O529" s="104" t="s">
        <v>95</v>
      </c>
      <c r="P529" s="110"/>
      <c r="Q529" s="104" t="s">
        <v>480</v>
      </c>
      <c r="R529" s="110" t="s">
        <v>1955</v>
      </c>
      <c r="S529" s="110">
        <v>4.0</v>
      </c>
      <c r="T529" s="110" t="e">
        <v>#N/A</v>
      </c>
      <c r="U529" s="110">
        <v>8.5447E9</v>
      </c>
      <c r="V529" s="112">
        <v>0.0</v>
      </c>
      <c r="W529" s="113">
        <v>30.0</v>
      </c>
      <c r="X529" s="110">
        <v>45.0</v>
      </c>
      <c r="Y529" s="110">
        <v>55.0</v>
      </c>
      <c r="Z529" s="110" t="s">
        <v>1938</v>
      </c>
      <c r="AA529" s="114">
        <f t="shared" si="782"/>
        <v>3814.306509</v>
      </c>
      <c r="AB529" s="115"/>
      <c r="AC529" s="116">
        <f t="shared" si="772"/>
        <v>3259.377483</v>
      </c>
      <c r="AD529" s="117">
        <f t="shared" si="783"/>
        <v>3430.923666</v>
      </c>
      <c r="AE529" s="116"/>
      <c r="AF529" s="116" t="str">
        <f t="shared" si="94"/>
        <v>#REF!</v>
      </c>
      <c r="AG529" s="210" t="str">
        <f t="shared" si="95"/>
        <v>#REF!</v>
      </c>
      <c r="AH529" s="120" t="str">
        <f t="shared" si="96"/>
        <v>#REF!</v>
      </c>
      <c r="AI529" s="121">
        <f t="shared" si="497"/>
        <v>0.1</v>
      </c>
      <c r="AJ529" s="121">
        <v>0.1</v>
      </c>
      <c r="AK529" s="122">
        <v>0.28</v>
      </c>
      <c r="AL529" s="123">
        <f t="shared" si="11"/>
        <v>912.6256953</v>
      </c>
      <c r="AM529" s="122" t="s">
        <v>10</v>
      </c>
      <c r="AN529" s="125">
        <f t="shared" si="774"/>
        <v>3259.377483</v>
      </c>
      <c r="AO529" s="112">
        <f t="shared" si="775"/>
        <v>0.28</v>
      </c>
      <c r="AP529" s="127"/>
      <c r="AQ529" s="128">
        <f t="shared" si="771"/>
        <v>2966.68284</v>
      </c>
      <c r="AR529" s="125">
        <f t="shared" si="776"/>
        <v>2607.501987</v>
      </c>
      <c r="AS529" s="126">
        <f t="shared" si="733"/>
        <v>0.2222222222</v>
      </c>
      <c r="AT529" s="126">
        <f t="shared" si="777"/>
        <v>0.2</v>
      </c>
      <c r="AU529" s="129"/>
      <c r="AV529" s="39" t="s">
        <v>1956</v>
      </c>
      <c r="AW529" s="130"/>
      <c r="AX529" s="130"/>
      <c r="AY529" s="130"/>
      <c r="AZ529" s="130"/>
      <c r="BA529" s="130">
        <v>18343.0</v>
      </c>
      <c r="BB529" s="130">
        <f t="shared" si="735"/>
        <v>18343</v>
      </c>
      <c r="BC529" s="131">
        <f t="shared" si="736"/>
        <v>2670.014556</v>
      </c>
      <c r="BD529" s="132">
        <f t="shared" si="778"/>
        <v>2346.751788</v>
      </c>
      <c r="BE529" s="39"/>
      <c r="BF529" s="134">
        <v>8.5447E9</v>
      </c>
      <c r="BG529" s="49"/>
      <c r="BH529" s="116">
        <f t="shared" si="714"/>
        <v>10864.59161</v>
      </c>
      <c r="BI529" s="116">
        <f t="shared" si="715"/>
        <v>6518.754966</v>
      </c>
      <c r="BJ529" s="116">
        <f t="shared" si="716"/>
        <v>5432.295805</v>
      </c>
      <c r="BK529" s="116">
        <f t="shared" si="717"/>
        <v>4345.836644</v>
      </c>
      <c r="BL529" s="49"/>
      <c r="BM529" s="49"/>
      <c r="BN529" s="49"/>
      <c r="BO529" s="49"/>
      <c r="BP529" s="49"/>
      <c r="BQ529" s="49"/>
      <c r="BR529" s="49"/>
      <c r="BS529" s="49"/>
      <c r="BT529" s="49"/>
      <c r="BU529" s="49"/>
      <c r="BV529" s="49"/>
      <c r="BW529" s="49"/>
      <c r="BX529" s="49"/>
      <c r="BY529" s="49"/>
      <c r="BZ529" s="49"/>
      <c r="CA529" s="49"/>
      <c r="CB529" s="49"/>
      <c r="CC529" s="49"/>
      <c r="CD529" s="49"/>
      <c r="CE529" s="49"/>
      <c r="CF529" s="49"/>
    </row>
    <row r="530" ht="14.25" customHeight="1">
      <c r="A530" s="103" t="s">
        <v>84</v>
      </c>
      <c r="B530" s="103" t="s">
        <v>85</v>
      </c>
      <c r="C530" s="103" t="s">
        <v>85</v>
      </c>
      <c r="D530" s="103" t="s">
        <v>1266</v>
      </c>
      <c r="E530" s="103" t="s">
        <v>1948</v>
      </c>
      <c r="F530" s="104" t="s">
        <v>2025</v>
      </c>
      <c r="G530" s="110" t="s">
        <v>1319</v>
      </c>
      <c r="H530" s="390" t="s">
        <v>2031</v>
      </c>
      <c r="I530" s="391" t="s">
        <v>2032</v>
      </c>
      <c r="J530" s="220" t="s">
        <v>2033</v>
      </c>
      <c r="K530" s="220" t="str">
        <f>_xlfn.XLOOKUP(J530,[1]Sheet1!$A:$A,[1]Sheet1!$B:$B,"")</f>
        <v>#ERROR!</v>
      </c>
      <c r="L530" s="103" t="s">
        <v>2034</v>
      </c>
      <c r="M530" s="103" t="s">
        <v>2035</v>
      </c>
      <c r="N530" s="110" t="s">
        <v>106</v>
      </c>
      <c r="O530" s="104" t="s">
        <v>95</v>
      </c>
      <c r="P530" s="110"/>
      <c r="Q530" s="104" t="s">
        <v>480</v>
      </c>
      <c r="R530" s="110" t="s">
        <v>1955</v>
      </c>
      <c r="S530" s="110">
        <v>4.0</v>
      </c>
      <c r="T530" s="110" t="e">
        <v>#N/A</v>
      </c>
      <c r="U530" s="110">
        <v>8.5447E9</v>
      </c>
      <c r="V530" s="112">
        <v>0.0</v>
      </c>
      <c r="W530" s="113">
        <v>30.0</v>
      </c>
      <c r="X530" s="110">
        <v>45.0</v>
      </c>
      <c r="Y530" s="110">
        <v>55.0</v>
      </c>
      <c r="Z530" s="110" t="s">
        <v>1938</v>
      </c>
      <c r="AA530" s="114">
        <f t="shared" si="782"/>
        <v>6877.729258</v>
      </c>
      <c r="AB530" s="115"/>
      <c r="AC530" s="116">
        <f t="shared" si="772"/>
        <v>5849.227633</v>
      </c>
      <c r="AD530" s="117">
        <f t="shared" si="783"/>
        <v>6157.081719</v>
      </c>
      <c r="AE530" s="116"/>
      <c r="AF530" s="116" t="str">
        <f t="shared" si="94"/>
        <v>#REF!</v>
      </c>
      <c r="AG530" s="210" t="str">
        <f t="shared" si="95"/>
        <v>#REF!</v>
      </c>
      <c r="AH530" s="120" t="str">
        <f t="shared" si="96"/>
        <v>#REF!</v>
      </c>
      <c r="AI530" s="121">
        <f t="shared" si="497"/>
        <v>0.1</v>
      </c>
      <c r="AJ530" s="121">
        <v>0.1</v>
      </c>
      <c r="AK530" s="122">
        <v>0.28</v>
      </c>
      <c r="AL530" s="123">
        <f t="shared" si="11"/>
        <v>1637.783737</v>
      </c>
      <c r="AM530" s="122" t="s">
        <v>10</v>
      </c>
      <c r="AN530" s="125">
        <f t="shared" si="774"/>
        <v>5849.227633</v>
      </c>
      <c r="AO530" s="112">
        <f t="shared" si="775"/>
        <v>0.28</v>
      </c>
      <c r="AP530" s="127"/>
      <c r="AQ530" s="128">
        <f t="shared" si="771"/>
        <v>5349.344978</v>
      </c>
      <c r="AR530" s="125">
        <f t="shared" si="776"/>
        <v>4679.382107</v>
      </c>
      <c r="AS530" s="126">
        <f t="shared" si="733"/>
        <v>0.2222222222</v>
      </c>
      <c r="AT530" s="126">
        <f t="shared" si="777"/>
        <v>0.2</v>
      </c>
      <c r="AU530" s="129"/>
      <c r="AV530" s="39" t="s">
        <v>1956</v>
      </c>
      <c r="AW530" s="130"/>
      <c r="AX530" s="130"/>
      <c r="AY530" s="130"/>
      <c r="AZ530" s="130"/>
      <c r="BA530" s="130">
        <v>33075.0</v>
      </c>
      <c r="BB530" s="130">
        <f t="shared" si="735"/>
        <v>33075</v>
      </c>
      <c r="BC530" s="131">
        <f t="shared" si="736"/>
        <v>4814.41048</v>
      </c>
      <c r="BD530" s="132">
        <f t="shared" si="778"/>
        <v>4211.443896</v>
      </c>
      <c r="BE530" s="39"/>
      <c r="BF530" s="134">
        <v>8.5447E9</v>
      </c>
      <c r="BG530" s="49"/>
      <c r="BH530" s="116">
        <f t="shared" si="714"/>
        <v>19497.42544</v>
      </c>
      <c r="BI530" s="116">
        <f t="shared" si="715"/>
        <v>11698.45527</v>
      </c>
      <c r="BJ530" s="116">
        <f t="shared" si="716"/>
        <v>9748.712722</v>
      </c>
      <c r="BK530" s="116">
        <f t="shared" si="717"/>
        <v>7798.970178</v>
      </c>
      <c r="BL530" s="49"/>
      <c r="BM530" s="49"/>
      <c r="BN530" s="49"/>
      <c r="BO530" s="49"/>
      <c r="BP530" s="49"/>
      <c r="BQ530" s="49"/>
      <c r="BR530" s="49"/>
      <c r="BS530" s="49"/>
      <c r="BT530" s="49"/>
      <c r="BU530" s="49"/>
      <c r="BV530" s="49"/>
      <c r="BW530" s="49"/>
      <c r="BX530" s="49"/>
      <c r="BY530" s="49"/>
      <c r="BZ530" s="49"/>
      <c r="CA530" s="49"/>
      <c r="CB530" s="49"/>
      <c r="CC530" s="49"/>
      <c r="CD530" s="49"/>
      <c r="CE530" s="49"/>
      <c r="CF530" s="49"/>
    </row>
    <row r="531" ht="14.25" customHeight="1">
      <c r="A531" s="103" t="s">
        <v>84</v>
      </c>
      <c r="B531" s="103" t="s">
        <v>85</v>
      </c>
      <c r="C531" s="103" t="s">
        <v>85</v>
      </c>
      <c r="D531" s="103" t="s">
        <v>1266</v>
      </c>
      <c r="E531" s="103" t="s">
        <v>1948</v>
      </c>
      <c r="F531" s="104" t="s">
        <v>2036</v>
      </c>
      <c r="G531" s="110" t="s">
        <v>1319</v>
      </c>
      <c r="H531" s="390" t="s">
        <v>2026</v>
      </c>
      <c r="I531" s="391" t="s">
        <v>2037</v>
      </c>
      <c r="J531" s="220" t="s">
        <v>2038</v>
      </c>
      <c r="K531" s="220" t="str">
        <f>_xlfn.XLOOKUP(J531,[1]Sheet1!$A:$A,[1]Sheet1!$B:$B,"")</f>
        <v>#ERROR!</v>
      </c>
      <c r="L531" s="103" t="s">
        <v>2039</v>
      </c>
      <c r="M531" s="103" t="s">
        <v>2040</v>
      </c>
      <c r="N531" s="110" t="s">
        <v>106</v>
      </c>
      <c r="O531" s="104" t="s">
        <v>95</v>
      </c>
      <c r="P531" s="110"/>
      <c r="Q531" s="104" t="s">
        <v>480</v>
      </c>
      <c r="R531" s="110" t="s">
        <v>1955</v>
      </c>
      <c r="S531" s="110">
        <v>4.0</v>
      </c>
      <c r="T531" s="110" t="e">
        <v>#N/A</v>
      </c>
      <c r="U531" s="110">
        <v>8.5447E9</v>
      </c>
      <c r="V531" s="112">
        <v>0.0</v>
      </c>
      <c r="W531" s="113">
        <v>30.0</v>
      </c>
      <c r="X531" s="110">
        <v>45.0</v>
      </c>
      <c r="Y531" s="110">
        <v>55.0</v>
      </c>
      <c r="Z531" s="110" t="s">
        <v>1938</v>
      </c>
      <c r="AA531" s="114">
        <f t="shared" si="782"/>
        <v>3160.116448</v>
      </c>
      <c r="AB531" s="115"/>
      <c r="AC531" s="116">
        <f t="shared" si="772"/>
        <v>2706.318253</v>
      </c>
      <c r="AD531" s="117">
        <f t="shared" si="783"/>
        <v>2848.756056</v>
      </c>
      <c r="AE531" s="116"/>
      <c r="AF531" s="116" t="str">
        <f t="shared" si="94"/>
        <v>#REF!</v>
      </c>
      <c r="AG531" s="210" t="str">
        <f t="shared" si="95"/>
        <v>#REF!</v>
      </c>
      <c r="AH531" s="120" t="str">
        <f t="shared" si="96"/>
        <v>#REF!</v>
      </c>
      <c r="AI531" s="121">
        <f t="shared" si="497"/>
        <v>0.1</v>
      </c>
      <c r="AJ531" s="121">
        <v>0.1</v>
      </c>
      <c r="AK531" s="122">
        <v>0.28</v>
      </c>
      <c r="AL531" s="123">
        <f t="shared" si="11"/>
        <v>757.769111</v>
      </c>
      <c r="AM531" s="122" t="s">
        <v>10</v>
      </c>
      <c r="AN531" s="125">
        <f t="shared" si="774"/>
        <v>2706.318253</v>
      </c>
      <c r="AO531" s="112">
        <f t="shared" si="775"/>
        <v>0.28</v>
      </c>
      <c r="AP531" s="127"/>
      <c r="AQ531" s="128">
        <f t="shared" si="771"/>
        <v>2457.868349</v>
      </c>
      <c r="AR531" s="125">
        <f t="shared" si="776"/>
        <v>2165.054603</v>
      </c>
      <c r="AS531" s="126">
        <f t="shared" si="733"/>
        <v>0.2222222222</v>
      </c>
      <c r="AT531" s="126">
        <f t="shared" si="777"/>
        <v>0.2</v>
      </c>
      <c r="AU531" s="129"/>
      <c r="AV531" s="39" t="s">
        <v>1956</v>
      </c>
      <c r="AW531" s="130"/>
      <c r="AX531" s="130"/>
      <c r="AY531" s="130"/>
      <c r="AZ531" s="130"/>
      <c r="BA531" s="130">
        <v>15197.0</v>
      </c>
      <c r="BB531" s="130">
        <f t="shared" si="735"/>
        <v>15197</v>
      </c>
      <c r="BC531" s="131">
        <f t="shared" si="736"/>
        <v>2212.081514</v>
      </c>
      <c r="BD531" s="132">
        <f t="shared" si="778"/>
        <v>1948.549142</v>
      </c>
      <c r="BE531" s="39"/>
      <c r="BF531" s="134">
        <v>8.5447E9</v>
      </c>
      <c r="BG531" s="49"/>
      <c r="BH531" s="116">
        <f t="shared" si="714"/>
        <v>9021.060845</v>
      </c>
      <c r="BI531" s="116">
        <f t="shared" si="715"/>
        <v>5412.636507</v>
      </c>
      <c r="BJ531" s="116">
        <f t="shared" si="716"/>
        <v>4510.530422</v>
      </c>
      <c r="BK531" s="116">
        <f t="shared" si="717"/>
        <v>3608.424338</v>
      </c>
      <c r="BL531" s="49"/>
      <c r="BM531" s="49"/>
      <c r="BN531" s="49"/>
      <c r="BO531" s="49"/>
      <c r="BP531" s="49"/>
      <c r="BQ531" s="49"/>
      <c r="BR531" s="49"/>
      <c r="BS531" s="49"/>
      <c r="BT531" s="49"/>
      <c r="BU531" s="49"/>
      <c r="BV531" s="49"/>
      <c r="BW531" s="49"/>
      <c r="BX531" s="49"/>
      <c r="BY531" s="49"/>
      <c r="BZ531" s="49"/>
      <c r="CA531" s="49"/>
      <c r="CB531" s="49"/>
      <c r="CC531" s="49"/>
      <c r="CD531" s="49"/>
      <c r="CE531" s="49"/>
      <c r="CF531" s="49"/>
    </row>
    <row r="532" ht="14.25" customHeight="1">
      <c r="A532" s="103" t="s">
        <v>84</v>
      </c>
      <c r="B532" s="103" t="s">
        <v>85</v>
      </c>
      <c r="C532" s="103" t="s">
        <v>85</v>
      </c>
      <c r="D532" s="103" t="s">
        <v>1266</v>
      </c>
      <c r="E532" s="103" t="s">
        <v>1948</v>
      </c>
      <c r="F532" s="104" t="s">
        <v>2036</v>
      </c>
      <c r="G532" s="110" t="s">
        <v>1319</v>
      </c>
      <c r="H532" s="390" t="s">
        <v>2031</v>
      </c>
      <c r="I532" s="391" t="s">
        <v>2041</v>
      </c>
      <c r="J532" s="220" t="s">
        <v>2042</v>
      </c>
      <c r="K532" s="220" t="str">
        <f>_xlfn.XLOOKUP(J532,[1]Sheet1!$A:$A,[1]Sheet1!$B:$B,"")</f>
        <v>#ERROR!</v>
      </c>
      <c r="L532" s="103" t="s">
        <v>2043</v>
      </c>
      <c r="M532" s="103" t="s">
        <v>2044</v>
      </c>
      <c r="N532" s="110" t="s">
        <v>106</v>
      </c>
      <c r="O532" s="104" t="s">
        <v>95</v>
      </c>
      <c r="P532" s="110"/>
      <c r="Q532" s="104" t="s">
        <v>480</v>
      </c>
      <c r="R532" s="110" t="s">
        <v>1955</v>
      </c>
      <c r="S532" s="110">
        <v>4.0</v>
      </c>
      <c r="T532" s="110" t="e">
        <v>#N/A</v>
      </c>
      <c r="U532" s="110">
        <v>8.5447E9</v>
      </c>
      <c r="V532" s="112">
        <v>0.0</v>
      </c>
      <c r="W532" s="113">
        <v>30.0</v>
      </c>
      <c r="X532" s="110">
        <v>45.0</v>
      </c>
      <c r="Y532" s="110">
        <v>55.0</v>
      </c>
      <c r="Z532" s="110" t="s">
        <v>1938</v>
      </c>
      <c r="AA532" s="114">
        <f t="shared" si="782"/>
        <v>6192.139738</v>
      </c>
      <c r="AB532" s="115"/>
      <c r="AC532" s="116">
        <f t="shared" si="772"/>
        <v>5269.622967</v>
      </c>
      <c r="AD532" s="117">
        <f t="shared" si="783"/>
        <v>5546.971544</v>
      </c>
      <c r="AE532" s="116"/>
      <c r="AF532" s="116" t="str">
        <f t="shared" si="94"/>
        <v>#REF!</v>
      </c>
      <c r="AG532" s="210" t="str">
        <f t="shared" si="95"/>
        <v>#REF!</v>
      </c>
      <c r="AH532" s="120" t="str">
        <f t="shared" si="96"/>
        <v>#REF!</v>
      </c>
      <c r="AI532" s="121">
        <f t="shared" si="497"/>
        <v>0.1</v>
      </c>
      <c r="AJ532" s="121">
        <v>0.1</v>
      </c>
      <c r="AK532" s="122">
        <v>0.28</v>
      </c>
      <c r="AL532" s="123">
        <f t="shared" si="11"/>
        <v>1475.494431</v>
      </c>
      <c r="AM532" s="122" t="s">
        <v>10</v>
      </c>
      <c r="AN532" s="125">
        <f t="shared" si="774"/>
        <v>5269.622967</v>
      </c>
      <c r="AO532" s="112">
        <f t="shared" si="775"/>
        <v>0.28</v>
      </c>
      <c r="AP532" s="127"/>
      <c r="AQ532" s="128">
        <f t="shared" si="771"/>
        <v>4816.108685</v>
      </c>
      <c r="AR532" s="125">
        <f t="shared" si="776"/>
        <v>4215.698374</v>
      </c>
      <c r="AS532" s="126">
        <f t="shared" si="733"/>
        <v>0.2222222222</v>
      </c>
      <c r="AT532" s="126">
        <f t="shared" si="777"/>
        <v>0.2</v>
      </c>
      <c r="AU532" s="129"/>
      <c r="AV532" s="39" t="s">
        <v>1956</v>
      </c>
      <c r="AW532" s="130"/>
      <c r="AX532" s="130"/>
      <c r="AY532" s="130"/>
      <c r="AZ532" s="130"/>
      <c r="BA532" s="130">
        <v>29778.0</v>
      </c>
      <c r="BB532" s="130">
        <f t="shared" si="735"/>
        <v>29778</v>
      </c>
      <c r="BC532" s="131">
        <f t="shared" si="736"/>
        <v>4334.497817</v>
      </c>
      <c r="BD532" s="132">
        <f t="shared" si="778"/>
        <v>3794.128536</v>
      </c>
      <c r="BE532" s="39"/>
      <c r="BF532" s="134">
        <v>8.5447E9</v>
      </c>
      <c r="BG532" s="49"/>
      <c r="BH532" s="116">
        <f t="shared" si="714"/>
        <v>17565.40989</v>
      </c>
      <c r="BI532" s="116">
        <f t="shared" si="715"/>
        <v>10539.24593</v>
      </c>
      <c r="BJ532" s="116">
        <f t="shared" si="716"/>
        <v>8782.704945</v>
      </c>
      <c r="BK532" s="116">
        <f t="shared" si="717"/>
        <v>7026.163956</v>
      </c>
      <c r="BL532" s="49"/>
      <c r="BM532" s="49"/>
      <c r="BN532" s="49"/>
      <c r="BO532" s="49"/>
      <c r="BP532" s="49"/>
      <c r="BQ532" s="49"/>
      <c r="BR532" s="49"/>
      <c r="BS532" s="49"/>
      <c r="BT532" s="49"/>
      <c r="BU532" s="49"/>
      <c r="BV532" s="49"/>
      <c r="BW532" s="49"/>
      <c r="BX532" s="49"/>
      <c r="BY532" s="49"/>
      <c r="BZ532" s="49"/>
      <c r="CA532" s="49"/>
      <c r="CB532" s="49"/>
      <c r="CC532" s="49"/>
      <c r="CD532" s="49"/>
      <c r="CE532" s="49"/>
      <c r="CF532" s="49"/>
    </row>
    <row r="533" ht="14.25" customHeight="1">
      <c r="A533" s="103" t="s">
        <v>84</v>
      </c>
      <c r="B533" s="103" t="s">
        <v>85</v>
      </c>
      <c r="C533" s="103" t="s">
        <v>85</v>
      </c>
      <c r="D533" s="103" t="s">
        <v>1266</v>
      </c>
      <c r="E533" s="103" t="s">
        <v>1948</v>
      </c>
      <c r="F533" s="104" t="s">
        <v>2045</v>
      </c>
      <c r="G533" s="110" t="s">
        <v>1319</v>
      </c>
      <c r="H533" s="390" t="s">
        <v>2026</v>
      </c>
      <c r="I533" s="391" t="s">
        <v>2046</v>
      </c>
      <c r="J533" s="220" t="s">
        <v>2047</v>
      </c>
      <c r="K533" s="220" t="str">
        <f>_xlfn.XLOOKUP(J533,[1]Sheet1!$A:$A,[1]Sheet1!$B:$B,"")</f>
        <v>#ERROR!</v>
      </c>
      <c r="L533" s="103" t="s">
        <v>2048</v>
      </c>
      <c r="M533" s="103" t="s">
        <v>2049</v>
      </c>
      <c r="N533" s="110" t="s">
        <v>106</v>
      </c>
      <c r="O533" s="104" t="s">
        <v>95</v>
      </c>
      <c r="P533" s="110"/>
      <c r="Q533" s="104" t="s">
        <v>480</v>
      </c>
      <c r="R533" s="110" t="s">
        <v>1955</v>
      </c>
      <c r="S533" s="110">
        <v>4.0</v>
      </c>
      <c r="T533" s="110" t="e">
        <v>#N/A</v>
      </c>
      <c r="U533" s="110">
        <v>8.5447E9</v>
      </c>
      <c r="V533" s="112">
        <v>0.0</v>
      </c>
      <c r="W533" s="113">
        <v>30.0</v>
      </c>
      <c r="X533" s="110">
        <v>45.0</v>
      </c>
      <c r="Y533" s="110">
        <v>55.0</v>
      </c>
      <c r="Z533" s="110" t="s">
        <v>1938</v>
      </c>
      <c r="AA533" s="114">
        <f t="shared" si="782"/>
        <v>3227.282179</v>
      </c>
      <c r="AB533" s="115"/>
      <c r="AC533" s="116">
        <f t="shared" si="772"/>
        <v>2763.100876</v>
      </c>
      <c r="AD533" s="117">
        <f t="shared" si="783"/>
        <v>2908.527238</v>
      </c>
      <c r="AE533" s="116"/>
      <c r="AF533" s="116" t="str">
        <f t="shared" si="94"/>
        <v>#REF!</v>
      </c>
      <c r="AG533" s="210" t="str">
        <f t="shared" si="95"/>
        <v>#REF!</v>
      </c>
      <c r="AH533" s="120" t="str">
        <f t="shared" si="96"/>
        <v>#REF!</v>
      </c>
      <c r="AI533" s="121">
        <f t="shared" si="497"/>
        <v>0.1</v>
      </c>
      <c r="AJ533" s="121">
        <v>0.1</v>
      </c>
      <c r="AK533" s="122">
        <v>0.28</v>
      </c>
      <c r="AL533" s="123">
        <f t="shared" si="11"/>
        <v>773.6682453</v>
      </c>
      <c r="AM533" s="122" t="s">
        <v>10</v>
      </c>
      <c r="AN533" s="125">
        <f t="shared" si="774"/>
        <v>2763.100876</v>
      </c>
      <c r="AO533" s="112">
        <f t="shared" si="775"/>
        <v>0.28</v>
      </c>
      <c r="AP533" s="127"/>
      <c r="AQ533" s="128">
        <f t="shared" si="771"/>
        <v>2510.108362</v>
      </c>
      <c r="AR533" s="125">
        <f t="shared" si="776"/>
        <v>2210.480701</v>
      </c>
      <c r="AS533" s="126">
        <f t="shared" si="733"/>
        <v>0.2222222222</v>
      </c>
      <c r="AT533" s="126">
        <f t="shared" si="777"/>
        <v>0.2</v>
      </c>
      <c r="AU533" s="129"/>
      <c r="AV533" s="39" t="s">
        <v>1956</v>
      </c>
      <c r="AW533" s="130"/>
      <c r="AX533" s="130"/>
      <c r="AY533" s="130"/>
      <c r="AZ533" s="130"/>
      <c r="BA533" s="130">
        <v>15520.0</v>
      </c>
      <c r="BB533" s="130">
        <f t="shared" si="735"/>
        <v>15520</v>
      </c>
      <c r="BC533" s="131">
        <f t="shared" si="736"/>
        <v>2259.097525</v>
      </c>
      <c r="BD533" s="132">
        <f t="shared" si="778"/>
        <v>1989.432631</v>
      </c>
      <c r="BE533" s="39"/>
      <c r="BF533" s="134">
        <v>8.5447E9</v>
      </c>
      <c r="BG533" s="49"/>
      <c r="BH533" s="116">
        <f t="shared" si="714"/>
        <v>9210.336254</v>
      </c>
      <c r="BI533" s="116">
        <f t="shared" si="715"/>
        <v>5526.201752</v>
      </c>
      <c r="BJ533" s="116">
        <f t="shared" si="716"/>
        <v>4605.168127</v>
      </c>
      <c r="BK533" s="116">
        <f t="shared" si="717"/>
        <v>3684.134502</v>
      </c>
      <c r="BL533" s="49"/>
      <c r="BM533" s="49"/>
      <c r="BN533" s="49"/>
      <c r="BO533" s="49"/>
      <c r="BP533" s="49"/>
      <c r="BQ533" s="49"/>
      <c r="BR533" s="49"/>
      <c r="BS533" s="49"/>
      <c r="BT533" s="49"/>
      <c r="BU533" s="49"/>
      <c r="BV533" s="49"/>
      <c r="BW533" s="49"/>
      <c r="BX533" s="49"/>
      <c r="BY533" s="49"/>
      <c r="BZ533" s="49"/>
      <c r="CA533" s="49"/>
      <c r="CB533" s="49"/>
      <c r="CC533" s="49"/>
      <c r="CD533" s="49"/>
      <c r="CE533" s="49"/>
      <c r="CF533" s="49"/>
    </row>
    <row r="534" ht="14.25" customHeight="1">
      <c r="A534" s="103" t="s">
        <v>84</v>
      </c>
      <c r="B534" s="103" t="s">
        <v>85</v>
      </c>
      <c r="C534" s="103" t="s">
        <v>85</v>
      </c>
      <c r="D534" s="103" t="s">
        <v>1266</v>
      </c>
      <c r="E534" s="103" t="s">
        <v>1948</v>
      </c>
      <c r="F534" s="104" t="s">
        <v>2045</v>
      </c>
      <c r="G534" s="110" t="s">
        <v>1319</v>
      </c>
      <c r="H534" s="390" t="s">
        <v>2031</v>
      </c>
      <c r="I534" s="391" t="s">
        <v>2050</v>
      </c>
      <c r="J534" s="220" t="s">
        <v>2051</v>
      </c>
      <c r="K534" s="220" t="str">
        <f>_xlfn.XLOOKUP(J534,[1]Sheet1!$A:$A,[1]Sheet1!$B:$B,"")</f>
        <v>#ERROR!</v>
      </c>
      <c r="L534" s="103" t="s">
        <v>2052</v>
      </c>
      <c r="M534" s="103" t="s">
        <v>2053</v>
      </c>
      <c r="N534" s="110" t="s">
        <v>106</v>
      </c>
      <c r="O534" s="104" t="s">
        <v>95</v>
      </c>
      <c r="P534" s="110"/>
      <c r="Q534" s="104" t="s">
        <v>480</v>
      </c>
      <c r="R534" s="110" t="s">
        <v>1955</v>
      </c>
      <c r="S534" s="110">
        <v>4.0</v>
      </c>
      <c r="T534" s="110" t="e">
        <v>#N/A</v>
      </c>
      <c r="U534" s="110">
        <v>8.5447E9</v>
      </c>
      <c r="V534" s="112">
        <v>0.0</v>
      </c>
      <c r="W534" s="113">
        <v>30.0</v>
      </c>
      <c r="X534" s="110">
        <v>45.0</v>
      </c>
      <c r="Y534" s="110">
        <v>55.0</v>
      </c>
      <c r="Z534" s="110" t="s">
        <v>1938</v>
      </c>
      <c r="AA534" s="114">
        <f t="shared" si="782"/>
        <v>6261.80079</v>
      </c>
      <c r="AB534" s="115"/>
      <c r="AC534" s="116">
        <f t="shared" si="772"/>
        <v>5328.515161</v>
      </c>
      <c r="AD534" s="117">
        <f t="shared" si="783"/>
        <v>5608.963327</v>
      </c>
      <c r="AE534" s="116"/>
      <c r="AF534" s="116" t="str">
        <f t="shared" si="94"/>
        <v>#REF!</v>
      </c>
      <c r="AG534" s="210" t="str">
        <f t="shared" si="95"/>
        <v>#REF!</v>
      </c>
      <c r="AH534" s="120" t="str">
        <f t="shared" si="96"/>
        <v>#REF!</v>
      </c>
      <c r="AI534" s="121">
        <f t="shared" si="497"/>
        <v>0.1</v>
      </c>
      <c r="AJ534" s="121">
        <v>0.1</v>
      </c>
      <c r="AK534" s="122">
        <v>0.28</v>
      </c>
      <c r="AL534" s="123">
        <f t="shared" si="11"/>
        <v>1491.984245</v>
      </c>
      <c r="AM534" s="122" t="s">
        <v>10</v>
      </c>
      <c r="AN534" s="125">
        <f t="shared" si="774"/>
        <v>5328.515161</v>
      </c>
      <c r="AO534" s="112">
        <f t="shared" si="775"/>
        <v>0.28</v>
      </c>
      <c r="AP534" s="127"/>
      <c r="AQ534" s="128">
        <f t="shared" si="771"/>
        <v>4870.289503</v>
      </c>
      <c r="AR534" s="125">
        <f t="shared" si="776"/>
        <v>4262.812129</v>
      </c>
      <c r="AS534" s="126">
        <f t="shared" si="733"/>
        <v>0.2222222222</v>
      </c>
      <c r="AT534" s="126">
        <f t="shared" si="777"/>
        <v>0.2</v>
      </c>
      <c r="AU534" s="129"/>
      <c r="AV534" s="39" t="s">
        <v>1956</v>
      </c>
      <c r="AW534" s="130"/>
      <c r="AX534" s="130"/>
      <c r="AY534" s="130"/>
      <c r="AZ534" s="130"/>
      <c r="BA534" s="130">
        <v>30113.0</v>
      </c>
      <c r="BB534" s="130">
        <f t="shared" si="735"/>
        <v>30113</v>
      </c>
      <c r="BC534" s="131">
        <f t="shared" si="736"/>
        <v>4383.260553</v>
      </c>
      <c r="BD534" s="132">
        <f t="shared" si="778"/>
        <v>3836.530916</v>
      </c>
      <c r="BE534" s="39"/>
      <c r="BF534" s="134">
        <v>8.5447E9</v>
      </c>
      <c r="BG534" s="49"/>
      <c r="BH534" s="116">
        <f t="shared" si="714"/>
        <v>17761.7172</v>
      </c>
      <c r="BI534" s="116">
        <f t="shared" si="715"/>
        <v>10657.03032</v>
      </c>
      <c r="BJ534" s="116">
        <f t="shared" si="716"/>
        <v>8880.858601</v>
      </c>
      <c r="BK534" s="116">
        <f t="shared" si="717"/>
        <v>7104.686881</v>
      </c>
      <c r="BL534" s="49"/>
      <c r="BM534" s="49"/>
      <c r="BN534" s="49"/>
      <c r="BO534" s="49"/>
      <c r="BP534" s="49"/>
      <c r="BQ534" s="49"/>
      <c r="BR534" s="49"/>
      <c r="BS534" s="49"/>
      <c r="BT534" s="49"/>
      <c r="BU534" s="49"/>
      <c r="BV534" s="49"/>
      <c r="BW534" s="49"/>
      <c r="BX534" s="49"/>
      <c r="BY534" s="49"/>
      <c r="BZ534" s="49"/>
      <c r="CA534" s="49"/>
      <c r="CB534" s="49"/>
      <c r="CC534" s="49"/>
      <c r="CD534" s="49"/>
      <c r="CE534" s="49"/>
      <c r="CF534" s="49"/>
    </row>
    <row r="535" ht="14.25" customHeight="1">
      <c r="A535" s="103" t="s">
        <v>84</v>
      </c>
      <c r="B535" s="103" t="s">
        <v>85</v>
      </c>
      <c r="C535" s="103" t="s">
        <v>85</v>
      </c>
      <c r="D535" s="103" t="s">
        <v>1266</v>
      </c>
      <c r="E535" s="103" t="s">
        <v>1948</v>
      </c>
      <c r="F535" s="104" t="s">
        <v>1949</v>
      </c>
      <c r="G535" s="110" t="s">
        <v>1395</v>
      </c>
      <c r="H535" s="390" t="s">
        <v>1950</v>
      </c>
      <c r="I535" s="391" t="s">
        <v>2054</v>
      </c>
      <c r="J535" s="220" t="s">
        <v>2055</v>
      </c>
      <c r="K535" s="220" t="str">
        <f>_xlfn.XLOOKUP(J535,[1]Sheet1!$A:$A,[1]Sheet1!$B:$B,"")</f>
        <v>#ERROR!</v>
      </c>
      <c r="L535" s="103" t="s">
        <v>2056</v>
      </c>
      <c r="M535" s="103" t="s">
        <v>2057</v>
      </c>
      <c r="N535" s="110" t="s">
        <v>106</v>
      </c>
      <c r="O535" s="104" t="s">
        <v>95</v>
      </c>
      <c r="P535" s="110"/>
      <c r="Q535" s="104" t="s">
        <v>480</v>
      </c>
      <c r="R535" s="110" t="s">
        <v>1955</v>
      </c>
      <c r="S535" s="110">
        <v>4.0</v>
      </c>
      <c r="T535" s="110" t="e">
        <v>#N/A</v>
      </c>
      <c r="U535" s="110">
        <v>8.5447E9</v>
      </c>
      <c r="V535" s="112">
        <v>0.0</v>
      </c>
      <c r="W535" s="113">
        <v>30.0</v>
      </c>
      <c r="X535" s="110">
        <v>45.0</v>
      </c>
      <c r="Y535" s="110">
        <v>55.0</v>
      </c>
      <c r="Z535" s="110" t="s">
        <v>1938</v>
      </c>
      <c r="AA535" s="114">
        <f t="shared" si="782"/>
        <v>910.2799401</v>
      </c>
      <c r="AB535" s="115"/>
      <c r="AC535" s="116">
        <f t="shared" si="772"/>
        <v>804.4619212</v>
      </c>
      <c r="AD535" s="117">
        <f t="shared" si="783"/>
        <v>846.8020223</v>
      </c>
      <c r="AE535" s="116"/>
      <c r="AF535" s="116" t="str">
        <f t="shared" si="94"/>
        <v>#REF!</v>
      </c>
      <c r="AG535" s="210" t="str">
        <f t="shared" si="95"/>
        <v>#REF!</v>
      </c>
      <c r="AH535" s="120" t="str">
        <f t="shared" si="96"/>
        <v>#REF!</v>
      </c>
      <c r="AI535" s="121">
        <f t="shared" si="497"/>
        <v>0.1</v>
      </c>
      <c r="AJ535" s="121">
        <v>0.1</v>
      </c>
      <c r="AK535" s="122">
        <v>0.29</v>
      </c>
      <c r="AL535" s="123">
        <f t="shared" si="11"/>
        <v>233.2939571</v>
      </c>
      <c r="AM535" s="122" t="s">
        <v>10</v>
      </c>
      <c r="AN535" s="125">
        <f t="shared" si="774"/>
        <v>804.4619212</v>
      </c>
      <c r="AO535" s="112">
        <f t="shared" si="775"/>
        <v>0.29</v>
      </c>
      <c r="AP535" s="127"/>
      <c r="AQ535" s="128">
        <f t="shared" si="771"/>
        <v>697.8812874</v>
      </c>
      <c r="AR535" s="125">
        <f t="shared" si="776"/>
        <v>634.6310712</v>
      </c>
      <c r="AS535" s="126">
        <f t="shared" si="733"/>
        <v>0.2333333333</v>
      </c>
      <c r="AT535" s="126">
        <f t="shared" si="777"/>
        <v>0.2111111111</v>
      </c>
      <c r="AU535" s="129"/>
      <c r="AV535" s="39" t="s">
        <v>1956</v>
      </c>
      <c r="AW535" s="130"/>
      <c r="AX535" s="130"/>
      <c r="AY535" s="130"/>
      <c r="AZ535" s="130"/>
      <c r="BA535" s="130">
        <v>4315.0</v>
      </c>
      <c r="BB535" s="130">
        <f t="shared" si="735"/>
        <v>4315</v>
      </c>
      <c r="BC535" s="131">
        <f t="shared" si="736"/>
        <v>628.0931587</v>
      </c>
      <c r="BD535" s="132">
        <f t="shared" si="778"/>
        <v>571.1679641</v>
      </c>
      <c r="BE535" s="39"/>
      <c r="BF535" s="134">
        <v>8.5447E9</v>
      </c>
      <c r="BG535" s="49"/>
      <c r="BH535" s="116">
        <f t="shared" si="714"/>
        <v>2681.539737</v>
      </c>
      <c r="BI535" s="116">
        <f t="shared" si="715"/>
        <v>1608.923842</v>
      </c>
      <c r="BJ535" s="116">
        <f t="shared" si="716"/>
        <v>1340.769869</v>
      </c>
      <c r="BK535" s="116">
        <f t="shared" si="717"/>
        <v>1072.615895</v>
      </c>
      <c r="BL535" s="49"/>
      <c r="BM535" s="49"/>
      <c r="BN535" s="49"/>
      <c r="BO535" s="49"/>
      <c r="BP535" s="49"/>
      <c r="BQ535" s="49"/>
      <c r="BR535" s="49"/>
      <c r="BS535" s="49"/>
      <c r="BT535" s="49"/>
      <c r="BU535" s="49"/>
      <c r="BV535" s="49"/>
      <c r="BW535" s="49"/>
      <c r="BX535" s="49"/>
      <c r="BY535" s="49"/>
      <c r="BZ535" s="49"/>
      <c r="CA535" s="49"/>
      <c r="CB535" s="49"/>
      <c r="CC535" s="49"/>
      <c r="CD535" s="49"/>
      <c r="CE535" s="49"/>
      <c r="CF535" s="49"/>
    </row>
    <row r="536" ht="14.25" customHeight="1">
      <c r="A536" s="103" t="s">
        <v>84</v>
      </c>
      <c r="B536" s="103" t="s">
        <v>85</v>
      </c>
      <c r="C536" s="103" t="s">
        <v>85</v>
      </c>
      <c r="D536" s="103" t="s">
        <v>1266</v>
      </c>
      <c r="E536" s="103" t="s">
        <v>1948</v>
      </c>
      <c r="F536" s="104" t="s">
        <v>1949</v>
      </c>
      <c r="G536" s="110" t="s">
        <v>1395</v>
      </c>
      <c r="H536" s="390" t="s">
        <v>1957</v>
      </c>
      <c r="I536" s="391" t="s">
        <v>2058</v>
      </c>
      <c r="J536" s="220" t="s">
        <v>2059</v>
      </c>
      <c r="K536" s="220" t="str">
        <f>_xlfn.XLOOKUP(J536,[1]Sheet1!$A:$A,[1]Sheet1!$B:$B,"")</f>
        <v>#ERROR!</v>
      </c>
      <c r="L536" s="103" t="s">
        <v>2060</v>
      </c>
      <c r="M536" s="103" t="s">
        <v>2061</v>
      </c>
      <c r="N536" s="110" t="s">
        <v>106</v>
      </c>
      <c r="O536" s="104" t="s">
        <v>95</v>
      </c>
      <c r="P536" s="110"/>
      <c r="Q536" s="104" t="s">
        <v>480</v>
      </c>
      <c r="R536" s="110" t="s">
        <v>1955</v>
      </c>
      <c r="S536" s="110">
        <v>4.0</v>
      </c>
      <c r="T536" s="110" t="e">
        <v>#N/A</v>
      </c>
      <c r="U536" s="110">
        <v>8.5447E9</v>
      </c>
      <c r="V536" s="112">
        <v>0.0</v>
      </c>
      <c r="W536" s="113">
        <v>30.0</v>
      </c>
      <c r="X536" s="110">
        <v>45.0</v>
      </c>
      <c r="Y536" s="110">
        <v>55.0</v>
      </c>
      <c r="Z536" s="110" t="s">
        <v>1938</v>
      </c>
      <c r="AA536" s="114">
        <f t="shared" si="782"/>
        <v>1131.573951</v>
      </c>
      <c r="AB536" s="115"/>
      <c r="AC536" s="116">
        <f t="shared" si="772"/>
        <v>991.4709445</v>
      </c>
      <c r="AD536" s="117">
        <f t="shared" si="783"/>
        <v>1043.653626</v>
      </c>
      <c r="AE536" s="116"/>
      <c r="AF536" s="116" t="str">
        <f t="shared" si="94"/>
        <v>#REF!</v>
      </c>
      <c r="AG536" s="210" t="str">
        <f t="shared" si="95"/>
        <v>#REF!</v>
      </c>
      <c r="AH536" s="120" t="str">
        <f t="shared" si="96"/>
        <v>#REF!</v>
      </c>
      <c r="AI536" s="121">
        <f t="shared" si="497"/>
        <v>0.1</v>
      </c>
      <c r="AJ536" s="121">
        <v>0.1</v>
      </c>
      <c r="AK536" s="122">
        <v>0.29</v>
      </c>
      <c r="AL536" s="123">
        <f t="shared" si="11"/>
        <v>287.5265739</v>
      </c>
      <c r="AM536" s="122" t="s">
        <v>10</v>
      </c>
      <c r="AN536" s="125">
        <f t="shared" si="774"/>
        <v>991.4709445</v>
      </c>
      <c r="AO536" s="112">
        <f t="shared" si="775"/>
        <v>0.29</v>
      </c>
      <c r="AP536" s="127"/>
      <c r="AQ536" s="128">
        <f t="shared" si="771"/>
        <v>867.5400291</v>
      </c>
      <c r="AR536" s="125">
        <f t="shared" si="776"/>
        <v>782.1604118</v>
      </c>
      <c r="AS536" s="126">
        <f t="shared" si="733"/>
        <v>0.2333333333</v>
      </c>
      <c r="AT536" s="126">
        <f t="shared" si="777"/>
        <v>0.2111111111</v>
      </c>
      <c r="AU536" s="129"/>
      <c r="AV536" s="39" t="s">
        <v>1956</v>
      </c>
      <c r="AW536" s="130"/>
      <c r="AX536" s="130"/>
      <c r="AY536" s="130"/>
      <c r="AZ536" s="130"/>
      <c r="BA536" s="130">
        <v>5364.0</v>
      </c>
      <c r="BB536" s="130">
        <f t="shared" si="735"/>
        <v>5364</v>
      </c>
      <c r="BC536" s="131">
        <f t="shared" si="736"/>
        <v>780.7860262</v>
      </c>
      <c r="BD536" s="132">
        <f t="shared" si="778"/>
        <v>703.9443706</v>
      </c>
      <c r="BE536" s="39"/>
      <c r="BF536" s="134">
        <v>8.5447E9</v>
      </c>
      <c r="BG536" s="49"/>
      <c r="BH536" s="116">
        <f t="shared" si="714"/>
        <v>3304.903148</v>
      </c>
      <c r="BI536" s="116">
        <f t="shared" si="715"/>
        <v>1982.941889</v>
      </c>
      <c r="BJ536" s="116">
        <f t="shared" si="716"/>
        <v>1652.451574</v>
      </c>
      <c r="BK536" s="116">
        <f t="shared" si="717"/>
        <v>1321.961259</v>
      </c>
      <c r="BL536" s="49"/>
      <c r="BM536" s="49"/>
      <c r="BN536" s="49"/>
      <c r="BO536" s="49"/>
      <c r="BP536" s="49"/>
      <c r="BQ536" s="49"/>
      <c r="BR536" s="49"/>
      <c r="BS536" s="49"/>
      <c r="BT536" s="49"/>
      <c r="BU536" s="49"/>
      <c r="BV536" s="49"/>
      <c r="BW536" s="49"/>
      <c r="BX536" s="49"/>
      <c r="BY536" s="49"/>
      <c r="BZ536" s="49"/>
      <c r="CA536" s="49"/>
      <c r="CB536" s="49"/>
      <c r="CC536" s="49"/>
      <c r="CD536" s="49"/>
      <c r="CE536" s="49"/>
      <c r="CF536" s="49"/>
    </row>
    <row r="537" ht="14.25" customHeight="1">
      <c r="A537" s="103" t="s">
        <v>84</v>
      </c>
      <c r="B537" s="103" t="s">
        <v>85</v>
      </c>
      <c r="C537" s="103" t="s">
        <v>85</v>
      </c>
      <c r="D537" s="103" t="s">
        <v>1266</v>
      </c>
      <c r="E537" s="103" t="s">
        <v>1948</v>
      </c>
      <c r="F537" s="104" t="s">
        <v>1949</v>
      </c>
      <c r="G537" s="110" t="s">
        <v>1395</v>
      </c>
      <c r="H537" s="390" t="s">
        <v>1962</v>
      </c>
      <c r="I537" s="391" t="s">
        <v>2062</v>
      </c>
      <c r="J537" s="220" t="s">
        <v>2063</v>
      </c>
      <c r="K537" s="220" t="str">
        <f>_xlfn.XLOOKUP(J537,[1]Sheet1!$A:$A,[1]Sheet1!$B:$B,"")</f>
        <v>#ERROR!</v>
      </c>
      <c r="L537" s="103" t="s">
        <v>2064</v>
      </c>
      <c r="M537" s="103" t="s">
        <v>2065</v>
      </c>
      <c r="N537" s="110" t="s">
        <v>106</v>
      </c>
      <c r="O537" s="104" t="s">
        <v>95</v>
      </c>
      <c r="P537" s="110"/>
      <c r="Q537" s="104" t="s">
        <v>480</v>
      </c>
      <c r="R537" s="110" t="s">
        <v>1955</v>
      </c>
      <c r="S537" s="110">
        <v>4.0</v>
      </c>
      <c r="T537" s="110" t="e">
        <v>#N/A</v>
      </c>
      <c r="U537" s="110">
        <v>8.5447E9</v>
      </c>
      <c r="V537" s="112">
        <v>0.0</v>
      </c>
      <c r="W537" s="113">
        <v>30.0</v>
      </c>
      <c r="X537" s="110">
        <v>45.0</v>
      </c>
      <c r="Y537" s="110">
        <v>55.0</v>
      </c>
      <c r="Z537" s="110" t="s">
        <v>1938</v>
      </c>
      <c r="AA537" s="114">
        <f t="shared" si="782"/>
        <v>1577.959201</v>
      </c>
      <c r="AB537" s="115"/>
      <c r="AC537" s="116">
        <f t="shared" si="772"/>
        <v>1368.697916</v>
      </c>
      <c r="AD537" s="117">
        <f t="shared" si="783"/>
        <v>1440.734649</v>
      </c>
      <c r="AE537" s="116"/>
      <c r="AF537" s="116" t="str">
        <f t="shared" si="94"/>
        <v>#REF!</v>
      </c>
      <c r="AG537" s="210" t="str">
        <f t="shared" si="95"/>
        <v>#REF!</v>
      </c>
      <c r="AH537" s="120" t="str">
        <f t="shared" si="96"/>
        <v>#REF!</v>
      </c>
      <c r="AI537" s="121">
        <f t="shared" si="497"/>
        <v>0.1</v>
      </c>
      <c r="AJ537" s="121">
        <v>0.1</v>
      </c>
      <c r="AK537" s="122">
        <v>0.29</v>
      </c>
      <c r="AL537" s="123">
        <f t="shared" si="11"/>
        <v>396.9223957</v>
      </c>
      <c r="AM537" s="122" t="s">
        <v>10</v>
      </c>
      <c r="AN537" s="125">
        <f t="shared" si="774"/>
        <v>1368.697916</v>
      </c>
      <c r="AO537" s="112">
        <f t="shared" si="775"/>
        <v>0.29</v>
      </c>
      <c r="AP537" s="127"/>
      <c r="AQ537" s="128">
        <f t="shared" si="771"/>
        <v>1209.768721</v>
      </c>
      <c r="AR537" s="125">
        <f t="shared" si="776"/>
        <v>1079.750578</v>
      </c>
      <c r="AS537" s="126">
        <f t="shared" si="733"/>
        <v>0.2333333333</v>
      </c>
      <c r="AT537" s="126">
        <f t="shared" si="777"/>
        <v>0.2111111111</v>
      </c>
      <c r="AU537" s="129"/>
      <c r="AV537" s="39" t="s">
        <v>1956</v>
      </c>
      <c r="AW537" s="130"/>
      <c r="AX537" s="130"/>
      <c r="AY537" s="130"/>
      <c r="AZ537" s="130"/>
      <c r="BA537" s="130">
        <v>7480.0</v>
      </c>
      <c r="BB537" s="130">
        <f t="shared" si="735"/>
        <v>7480</v>
      </c>
      <c r="BC537" s="131">
        <f t="shared" si="736"/>
        <v>1088.791849</v>
      </c>
      <c r="BD537" s="132">
        <f t="shared" si="778"/>
        <v>971.7755205</v>
      </c>
      <c r="BE537" s="39"/>
      <c r="BF537" s="134">
        <v>8.5447E9</v>
      </c>
      <c r="BG537" s="49"/>
      <c r="BH537" s="116">
        <f t="shared" si="714"/>
        <v>4562.326387</v>
      </c>
      <c r="BI537" s="116">
        <f t="shared" si="715"/>
        <v>2737.395832</v>
      </c>
      <c r="BJ537" s="116">
        <f t="shared" si="716"/>
        <v>2281.163194</v>
      </c>
      <c r="BK537" s="116">
        <f t="shared" si="717"/>
        <v>1824.930555</v>
      </c>
      <c r="BL537" s="49"/>
      <c r="BM537" s="49"/>
      <c r="BN537" s="49"/>
      <c r="BO537" s="49"/>
      <c r="BP537" s="49"/>
      <c r="BQ537" s="49"/>
      <c r="BR537" s="49"/>
      <c r="BS537" s="49"/>
      <c r="BT537" s="49"/>
      <c r="BU537" s="49"/>
      <c r="BV537" s="49"/>
      <c r="BW537" s="49"/>
      <c r="BX537" s="49"/>
      <c r="BY537" s="49"/>
      <c r="BZ537" s="49"/>
      <c r="CA537" s="49"/>
      <c r="CB537" s="49"/>
      <c r="CC537" s="49"/>
      <c r="CD537" s="49"/>
      <c r="CE537" s="49"/>
      <c r="CF537" s="49"/>
    </row>
    <row r="538" ht="14.25" customHeight="1">
      <c r="A538" s="103" t="s">
        <v>84</v>
      </c>
      <c r="B538" s="103" t="s">
        <v>85</v>
      </c>
      <c r="C538" s="103" t="s">
        <v>85</v>
      </c>
      <c r="D538" s="103" t="s">
        <v>1266</v>
      </c>
      <c r="E538" s="103" t="s">
        <v>1948</v>
      </c>
      <c r="F538" s="104" t="s">
        <v>1949</v>
      </c>
      <c r="G538" s="110" t="s">
        <v>1395</v>
      </c>
      <c r="H538" s="390" t="s">
        <v>1967</v>
      </c>
      <c r="I538" s="391" t="s">
        <v>2066</v>
      </c>
      <c r="J538" s="220" t="s">
        <v>2067</v>
      </c>
      <c r="K538" s="220" t="str">
        <f>_xlfn.XLOOKUP(J538,[1]Sheet1!$A:$A,[1]Sheet1!$B:$B,"")</f>
        <v>#ERROR!</v>
      </c>
      <c r="L538" s="103" t="s">
        <v>2068</v>
      </c>
      <c r="M538" s="103" t="s">
        <v>2069</v>
      </c>
      <c r="N538" s="110" t="s">
        <v>106</v>
      </c>
      <c r="O538" s="104" t="s">
        <v>95</v>
      </c>
      <c r="P538" s="110"/>
      <c r="Q538" s="104" t="s">
        <v>480</v>
      </c>
      <c r="R538" s="110" t="s">
        <v>1955</v>
      </c>
      <c r="S538" s="110">
        <v>4.0</v>
      </c>
      <c r="T538" s="110" t="e">
        <v>#N/A</v>
      </c>
      <c r="U538" s="110">
        <v>8.5447E9</v>
      </c>
      <c r="V538" s="112">
        <v>0.0</v>
      </c>
      <c r="W538" s="113">
        <v>30.0</v>
      </c>
      <c r="X538" s="110">
        <v>45.0</v>
      </c>
      <c r="Y538" s="110">
        <v>55.0</v>
      </c>
      <c r="Z538" s="110" t="s">
        <v>1938</v>
      </c>
      <c r="AA538" s="114">
        <f t="shared" si="782"/>
        <v>2978.081556</v>
      </c>
      <c r="AB538" s="115"/>
      <c r="AC538" s="116">
        <f t="shared" si="772"/>
        <v>2551.899906</v>
      </c>
      <c r="AD538" s="117">
        <f t="shared" si="783"/>
        <v>2686.210428</v>
      </c>
      <c r="AE538" s="116"/>
      <c r="AF538" s="116" t="str">
        <f t="shared" si="94"/>
        <v>#REF!</v>
      </c>
      <c r="AG538" s="210" t="str">
        <f t="shared" si="95"/>
        <v>#REF!</v>
      </c>
      <c r="AH538" s="120" t="str">
        <f t="shared" si="96"/>
        <v>#REF!</v>
      </c>
      <c r="AI538" s="121">
        <f t="shared" si="497"/>
        <v>0.1</v>
      </c>
      <c r="AJ538" s="121">
        <v>0.1</v>
      </c>
      <c r="AK538" s="122">
        <v>0.29</v>
      </c>
      <c r="AL538" s="123">
        <f t="shared" si="11"/>
        <v>740.0509729</v>
      </c>
      <c r="AM538" s="122" t="s">
        <v>10</v>
      </c>
      <c r="AN538" s="125">
        <f t="shared" si="774"/>
        <v>2551.899906</v>
      </c>
      <c r="AO538" s="112">
        <f t="shared" si="775"/>
        <v>0.29</v>
      </c>
      <c r="AP538" s="127"/>
      <c r="AQ538" s="128">
        <f t="shared" si="771"/>
        <v>2283.19586</v>
      </c>
      <c r="AR538" s="125">
        <f t="shared" si="776"/>
        <v>2013.165482</v>
      </c>
      <c r="AS538" s="126">
        <f t="shared" si="733"/>
        <v>0.2333333333</v>
      </c>
      <c r="AT538" s="126">
        <f t="shared" si="777"/>
        <v>0.2111111111</v>
      </c>
      <c r="AU538" s="129"/>
      <c r="AV538" s="39" t="s">
        <v>1956</v>
      </c>
      <c r="AW538" s="130"/>
      <c r="AX538" s="130"/>
      <c r="AY538" s="130"/>
      <c r="AZ538" s="130"/>
      <c r="BA538" s="130">
        <v>14117.0</v>
      </c>
      <c r="BB538" s="130">
        <f t="shared" si="735"/>
        <v>14117</v>
      </c>
      <c r="BC538" s="131">
        <f t="shared" si="736"/>
        <v>2054.876274</v>
      </c>
      <c r="BD538" s="132">
        <f t="shared" si="778"/>
        <v>1811.848934</v>
      </c>
      <c r="BE538" s="39"/>
      <c r="BF538" s="134">
        <v>8.5447E9</v>
      </c>
      <c r="BG538" s="49"/>
      <c r="BH538" s="116">
        <f t="shared" si="714"/>
        <v>8506.333022</v>
      </c>
      <c r="BI538" s="116">
        <f t="shared" si="715"/>
        <v>5103.799813</v>
      </c>
      <c r="BJ538" s="116">
        <f t="shared" si="716"/>
        <v>4253.166511</v>
      </c>
      <c r="BK538" s="116">
        <f t="shared" si="717"/>
        <v>3402.533209</v>
      </c>
      <c r="BL538" s="49"/>
      <c r="BM538" s="49"/>
      <c r="BN538" s="49"/>
      <c r="BO538" s="49"/>
      <c r="BP538" s="49"/>
      <c r="BQ538" s="49"/>
      <c r="BR538" s="49"/>
      <c r="BS538" s="49"/>
      <c r="BT538" s="49"/>
      <c r="BU538" s="49"/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</row>
    <row r="539" ht="14.25" customHeight="1">
      <c r="A539" s="103" t="s">
        <v>84</v>
      </c>
      <c r="B539" s="103" t="s">
        <v>85</v>
      </c>
      <c r="C539" s="103" t="s">
        <v>85</v>
      </c>
      <c r="D539" s="103" t="s">
        <v>1266</v>
      </c>
      <c r="E539" s="103" t="s">
        <v>1948</v>
      </c>
      <c r="F539" s="104" t="s">
        <v>2025</v>
      </c>
      <c r="G539" s="110" t="s">
        <v>1395</v>
      </c>
      <c r="H539" s="390" t="s">
        <v>2026</v>
      </c>
      <c r="I539" s="391" t="s">
        <v>2070</v>
      </c>
      <c r="J539" s="220" t="s">
        <v>2071</v>
      </c>
      <c r="K539" s="220" t="str">
        <f>_xlfn.XLOOKUP(J539,[1]Sheet1!$A:$A,[1]Sheet1!$B:$B,"")</f>
        <v>#ERROR!</v>
      </c>
      <c r="L539" s="103" t="s">
        <v>2072</v>
      </c>
      <c r="M539" s="103" t="s">
        <v>2073</v>
      </c>
      <c r="N539" s="110" t="s">
        <v>106</v>
      </c>
      <c r="O539" s="104" t="s">
        <v>95</v>
      </c>
      <c r="P539" s="110"/>
      <c r="Q539" s="104" t="s">
        <v>480</v>
      </c>
      <c r="R539" s="110" t="s">
        <v>1955</v>
      </c>
      <c r="S539" s="110">
        <v>4.0</v>
      </c>
      <c r="T539" s="110" t="e">
        <v>#N/A</v>
      </c>
      <c r="U539" s="110">
        <v>8.5447E9</v>
      </c>
      <c r="V539" s="112">
        <v>0.0</v>
      </c>
      <c r="W539" s="113">
        <v>30.0</v>
      </c>
      <c r="X539" s="110">
        <v>45.0</v>
      </c>
      <c r="Y539" s="110">
        <v>55.0</v>
      </c>
      <c r="Z539" s="110" t="s">
        <v>1938</v>
      </c>
      <c r="AA539" s="114">
        <f t="shared" si="782"/>
        <v>6442.630213</v>
      </c>
      <c r="AB539" s="115"/>
      <c r="AC539" s="116">
        <f t="shared" si="772"/>
        <v>5479.687504</v>
      </c>
      <c r="AD539" s="117">
        <f t="shared" si="783"/>
        <v>5768.09211</v>
      </c>
      <c r="AE539" s="116"/>
      <c r="AF539" s="116" t="str">
        <f t="shared" si="94"/>
        <v>#REF!</v>
      </c>
      <c r="AG539" s="210" t="str">
        <f t="shared" si="95"/>
        <v>#REF!</v>
      </c>
      <c r="AH539" s="120" t="str">
        <f t="shared" si="96"/>
        <v>#REF!</v>
      </c>
      <c r="AI539" s="121">
        <f t="shared" si="497"/>
        <v>0.1</v>
      </c>
      <c r="AJ539" s="121">
        <v>0.1</v>
      </c>
      <c r="AK539" s="122">
        <v>0.29</v>
      </c>
      <c r="AL539" s="123">
        <f t="shared" si="11"/>
        <v>1589.109376</v>
      </c>
      <c r="AM539" s="122" t="s">
        <v>10</v>
      </c>
      <c r="AN539" s="125">
        <f t="shared" si="774"/>
        <v>5479.687504</v>
      </c>
      <c r="AO539" s="112">
        <f t="shared" si="775"/>
        <v>0.29</v>
      </c>
      <c r="AP539" s="127"/>
      <c r="AQ539" s="128">
        <f t="shared" si="771"/>
        <v>4939.34983</v>
      </c>
      <c r="AR539" s="125">
        <f t="shared" si="776"/>
        <v>4322.864587</v>
      </c>
      <c r="AS539" s="126">
        <f t="shared" si="733"/>
        <v>0.2333333333</v>
      </c>
      <c r="AT539" s="126">
        <f t="shared" si="777"/>
        <v>0.2111111111</v>
      </c>
      <c r="AU539" s="129"/>
      <c r="AV539" s="39" t="s">
        <v>1956</v>
      </c>
      <c r="AW539" s="130"/>
      <c r="AX539" s="130"/>
      <c r="AY539" s="130"/>
      <c r="AZ539" s="130"/>
      <c r="BA539" s="130">
        <v>30540.0</v>
      </c>
      <c r="BB539" s="130">
        <f t="shared" si="735"/>
        <v>30540</v>
      </c>
      <c r="BC539" s="131">
        <f t="shared" si="736"/>
        <v>4445.414847</v>
      </c>
      <c r="BD539" s="132">
        <f t="shared" si="778"/>
        <v>3890.578128</v>
      </c>
      <c r="BE539" s="39"/>
      <c r="BF539" s="134">
        <v>8.5447E9</v>
      </c>
      <c r="BG539" s="49"/>
      <c r="BH539" s="116">
        <f t="shared" si="714"/>
        <v>18265.62501</v>
      </c>
      <c r="BI539" s="116">
        <f t="shared" si="715"/>
        <v>10959.37501</v>
      </c>
      <c r="BJ539" s="116">
        <f t="shared" si="716"/>
        <v>9132.812507</v>
      </c>
      <c r="BK539" s="116">
        <f t="shared" si="717"/>
        <v>7306.250006</v>
      </c>
      <c r="BL539" s="49"/>
      <c r="BM539" s="49"/>
      <c r="BN539" s="49"/>
      <c r="BO539" s="49"/>
      <c r="BP539" s="49"/>
      <c r="BQ539" s="49"/>
      <c r="BR539" s="49"/>
      <c r="BS539" s="49"/>
      <c r="BT539" s="49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</row>
    <row r="540" ht="14.25" customHeight="1">
      <c r="A540" s="103" t="s">
        <v>84</v>
      </c>
      <c r="B540" s="103" t="s">
        <v>85</v>
      </c>
      <c r="C540" s="103" t="s">
        <v>85</v>
      </c>
      <c r="D540" s="103" t="s">
        <v>1266</v>
      </c>
      <c r="E540" s="103" t="s">
        <v>1948</v>
      </c>
      <c r="F540" s="104" t="s">
        <v>2025</v>
      </c>
      <c r="G540" s="110" t="s">
        <v>1395</v>
      </c>
      <c r="H540" s="390" t="s">
        <v>2031</v>
      </c>
      <c r="I540" s="391" t="s">
        <v>2074</v>
      </c>
      <c r="J540" s="220" t="s">
        <v>2075</v>
      </c>
      <c r="K540" s="220" t="str">
        <f>_xlfn.XLOOKUP(J540,[1]Sheet1!$A:$A,[1]Sheet1!$B:$B,"")</f>
        <v>#ERROR!</v>
      </c>
      <c r="L540" s="103" t="s">
        <v>2076</v>
      </c>
      <c r="M540" s="103" t="s">
        <v>2077</v>
      </c>
      <c r="N540" s="110" t="s">
        <v>106</v>
      </c>
      <c r="O540" s="104" t="s">
        <v>95</v>
      </c>
      <c r="P540" s="110"/>
      <c r="Q540" s="104" t="s">
        <v>480</v>
      </c>
      <c r="R540" s="110" t="s">
        <v>1955</v>
      </c>
      <c r="S540" s="110">
        <v>4.0</v>
      </c>
      <c r="T540" s="110" t="e">
        <v>#N/A</v>
      </c>
      <c r="U540" s="110">
        <v>8.5447E9</v>
      </c>
      <c r="V540" s="112">
        <v>0.0</v>
      </c>
      <c r="W540" s="113">
        <v>30.0</v>
      </c>
      <c r="X540" s="110">
        <v>45.0</v>
      </c>
      <c r="Y540" s="110">
        <v>55.0</v>
      </c>
      <c r="Z540" s="110" t="s">
        <v>1938</v>
      </c>
      <c r="AA540" s="114">
        <f t="shared" si="782"/>
        <v>12123.28334</v>
      </c>
      <c r="AB540" s="115"/>
      <c r="AC540" s="116">
        <f t="shared" si="772"/>
        <v>10280.23944</v>
      </c>
      <c r="AD540" s="117">
        <f t="shared" si="783"/>
        <v>10821.30467</v>
      </c>
      <c r="AE540" s="116"/>
      <c r="AF540" s="116" t="str">
        <f t="shared" si="94"/>
        <v>#REF!</v>
      </c>
      <c r="AG540" s="210" t="str">
        <f t="shared" si="95"/>
        <v>#REF!</v>
      </c>
      <c r="AH540" s="120" t="str">
        <f t="shared" si="96"/>
        <v>#REF!</v>
      </c>
      <c r="AI540" s="121">
        <f t="shared" si="497"/>
        <v>0.1</v>
      </c>
      <c r="AJ540" s="121">
        <v>0.1</v>
      </c>
      <c r="AK540" s="122">
        <v>0.29</v>
      </c>
      <c r="AL540" s="123">
        <f t="shared" si="11"/>
        <v>2981.269437</v>
      </c>
      <c r="AM540" s="122" t="s">
        <v>10</v>
      </c>
      <c r="AN540" s="125">
        <f t="shared" si="774"/>
        <v>10280.23944</v>
      </c>
      <c r="AO540" s="112">
        <f t="shared" si="775"/>
        <v>0.29</v>
      </c>
      <c r="AP540" s="127"/>
      <c r="AQ540" s="128">
        <f t="shared" si="771"/>
        <v>9294.517225</v>
      </c>
      <c r="AR540" s="125">
        <f t="shared" si="776"/>
        <v>8109.966669</v>
      </c>
      <c r="AS540" s="126">
        <f t="shared" si="733"/>
        <v>0.2333333333</v>
      </c>
      <c r="AT540" s="126">
        <f t="shared" si="777"/>
        <v>0.2111111111</v>
      </c>
      <c r="AU540" s="129"/>
      <c r="AV540" s="39" t="s">
        <v>1956</v>
      </c>
      <c r="AW540" s="130"/>
      <c r="AX540" s="130"/>
      <c r="AY540" s="130"/>
      <c r="AZ540" s="130"/>
      <c r="BA540" s="130">
        <v>57468.0</v>
      </c>
      <c r="BB540" s="130">
        <f t="shared" si="735"/>
        <v>57468</v>
      </c>
      <c r="BC540" s="131">
        <f t="shared" si="736"/>
        <v>8365.065502</v>
      </c>
      <c r="BD540" s="132">
        <f t="shared" si="778"/>
        <v>7298.970002</v>
      </c>
      <c r="BE540" s="39"/>
      <c r="BF540" s="134">
        <v>8.5447E9</v>
      </c>
      <c r="BG540" s="49"/>
      <c r="BH540" s="116">
        <f t="shared" si="714"/>
        <v>34267.4648</v>
      </c>
      <c r="BI540" s="116">
        <f t="shared" si="715"/>
        <v>20560.47888</v>
      </c>
      <c r="BJ540" s="116">
        <f t="shared" si="716"/>
        <v>17133.7324</v>
      </c>
      <c r="BK540" s="116">
        <f t="shared" si="717"/>
        <v>13706.98592</v>
      </c>
      <c r="BL540" s="49"/>
      <c r="BM540" s="49"/>
      <c r="BN540" s="49"/>
      <c r="BO540" s="49"/>
      <c r="BP540" s="49"/>
      <c r="BQ540" s="49"/>
      <c r="BR540" s="49"/>
      <c r="BS540" s="49"/>
      <c r="BT540" s="49"/>
      <c r="BU540" s="49"/>
      <c r="BV540" s="49"/>
      <c r="BW540" s="49"/>
      <c r="BX540" s="49"/>
      <c r="BY540" s="49"/>
      <c r="BZ540" s="49"/>
      <c r="CA540" s="49"/>
      <c r="CB540" s="49"/>
      <c r="CC540" s="49"/>
      <c r="CD540" s="49"/>
      <c r="CE540" s="49"/>
      <c r="CF540" s="49"/>
    </row>
    <row r="541" ht="14.25" customHeight="1">
      <c r="A541" s="103" t="s">
        <v>84</v>
      </c>
      <c r="B541" s="103" t="s">
        <v>85</v>
      </c>
      <c r="C541" s="103" t="s">
        <v>85</v>
      </c>
      <c r="D541" s="103" t="s">
        <v>1266</v>
      </c>
      <c r="E541" s="103" t="s">
        <v>1948</v>
      </c>
      <c r="F541" s="104" t="s">
        <v>1972</v>
      </c>
      <c r="G541" s="110" t="s">
        <v>1395</v>
      </c>
      <c r="H541" s="390" t="s">
        <v>1950</v>
      </c>
      <c r="I541" s="391" t="s">
        <v>2078</v>
      </c>
      <c r="J541" s="220" t="s">
        <v>2079</v>
      </c>
      <c r="K541" s="220" t="str">
        <f>_xlfn.XLOOKUP(J541,[1]Sheet1!$A:$A,[1]Sheet1!$B:$B,"")</f>
        <v>#ERROR!</v>
      </c>
      <c r="L541" s="103" t="s">
        <v>2080</v>
      </c>
      <c r="M541" s="103" t="s">
        <v>2081</v>
      </c>
      <c r="N541" s="110" t="s">
        <v>162</v>
      </c>
      <c r="O541" s="104" t="s">
        <v>95</v>
      </c>
      <c r="P541" s="110"/>
      <c r="Q541" s="104" t="s">
        <v>480</v>
      </c>
      <c r="R541" s="110" t="s">
        <v>1955</v>
      </c>
      <c r="S541" s="110">
        <v>4.0</v>
      </c>
      <c r="T541" s="110" t="e">
        <v>#N/A</v>
      </c>
      <c r="U541" s="110">
        <v>8.5447E9</v>
      </c>
      <c r="V541" s="112">
        <v>0.0</v>
      </c>
      <c r="W541" s="113">
        <v>30.0</v>
      </c>
      <c r="X541" s="110">
        <v>45.0</v>
      </c>
      <c r="Y541" s="110">
        <v>55.0</v>
      </c>
      <c r="Z541" s="110" t="s">
        <v>1938</v>
      </c>
      <c r="AA541" s="114">
        <f t="shared" si="782"/>
        <v>1032.392622</v>
      </c>
      <c r="AB541" s="115"/>
      <c r="AC541" s="116">
        <f t="shared" si="772"/>
        <v>907.9433608</v>
      </c>
      <c r="AD541" s="117">
        <f t="shared" si="783"/>
        <v>955.7298534</v>
      </c>
      <c r="AE541" s="116"/>
      <c r="AF541" s="116" t="str">
        <f t="shared" si="94"/>
        <v>#REF!</v>
      </c>
      <c r="AG541" s="210" t="str">
        <f t="shared" si="95"/>
        <v>#REF!</v>
      </c>
      <c r="AH541" s="120" t="str">
        <f t="shared" si="96"/>
        <v>#REF!</v>
      </c>
      <c r="AI541" s="121">
        <f t="shared" si="497"/>
        <v>0.1</v>
      </c>
      <c r="AJ541" s="121">
        <v>0.1</v>
      </c>
      <c r="AK541" s="122">
        <v>0.31</v>
      </c>
      <c r="AL541" s="123">
        <f t="shared" si="11"/>
        <v>281.4624418</v>
      </c>
      <c r="AM541" s="122" t="s">
        <v>10</v>
      </c>
      <c r="AN541" s="125">
        <f t="shared" si="774"/>
        <v>907.9433608</v>
      </c>
      <c r="AO541" s="112">
        <f t="shared" si="775"/>
        <v>0.31</v>
      </c>
      <c r="AP541" s="127"/>
      <c r="AQ541" s="128">
        <f t="shared" si="771"/>
        <v>768.558952</v>
      </c>
      <c r="AR541" s="125">
        <f t="shared" si="776"/>
        <v>696.0899099</v>
      </c>
      <c r="AS541" s="126">
        <f t="shared" si="733"/>
        <v>0.2555555556</v>
      </c>
      <c r="AT541" s="126">
        <f t="shared" si="777"/>
        <v>0.2333333333</v>
      </c>
      <c r="AU541" s="129"/>
      <c r="AV541" s="39" t="s">
        <v>1956</v>
      </c>
      <c r="AW541" s="130"/>
      <c r="AX541" s="130"/>
      <c r="AY541" s="130"/>
      <c r="AZ541" s="130"/>
      <c r="BA541" s="130">
        <v>4752.0</v>
      </c>
      <c r="BB541" s="130">
        <f t="shared" si="735"/>
        <v>4752</v>
      </c>
      <c r="BC541" s="131">
        <f t="shared" si="736"/>
        <v>691.7030568</v>
      </c>
      <c r="BD541" s="132">
        <f t="shared" si="778"/>
        <v>626.4809189</v>
      </c>
      <c r="BE541" s="39"/>
      <c r="BF541" s="134">
        <v>8.5447E9</v>
      </c>
      <c r="BG541" s="49"/>
      <c r="BH541" s="116">
        <f t="shared" si="714"/>
        <v>3026.477869</v>
      </c>
      <c r="BI541" s="116">
        <f t="shared" si="715"/>
        <v>1815.886722</v>
      </c>
      <c r="BJ541" s="116">
        <f t="shared" si="716"/>
        <v>1513.238935</v>
      </c>
      <c r="BK541" s="116">
        <f t="shared" si="717"/>
        <v>1210.591148</v>
      </c>
      <c r="BL541" s="49"/>
      <c r="BM541" s="49"/>
      <c r="BN541" s="49"/>
      <c r="BO541" s="49"/>
      <c r="BP541" s="49"/>
      <c r="BQ541" s="49"/>
      <c r="BR541" s="49"/>
      <c r="BS541" s="49"/>
      <c r="BT541" s="49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</row>
    <row r="542" ht="14.25" customHeight="1">
      <c r="A542" s="103" t="s">
        <v>84</v>
      </c>
      <c r="B542" s="103" t="s">
        <v>85</v>
      </c>
      <c r="C542" s="103" t="s">
        <v>85</v>
      </c>
      <c r="D542" s="103" t="s">
        <v>1266</v>
      </c>
      <c r="E542" s="103" t="s">
        <v>1948</v>
      </c>
      <c r="F542" s="104" t="s">
        <v>1972</v>
      </c>
      <c r="G542" s="110" t="s">
        <v>1395</v>
      </c>
      <c r="H542" s="390" t="s">
        <v>1957</v>
      </c>
      <c r="I542" s="391" t="s">
        <v>2082</v>
      </c>
      <c r="J542" s="220" t="s">
        <v>2083</v>
      </c>
      <c r="K542" s="220" t="str">
        <f>_xlfn.XLOOKUP(J542,[1]Sheet1!$A:$A,[1]Sheet1!$B:$B,"")</f>
        <v>#ERROR!</v>
      </c>
      <c r="L542" s="103" t="s">
        <v>2084</v>
      </c>
      <c r="M542" s="103" t="s">
        <v>2085</v>
      </c>
      <c r="N542" s="110" t="s">
        <v>162</v>
      </c>
      <c r="O542" s="104" t="s">
        <v>95</v>
      </c>
      <c r="P542" s="110"/>
      <c r="Q542" s="104" t="s">
        <v>480</v>
      </c>
      <c r="R542" s="110" t="s">
        <v>1955</v>
      </c>
      <c r="S542" s="110">
        <v>4.0</v>
      </c>
      <c r="T542" s="110" t="e">
        <v>#N/A</v>
      </c>
      <c r="U542" s="110">
        <v>8.5447E9</v>
      </c>
      <c r="V542" s="112">
        <v>0.0</v>
      </c>
      <c r="W542" s="113">
        <v>30.0</v>
      </c>
      <c r="X542" s="110">
        <v>45.0</v>
      </c>
      <c r="Y542" s="110">
        <v>55.0</v>
      </c>
      <c r="Z542" s="110" t="s">
        <v>1938</v>
      </c>
      <c r="AA542" s="114">
        <f t="shared" si="782"/>
        <v>1292.663321</v>
      </c>
      <c r="AB542" s="115"/>
      <c r="AC542" s="116">
        <f t="shared" si="772"/>
        <v>1127.70564</v>
      </c>
      <c r="AD542" s="117">
        <f t="shared" si="783"/>
        <v>1187.058568</v>
      </c>
      <c r="AE542" s="116"/>
      <c r="AF542" s="116" t="str">
        <f t="shared" si="94"/>
        <v>#REF!</v>
      </c>
      <c r="AG542" s="210" t="str">
        <f t="shared" si="95"/>
        <v>#REF!</v>
      </c>
      <c r="AH542" s="120" t="str">
        <f t="shared" si="96"/>
        <v>#REF!</v>
      </c>
      <c r="AI542" s="121">
        <f t="shared" si="497"/>
        <v>0.1</v>
      </c>
      <c r="AJ542" s="121">
        <v>0.1</v>
      </c>
      <c r="AK542" s="122">
        <v>0.31</v>
      </c>
      <c r="AL542" s="123">
        <f t="shared" si="11"/>
        <v>349.5887483</v>
      </c>
      <c r="AM542" s="122" t="s">
        <v>10</v>
      </c>
      <c r="AN542" s="125">
        <f t="shared" si="774"/>
        <v>1127.70564</v>
      </c>
      <c r="AO542" s="112">
        <f t="shared" si="775"/>
        <v>0.31</v>
      </c>
      <c r="AP542" s="127"/>
      <c r="AQ542" s="128">
        <f t="shared" si="771"/>
        <v>962.3160278</v>
      </c>
      <c r="AR542" s="125">
        <f t="shared" si="776"/>
        <v>864.5743237</v>
      </c>
      <c r="AS542" s="126">
        <f t="shared" si="733"/>
        <v>0.2555555556</v>
      </c>
      <c r="AT542" s="126">
        <f t="shared" si="777"/>
        <v>0.2333333333</v>
      </c>
      <c r="AU542" s="129"/>
      <c r="AV542" s="39" t="s">
        <v>1956</v>
      </c>
      <c r="AW542" s="130"/>
      <c r="AX542" s="130"/>
      <c r="AY542" s="130"/>
      <c r="AZ542" s="130"/>
      <c r="BA542" s="130">
        <v>5950.0</v>
      </c>
      <c r="BB542" s="130">
        <f t="shared" si="735"/>
        <v>5950</v>
      </c>
      <c r="BC542" s="131">
        <f t="shared" si="736"/>
        <v>866.084425</v>
      </c>
      <c r="BD542" s="132">
        <f t="shared" si="778"/>
        <v>778.1168913</v>
      </c>
      <c r="BE542" s="39"/>
      <c r="BF542" s="134">
        <v>8.5447E9</v>
      </c>
      <c r="BG542" s="49"/>
      <c r="BH542" s="116">
        <f t="shared" si="714"/>
        <v>3759.018799</v>
      </c>
      <c r="BI542" s="116">
        <f t="shared" si="715"/>
        <v>2255.411279</v>
      </c>
      <c r="BJ542" s="116">
        <f t="shared" si="716"/>
        <v>1879.509399</v>
      </c>
      <c r="BK542" s="116">
        <f t="shared" si="717"/>
        <v>1503.607519</v>
      </c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</row>
    <row r="543" ht="14.25" customHeight="1">
      <c r="A543" s="103" t="s">
        <v>84</v>
      </c>
      <c r="B543" s="103" t="s">
        <v>85</v>
      </c>
      <c r="C543" s="103" t="s">
        <v>85</v>
      </c>
      <c r="D543" s="103" t="s">
        <v>1266</v>
      </c>
      <c r="E543" s="103" t="s">
        <v>1948</v>
      </c>
      <c r="F543" s="104" t="s">
        <v>1972</v>
      </c>
      <c r="G543" s="110" t="s">
        <v>1395</v>
      </c>
      <c r="H543" s="390" t="s">
        <v>1962</v>
      </c>
      <c r="I543" s="391" t="s">
        <v>2086</v>
      </c>
      <c r="J543" s="220" t="s">
        <v>2087</v>
      </c>
      <c r="K543" s="220" t="str">
        <f>_xlfn.XLOOKUP(J543,[1]Sheet1!$A:$A,[1]Sheet1!$B:$B,"")</f>
        <v>#ERROR!</v>
      </c>
      <c r="L543" s="103" t="s">
        <v>2088</v>
      </c>
      <c r="M543" s="103" t="s">
        <v>2089</v>
      </c>
      <c r="N543" s="110" t="s">
        <v>162</v>
      </c>
      <c r="O543" s="104" t="s">
        <v>95</v>
      </c>
      <c r="P543" s="110"/>
      <c r="Q543" s="104" t="s">
        <v>480</v>
      </c>
      <c r="R543" s="110" t="s">
        <v>1955</v>
      </c>
      <c r="S543" s="110">
        <v>4.0</v>
      </c>
      <c r="T543" s="110" t="e">
        <v>#N/A</v>
      </c>
      <c r="U543" s="110">
        <v>8.5447E9</v>
      </c>
      <c r="V543" s="112">
        <v>0.0</v>
      </c>
      <c r="W543" s="113">
        <v>30.0</v>
      </c>
      <c r="X543" s="110">
        <v>45.0</v>
      </c>
      <c r="Y543" s="110">
        <v>55.0</v>
      </c>
      <c r="Z543" s="110" t="s">
        <v>1938</v>
      </c>
      <c r="AA543" s="114">
        <f t="shared" si="782"/>
        <v>1791.044776</v>
      </c>
      <c r="AB543" s="115"/>
      <c r="AC543" s="116">
        <f t="shared" si="772"/>
        <v>1548.519219</v>
      </c>
      <c r="AD543" s="117">
        <f t="shared" si="783"/>
        <v>1630.02023</v>
      </c>
      <c r="AE543" s="116"/>
      <c r="AF543" s="116" t="str">
        <f t="shared" si="94"/>
        <v>#REF!</v>
      </c>
      <c r="AG543" s="210" t="str">
        <f t="shared" si="95"/>
        <v>#REF!</v>
      </c>
      <c r="AH543" s="120" t="str">
        <f t="shared" si="96"/>
        <v>#REF!</v>
      </c>
      <c r="AI543" s="121">
        <f t="shared" si="497"/>
        <v>0.1</v>
      </c>
      <c r="AJ543" s="121">
        <v>0.1</v>
      </c>
      <c r="AK543" s="122">
        <v>0.31</v>
      </c>
      <c r="AL543" s="123">
        <f t="shared" si="11"/>
        <v>480.0409578</v>
      </c>
      <c r="AM543" s="122" t="s">
        <v>10</v>
      </c>
      <c r="AN543" s="125">
        <f t="shared" si="774"/>
        <v>1548.519219</v>
      </c>
      <c r="AO543" s="112">
        <f t="shared" si="775"/>
        <v>0.31</v>
      </c>
      <c r="AP543" s="127"/>
      <c r="AQ543" s="128">
        <f t="shared" si="771"/>
        <v>1333.333333</v>
      </c>
      <c r="AR543" s="125">
        <f t="shared" si="776"/>
        <v>1187.198068</v>
      </c>
      <c r="AS543" s="126">
        <f t="shared" si="733"/>
        <v>0.2555555556</v>
      </c>
      <c r="AT543" s="126">
        <f t="shared" si="777"/>
        <v>0.2333333333</v>
      </c>
      <c r="AU543" s="129"/>
      <c r="AV543" s="39" t="s">
        <v>1956</v>
      </c>
      <c r="AW543" s="130"/>
      <c r="AX543" s="130"/>
      <c r="AY543" s="130"/>
      <c r="AZ543" s="130"/>
      <c r="BA543" s="130">
        <v>8244.0</v>
      </c>
      <c r="BB543" s="130">
        <f t="shared" si="735"/>
        <v>8244</v>
      </c>
      <c r="BC543" s="131">
        <f t="shared" si="736"/>
        <v>1200</v>
      </c>
      <c r="BD543" s="132">
        <f t="shared" si="778"/>
        <v>1068.478261</v>
      </c>
      <c r="BE543" s="39"/>
      <c r="BF543" s="134">
        <v>8.5447E9</v>
      </c>
      <c r="BG543" s="49"/>
      <c r="BH543" s="116">
        <f t="shared" si="714"/>
        <v>5161.730729</v>
      </c>
      <c r="BI543" s="116">
        <f t="shared" si="715"/>
        <v>3097.038437</v>
      </c>
      <c r="BJ543" s="116">
        <f t="shared" si="716"/>
        <v>2580.865364</v>
      </c>
      <c r="BK543" s="116">
        <f t="shared" si="717"/>
        <v>2064.692292</v>
      </c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</row>
    <row r="544" ht="14.25" customHeight="1">
      <c r="A544" s="103" t="s">
        <v>84</v>
      </c>
      <c r="B544" s="103" t="s">
        <v>85</v>
      </c>
      <c r="C544" s="103" t="s">
        <v>85</v>
      </c>
      <c r="D544" s="103" t="s">
        <v>1266</v>
      </c>
      <c r="E544" s="103" t="s">
        <v>1948</v>
      </c>
      <c r="F544" s="104" t="s">
        <v>1972</v>
      </c>
      <c r="G544" s="110" t="s">
        <v>1395</v>
      </c>
      <c r="H544" s="390" t="s">
        <v>1967</v>
      </c>
      <c r="I544" s="391" t="s">
        <v>2090</v>
      </c>
      <c r="J544" s="220" t="s">
        <v>2091</v>
      </c>
      <c r="K544" s="220" t="str">
        <f>_xlfn.XLOOKUP(J544,[1]Sheet1!$A:$A,[1]Sheet1!$B:$B,"")</f>
        <v>#ERROR!</v>
      </c>
      <c r="L544" s="103" t="s">
        <v>2092</v>
      </c>
      <c r="M544" s="103" t="s">
        <v>2093</v>
      </c>
      <c r="N544" s="110" t="s">
        <v>162</v>
      </c>
      <c r="O544" s="104" t="s">
        <v>95</v>
      </c>
      <c r="P544" s="110"/>
      <c r="Q544" s="104" t="s">
        <v>1989</v>
      </c>
      <c r="R544" s="110" t="s">
        <v>1990</v>
      </c>
      <c r="S544" s="110">
        <v>4.0</v>
      </c>
      <c r="T544" s="110" t="e">
        <v>#N/A</v>
      </c>
      <c r="U544" s="110">
        <v>8.5447E9</v>
      </c>
      <c r="V544" s="112">
        <v>0.0</v>
      </c>
      <c r="W544" s="113">
        <v>30.0</v>
      </c>
      <c r="X544" s="110">
        <v>45.0</v>
      </c>
      <c r="Y544" s="110">
        <v>55.0</v>
      </c>
      <c r="Z544" s="110" t="s">
        <v>1938</v>
      </c>
      <c r="AA544" s="114">
        <f t="shared" si="782"/>
        <v>3472.810619</v>
      </c>
      <c r="AB544" s="115"/>
      <c r="AC544" s="116">
        <f t="shared" si="772"/>
        <v>2968.535747</v>
      </c>
      <c r="AD544" s="117">
        <f t="shared" si="783"/>
        <v>3124.77447</v>
      </c>
      <c r="AE544" s="116"/>
      <c r="AF544" s="116" t="str">
        <f t="shared" si="94"/>
        <v>#REF!</v>
      </c>
      <c r="AG544" s="210" t="str">
        <f t="shared" si="95"/>
        <v>#REF!</v>
      </c>
      <c r="AH544" s="120" t="str">
        <f t="shared" si="96"/>
        <v>#REF!</v>
      </c>
      <c r="AI544" s="121">
        <f t="shared" si="497"/>
        <v>0.1</v>
      </c>
      <c r="AJ544" s="121">
        <v>0.1</v>
      </c>
      <c r="AK544" s="122">
        <v>0.31</v>
      </c>
      <c r="AL544" s="123">
        <f t="shared" si="11"/>
        <v>920.2460815</v>
      </c>
      <c r="AM544" s="122" t="s">
        <v>10</v>
      </c>
      <c r="AN544" s="125">
        <f t="shared" si="774"/>
        <v>2968.535747</v>
      </c>
      <c r="AO544" s="112">
        <f t="shared" si="775"/>
        <v>0.31</v>
      </c>
      <c r="AP544" s="127"/>
      <c r="AQ544" s="128">
        <f t="shared" si="771"/>
        <v>2585.314572</v>
      </c>
      <c r="AR544" s="125">
        <f t="shared" si="776"/>
        <v>2275.877406</v>
      </c>
      <c r="AS544" s="126">
        <f t="shared" si="733"/>
        <v>0.2555555556</v>
      </c>
      <c r="AT544" s="126">
        <f t="shared" si="777"/>
        <v>0.2333333333</v>
      </c>
      <c r="AU544" s="129"/>
      <c r="AV544" s="39" t="s">
        <v>1956</v>
      </c>
      <c r="AW544" s="130"/>
      <c r="AX544" s="130"/>
      <c r="AY544" s="130"/>
      <c r="AZ544" s="130"/>
      <c r="BA544" s="130">
        <v>15985.0</v>
      </c>
      <c r="BB544" s="130">
        <f t="shared" si="735"/>
        <v>15985</v>
      </c>
      <c r="BC544" s="131">
        <f t="shared" si="736"/>
        <v>2326.783115</v>
      </c>
      <c r="BD544" s="132">
        <f t="shared" si="778"/>
        <v>2048.289665</v>
      </c>
      <c r="BE544" s="39"/>
      <c r="BF544" s="134">
        <v>8.5447E9</v>
      </c>
      <c r="BG544" s="40"/>
      <c r="BH544" s="116">
        <f t="shared" si="714"/>
        <v>9895.119156</v>
      </c>
      <c r="BI544" s="116">
        <f t="shared" si="715"/>
        <v>5937.071493</v>
      </c>
      <c r="BJ544" s="116">
        <f t="shared" si="716"/>
        <v>4947.559578</v>
      </c>
      <c r="BK544" s="116">
        <f t="shared" si="717"/>
        <v>3958.047662</v>
      </c>
      <c r="BL544" s="49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</row>
    <row r="545" ht="14.25" customHeight="1">
      <c r="A545" s="103" t="s">
        <v>84</v>
      </c>
      <c r="B545" s="103" t="s">
        <v>85</v>
      </c>
      <c r="C545" s="103" t="s">
        <v>85</v>
      </c>
      <c r="D545" s="103" t="s">
        <v>1266</v>
      </c>
      <c r="E545" s="103" t="s">
        <v>1948</v>
      </c>
      <c r="F545" s="104" t="s">
        <v>1972</v>
      </c>
      <c r="G545" s="110" t="s">
        <v>1395</v>
      </c>
      <c r="H545" s="390" t="s">
        <v>1950</v>
      </c>
      <c r="I545" s="391" t="s">
        <v>2094</v>
      </c>
      <c r="J545" s="220" t="s">
        <v>2095</v>
      </c>
      <c r="K545" s="220" t="str">
        <f>_xlfn.XLOOKUP(J545,[1]Sheet1!$A:$A,[1]Sheet1!$B:$B,"")</f>
        <v>#ERROR!</v>
      </c>
      <c r="L545" s="103" t="s">
        <v>2096</v>
      </c>
      <c r="M545" s="103" t="s">
        <v>2097</v>
      </c>
      <c r="N545" s="110" t="s">
        <v>162</v>
      </c>
      <c r="O545" s="104" t="s">
        <v>95</v>
      </c>
      <c r="P545" s="110"/>
      <c r="Q545" s="104" t="s">
        <v>480</v>
      </c>
      <c r="R545" s="110" t="s">
        <v>1955</v>
      </c>
      <c r="S545" s="110">
        <v>4.0</v>
      </c>
      <c r="T545" s="110" t="e">
        <v>#N/A</v>
      </c>
      <c r="U545" s="110">
        <v>8.5447E9</v>
      </c>
      <c r="V545" s="112">
        <v>0.0</v>
      </c>
      <c r="W545" s="113">
        <v>30.0</v>
      </c>
      <c r="X545" s="110">
        <v>45.0</v>
      </c>
      <c r="Y545" s="110">
        <v>55.0</v>
      </c>
      <c r="Z545" s="110" t="s">
        <v>1938</v>
      </c>
      <c r="AA545" s="114">
        <f t="shared" si="782"/>
        <v>1933.086322</v>
      </c>
      <c r="AB545" s="115"/>
      <c r="AC545" s="116">
        <f t="shared" si="772"/>
        <v>1668.269786</v>
      </c>
      <c r="AD545" s="117">
        <f t="shared" si="783"/>
        <v>1756.073459</v>
      </c>
      <c r="AE545" s="116"/>
      <c r="AF545" s="116" t="str">
        <f t="shared" si="94"/>
        <v>#REF!</v>
      </c>
      <c r="AG545" s="210" t="str">
        <f t="shared" si="95"/>
        <v>#REF!</v>
      </c>
      <c r="AH545" s="120" t="str">
        <f t="shared" si="96"/>
        <v>#REF!</v>
      </c>
      <c r="AI545" s="121">
        <f t="shared" si="497"/>
        <v>0.1</v>
      </c>
      <c r="AJ545" s="121">
        <v>0.1</v>
      </c>
      <c r="AK545" s="122">
        <v>0.32</v>
      </c>
      <c r="AL545" s="123">
        <f t="shared" si="11"/>
        <v>533.8463314</v>
      </c>
      <c r="AM545" s="122" t="s">
        <v>10</v>
      </c>
      <c r="AN545" s="125">
        <f t="shared" si="774"/>
        <v>1668.269786</v>
      </c>
      <c r="AO545" s="112">
        <f t="shared" si="775"/>
        <v>0.32</v>
      </c>
      <c r="AP545" s="127"/>
      <c r="AQ545" s="128">
        <f t="shared" si="771"/>
        <v>1417.596636</v>
      </c>
      <c r="AR545" s="125">
        <f t="shared" si="776"/>
        <v>1260.470505</v>
      </c>
      <c r="AS545" s="126">
        <f t="shared" si="733"/>
        <v>0.2666666667</v>
      </c>
      <c r="AT545" s="126">
        <f t="shared" si="777"/>
        <v>0.2444444444</v>
      </c>
      <c r="AU545" s="129"/>
      <c r="AV545" s="39" t="s">
        <v>1956</v>
      </c>
      <c r="AW545" s="130"/>
      <c r="AX545" s="130"/>
      <c r="AY545" s="130"/>
      <c r="AZ545" s="130"/>
      <c r="BA545" s="130">
        <v>8765.0</v>
      </c>
      <c r="BB545" s="130">
        <f t="shared" si="735"/>
        <v>8765</v>
      </c>
      <c r="BC545" s="131">
        <f t="shared" si="736"/>
        <v>1275.836972</v>
      </c>
      <c r="BD545" s="132">
        <f t="shared" si="778"/>
        <v>1134.423454</v>
      </c>
      <c r="BE545" s="39"/>
      <c r="BF545" s="134">
        <v>8.5447E9</v>
      </c>
      <c r="BG545" s="49"/>
      <c r="BH545" s="116">
        <f t="shared" si="714"/>
        <v>5560.899285</v>
      </c>
      <c r="BI545" s="116">
        <f t="shared" si="715"/>
        <v>3336.539571</v>
      </c>
      <c r="BJ545" s="116">
        <f t="shared" si="716"/>
        <v>2780.449643</v>
      </c>
      <c r="BK545" s="116">
        <f t="shared" si="717"/>
        <v>2224.359714</v>
      </c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</row>
    <row r="546" ht="14.25" customHeight="1">
      <c r="A546" s="103" t="s">
        <v>84</v>
      </c>
      <c r="B546" s="103" t="s">
        <v>85</v>
      </c>
      <c r="C546" s="103" t="s">
        <v>85</v>
      </c>
      <c r="D546" s="103" t="s">
        <v>1266</v>
      </c>
      <c r="E546" s="103" t="s">
        <v>1948</v>
      </c>
      <c r="F546" s="104" t="s">
        <v>1972</v>
      </c>
      <c r="G546" s="110" t="s">
        <v>1395</v>
      </c>
      <c r="H546" s="390" t="s">
        <v>1957</v>
      </c>
      <c r="I546" s="391" t="s">
        <v>2098</v>
      </c>
      <c r="J546" s="220" t="s">
        <v>2099</v>
      </c>
      <c r="K546" s="220" t="str">
        <f>_xlfn.XLOOKUP(J546,[1]Sheet1!$A:$A,[1]Sheet1!$B:$B,"")</f>
        <v>#ERROR!</v>
      </c>
      <c r="L546" s="103" t="s">
        <v>2100</v>
      </c>
      <c r="M546" s="103" t="s">
        <v>2101</v>
      </c>
      <c r="N546" s="110" t="s">
        <v>162</v>
      </c>
      <c r="O546" s="104" t="s">
        <v>95</v>
      </c>
      <c r="P546" s="110"/>
      <c r="Q546" s="104" t="s">
        <v>480</v>
      </c>
      <c r="R546" s="110" t="s">
        <v>1955</v>
      </c>
      <c r="S546" s="110">
        <v>4.0</v>
      </c>
      <c r="T546" s="110" t="e">
        <v>#N/A</v>
      </c>
      <c r="U546" s="110">
        <v>8.5447E9</v>
      </c>
      <c r="V546" s="112">
        <v>0.0</v>
      </c>
      <c r="W546" s="113">
        <v>30.0</v>
      </c>
      <c r="X546" s="110">
        <v>45.0</v>
      </c>
      <c r="Y546" s="110">
        <v>55.0</v>
      </c>
      <c r="Z546" s="110" t="s">
        <v>1938</v>
      </c>
      <c r="AA546" s="114">
        <f t="shared" si="782"/>
        <v>2491.950068</v>
      </c>
      <c r="AB546" s="115"/>
      <c r="AC546" s="116">
        <f t="shared" si="772"/>
        <v>2139.94507</v>
      </c>
      <c r="AD546" s="117">
        <f t="shared" si="783"/>
        <v>2252.573758</v>
      </c>
      <c r="AE546" s="116"/>
      <c r="AF546" s="116" t="str">
        <f t="shared" si="94"/>
        <v>#REF!</v>
      </c>
      <c r="AG546" s="210" t="str">
        <f t="shared" si="95"/>
        <v>#REF!</v>
      </c>
      <c r="AH546" s="120" t="str">
        <f t="shared" si="96"/>
        <v>#REF!</v>
      </c>
      <c r="AI546" s="121">
        <f t="shared" si="497"/>
        <v>0.1</v>
      </c>
      <c r="AJ546" s="121">
        <v>0.1</v>
      </c>
      <c r="AK546" s="122">
        <v>0.32</v>
      </c>
      <c r="AL546" s="123">
        <f t="shared" si="11"/>
        <v>684.7824226</v>
      </c>
      <c r="AM546" s="122" t="s">
        <v>10</v>
      </c>
      <c r="AN546" s="125">
        <f t="shared" si="774"/>
        <v>2139.94507</v>
      </c>
      <c r="AO546" s="112">
        <f t="shared" si="775"/>
        <v>0.32</v>
      </c>
      <c r="AP546" s="127"/>
      <c r="AQ546" s="128">
        <f t="shared" si="771"/>
        <v>1827.43005</v>
      </c>
      <c r="AR546" s="125">
        <f t="shared" si="776"/>
        <v>1616.847387</v>
      </c>
      <c r="AS546" s="126">
        <f t="shared" si="733"/>
        <v>0.2666666667</v>
      </c>
      <c r="AT546" s="126">
        <f t="shared" si="777"/>
        <v>0.2444444444</v>
      </c>
      <c r="AU546" s="129"/>
      <c r="AV546" s="39" t="s">
        <v>1956</v>
      </c>
      <c r="AW546" s="130"/>
      <c r="AX546" s="130"/>
      <c r="AY546" s="130"/>
      <c r="AZ546" s="130"/>
      <c r="BA546" s="130">
        <v>11299.0</v>
      </c>
      <c r="BB546" s="130">
        <f t="shared" si="735"/>
        <v>11299</v>
      </c>
      <c r="BC546" s="131">
        <f t="shared" si="736"/>
        <v>1644.687045</v>
      </c>
      <c r="BD546" s="132">
        <f t="shared" si="778"/>
        <v>1455.162648</v>
      </c>
      <c r="BE546" s="39"/>
      <c r="BF546" s="134">
        <v>8.5447E9</v>
      </c>
      <c r="BG546" s="49"/>
      <c r="BH546" s="116">
        <f t="shared" si="714"/>
        <v>7133.150235</v>
      </c>
      <c r="BI546" s="116">
        <f t="shared" si="715"/>
        <v>4279.890141</v>
      </c>
      <c r="BJ546" s="116">
        <f t="shared" si="716"/>
        <v>3566.575117</v>
      </c>
      <c r="BK546" s="116">
        <f t="shared" si="717"/>
        <v>2853.260094</v>
      </c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</row>
    <row r="547" ht="14.25" customHeight="1">
      <c r="A547" s="103" t="s">
        <v>84</v>
      </c>
      <c r="B547" s="103" t="s">
        <v>85</v>
      </c>
      <c r="C547" s="103" t="s">
        <v>85</v>
      </c>
      <c r="D547" s="103" t="s">
        <v>1266</v>
      </c>
      <c r="E547" s="103" t="s">
        <v>1948</v>
      </c>
      <c r="F547" s="104" t="s">
        <v>1972</v>
      </c>
      <c r="G547" s="110" t="s">
        <v>1395</v>
      </c>
      <c r="H547" s="390" t="s">
        <v>1962</v>
      </c>
      <c r="I547" s="391" t="s">
        <v>2102</v>
      </c>
      <c r="J547" s="220" t="s">
        <v>2103</v>
      </c>
      <c r="K547" s="220" t="str">
        <f>_xlfn.XLOOKUP(J547,[1]Sheet1!$A:$A,[1]Sheet1!$B:$B,"")</f>
        <v>#ERROR!</v>
      </c>
      <c r="L547" s="103" t="s">
        <v>2104</v>
      </c>
      <c r="M547" s="103" t="s">
        <v>2105</v>
      </c>
      <c r="N547" s="110" t="s">
        <v>162</v>
      </c>
      <c r="O547" s="104" t="s">
        <v>95</v>
      </c>
      <c r="P547" s="110"/>
      <c r="Q547" s="104" t="s">
        <v>480</v>
      </c>
      <c r="R547" s="110" t="s">
        <v>1955</v>
      </c>
      <c r="S547" s="110">
        <v>4.0</v>
      </c>
      <c r="T547" s="110" t="e">
        <v>#N/A</v>
      </c>
      <c r="U547" s="110">
        <v>8.5447E9</v>
      </c>
      <c r="V547" s="112">
        <v>0.0</v>
      </c>
      <c r="W547" s="113">
        <v>30.0</v>
      </c>
      <c r="X547" s="110">
        <v>45.0</v>
      </c>
      <c r="Y547" s="110">
        <v>55.0</v>
      </c>
      <c r="Z547" s="110" t="s">
        <v>1938</v>
      </c>
      <c r="AA547" s="114">
        <f t="shared" si="782"/>
        <v>3587.843501</v>
      </c>
      <c r="AB547" s="115"/>
      <c r="AC547" s="116">
        <f t="shared" si="772"/>
        <v>3064.867916</v>
      </c>
      <c r="AD547" s="117">
        <f t="shared" si="783"/>
        <v>3226.176754</v>
      </c>
      <c r="AE547" s="116"/>
      <c r="AF547" s="116" t="str">
        <f t="shared" si="94"/>
        <v>#REF!</v>
      </c>
      <c r="AG547" s="210" t="str">
        <f t="shared" si="95"/>
        <v>#REF!</v>
      </c>
      <c r="AH547" s="120" t="str">
        <f t="shared" si="96"/>
        <v>#REF!</v>
      </c>
      <c r="AI547" s="121">
        <f t="shared" si="497"/>
        <v>0.1</v>
      </c>
      <c r="AJ547" s="121">
        <v>0.1</v>
      </c>
      <c r="AK547" s="122">
        <v>0.32</v>
      </c>
      <c r="AL547" s="123">
        <f t="shared" si="11"/>
        <v>980.7577331</v>
      </c>
      <c r="AM547" s="122" t="s">
        <v>10</v>
      </c>
      <c r="AN547" s="125">
        <f t="shared" si="774"/>
        <v>3064.867916</v>
      </c>
      <c r="AO547" s="112">
        <f t="shared" si="775"/>
        <v>0.32</v>
      </c>
      <c r="AP547" s="127"/>
      <c r="AQ547" s="128">
        <f t="shared" si="771"/>
        <v>2631.085234</v>
      </c>
      <c r="AR547" s="125">
        <f t="shared" si="776"/>
        <v>2315.677981</v>
      </c>
      <c r="AS547" s="126">
        <f t="shared" si="733"/>
        <v>0.2666666667</v>
      </c>
      <c r="AT547" s="126">
        <f t="shared" si="777"/>
        <v>0.2444444444</v>
      </c>
      <c r="AU547" s="129"/>
      <c r="AV547" s="39" t="s">
        <v>1956</v>
      </c>
      <c r="AW547" s="130"/>
      <c r="AX547" s="130"/>
      <c r="AY547" s="130"/>
      <c r="AZ547" s="130"/>
      <c r="BA547" s="130">
        <v>16268.0</v>
      </c>
      <c r="BB547" s="130">
        <f t="shared" si="735"/>
        <v>16268</v>
      </c>
      <c r="BC547" s="131">
        <f t="shared" si="736"/>
        <v>2367.97671</v>
      </c>
      <c r="BD547" s="132">
        <f t="shared" si="778"/>
        <v>2084.110183</v>
      </c>
      <c r="BE547" s="39"/>
      <c r="BF547" s="134">
        <v>8.5447E9</v>
      </c>
      <c r="BG547" s="49"/>
      <c r="BH547" s="116">
        <f t="shared" si="714"/>
        <v>10216.22639</v>
      </c>
      <c r="BI547" s="116">
        <f t="shared" si="715"/>
        <v>6129.735832</v>
      </c>
      <c r="BJ547" s="116">
        <f t="shared" si="716"/>
        <v>5108.113193</v>
      </c>
      <c r="BK547" s="116">
        <f t="shared" si="717"/>
        <v>4086.490555</v>
      </c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</row>
    <row r="548" ht="14.25" customHeight="1">
      <c r="A548" s="103" t="s">
        <v>84</v>
      </c>
      <c r="B548" s="103" t="s">
        <v>85</v>
      </c>
      <c r="C548" s="103" t="s">
        <v>85</v>
      </c>
      <c r="D548" s="103" t="s">
        <v>1266</v>
      </c>
      <c r="E548" s="103" t="s">
        <v>1948</v>
      </c>
      <c r="F548" s="104" t="s">
        <v>1972</v>
      </c>
      <c r="G548" s="110" t="s">
        <v>1395</v>
      </c>
      <c r="H548" s="390" t="s">
        <v>1967</v>
      </c>
      <c r="I548" s="391" t="s">
        <v>2106</v>
      </c>
      <c r="J548" s="220" t="s">
        <v>2107</v>
      </c>
      <c r="K548" s="220" t="str">
        <f>_xlfn.XLOOKUP(J548,[1]Sheet1!$A:$A,[1]Sheet1!$B:$B,"")</f>
        <v>#ERROR!</v>
      </c>
      <c r="L548" s="103" t="s">
        <v>2108</v>
      </c>
      <c r="M548" s="103" t="s">
        <v>2109</v>
      </c>
      <c r="N548" s="110" t="s">
        <v>162</v>
      </c>
      <c r="O548" s="104" t="s">
        <v>95</v>
      </c>
      <c r="P548" s="110"/>
      <c r="Q548" s="104" t="s">
        <v>1989</v>
      </c>
      <c r="R548" s="110" t="s">
        <v>1990</v>
      </c>
      <c r="S548" s="110">
        <v>4.0</v>
      </c>
      <c r="T548" s="110" t="e">
        <v>#N/A</v>
      </c>
      <c r="U548" s="110">
        <v>8.5447E9</v>
      </c>
      <c r="V548" s="112">
        <v>0.0</v>
      </c>
      <c r="W548" s="113">
        <v>30.0</v>
      </c>
      <c r="X548" s="110">
        <v>45.0</v>
      </c>
      <c r="Y548" s="110">
        <v>55.0</v>
      </c>
      <c r="Z548" s="110" t="s">
        <v>1938</v>
      </c>
      <c r="AA548" s="114">
        <f t="shared" si="782"/>
        <v>7064.531781</v>
      </c>
      <c r="AB548" s="115"/>
      <c r="AC548" s="116">
        <f t="shared" si="772"/>
        <v>5999.157257</v>
      </c>
      <c r="AD548" s="117">
        <f t="shared" si="783"/>
        <v>6314.902376</v>
      </c>
      <c r="AE548" s="116"/>
      <c r="AF548" s="116" t="str">
        <f t="shared" si="94"/>
        <v>#REF!</v>
      </c>
      <c r="AG548" s="210" t="str">
        <f t="shared" si="95"/>
        <v>#REF!</v>
      </c>
      <c r="AH548" s="120" t="str">
        <f t="shared" si="96"/>
        <v>#REF!</v>
      </c>
      <c r="AI548" s="121">
        <f t="shared" si="497"/>
        <v>0.1</v>
      </c>
      <c r="AJ548" s="121">
        <v>0.1</v>
      </c>
      <c r="AK548" s="122">
        <v>0.32</v>
      </c>
      <c r="AL548" s="123">
        <f t="shared" si="11"/>
        <v>1919.730322</v>
      </c>
      <c r="AM548" s="122" t="s">
        <v>10</v>
      </c>
      <c r="AN548" s="125">
        <f t="shared" si="774"/>
        <v>5999.157257</v>
      </c>
      <c r="AO548" s="112">
        <f t="shared" si="775"/>
        <v>0.32</v>
      </c>
      <c r="AP548" s="127"/>
      <c r="AQ548" s="128">
        <f t="shared" si="771"/>
        <v>5180.656639</v>
      </c>
      <c r="AR548" s="125">
        <f t="shared" si="776"/>
        <v>4532.696594</v>
      </c>
      <c r="AS548" s="126">
        <f t="shared" si="733"/>
        <v>0.2666666667</v>
      </c>
      <c r="AT548" s="126">
        <f t="shared" si="777"/>
        <v>0.2444444444</v>
      </c>
      <c r="AU548" s="129"/>
      <c r="AV548" s="39" t="s">
        <v>1956</v>
      </c>
      <c r="AW548" s="130"/>
      <c r="AX548" s="130"/>
      <c r="AY548" s="130"/>
      <c r="AZ548" s="130"/>
      <c r="BA548" s="130">
        <v>32032.0</v>
      </c>
      <c r="BB548" s="130">
        <f t="shared" si="735"/>
        <v>32032</v>
      </c>
      <c r="BC548" s="131">
        <f t="shared" si="736"/>
        <v>4662.590975</v>
      </c>
      <c r="BD548" s="132">
        <f t="shared" si="778"/>
        <v>4079.426935</v>
      </c>
      <c r="BE548" s="39"/>
      <c r="BF548" s="134">
        <v>8.5447E9</v>
      </c>
      <c r="BG548" s="49"/>
      <c r="BH548" s="116">
        <f t="shared" si="714"/>
        <v>19997.19086</v>
      </c>
      <c r="BI548" s="116">
        <f t="shared" si="715"/>
        <v>11998.31451</v>
      </c>
      <c r="BJ548" s="116">
        <f t="shared" si="716"/>
        <v>9998.595429</v>
      </c>
      <c r="BK548" s="116">
        <f t="shared" si="717"/>
        <v>7998.876343</v>
      </c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</row>
    <row r="549" ht="14.25" customHeight="1">
      <c r="A549" s="103" t="s">
        <v>84</v>
      </c>
      <c r="B549" s="103" t="s">
        <v>85</v>
      </c>
      <c r="C549" s="103" t="s">
        <v>85</v>
      </c>
      <c r="D549" s="103" t="s">
        <v>1266</v>
      </c>
      <c r="E549" s="103" t="s">
        <v>1948</v>
      </c>
      <c r="F549" s="104" t="s">
        <v>2036</v>
      </c>
      <c r="G549" s="110" t="s">
        <v>1395</v>
      </c>
      <c r="H549" s="390" t="s">
        <v>2026</v>
      </c>
      <c r="I549" s="391" t="s">
        <v>2110</v>
      </c>
      <c r="J549" s="220" t="s">
        <v>2111</v>
      </c>
      <c r="K549" s="220" t="str">
        <f>_xlfn.XLOOKUP(J549,[1]Sheet1!$A:$A,[1]Sheet1!$B:$B,"")</f>
        <v>#ERROR!</v>
      </c>
      <c r="L549" s="103" t="s">
        <v>2112</v>
      </c>
      <c r="M549" s="103" t="s">
        <v>2113</v>
      </c>
      <c r="N549" s="110" t="s">
        <v>106</v>
      </c>
      <c r="O549" s="104" t="s">
        <v>95</v>
      </c>
      <c r="P549" s="110"/>
      <c r="Q549" s="104" t="s">
        <v>480</v>
      </c>
      <c r="R549" s="110" t="s">
        <v>1955</v>
      </c>
      <c r="S549" s="110">
        <v>4.0</v>
      </c>
      <c r="T549" s="110" t="e">
        <v>#N/A</v>
      </c>
      <c r="U549" s="110">
        <v>8.5447E9</v>
      </c>
      <c r="V549" s="112">
        <v>0.0</v>
      </c>
      <c r="W549" s="113">
        <v>30.0</v>
      </c>
      <c r="X549" s="110">
        <v>45.0</v>
      </c>
      <c r="Y549" s="110">
        <v>55.0</v>
      </c>
      <c r="Z549" s="110" t="s">
        <v>1938</v>
      </c>
      <c r="AA549" s="114">
        <f t="shared" si="782"/>
        <v>5696.194635</v>
      </c>
      <c r="AB549" s="115"/>
      <c r="AC549" s="116">
        <f t="shared" si="772"/>
        <v>4850.345706</v>
      </c>
      <c r="AD549" s="117">
        <f t="shared" si="783"/>
        <v>5105.627059</v>
      </c>
      <c r="AE549" s="116"/>
      <c r="AF549" s="116" t="str">
        <f t="shared" si="94"/>
        <v>#REF!</v>
      </c>
      <c r="AG549" s="210" t="str">
        <f t="shared" si="95"/>
        <v>#REF!</v>
      </c>
      <c r="AH549" s="120" t="str">
        <f t="shared" si="96"/>
        <v>#REF!</v>
      </c>
      <c r="AI549" s="121">
        <f t="shared" si="497"/>
        <v>0.1</v>
      </c>
      <c r="AJ549" s="121">
        <v>0.1</v>
      </c>
      <c r="AK549" s="122">
        <v>0.28</v>
      </c>
      <c r="AL549" s="123">
        <f t="shared" si="11"/>
        <v>1358.096798</v>
      </c>
      <c r="AM549" s="122" t="s">
        <v>10</v>
      </c>
      <c r="AN549" s="125">
        <f t="shared" si="774"/>
        <v>4850.345706</v>
      </c>
      <c r="AO549" s="112">
        <f t="shared" si="775"/>
        <v>0.28</v>
      </c>
      <c r="AP549" s="127"/>
      <c r="AQ549" s="128">
        <f t="shared" si="771"/>
        <v>4430.373605</v>
      </c>
      <c r="AR549" s="125">
        <f t="shared" si="776"/>
        <v>3880.276565</v>
      </c>
      <c r="AS549" s="126">
        <f t="shared" si="733"/>
        <v>0.2222222222</v>
      </c>
      <c r="AT549" s="126">
        <f t="shared" si="777"/>
        <v>0.2</v>
      </c>
      <c r="AU549" s="129"/>
      <c r="AV549" s="39" t="s">
        <v>1956</v>
      </c>
      <c r="AW549" s="130"/>
      <c r="AX549" s="130"/>
      <c r="AY549" s="130"/>
      <c r="AZ549" s="130"/>
      <c r="BA549" s="130">
        <v>27393.0</v>
      </c>
      <c r="BB549" s="130">
        <f t="shared" si="735"/>
        <v>27393</v>
      </c>
      <c r="BC549" s="131">
        <f t="shared" si="736"/>
        <v>3987.336245</v>
      </c>
      <c r="BD549" s="132">
        <f t="shared" si="778"/>
        <v>3492.248908</v>
      </c>
      <c r="BE549" s="39"/>
      <c r="BF549" s="134">
        <v>8.5447E9</v>
      </c>
      <c r="BG549" s="49"/>
      <c r="BH549" s="116">
        <f t="shared" si="714"/>
        <v>16167.81902</v>
      </c>
      <c r="BI549" s="116">
        <f t="shared" si="715"/>
        <v>9700.691412</v>
      </c>
      <c r="BJ549" s="116">
        <f t="shared" si="716"/>
        <v>8083.90951</v>
      </c>
      <c r="BK549" s="116">
        <f t="shared" si="717"/>
        <v>6467.127608</v>
      </c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</row>
    <row r="550" ht="14.25" customHeight="1">
      <c r="A550" s="103" t="s">
        <v>84</v>
      </c>
      <c r="B550" s="103" t="s">
        <v>85</v>
      </c>
      <c r="C550" s="103" t="s">
        <v>85</v>
      </c>
      <c r="D550" s="103" t="s">
        <v>1266</v>
      </c>
      <c r="E550" s="103" t="s">
        <v>1948</v>
      </c>
      <c r="F550" s="104" t="s">
        <v>2036</v>
      </c>
      <c r="G550" s="110" t="s">
        <v>1395</v>
      </c>
      <c r="H550" s="390" t="s">
        <v>2031</v>
      </c>
      <c r="I550" s="391" t="s">
        <v>2114</v>
      </c>
      <c r="J550" s="220" t="s">
        <v>2115</v>
      </c>
      <c r="K550" s="220" t="str">
        <f>_xlfn.XLOOKUP(J550,[1]Sheet1!$A:$A,[1]Sheet1!$B:$B,"")</f>
        <v>#ERROR!</v>
      </c>
      <c r="L550" s="103" t="s">
        <v>2116</v>
      </c>
      <c r="M550" s="103" t="s">
        <v>2117</v>
      </c>
      <c r="N550" s="110" t="s">
        <v>106</v>
      </c>
      <c r="O550" s="104" t="s">
        <v>95</v>
      </c>
      <c r="P550" s="110"/>
      <c r="Q550" s="104" t="s">
        <v>480</v>
      </c>
      <c r="R550" s="110" t="s">
        <v>1955</v>
      </c>
      <c r="S550" s="110">
        <v>4.0</v>
      </c>
      <c r="T550" s="110" t="e">
        <v>#N/A</v>
      </c>
      <c r="U550" s="110">
        <v>8.5447E9</v>
      </c>
      <c r="V550" s="112">
        <v>0.0</v>
      </c>
      <c r="W550" s="113">
        <v>30.0</v>
      </c>
      <c r="X550" s="110">
        <v>45.0</v>
      </c>
      <c r="Y550" s="110">
        <v>55.0</v>
      </c>
      <c r="Z550" s="110" t="s">
        <v>1938</v>
      </c>
      <c r="AA550" s="114">
        <f t="shared" si="782"/>
        <v>11264.50405</v>
      </c>
      <c r="AB550" s="115"/>
      <c r="AC550" s="116">
        <f t="shared" si="772"/>
        <v>9557.85367</v>
      </c>
      <c r="AD550" s="117">
        <f t="shared" si="783"/>
        <v>10060.8986</v>
      </c>
      <c r="AE550" s="116"/>
      <c r="AF550" s="116" t="str">
        <f t="shared" si="94"/>
        <v>#REF!</v>
      </c>
      <c r="AG550" s="210" t="str">
        <f t="shared" si="95"/>
        <v>#REF!</v>
      </c>
      <c r="AH550" s="120" t="str">
        <f t="shared" si="96"/>
        <v>#REF!</v>
      </c>
      <c r="AI550" s="121">
        <f t="shared" si="497"/>
        <v>0.1</v>
      </c>
      <c r="AJ550" s="121">
        <v>0.1</v>
      </c>
      <c r="AK550" s="122">
        <v>0.28</v>
      </c>
      <c r="AL550" s="123">
        <f t="shared" si="11"/>
        <v>2676.199027</v>
      </c>
      <c r="AM550" s="122" t="s">
        <v>10</v>
      </c>
      <c r="AN550" s="125">
        <f t="shared" si="774"/>
        <v>9557.85367</v>
      </c>
      <c r="AO550" s="112">
        <f t="shared" si="775"/>
        <v>0.28</v>
      </c>
      <c r="AP550" s="127"/>
      <c r="AQ550" s="128">
        <f t="shared" si="771"/>
        <v>8761.280932</v>
      </c>
      <c r="AR550" s="125">
        <f t="shared" si="776"/>
        <v>7646.282936</v>
      </c>
      <c r="AS550" s="126">
        <f t="shared" si="733"/>
        <v>0.2222222222</v>
      </c>
      <c r="AT550" s="126">
        <f t="shared" si="777"/>
        <v>0.2</v>
      </c>
      <c r="AU550" s="129"/>
      <c r="AV550" s="39" t="s">
        <v>1956</v>
      </c>
      <c r="AW550" s="130"/>
      <c r="AX550" s="130"/>
      <c r="AY550" s="130"/>
      <c r="AZ550" s="130"/>
      <c r="BA550" s="130">
        <v>54171.0</v>
      </c>
      <c r="BB550" s="130">
        <f t="shared" si="735"/>
        <v>54171</v>
      </c>
      <c r="BC550" s="131">
        <f t="shared" si="736"/>
        <v>7885.152838</v>
      </c>
      <c r="BD550" s="132">
        <f t="shared" si="778"/>
        <v>6881.654642</v>
      </c>
      <c r="BE550" s="39"/>
      <c r="BF550" s="134">
        <v>8.5447E9</v>
      </c>
      <c r="BG550" s="49"/>
      <c r="BH550" s="116">
        <f t="shared" si="714"/>
        <v>31859.51223</v>
      </c>
      <c r="BI550" s="116">
        <f t="shared" si="715"/>
        <v>19115.70734</v>
      </c>
      <c r="BJ550" s="116">
        <f t="shared" si="716"/>
        <v>15929.75612</v>
      </c>
      <c r="BK550" s="116">
        <f t="shared" si="717"/>
        <v>12743.80489</v>
      </c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</row>
    <row r="551" ht="14.25" customHeight="1">
      <c r="A551" s="103" t="s">
        <v>84</v>
      </c>
      <c r="B551" s="103" t="s">
        <v>85</v>
      </c>
      <c r="C551" s="103" t="s">
        <v>85</v>
      </c>
      <c r="D551" s="103" t="s">
        <v>1266</v>
      </c>
      <c r="E551" s="103" t="s">
        <v>1948</v>
      </c>
      <c r="F551" s="104" t="s">
        <v>2045</v>
      </c>
      <c r="G551" s="110" t="s">
        <v>1395</v>
      </c>
      <c r="H551" s="390" t="s">
        <v>2026</v>
      </c>
      <c r="I551" s="391" t="s">
        <v>2118</v>
      </c>
      <c r="J551" s="220" t="s">
        <v>2119</v>
      </c>
      <c r="K551" s="220" t="str">
        <f>_xlfn.XLOOKUP(J551,[1]Sheet1!$A:$A,[1]Sheet1!$B:$B,"")</f>
        <v>#ERROR!</v>
      </c>
      <c r="L551" s="103" t="s">
        <v>2120</v>
      </c>
      <c r="M551" s="103" t="s">
        <v>2121</v>
      </c>
      <c r="N551" s="110" t="s">
        <v>106</v>
      </c>
      <c r="O551" s="104" t="s">
        <v>95</v>
      </c>
      <c r="P551" s="110"/>
      <c r="Q551" s="104" t="s">
        <v>480</v>
      </c>
      <c r="R551" s="110" t="s">
        <v>1955</v>
      </c>
      <c r="S551" s="110">
        <v>4.0</v>
      </c>
      <c r="T551" s="110" t="e">
        <v>#N/A</v>
      </c>
      <c r="U551" s="110">
        <v>8.5447E9</v>
      </c>
      <c r="V551" s="112">
        <v>0.0</v>
      </c>
      <c r="W551" s="113">
        <v>30.0</v>
      </c>
      <c r="X551" s="110">
        <v>45.0</v>
      </c>
      <c r="Y551" s="110">
        <v>55.0</v>
      </c>
      <c r="Z551" s="110" t="s">
        <v>1938</v>
      </c>
      <c r="AA551" s="114">
        <f t="shared" si="782"/>
        <v>5763.360366</v>
      </c>
      <c r="AB551" s="115"/>
      <c r="AC551" s="116">
        <f t="shared" si="772"/>
        <v>4907.128329</v>
      </c>
      <c r="AD551" s="117">
        <f t="shared" si="783"/>
        <v>5165.398241</v>
      </c>
      <c r="AE551" s="116"/>
      <c r="AF551" s="116" t="str">
        <f t="shared" si="94"/>
        <v>#REF!</v>
      </c>
      <c r="AG551" s="210" t="str">
        <f t="shared" si="95"/>
        <v>#REF!</v>
      </c>
      <c r="AH551" s="120" t="str">
        <f t="shared" si="96"/>
        <v>#REF!</v>
      </c>
      <c r="AI551" s="121">
        <f t="shared" si="497"/>
        <v>0.1</v>
      </c>
      <c r="AJ551" s="121">
        <v>0.1</v>
      </c>
      <c r="AK551" s="122">
        <v>0.28</v>
      </c>
      <c r="AL551" s="123">
        <f t="shared" si="11"/>
        <v>1373.995932</v>
      </c>
      <c r="AM551" s="122" t="s">
        <v>10</v>
      </c>
      <c r="AN551" s="125">
        <f t="shared" si="774"/>
        <v>4907.128329</v>
      </c>
      <c r="AO551" s="112">
        <f t="shared" si="775"/>
        <v>0.28</v>
      </c>
      <c r="AP551" s="127"/>
      <c r="AQ551" s="128">
        <f t="shared" si="771"/>
        <v>4482.613618</v>
      </c>
      <c r="AR551" s="125">
        <f t="shared" si="776"/>
        <v>3925.702663</v>
      </c>
      <c r="AS551" s="126">
        <f t="shared" si="733"/>
        <v>0.2222222222</v>
      </c>
      <c r="AT551" s="126">
        <f t="shared" si="777"/>
        <v>0.2</v>
      </c>
      <c r="AU551" s="129"/>
      <c r="AV551" s="39" t="s">
        <v>1956</v>
      </c>
      <c r="AW551" s="130"/>
      <c r="AX551" s="130"/>
      <c r="AY551" s="130"/>
      <c r="AZ551" s="130"/>
      <c r="BA551" s="130">
        <v>27716.0</v>
      </c>
      <c r="BB551" s="130">
        <f t="shared" si="735"/>
        <v>27716</v>
      </c>
      <c r="BC551" s="131">
        <f t="shared" si="736"/>
        <v>4034.352256</v>
      </c>
      <c r="BD551" s="132">
        <f t="shared" si="778"/>
        <v>3533.132397</v>
      </c>
      <c r="BE551" s="39"/>
      <c r="BF551" s="134">
        <v>8.5447E9</v>
      </c>
      <c r="BG551" s="49"/>
      <c r="BH551" s="116">
        <f t="shared" si="714"/>
        <v>16357.09443</v>
      </c>
      <c r="BI551" s="116">
        <f t="shared" si="715"/>
        <v>9814.256657</v>
      </c>
      <c r="BJ551" s="116">
        <f t="shared" si="716"/>
        <v>8178.547215</v>
      </c>
      <c r="BK551" s="116">
        <f t="shared" si="717"/>
        <v>6542.837772</v>
      </c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</row>
    <row r="552" ht="14.25" customHeight="1">
      <c r="A552" s="103" t="s">
        <v>84</v>
      </c>
      <c r="B552" s="103" t="s">
        <v>85</v>
      </c>
      <c r="C552" s="103" t="s">
        <v>85</v>
      </c>
      <c r="D552" s="103" t="s">
        <v>1266</v>
      </c>
      <c r="E552" s="103" t="s">
        <v>1948</v>
      </c>
      <c r="F552" s="104" t="s">
        <v>2045</v>
      </c>
      <c r="G552" s="110" t="s">
        <v>1395</v>
      </c>
      <c r="H552" s="390" t="s">
        <v>2031</v>
      </c>
      <c r="I552" s="391" t="s">
        <v>2122</v>
      </c>
      <c r="J552" s="220" t="s">
        <v>2123</v>
      </c>
      <c r="K552" s="220" t="str">
        <f>_xlfn.XLOOKUP(J552,[1]Sheet1!$A:$A,[1]Sheet1!$B:$B,"")</f>
        <v>#ERROR!</v>
      </c>
      <c r="L552" s="103" t="s">
        <v>2124</v>
      </c>
      <c r="M552" s="103" t="s">
        <v>2125</v>
      </c>
      <c r="N552" s="110" t="s">
        <v>106</v>
      </c>
      <c r="O552" s="104" t="s">
        <v>95</v>
      </c>
      <c r="P552" s="110"/>
      <c r="Q552" s="104" t="s">
        <v>480</v>
      </c>
      <c r="R552" s="110" t="s">
        <v>1955</v>
      </c>
      <c r="S552" s="110">
        <v>4.0</v>
      </c>
      <c r="T552" s="110" t="e">
        <v>#N/A</v>
      </c>
      <c r="U552" s="110">
        <v>8.5447E9</v>
      </c>
      <c r="V552" s="112">
        <v>0.0</v>
      </c>
      <c r="W552" s="113">
        <v>30.0</v>
      </c>
      <c r="X552" s="110">
        <v>45.0</v>
      </c>
      <c r="Y552" s="110">
        <v>55.0</v>
      </c>
      <c r="Z552" s="110" t="s">
        <v>1938</v>
      </c>
      <c r="AA552" s="114">
        <f t="shared" si="782"/>
        <v>11334.16511</v>
      </c>
      <c r="AB552" s="115"/>
      <c r="AC552" s="116">
        <f t="shared" si="772"/>
        <v>9616.745863</v>
      </c>
      <c r="AD552" s="117">
        <f t="shared" si="783"/>
        <v>10122.89038</v>
      </c>
      <c r="AE552" s="116"/>
      <c r="AF552" s="116" t="str">
        <f t="shared" si="94"/>
        <v>#REF!</v>
      </c>
      <c r="AG552" s="210" t="str">
        <f t="shared" si="95"/>
        <v>#REF!</v>
      </c>
      <c r="AH552" s="120" t="str">
        <f t="shared" si="96"/>
        <v>#REF!</v>
      </c>
      <c r="AI552" s="121">
        <f t="shared" si="497"/>
        <v>0.1</v>
      </c>
      <c r="AJ552" s="121">
        <v>0.1</v>
      </c>
      <c r="AK552" s="122">
        <v>0.28</v>
      </c>
      <c r="AL552" s="123">
        <f t="shared" si="11"/>
        <v>2692.688842</v>
      </c>
      <c r="AM552" s="122" t="s">
        <v>10</v>
      </c>
      <c r="AN552" s="125">
        <f t="shared" si="774"/>
        <v>9616.745863</v>
      </c>
      <c r="AO552" s="112">
        <f t="shared" si="775"/>
        <v>0.28</v>
      </c>
      <c r="AP552" s="127"/>
      <c r="AQ552" s="128">
        <f t="shared" si="771"/>
        <v>8815.46175</v>
      </c>
      <c r="AR552" s="125">
        <f t="shared" si="776"/>
        <v>7693.396691</v>
      </c>
      <c r="AS552" s="126">
        <f t="shared" si="733"/>
        <v>0.2222222222</v>
      </c>
      <c r="AT552" s="126">
        <f t="shared" si="777"/>
        <v>0.2</v>
      </c>
      <c r="AU552" s="129"/>
      <c r="AV552" s="39" t="s">
        <v>1956</v>
      </c>
      <c r="AW552" s="130"/>
      <c r="AX552" s="130"/>
      <c r="AY552" s="130"/>
      <c r="AZ552" s="130"/>
      <c r="BA552" s="130">
        <v>54506.0</v>
      </c>
      <c r="BB552" s="130">
        <f t="shared" si="735"/>
        <v>54506</v>
      </c>
      <c r="BC552" s="131">
        <f t="shared" si="736"/>
        <v>7933.915575</v>
      </c>
      <c r="BD552" s="132">
        <f t="shared" si="778"/>
        <v>6924.057022</v>
      </c>
      <c r="BE552" s="39"/>
      <c r="BF552" s="134">
        <v>8.5447E9</v>
      </c>
      <c r="BG552" s="49"/>
      <c r="BH552" s="116">
        <f t="shared" si="714"/>
        <v>32055.81954</v>
      </c>
      <c r="BI552" s="116">
        <f t="shared" si="715"/>
        <v>19233.49173</v>
      </c>
      <c r="BJ552" s="116">
        <f t="shared" si="716"/>
        <v>16027.90977</v>
      </c>
      <c r="BK552" s="116">
        <f t="shared" si="717"/>
        <v>12822.32782</v>
      </c>
      <c r="BL552" s="49"/>
      <c r="BM552" s="49"/>
      <c r="BN552" s="49"/>
      <c r="BO552" s="49"/>
      <c r="BP552" s="49"/>
      <c r="BQ552" s="49"/>
      <c r="BR552" s="49"/>
      <c r="BS552" s="49"/>
      <c r="BT552" s="49"/>
      <c r="BU552" s="49"/>
      <c r="BV552" s="49"/>
      <c r="BW552" s="49"/>
      <c r="BX552" s="49"/>
      <c r="BY552" s="49"/>
      <c r="BZ552" s="49"/>
      <c r="CA552" s="49"/>
      <c r="CB552" s="49"/>
      <c r="CC552" s="49"/>
      <c r="CD552" s="49"/>
      <c r="CE552" s="49"/>
      <c r="CF552" s="49"/>
    </row>
    <row r="553" ht="14.25" customHeight="1">
      <c r="A553" s="103" t="s">
        <v>84</v>
      </c>
      <c r="B553" s="103" t="s">
        <v>85</v>
      </c>
      <c r="C553" s="103" t="s">
        <v>85</v>
      </c>
      <c r="D553" s="103" t="s">
        <v>1266</v>
      </c>
      <c r="E553" s="103" t="s">
        <v>1948</v>
      </c>
      <c r="F553" s="104" t="s">
        <v>1949</v>
      </c>
      <c r="G553" s="110" t="s">
        <v>1465</v>
      </c>
      <c r="H553" s="390" t="s">
        <v>1950</v>
      </c>
      <c r="I553" s="391" t="s">
        <v>2126</v>
      </c>
      <c r="J553" s="220" t="s">
        <v>2127</v>
      </c>
      <c r="K553" s="220" t="str">
        <f>_xlfn.XLOOKUP(J553,[1]Sheet1!$A:$A,[1]Sheet1!$B:$B,"")</f>
        <v>#ERROR!</v>
      </c>
      <c r="L553" s="103" t="s">
        <v>2128</v>
      </c>
      <c r="M553" s="103" t="s">
        <v>2129</v>
      </c>
      <c r="N553" s="110" t="s">
        <v>106</v>
      </c>
      <c r="O553" s="104" t="s">
        <v>95</v>
      </c>
      <c r="P553" s="110"/>
      <c r="Q553" s="104" t="s">
        <v>480</v>
      </c>
      <c r="R553" s="110" t="s">
        <v>1955</v>
      </c>
      <c r="S553" s="110">
        <v>4.0</v>
      </c>
      <c r="T553" s="110" t="e">
        <v>#N/A</v>
      </c>
      <c r="U553" s="110">
        <v>8.5447E9</v>
      </c>
      <c r="V553" s="112">
        <v>0.0</v>
      </c>
      <c r="W553" s="113">
        <v>30.0</v>
      </c>
      <c r="X553" s="110">
        <v>45.0</v>
      </c>
      <c r="Y553" s="110">
        <v>55.0</v>
      </c>
      <c r="Z553" s="110" t="s">
        <v>1938</v>
      </c>
      <c r="AA553" s="114">
        <f t="shared" si="782"/>
        <v>1740.18522</v>
      </c>
      <c r="AB553" s="115"/>
      <c r="AC553" s="116">
        <f t="shared" si="772"/>
        <v>1505.790327</v>
      </c>
      <c r="AD553" s="117">
        <f t="shared" si="783"/>
        <v>1585.04245</v>
      </c>
      <c r="AE553" s="116"/>
      <c r="AF553" s="116" t="str">
        <f t="shared" si="94"/>
        <v>#REF!</v>
      </c>
      <c r="AG553" s="210" t="str">
        <f t="shared" si="95"/>
        <v>#REF!</v>
      </c>
      <c r="AH553" s="120" t="str">
        <f t="shared" si="96"/>
        <v>#REF!</v>
      </c>
      <c r="AI553" s="121">
        <f t="shared" si="497"/>
        <v>0.1</v>
      </c>
      <c r="AJ553" s="121">
        <v>0.1</v>
      </c>
      <c r="AK553" s="122">
        <v>0.29</v>
      </c>
      <c r="AL553" s="123">
        <f t="shared" si="11"/>
        <v>436.6791948</v>
      </c>
      <c r="AM553" s="122" t="s">
        <v>10</v>
      </c>
      <c r="AN553" s="125">
        <f t="shared" si="774"/>
        <v>1505.790327</v>
      </c>
      <c r="AO553" s="112">
        <f t="shared" si="775"/>
        <v>0.29</v>
      </c>
      <c r="AP553" s="127"/>
      <c r="AQ553" s="128">
        <f t="shared" si="771"/>
        <v>1334.142002</v>
      </c>
      <c r="AR553" s="125">
        <f t="shared" si="776"/>
        <v>1187.901258</v>
      </c>
      <c r="AS553" s="126">
        <f t="shared" si="733"/>
        <v>0.2333333333</v>
      </c>
      <c r="AT553" s="126">
        <f t="shared" si="777"/>
        <v>0.2111111111</v>
      </c>
      <c r="AU553" s="129"/>
      <c r="AV553" s="39" t="s">
        <v>1956</v>
      </c>
      <c r="AW553" s="130"/>
      <c r="AX553" s="130"/>
      <c r="AY553" s="130"/>
      <c r="AZ553" s="130"/>
      <c r="BA553" s="130">
        <v>8249.0</v>
      </c>
      <c r="BB553" s="130">
        <f t="shared" si="735"/>
        <v>8249</v>
      </c>
      <c r="BC553" s="131">
        <f t="shared" si="736"/>
        <v>1200.727802</v>
      </c>
      <c r="BD553" s="132">
        <f t="shared" si="778"/>
        <v>1069.111132</v>
      </c>
      <c r="BE553" s="39"/>
      <c r="BF553" s="134">
        <v>8.5447E9</v>
      </c>
      <c r="BG553" s="49"/>
      <c r="BH553" s="116">
        <f t="shared" si="714"/>
        <v>5019.30109</v>
      </c>
      <c r="BI553" s="116">
        <f t="shared" si="715"/>
        <v>3011.580654</v>
      </c>
      <c r="BJ553" s="116">
        <f t="shared" si="716"/>
        <v>2509.650545</v>
      </c>
      <c r="BK553" s="116">
        <f t="shared" si="717"/>
        <v>2007.720436</v>
      </c>
      <c r="BL553" s="49"/>
      <c r="BM553" s="49"/>
      <c r="BN553" s="49"/>
      <c r="BO553" s="49"/>
      <c r="BP553" s="49"/>
      <c r="BQ553" s="49"/>
      <c r="BR553" s="49"/>
      <c r="BS553" s="49"/>
      <c r="BT553" s="49"/>
      <c r="BU553" s="49"/>
      <c r="BV553" s="49"/>
      <c r="BW553" s="49"/>
      <c r="BX553" s="49"/>
      <c r="BY553" s="49"/>
      <c r="BZ553" s="49"/>
      <c r="CA553" s="49"/>
      <c r="CB553" s="49"/>
      <c r="CC553" s="49"/>
      <c r="CD553" s="49"/>
      <c r="CE553" s="49"/>
      <c r="CF553" s="49"/>
    </row>
    <row r="554" ht="14.25" customHeight="1">
      <c r="A554" s="103" t="s">
        <v>84</v>
      </c>
      <c r="B554" s="103" t="s">
        <v>85</v>
      </c>
      <c r="C554" s="103" t="s">
        <v>85</v>
      </c>
      <c r="D554" s="103" t="s">
        <v>1266</v>
      </c>
      <c r="E554" s="103" t="s">
        <v>1948</v>
      </c>
      <c r="F554" s="104" t="s">
        <v>1949</v>
      </c>
      <c r="G554" s="110" t="s">
        <v>1465</v>
      </c>
      <c r="H554" s="390" t="s">
        <v>1957</v>
      </c>
      <c r="I554" s="391" t="s">
        <v>2130</v>
      </c>
      <c r="J554" s="220" t="s">
        <v>2131</v>
      </c>
      <c r="K554" s="220" t="str">
        <f>_xlfn.XLOOKUP(J554,[1]Sheet1!$A:$A,[1]Sheet1!$B:$B,"")</f>
        <v>#ERROR!</v>
      </c>
      <c r="L554" s="103" t="s">
        <v>2132</v>
      </c>
      <c r="M554" s="103" t="s">
        <v>2133</v>
      </c>
      <c r="N554" s="110" t="s">
        <v>106</v>
      </c>
      <c r="O554" s="104" t="s">
        <v>95</v>
      </c>
      <c r="P554" s="110"/>
      <c r="Q554" s="104" t="s">
        <v>480</v>
      </c>
      <c r="R554" s="110" t="s">
        <v>1955</v>
      </c>
      <c r="S554" s="110">
        <v>4.0</v>
      </c>
      <c r="T554" s="110" t="e">
        <v>#N/A</v>
      </c>
      <c r="U554" s="110">
        <v>8.5447E9</v>
      </c>
      <c r="V554" s="112">
        <v>0.0</v>
      </c>
      <c r="W554" s="113">
        <v>30.0</v>
      </c>
      <c r="X554" s="110">
        <v>45.0</v>
      </c>
      <c r="Y554" s="110">
        <v>55.0</v>
      </c>
      <c r="Z554" s="110" t="s">
        <v>1938</v>
      </c>
      <c r="AA554" s="114">
        <f t="shared" si="782"/>
        <v>2238.254963</v>
      </c>
      <c r="AB554" s="115"/>
      <c r="AC554" s="116">
        <f t="shared" si="772"/>
        <v>1926.694335</v>
      </c>
      <c r="AD554" s="117">
        <f t="shared" si="783"/>
        <v>2028.0993</v>
      </c>
      <c r="AE554" s="116"/>
      <c r="AF554" s="116" t="str">
        <f t="shared" si="94"/>
        <v>#REF!</v>
      </c>
      <c r="AG554" s="210" t="str">
        <f t="shared" si="95"/>
        <v>#REF!</v>
      </c>
      <c r="AH554" s="120" t="str">
        <f t="shared" si="96"/>
        <v>#REF!</v>
      </c>
      <c r="AI554" s="121">
        <f t="shared" si="497"/>
        <v>0.1</v>
      </c>
      <c r="AJ554" s="121">
        <v>0.1</v>
      </c>
      <c r="AK554" s="122">
        <v>0.29</v>
      </c>
      <c r="AL554" s="123">
        <f t="shared" si="11"/>
        <v>558.7413571</v>
      </c>
      <c r="AM554" s="122" t="s">
        <v>10</v>
      </c>
      <c r="AN554" s="125">
        <f t="shared" si="774"/>
        <v>1926.694335</v>
      </c>
      <c r="AO554" s="112">
        <f t="shared" si="775"/>
        <v>0.29</v>
      </c>
      <c r="AP554" s="127"/>
      <c r="AQ554" s="128">
        <f t="shared" si="771"/>
        <v>1715.995471</v>
      </c>
      <c r="AR554" s="125">
        <f t="shared" si="776"/>
        <v>1519.947753</v>
      </c>
      <c r="AS554" s="126">
        <f t="shared" si="733"/>
        <v>0.2333333333</v>
      </c>
      <c r="AT554" s="126">
        <f t="shared" si="777"/>
        <v>0.2111111111</v>
      </c>
      <c r="AU554" s="129"/>
      <c r="AV554" s="39" t="s">
        <v>1956</v>
      </c>
      <c r="AW554" s="130"/>
      <c r="AX554" s="130"/>
      <c r="AY554" s="130"/>
      <c r="AZ554" s="130"/>
      <c r="BA554" s="130">
        <v>10610.0</v>
      </c>
      <c r="BB554" s="130">
        <f t="shared" si="735"/>
        <v>10610</v>
      </c>
      <c r="BC554" s="131">
        <f t="shared" si="736"/>
        <v>1544.395924</v>
      </c>
      <c r="BD554" s="132">
        <f t="shared" si="778"/>
        <v>1367.952978</v>
      </c>
      <c r="BE554" s="39"/>
      <c r="BF554" s="134">
        <v>8.5447E9</v>
      </c>
      <c r="BG554" s="49"/>
      <c r="BH554" s="116">
        <f t="shared" si="714"/>
        <v>6422.314449</v>
      </c>
      <c r="BI554" s="116">
        <f t="shared" si="715"/>
        <v>3853.388669</v>
      </c>
      <c r="BJ554" s="116">
        <f t="shared" si="716"/>
        <v>3211.157225</v>
      </c>
      <c r="BK554" s="116">
        <f t="shared" si="717"/>
        <v>2568.92578</v>
      </c>
      <c r="BL554" s="49"/>
      <c r="BM554" s="49"/>
      <c r="BN554" s="49"/>
      <c r="BO554" s="49"/>
      <c r="BP554" s="49"/>
      <c r="BQ554" s="49"/>
      <c r="BR554" s="49"/>
      <c r="BS554" s="49"/>
      <c r="BT554" s="49"/>
      <c r="BU554" s="49"/>
      <c r="BV554" s="49"/>
      <c r="BW554" s="49"/>
      <c r="BX554" s="49"/>
      <c r="BY554" s="49"/>
      <c r="BZ554" s="49"/>
      <c r="CA554" s="49"/>
      <c r="CB554" s="49"/>
      <c r="CC554" s="49"/>
      <c r="CD554" s="49"/>
      <c r="CE554" s="49"/>
      <c r="CF554" s="49"/>
    </row>
    <row r="555" ht="14.25" customHeight="1">
      <c r="A555" s="103" t="s">
        <v>84</v>
      </c>
      <c r="B555" s="103" t="s">
        <v>85</v>
      </c>
      <c r="C555" s="103" t="s">
        <v>85</v>
      </c>
      <c r="D555" s="103" t="s">
        <v>1266</v>
      </c>
      <c r="E555" s="103" t="s">
        <v>1948</v>
      </c>
      <c r="F555" s="104" t="s">
        <v>1949</v>
      </c>
      <c r="G555" s="110" t="s">
        <v>1465</v>
      </c>
      <c r="H555" s="390" t="s">
        <v>1962</v>
      </c>
      <c r="I555" s="391" t="s">
        <v>2134</v>
      </c>
      <c r="J555" s="220" t="s">
        <v>2135</v>
      </c>
      <c r="K555" s="220" t="str">
        <f>_xlfn.XLOOKUP(J555,[1]Sheet1!$A:$A,[1]Sheet1!$B:$B,"")</f>
        <v>#ERROR!</v>
      </c>
      <c r="L555" s="103" t="s">
        <v>2136</v>
      </c>
      <c r="M555" s="103" t="s">
        <v>2137</v>
      </c>
      <c r="N555" s="110" t="s">
        <v>106</v>
      </c>
      <c r="O555" s="104" t="s">
        <v>95</v>
      </c>
      <c r="P555" s="110"/>
      <c r="Q555" s="104" t="s">
        <v>480</v>
      </c>
      <c r="R555" s="110" t="s">
        <v>1955</v>
      </c>
      <c r="S555" s="110">
        <v>4.0</v>
      </c>
      <c r="T555" s="110" t="e">
        <v>#N/A</v>
      </c>
      <c r="U555" s="110">
        <v>8.5447E9</v>
      </c>
      <c r="V555" s="112">
        <v>0.0</v>
      </c>
      <c r="W555" s="113">
        <v>30.0</v>
      </c>
      <c r="X555" s="110">
        <v>45.0</v>
      </c>
      <c r="Y555" s="110">
        <v>55.0</v>
      </c>
      <c r="Z555" s="110" t="s">
        <v>1938</v>
      </c>
      <c r="AA555" s="114">
        <f t="shared" si="782"/>
        <v>3237.347847</v>
      </c>
      <c r="AB555" s="115"/>
      <c r="AC555" s="116">
        <f t="shared" si="772"/>
        <v>2770.998181</v>
      </c>
      <c r="AD555" s="117">
        <f t="shared" si="783"/>
        <v>2916.84019</v>
      </c>
      <c r="AE555" s="116"/>
      <c r="AF555" s="116" t="str">
        <f t="shared" si="94"/>
        <v>#REF!</v>
      </c>
      <c r="AG555" s="210" t="str">
        <f t="shared" si="95"/>
        <v>#REF!</v>
      </c>
      <c r="AH555" s="120" t="str">
        <f t="shared" si="96"/>
        <v>#REF!</v>
      </c>
      <c r="AI555" s="121">
        <f t="shared" si="497"/>
        <v>0.1</v>
      </c>
      <c r="AJ555" s="121">
        <v>0.1</v>
      </c>
      <c r="AK555" s="122">
        <v>0.29</v>
      </c>
      <c r="AL555" s="123">
        <f t="shared" si="11"/>
        <v>803.5894724</v>
      </c>
      <c r="AM555" s="122" t="s">
        <v>10</v>
      </c>
      <c r="AN555" s="125">
        <f t="shared" si="774"/>
        <v>2770.998181</v>
      </c>
      <c r="AO555" s="112">
        <f t="shared" si="775"/>
        <v>0.29</v>
      </c>
      <c r="AP555" s="127"/>
      <c r="AQ555" s="128">
        <f t="shared" si="771"/>
        <v>2481.966683</v>
      </c>
      <c r="AR555" s="125">
        <f t="shared" si="776"/>
        <v>2186.009676</v>
      </c>
      <c r="AS555" s="126">
        <f t="shared" si="733"/>
        <v>0.2333333333</v>
      </c>
      <c r="AT555" s="126">
        <f t="shared" si="777"/>
        <v>0.2111111111</v>
      </c>
      <c r="AU555" s="129"/>
      <c r="AV555" s="39" t="s">
        <v>1956</v>
      </c>
      <c r="AW555" s="130"/>
      <c r="AX555" s="130"/>
      <c r="AY555" s="130"/>
      <c r="AZ555" s="130"/>
      <c r="BA555" s="130">
        <v>15346.0</v>
      </c>
      <c r="BB555" s="130">
        <f t="shared" si="735"/>
        <v>15346</v>
      </c>
      <c r="BC555" s="131">
        <f t="shared" si="736"/>
        <v>2233.770015</v>
      </c>
      <c r="BD555" s="132">
        <f t="shared" si="778"/>
        <v>1967.408708</v>
      </c>
      <c r="BE555" s="39"/>
      <c r="BF555" s="134">
        <v>8.5447E9</v>
      </c>
      <c r="BG555" s="49"/>
      <c r="BH555" s="116">
        <f t="shared" si="714"/>
        <v>9236.660602</v>
      </c>
      <c r="BI555" s="116">
        <f t="shared" si="715"/>
        <v>5541.996361</v>
      </c>
      <c r="BJ555" s="116">
        <f t="shared" si="716"/>
        <v>4618.330301</v>
      </c>
      <c r="BK555" s="116">
        <f t="shared" si="717"/>
        <v>3694.664241</v>
      </c>
      <c r="BL555" s="49"/>
      <c r="BM555" s="49"/>
      <c r="BN555" s="49"/>
      <c r="BO555" s="49"/>
      <c r="BP555" s="49"/>
      <c r="BQ555" s="49"/>
      <c r="BR555" s="49"/>
      <c r="BS555" s="49"/>
      <c r="BT555" s="49"/>
      <c r="BU555" s="49"/>
      <c r="BV555" s="49"/>
      <c r="BW555" s="49"/>
      <c r="BX555" s="49"/>
      <c r="BY555" s="49"/>
      <c r="BZ555" s="49"/>
      <c r="CA555" s="49"/>
      <c r="CB555" s="49"/>
      <c r="CC555" s="49"/>
      <c r="CD555" s="49"/>
      <c r="CE555" s="49"/>
      <c r="CF555" s="49"/>
    </row>
    <row r="556" ht="14.25" customHeight="1">
      <c r="A556" s="103" t="s">
        <v>84</v>
      </c>
      <c r="B556" s="103" t="s">
        <v>85</v>
      </c>
      <c r="C556" s="103" t="s">
        <v>85</v>
      </c>
      <c r="D556" s="103" t="s">
        <v>1266</v>
      </c>
      <c r="E556" s="103" t="s">
        <v>1948</v>
      </c>
      <c r="F556" s="104" t="s">
        <v>1949</v>
      </c>
      <c r="G556" s="110" t="s">
        <v>1465</v>
      </c>
      <c r="H556" s="390" t="s">
        <v>1967</v>
      </c>
      <c r="I556" s="391" t="s">
        <v>2138</v>
      </c>
      <c r="J556" s="220" t="s">
        <v>2139</v>
      </c>
      <c r="K556" s="220" t="str">
        <f>_xlfn.XLOOKUP(J556,[1]Sheet1!$A:$A,[1]Sheet1!$B:$B,"")</f>
        <v>#ERROR!</v>
      </c>
      <c r="L556" s="103" t="s">
        <v>2140</v>
      </c>
      <c r="M556" s="103" t="s">
        <v>2141</v>
      </c>
      <c r="N556" s="110" t="s">
        <v>106</v>
      </c>
      <c r="O556" s="104" t="s">
        <v>95</v>
      </c>
      <c r="P556" s="110"/>
      <c r="Q556" s="104" t="s">
        <v>480</v>
      </c>
      <c r="R556" s="110" t="s">
        <v>1955</v>
      </c>
      <c r="S556" s="110">
        <v>4.0</v>
      </c>
      <c r="T556" s="110" t="e">
        <v>#N/A</v>
      </c>
      <c r="U556" s="110">
        <v>8.5447E9</v>
      </c>
      <c r="V556" s="112">
        <v>0.0</v>
      </c>
      <c r="W556" s="113">
        <v>30.0</v>
      </c>
      <c r="X556" s="110">
        <v>45.0</v>
      </c>
      <c r="Y556" s="110">
        <v>55.0</v>
      </c>
      <c r="Z556" s="110" t="s">
        <v>1938</v>
      </c>
      <c r="AA556" s="114">
        <f t="shared" si="782"/>
        <v>6297.069806</v>
      </c>
      <c r="AB556" s="115"/>
      <c r="AC556" s="116">
        <f t="shared" si="772"/>
        <v>5356.678709</v>
      </c>
      <c r="AD556" s="117">
        <f t="shared" si="783"/>
        <v>5638.609167</v>
      </c>
      <c r="AE556" s="116"/>
      <c r="AF556" s="116" t="str">
        <f t="shared" si="94"/>
        <v>#REF!</v>
      </c>
      <c r="AG556" s="210" t="str">
        <f t="shared" si="95"/>
        <v>#REF!</v>
      </c>
      <c r="AH556" s="120" t="str">
        <f t="shared" si="96"/>
        <v>#REF!</v>
      </c>
      <c r="AI556" s="121">
        <f t="shared" si="497"/>
        <v>0.1</v>
      </c>
      <c r="AJ556" s="121">
        <v>0.1</v>
      </c>
      <c r="AK556" s="122">
        <v>0.29</v>
      </c>
      <c r="AL556" s="123">
        <f t="shared" si="11"/>
        <v>1553.436826</v>
      </c>
      <c r="AM556" s="122" t="s">
        <v>10</v>
      </c>
      <c r="AN556" s="125">
        <f t="shared" si="774"/>
        <v>5356.678709</v>
      </c>
      <c r="AO556" s="112">
        <f t="shared" si="775"/>
        <v>0.29</v>
      </c>
      <c r="AP556" s="127"/>
      <c r="AQ556" s="128">
        <f t="shared" si="771"/>
        <v>4827.753518</v>
      </c>
      <c r="AR556" s="125">
        <f t="shared" si="776"/>
        <v>4225.824315</v>
      </c>
      <c r="AS556" s="126">
        <f t="shared" si="733"/>
        <v>0.2333333333</v>
      </c>
      <c r="AT556" s="126">
        <f t="shared" si="777"/>
        <v>0.2111111111</v>
      </c>
      <c r="AU556" s="129"/>
      <c r="AV556" s="39" t="s">
        <v>1956</v>
      </c>
      <c r="AW556" s="130"/>
      <c r="AX556" s="130"/>
      <c r="AY556" s="130"/>
      <c r="AZ556" s="130"/>
      <c r="BA556" s="130">
        <v>29850.0</v>
      </c>
      <c r="BB556" s="130">
        <f t="shared" si="735"/>
        <v>29850</v>
      </c>
      <c r="BC556" s="131">
        <f t="shared" si="736"/>
        <v>4344.978166</v>
      </c>
      <c r="BD556" s="132">
        <f t="shared" si="778"/>
        <v>3803.241883</v>
      </c>
      <c r="BE556" s="39"/>
      <c r="BF556" s="134">
        <v>8.5447E9</v>
      </c>
      <c r="BG556" s="49"/>
      <c r="BH556" s="116">
        <f t="shared" si="714"/>
        <v>17855.5957</v>
      </c>
      <c r="BI556" s="116">
        <f t="shared" si="715"/>
        <v>10713.35742</v>
      </c>
      <c r="BJ556" s="116">
        <f t="shared" si="716"/>
        <v>8927.797848</v>
      </c>
      <c r="BK556" s="116">
        <f t="shared" si="717"/>
        <v>7142.238279</v>
      </c>
      <c r="BL556" s="49"/>
      <c r="BM556" s="49"/>
      <c r="BN556" s="49"/>
      <c r="BO556" s="49"/>
      <c r="BP556" s="49"/>
      <c r="BQ556" s="49"/>
      <c r="BR556" s="49"/>
      <c r="BS556" s="49"/>
      <c r="BT556" s="49"/>
      <c r="BU556" s="49"/>
      <c r="BV556" s="49"/>
      <c r="BW556" s="49"/>
      <c r="BX556" s="49"/>
      <c r="BY556" s="49"/>
      <c r="BZ556" s="49"/>
      <c r="CA556" s="49"/>
      <c r="CB556" s="49"/>
      <c r="CC556" s="49"/>
      <c r="CD556" s="49"/>
      <c r="CE556" s="49"/>
      <c r="CF556" s="49"/>
    </row>
    <row r="557" ht="14.25" customHeight="1">
      <c r="A557" s="103" t="s">
        <v>84</v>
      </c>
      <c r="B557" s="103" t="s">
        <v>85</v>
      </c>
      <c r="C557" s="103" t="s">
        <v>85</v>
      </c>
      <c r="D557" s="103" t="s">
        <v>1266</v>
      </c>
      <c r="E557" s="103" t="s">
        <v>1948</v>
      </c>
      <c r="F557" s="104" t="s">
        <v>2025</v>
      </c>
      <c r="G557" s="110" t="s">
        <v>1465</v>
      </c>
      <c r="H557" s="390" t="s">
        <v>2026</v>
      </c>
      <c r="I557" s="391" t="s">
        <v>2142</v>
      </c>
      <c r="J557" s="220" t="s">
        <v>2143</v>
      </c>
      <c r="K557" s="220" t="str">
        <f>_xlfn.XLOOKUP(J557,[1]Sheet1!$A:$A,[1]Sheet1!$B:$B,"")</f>
        <v>#ERROR!</v>
      </c>
      <c r="L557" s="103" t="s">
        <v>2144</v>
      </c>
      <c r="M557" s="103" t="s">
        <v>2145</v>
      </c>
      <c r="N557" s="110" t="s">
        <v>106</v>
      </c>
      <c r="O557" s="104" t="s">
        <v>95</v>
      </c>
      <c r="P557" s="110"/>
      <c r="Q557" s="104" t="s">
        <v>480</v>
      </c>
      <c r="R557" s="110" t="s">
        <v>1955</v>
      </c>
      <c r="S557" s="110">
        <v>4.0</v>
      </c>
      <c r="T557" s="110" t="e">
        <v>#N/A</v>
      </c>
      <c r="U557" s="110">
        <v>8.5447E9</v>
      </c>
      <c r="V557" s="112">
        <v>0.0</v>
      </c>
      <c r="W557" s="113">
        <v>30.0</v>
      </c>
      <c r="X557" s="110">
        <v>45.0</v>
      </c>
      <c r="Y557" s="110">
        <v>55.0</v>
      </c>
      <c r="Z557" s="110" t="s">
        <v>1938</v>
      </c>
      <c r="AA557" s="114">
        <f t="shared" si="782"/>
        <v>11634.34369</v>
      </c>
      <c r="AB557" s="115"/>
      <c r="AC557" s="116">
        <f t="shared" si="772"/>
        <v>9863.482872</v>
      </c>
      <c r="AD557" s="117">
        <f t="shared" si="783"/>
        <v>10382.61355</v>
      </c>
      <c r="AE557" s="116"/>
      <c r="AF557" s="116" t="str">
        <f t="shared" si="94"/>
        <v>#REF!</v>
      </c>
      <c r="AG557" s="210" t="str">
        <f t="shared" si="95"/>
        <v>#REF!</v>
      </c>
      <c r="AH557" s="120" t="str">
        <f t="shared" si="96"/>
        <v>#REF!</v>
      </c>
      <c r="AI557" s="121">
        <f t="shared" si="497"/>
        <v>0.1</v>
      </c>
      <c r="AJ557" s="121">
        <v>0.1</v>
      </c>
      <c r="AK557" s="122">
        <v>0.3</v>
      </c>
      <c r="AL557" s="123">
        <f t="shared" si="11"/>
        <v>2959.044862</v>
      </c>
      <c r="AM557" s="122" t="s">
        <v>10</v>
      </c>
      <c r="AN557" s="125">
        <f t="shared" si="774"/>
        <v>9863.482872</v>
      </c>
      <c r="AO557" s="112">
        <f t="shared" si="775"/>
        <v>0.3</v>
      </c>
      <c r="AP557" s="127"/>
      <c r="AQ557" s="128">
        <f t="shared" si="771"/>
        <v>8790.393013</v>
      </c>
      <c r="AR557" s="125">
        <f t="shared" si="776"/>
        <v>7671.597789</v>
      </c>
      <c r="AS557" s="126">
        <f t="shared" si="733"/>
        <v>0.2444444444</v>
      </c>
      <c r="AT557" s="126">
        <f t="shared" si="777"/>
        <v>0.2222222222</v>
      </c>
      <c r="AU557" s="129"/>
      <c r="AV557" s="39" t="s">
        <v>1956</v>
      </c>
      <c r="AW557" s="130"/>
      <c r="AX557" s="130"/>
      <c r="AY557" s="130"/>
      <c r="AZ557" s="130"/>
      <c r="BA557" s="130">
        <v>54351.0</v>
      </c>
      <c r="BB557" s="130">
        <f t="shared" si="735"/>
        <v>54351</v>
      </c>
      <c r="BC557" s="131">
        <f t="shared" si="736"/>
        <v>7911.353712</v>
      </c>
      <c r="BD557" s="132">
        <f t="shared" si="778"/>
        <v>6904.43801</v>
      </c>
      <c r="BE557" s="39"/>
      <c r="BF557" s="134">
        <v>8.5447E9</v>
      </c>
      <c r="BG557" s="49"/>
      <c r="BH557" s="116">
        <f t="shared" si="714"/>
        <v>32878.27624</v>
      </c>
      <c r="BI557" s="116">
        <f t="shared" si="715"/>
        <v>19726.96574</v>
      </c>
      <c r="BJ557" s="116">
        <f t="shared" si="716"/>
        <v>16439.13812</v>
      </c>
      <c r="BK557" s="116">
        <f t="shared" si="717"/>
        <v>13151.3105</v>
      </c>
      <c r="BL557" s="49"/>
      <c r="BM557" s="49"/>
      <c r="BN557" s="49"/>
      <c r="BO557" s="49"/>
      <c r="BP557" s="49"/>
      <c r="BQ557" s="49"/>
      <c r="BR557" s="49"/>
      <c r="BS557" s="49"/>
      <c r="BT557" s="49"/>
      <c r="BU557" s="49"/>
      <c r="BV557" s="49"/>
      <c r="BW557" s="49"/>
      <c r="BX557" s="49"/>
      <c r="BY557" s="49"/>
      <c r="BZ557" s="49"/>
      <c r="CA557" s="49"/>
      <c r="CB557" s="49"/>
      <c r="CC557" s="49"/>
      <c r="CD557" s="49"/>
      <c r="CE557" s="49"/>
      <c r="CF557" s="49"/>
    </row>
    <row r="558" ht="14.25" customHeight="1">
      <c r="A558" s="103" t="s">
        <v>84</v>
      </c>
      <c r="B558" s="103" t="s">
        <v>85</v>
      </c>
      <c r="C558" s="103" t="s">
        <v>85</v>
      </c>
      <c r="D558" s="103" t="s">
        <v>1266</v>
      </c>
      <c r="E558" s="103" t="s">
        <v>1948</v>
      </c>
      <c r="F558" s="104" t="s">
        <v>2025</v>
      </c>
      <c r="G558" s="110" t="s">
        <v>1465</v>
      </c>
      <c r="H558" s="390" t="s">
        <v>2031</v>
      </c>
      <c r="I558" s="391" t="s">
        <v>2146</v>
      </c>
      <c r="J558" s="220" t="s">
        <v>2147</v>
      </c>
      <c r="K558" s="220" t="str">
        <f>_xlfn.XLOOKUP(J558,[1]Sheet1!$A:$A,[1]Sheet1!$B:$B,"")</f>
        <v>#ERROR!</v>
      </c>
      <c r="L558" s="103" t="s">
        <v>2148</v>
      </c>
      <c r="M558" s="103" t="s">
        <v>2149</v>
      </c>
      <c r="N558" s="110" t="s">
        <v>106</v>
      </c>
      <c r="O558" s="104" t="s">
        <v>95</v>
      </c>
      <c r="P558" s="110"/>
      <c r="Q558" s="104" t="s">
        <v>480</v>
      </c>
      <c r="R558" s="110" t="s">
        <v>1955</v>
      </c>
      <c r="S558" s="110">
        <v>4.0</v>
      </c>
      <c r="T558" s="110" t="e">
        <v>#N/A</v>
      </c>
      <c r="U558" s="110">
        <v>8.5447E9</v>
      </c>
      <c r="V558" s="112">
        <v>0.0</v>
      </c>
      <c r="W558" s="113">
        <v>30.0</v>
      </c>
      <c r="X558" s="110">
        <v>45.0</v>
      </c>
      <c r="Y558" s="110">
        <v>55.0</v>
      </c>
      <c r="Z558" s="110" t="s">
        <v>1938</v>
      </c>
      <c r="AA558" s="114">
        <f t="shared" si="782"/>
        <v>22495.93287</v>
      </c>
      <c r="AB558" s="115"/>
      <c r="AC558" s="116">
        <f t="shared" si="772"/>
        <v>19038.48988</v>
      </c>
      <c r="AD558" s="117">
        <f t="shared" si="783"/>
        <v>20040.51566</v>
      </c>
      <c r="AE558" s="116"/>
      <c r="AF558" s="116" t="str">
        <f t="shared" si="94"/>
        <v>#REF!</v>
      </c>
      <c r="AG558" s="210" t="str">
        <f t="shared" si="95"/>
        <v>#REF!</v>
      </c>
      <c r="AH558" s="120" t="str">
        <f t="shared" si="96"/>
        <v>#REF!</v>
      </c>
      <c r="AI558" s="121">
        <f t="shared" si="497"/>
        <v>0.1</v>
      </c>
      <c r="AJ558" s="121">
        <v>0.1</v>
      </c>
      <c r="AK558" s="122">
        <v>0.3</v>
      </c>
      <c r="AL558" s="123">
        <f t="shared" si="11"/>
        <v>5711.546964</v>
      </c>
      <c r="AM558" s="122" t="s">
        <v>10</v>
      </c>
      <c r="AN558" s="125">
        <f t="shared" si="774"/>
        <v>19038.48988</v>
      </c>
      <c r="AO558" s="112">
        <f t="shared" si="775"/>
        <v>0.3</v>
      </c>
      <c r="AP558" s="127"/>
      <c r="AQ558" s="128">
        <f t="shared" si="771"/>
        <v>16996.92706</v>
      </c>
      <c r="AR558" s="125">
        <f t="shared" si="776"/>
        <v>14807.71435</v>
      </c>
      <c r="AS558" s="126">
        <f t="shared" si="733"/>
        <v>0.2444444444</v>
      </c>
      <c r="AT558" s="126">
        <f t="shared" si="777"/>
        <v>0.2222222222</v>
      </c>
      <c r="AU558" s="129"/>
      <c r="AV558" s="39" t="s">
        <v>1956</v>
      </c>
      <c r="AW558" s="130"/>
      <c r="AX558" s="130"/>
      <c r="AY558" s="130"/>
      <c r="AZ558" s="130"/>
      <c r="BA558" s="130">
        <v>105092.0</v>
      </c>
      <c r="BB558" s="130">
        <f t="shared" si="735"/>
        <v>105092</v>
      </c>
      <c r="BC558" s="131">
        <f t="shared" si="736"/>
        <v>15297.23435</v>
      </c>
      <c r="BD558" s="132">
        <f t="shared" si="778"/>
        <v>13326.94292</v>
      </c>
      <c r="BE558" s="39"/>
      <c r="BF558" s="134">
        <v>8.5447E9</v>
      </c>
      <c r="BG558" s="49"/>
      <c r="BH558" s="116">
        <f t="shared" si="714"/>
        <v>63461.63293</v>
      </c>
      <c r="BI558" s="116">
        <f t="shared" si="715"/>
        <v>38076.97976</v>
      </c>
      <c r="BJ558" s="116">
        <f t="shared" si="716"/>
        <v>31730.81646</v>
      </c>
      <c r="BK558" s="116">
        <f t="shared" si="717"/>
        <v>25384.65317</v>
      </c>
      <c r="BL558" s="49"/>
      <c r="BM558" s="49"/>
      <c r="BN558" s="49"/>
      <c r="BO558" s="49"/>
      <c r="BP558" s="49"/>
      <c r="BQ558" s="49"/>
      <c r="BR558" s="49"/>
      <c r="BS558" s="49"/>
      <c r="BT558" s="49"/>
      <c r="BU558" s="49"/>
      <c r="BV558" s="49"/>
      <c r="BW558" s="49"/>
      <c r="BX558" s="49"/>
      <c r="BY558" s="49"/>
      <c r="BZ558" s="49"/>
      <c r="CA558" s="49"/>
      <c r="CB558" s="49"/>
      <c r="CC558" s="49"/>
      <c r="CD558" s="49"/>
      <c r="CE558" s="49"/>
      <c r="CF558" s="49"/>
    </row>
    <row r="559" ht="14.25" customHeight="1">
      <c r="A559" s="103" t="s">
        <v>84</v>
      </c>
      <c r="B559" s="103" t="s">
        <v>85</v>
      </c>
      <c r="C559" s="103" t="s">
        <v>85</v>
      </c>
      <c r="D559" s="103" t="s">
        <v>1266</v>
      </c>
      <c r="E559" s="103" t="s">
        <v>1948</v>
      </c>
      <c r="F559" s="104" t="s">
        <v>1949</v>
      </c>
      <c r="G559" s="110" t="s">
        <v>2150</v>
      </c>
      <c r="H559" s="390" t="s">
        <v>1950</v>
      </c>
      <c r="I559" s="391" t="s">
        <v>2151</v>
      </c>
      <c r="J559" s="220" t="s">
        <v>2152</v>
      </c>
      <c r="K559" s="220" t="str">
        <f>_xlfn.XLOOKUP(J559,[1]Sheet1!$A:$A,[1]Sheet1!$B:$B,"")</f>
        <v>#ERROR!</v>
      </c>
      <c r="L559" s="103" t="s">
        <v>2153</v>
      </c>
      <c r="M559" s="103" t="s">
        <v>2154</v>
      </c>
      <c r="N559" s="110" t="s">
        <v>106</v>
      </c>
      <c r="O559" s="104" t="s">
        <v>2155</v>
      </c>
      <c r="P559" s="110"/>
      <c r="Q559" s="104" t="s">
        <v>480</v>
      </c>
      <c r="R559" s="110" t="s">
        <v>1955</v>
      </c>
      <c r="S559" s="110">
        <v>4.0</v>
      </c>
      <c r="T559" s="110" t="e">
        <v>#N/A</v>
      </c>
      <c r="U559" s="110">
        <v>8.5447E9</v>
      </c>
      <c r="V559" s="112">
        <v>0.0</v>
      </c>
      <c r="W559" s="113">
        <v>30.0</v>
      </c>
      <c r="X559" s="110">
        <v>45.0</v>
      </c>
      <c r="Y559" s="110">
        <v>55.0</v>
      </c>
      <c r="Z559" s="110" t="s">
        <v>1938</v>
      </c>
      <c r="AA559" s="114">
        <f t="shared" si="782"/>
        <v>301.369863</v>
      </c>
      <c r="AB559" s="115"/>
      <c r="AC559" s="116">
        <f t="shared" si="772"/>
        <v>288.4057971</v>
      </c>
      <c r="AD559" s="117">
        <f t="shared" si="783"/>
        <v>303.5850496</v>
      </c>
      <c r="AE559" s="116"/>
      <c r="AF559" s="116" t="str">
        <f t="shared" si="94"/>
        <v>#REF!</v>
      </c>
      <c r="AG559" s="210" t="str">
        <f t="shared" si="95"/>
        <v>#REF!</v>
      </c>
      <c r="AH559" s="120" t="str">
        <f t="shared" si="96"/>
        <v>#REF!</v>
      </c>
      <c r="AI559" s="121">
        <f t="shared" si="497"/>
        <v>0.1</v>
      </c>
      <c r="AJ559" s="121">
        <v>0.1</v>
      </c>
      <c r="AK559" s="122">
        <v>0.25</v>
      </c>
      <c r="AL559" s="123">
        <f t="shared" si="11"/>
        <v>72.10144928</v>
      </c>
      <c r="AM559" s="122" t="s">
        <v>10</v>
      </c>
      <c r="AN559" s="125">
        <f t="shared" si="774"/>
        <v>288.4057971</v>
      </c>
      <c r="AO559" s="112">
        <f t="shared" si="775"/>
        <v>0.25</v>
      </c>
      <c r="AP559" s="127"/>
      <c r="AQ559" s="128">
        <f t="shared" si="771"/>
        <v>244.4444444</v>
      </c>
      <c r="AR559" s="125">
        <f t="shared" si="776"/>
        <v>240.3381643</v>
      </c>
      <c r="AS559" s="126">
        <f t="shared" si="733"/>
        <v>0.1888888889</v>
      </c>
      <c r="AT559" s="126">
        <f t="shared" si="777"/>
        <v>0.1666666667</v>
      </c>
      <c r="AU559" s="129"/>
      <c r="AV559" s="39" t="s">
        <v>2156</v>
      </c>
      <c r="AW559" s="130"/>
      <c r="AX559" s="130"/>
      <c r="AY559" s="130"/>
      <c r="AZ559" s="130"/>
      <c r="BA559" s="130"/>
      <c r="BB559" s="130"/>
      <c r="BC559" s="131">
        <v>220.0</v>
      </c>
      <c r="BD559" s="132">
        <f t="shared" si="778"/>
        <v>216.3043478</v>
      </c>
      <c r="BE559" s="39"/>
      <c r="BF559" s="134">
        <v>8.5447E9</v>
      </c>
      <c r="BG559" s="49"/>
      <c r="BH559" s="116">
        <f t="shared" si="714"/>
        <v>961.352657</v>
      </c>
      <c r="BI559" s="116">
        <f t="shared" si="715"/>
        <v>576.8115942</v>
      </c>
      <c r="BJ559" s="116">
        <f t="shared" si="716"/>
        <v>480.6763285</v>
      </c>
      <c r="BK559" s="116">
        <f t="shared" si="717"/>
        <v>384.5410628</v>
      </c>
      <c r="BL559" s="49"/>
      <c r="BM559" s="49"/>
      <c r="BN559" s="49"/>
      <c r="BO559" s="49"/>
      <c r="BP559" s="49"/>
      <c r="BQ559" s="49"/>
      <c r="BR559" s="49"/>
      <c r="BS559" s="49"/>
      <c r="BT559" s="49"/>
      <c r="BU559" s="49"/>
      <c r="BV559" s="49"/>
      <c r="BW559" s="49"/>
      <c r="BX559" s="49"/>
      <c r="BY559" s="49"/>
      <c r="BZ559" s="49"/>
      <c r="CA559" s="49"/>
      <c r="CB559" s="49"/>
      <c r="CC559" s="49"/>
      <c r="CD559" s="49"/>
      <c r="CE559" s="49"/>
      <c r="CF559" s="49"/>
    </row>
    <row r="560" ht="14.25" customHeight="1">
      <c r="A560" s="103" t="s">
        <v>84</v>
      </c>
      <c r="B560" s="103" t="s">
        <v>85</v>
      </c>
      <c r="C560" s="103" t="s">
        <v>85</v>
      </c>
      <c r="D560" s="103" t="s">
        <v>1266</v>
      </c>
      <c r="E560" s="103" t="s">
        <v>1948</v>
      </c>
      <c r="F560" s="104" t="s">
        <v>1949</v>
      </c>
      <c r="G560" s="110" t="s">
        <v>2150</v>
      </c>
      <c r="H560" s="390" t="s">
        <v>1957</v>
      </c>
      <c r="I560" s="391" t="s">
        <v>2157</v>
      </c>
      <c r="J560" s="220" t="s">
        <v>2158</v>
      </c>
      <c r="K560" s="220" t="str">
        <f>_xlfn.XLOOKUP(J560,[1]Sheet1!$A:$A,[1]Sheet1!$B:$B,"")</f>
        <v>#ERROR!</v>
      </c>
      <c r="L560" s="103" t="s">
        <v>2159</v>
      </c>
      <c r="M560" s="103" t="s">
        <v>2160</v>
      </c>
      <c r="N560" s="110" t="s">
        <v>106</v>
      </c>
      <c r="O560" s="104" t="s">
        <v>2155</v>
      </c>
      <c r="P560" s="110"/>
      <c r="Q560" s="104" t="s">
        <v>480</v>
      </c>
      <c r="R560" s="110" t="s">
        <v>1955</v>
      </c>
      <c r="S560" s="110">
        <v>4.0</v>
      </c>
      <c r="T560" s="110" t="e">
        <v>#N/A</v>
      </c>
      <c r="U560" s="110">
        <v>8.5447E9</v>
      </c>
      <c r="V560" s="112">
        <v>0.0</v>
      </c>
      <c r="W560" s="113">
        <v>30.0</v>
      </c>
      <c r="X560" s="110">
        <v>45.0</v>
      </c>
      <c r="Y560" s="110">
        <v>55.0</v>
      </c>
      <c r="Z560" s="110" t="s">
        <v>1938</v>
      </c>
      <c r="AA560" s="114">
        <f t="shared" si="782"/>
        <v>315.0684932</v>
      </c>
      <c r="AB560" s="115"/>
      <c r="AC560" s="116">
        <f t="shared" si="772"/>
        <v>300</v>
      </c>
      <c r="AD560" s="117">
        <f t="shared" si="783"/>
        <v>315.7894737</v>
      </c>
      <c r="AE560" s="116"/>
      <c r="AF560" s="116" t="str">
        <f t="shared" si="94"/>
        <v>#REF!</v>
      </c>
      <c r="AG560" s="210" t="str">
        <f t="shared" si="95"/>
        <v>#REF!</v>
      </c>
      <c r="AH560" s="120" t="str">
        <f t="shared" si="96"/>
        <v>#REF!</v>
      </c>
      <c r="AI560" s="121">
        <f t="shared" si="497"/>
        <v>0.1</v>
      </c>
      <c r="AJ560" s="121">
        <v>0.1</v>
      </c>
      <c r="AK560" s="122">
        <v>0.25</v>
      </c>
      <c r="AL560" s="123">
        <f t="shared" si="11"/>
        <v>75</v>
      </c>
      <c r="AM560" s="122" t="s">
        <v>10</v>
      </c>
      <c r="AN560" s="125">
        <f t="shared" si="774"/>
        <v>300</v>
      </c>
      <c r="AO560" s="112">
        <f t="shared" si="775"/>
        <v>0.25</v>
      </c>
      <c r="AP560" s="127"/>
      <c r="AQ560" s="128">
        <f t="shared" si="771"/>
        <v>255.5555556</v>
      </c>
      <c r="AR560" s="125">
        <f t="shared" si="776"/>
        <v>250</v>
      </c>
      <c r="AS560" s="126">
        <f t="shared" si="733"/>
        <v>0.1888888889</v>
      </c>
      <c r="AT560" s="126">
        <f t="shared" si="777"/>
        <v>0.1666666667</v>
      </c>
      <c r="AU560" s="129"/>
      <c r="AV560" s="39" t="s">
        <v>2156</v>
      </c>
      <c r="AW560" s="130"/>
      <c r="AX560" s="130"/>
      <c r="AY560" s="130"/>
      <c r="AZ560" s="130"/>
      <c r="BA560" s="130"/>
      <c r="BB560" s="130"/>
      <c r="BC560" s="131">
        <v>230.0</v>
      </c>
      <c r="BD560" s="132">
        <f t="shared" si="778"/>
        <v>225</v>
      </c>
      <c r="BE560" s="39"/>
      <c r="BF560" s="134">
        <v>8.5447E9</v>
      </c>
      <c r="BG560" s="49"/>
      <c r="BH560" s="116">
        <f t="shared" si="714"/>
        <v>1000</v>
      </c>
      <c r="BI560" s="116">
        <f t="shared" si="715"/>
        <v>600</v>
      </c>
      <c r="BJ560" s="116">
        <f t="shared" si="716"/>
        <v>500</v>
      </c>
      <c r="BK560" s="116">
        <f t="shared" si="717"/>
        <v>400</v>
      </c>
      <c r="BL560" s="49"/>
      <c r="BM560" s="49"/>
      <c r="BN560" s="49"/>
      <c r="BO560" s="49"/>
      <c r="BP560" s="49"/>
      <c r="BQ560" s="49"/>
      <c r="BR560" s="49"/>
      <c r="BS560" s="49"/>
      <c r="BT560" s="49"/>
      <c r="BU560" s="49"/>
      <c r="BV560" s="49"/>
      <c r="BW560" s="49"/>
      <c r="BX560" s="49"/>
      <c r="BY560" s="49"/>
      <c r="BZ560" s="49"/>
      <c r="CA560" s="49"/>
      <c r="CB560" s="49"/>
      <c r="CC560" s="49"/>
      <c r="CD560" s="49"/>
      <c r="CE560" s="49"/>
      <c r="CF560" s="49"/>
    </row>
    <row r="561" ht="14.25" customHeight="1">
      <c r="A561" s="103" t="s">
        <v>84</v>
      </c>
      <c r="B561" s="103" t="s">
        <v>85</v>
      </c>
      <c r="C561" s="103" t="s">
        <v>85</v>
      </c>
      <c r="D561" s="103" t="s">
        <v>1266</v>
      </c>
      <c r="E561" s="103" t="s">
        <v>1948</v>
      </c>
      <c r="F561" s="104" t="s">
        <v>1949</v>
      </c>
      <c r="G561" s="110" t="s">
        <v>2150</v>
      </c>
      <c r="H561" s="390" t="s">
        <v>1962</v>
      </c>
      <c r="I561" s="391" t="s">
        <v>2161</v>
      </c>
      <c r="J561" s="220" t="s">
        <v>2162</v>
      </c>
      <c r="K561" s="220" t="str">
        <f>_xlfn.XLOOKUP(J561,[1]Sheet1!$A:$A,[1]Sheet1!$B:$B,"")</f>
        <v>#ERROR!</v>
      </c>
      <c r="L561" s="103" t="s">
        <v>2163</v>
      </c>
      <c r="M561" s="103" t="s">
        <v>2164</v>
      </c>
      <c r="N561" s="110" t="s">
        <v>106</v>
      </c>
      <c r="O561" s="104" t="s">
        <v>2155</v>
      </c>
      <c r="P561" s="110"/>
      <c r="Q561" s="104" t="s">
        <v>480</v>
      </c>
      <c r="R561" s="110" t="s">
        <v>1955</v>
      </c>
      <c r="S561" s="110">
        <v>4.0</v>
      </c>
      <c r="T561" s="110" t="e">
        <v>#N/A</v>
      </c>
      <c r="U561" s="110">
        <v>8.5447E9</v>
      </c>
      <c r="V561" s="112">
        <v>0.0</v>
      </c>
      <c r="W561" s="113">
        <v>30.0</v>
      </c>
      <c r="X561" s="110">
        <v>45.0</v>
      </c>
      <c r="Y561" s="110">
        <v>55.0</v>
      </c>
      <c r="Z561" s="110" t="s">
        <v>1938</v>
      </c>
      <c r="AA561" s="114">
        <f t="shared" si="782"/>
        <v>356.1643836</v>
      </c>
      <c r="AB561" s="115"/>
      <c r="AC561" s="116">
        <f t="shared" si="772"/>
        <v>334.7826087</v>
      </c>
      <c r="AD561" s="117">
        <f t="shared" si="783"/>
        <v>352.402746</v>
      </c>
      <c r="AE561" s="116"/>
      <c r="AF561" s="116" t="str">
        <f t="shared" si="94"/>
        <v>#REF!</v>
      </c>
      <c r="AG561" s="210" t="str">
        <f t="shared" si="95"/>
        <v>#REF!</v>
      </c>
      <c r="AH561" s="120" t="str">
        <f t="shared" si="96"/>
        <v>#REF!</v>
      </c>
      <c r="AI561" s="121">
        <f t="shared" si="497"/>
        <v>0.1</v>
      </c>
      <c r="AJ561" s="121">
        <v>0.1</v>
      </c>
      <c r="AK561" s="122">
        <v>0.25</v>
      </c>
      <c r="AL561" s="123">
        <f t="shared" si="11"/>
        <v>83.69565217</v>
      </c>
      <c r="AM561" s="122" t="s">
        <v>10</v>
      </c>
      <c r="AN561" s="125">
        <f t="shared" si="774"/>
        <v>334.7826087</v>
      </c>
      <c r="AO561" s="112">
        <f t="shared" si="775"/>
        <v>0.25</v>
      </c>
      <c r="AP561" s="127"/>
      <c r="AQ561" s="128">
        <f t="shared" si="771"/>
        <v>288.8888889</v>
      </c>
      <c r="AR561" s="125">
        <f t="shared" si="776"/>
        <v>278.9855072</v>
      </c>
      <c r="AS561" s="126">
        <f t="shared" si="733"/>
        <v>0.1888888889</v>
      </c>
      <c r="AT561" s="126">
        <f t="shared" si="777"/>
        <v>0.1666666667</v>
      </c>
      <c r="AU561" s="129">
        <v>234.39</v>
      </c>
      <c r="AV561" s="39" t="s">
        <v>2156</v>
      </c>
      <c r="AW561" s="130"/>
      <c r="AX561" s="130"/>
      <c r="AY561" s="130"/>
      <c r="AZ561" s="130"/>
      <c r="BA561" s="130"/>
      <c r="BB561" s="130"/>
      <c r="BC561" s="131">
        <v>260.0</v>
      </c>
      <c r="BD561" s="132">
        <f t="shared" si="778"/>
        <v>251.0869565</v>
      </c>
      <c r="BE561" s="39"/>
      <c r="BF561" s="134">
        <v>8.5447E9</v>
      </c>
      <c r="BG561" s="49"/>
      <c r="BH561" s="116">
        <f t="shared" si="714"/>
        <v>1115.942029</v>
      </c>
      <c r="BI561" s="116">
        <f t="shared" si="715"/>
        <v>669.5652174</v>
      </c>
      <c r="BJ561" s="116">
        <f t="shared" si="716"/>
        <v>557.9710145</v>
      </c>
      <c r="BK561" s="116">
        <f t="shared" si="717"/>
        <v>446.3768116</v>
      </c>
      <c r="BL561" s="49"/>
      <c r="BM561" s="49"/>
      <c r="BN561" s="49"/>
      <c r="BO561" s="49"/>
      <c r="BP561" s="49"/>
      <c r="BQ561" s="49"/>
      <c r="BR561" s="49"/>
      <c r="BS561" s="49"/>
      <c r="BT561" s="49"/>
      <c r="BU561" s="49"/>
      <c r="BV561" s="49"/>
      <c r="BW561" s="49"/>
      <c r="BX561" s="49"/>
      <c r="BY561" s="49"/>
      <c r="BZ561" s="49"/>
      <c r="CA561" s="49"/>
      <c r="CB561" s="49"/>
      <c r="CC561" s="49"/>
      <c r="CD561" s="49"/>
      <c r="CE561" s="49"/>
      <c r="CF561" s="49"/>
    </row>
    <row r="562" ht="14.25" customHeight="1">
      <c r="A562" s="103" t="s">
        <v>84</v>
      </c>
      <c r="B562" s="103" t="s">
        <v>85</v>
      </c>
      <c r="C562" s="103" t="s">
        <v>85</v>
      </c>
      <c r="D562" s="103" t="s">
        <v>1266</v>
      </c>
      <c r="E562" s="103" t="s">
        <v>1948</v>
      </c>
      <c r="F562" s="104" t="s">
        <v>1949</v>
      </c>
      <c r="G562" s="110" t="s">
        <v>2150</v>
      </c>
      <c r="H562" s="390" t="s">
        <v>1967</v>
      </c>
      <c r="I562" s="391" t="s">
        <v>2165</v>
      </c>
      <c r="J562" s="220" t="s">
        <v>2166</v>
      </c>
      <c r="K562" s="220" t="str">
        <f>_xlfn.XLOOKUP(J562,[1]Sheet1!$A:$A,[1]Sheet1!$B:$B,"")</f>
        <v>#ERROR!</v>
      </c>
      <c r="L562" s="103" t="s">
        <v>2167</v>
      </c>
      <c r="M562" s="103" t="s">
        <v>2168</v>
      </c>
      <c r="N562" s="110" t="s">
        <v>106</v>
      </c>
      <c r="O562" s="104" t="s">
        <v>2155</v>
      </c>
      <c r="P562" s="110"/>
      <c r="Q562" s="104" t="s">
        <v>480</v>
      </c>
      <c r="R562" s="110" t="s">
        <v>1955</v>
      </c>
      <c r="S562" s="110">
        <v>4.0</v>
      </c>
      <c r="T562" s="110" t="e">
        <v>#N/A</v>
      </c>
      <c r="U562" s="110">
        <v>8.5447E9</v>
      </c>
      <c r="V562" s="112">
        <v>0.0</v>
      </c>
      <c r="W562" s="113">
        <v>30.0</v>
      </c>
      <c r="X562" s="110">
        <v>45.0</v>
      </c>
      <c r="Y562" s="110">
        <v>55.0</v>
      </c>
      <c r="Z562" s="110" t="s">
        <v>1938</v>
      </c>
      <c r="AA562" s="114">
        <f t="shared" si="782"/>
        <v>493.1506849</v>
      </c>
      <c r="AB562" s="115"/>
      <c r="AC562" s="116">
        <f t="shared" si="772"/>
        <v>450.7246377</v>
      </c>
      <c r="AD562" s="117">
        <f t="shared" si="783"/>
        <v>474.446987</v>
      </c>
      <c r="AE562" s="116"/>
      <c r="AF562" s="116" t="str">
        <f t="shared" si="94"/>
        <v>#REF!</v>
      </c>
      <c r="AG562" s="210" t="str">
        <f t="shared" si="95"/>
        <v>#REF!</v>
      </c>
      <c r="AH562" s="120" t="str">
        <f t="shared" si="96"/>
        <v>#REF!</v>
      </c>
      <c r="AI562" s="121">
        <f t="shared" si="497"/>
        <v>0.1</v>
      </c>
      <c r="AJ562" s="121">
        <v>0.1</v>
      </c>
      <c r="AK562" s="122">
        <v>0.25</v>
      </c>
      <c r="AL562" s="123">
        <f t="shared" si="11"/>
        <v>112.6811594</v>
      </c>
      <c r="AM562" s="122" t="s">
        <v>10</v>
      </c>
      <c r="AN562" s="125">
        <f t="shared" si="774"/>
        <v>450.7246377</v>
      </c>
      <c r="AO562" s="112">
        <f t="shared" si="775"/>
        <v>0.25</v>
      </c>
      <c r="AP562" s="127"/>
      <c r="AQ562" s="128">
        <f t="shared" si="771"/>
        <v>400</v>
      </c>
      <c r="AR562" s="125">
        <f t="shared" si="776"/>
        <v>375.6038647</v>
      </c>
      <c r="AS562" s="126">
        <f t="shared" si="733"/>
        <v>0.1888888889</v>
      </c>
      <c r="AT562" s="126">
        <f t="shared" si="777"/>
        <v>0.1666666667</v>
      </c>
      <c r="AU562" s="129">
        <v>297.68</v>
      </c>
      <c r="AV562" s="39" t="s">
        <v>2156</v>
      </c>
      <c r="AW562" s="130"/>
      <c r="AX562" s="130"/>
      <c r="AY562" s="130"/>
      <c r="AZ562" s="130"/>
      <c r="BA562" s="130"/>
      <c r="BB562" s="130"/>
      <c r="BC562" s="131">
        <v>360.0</v>
      </c>
      <c r="BD562" s="132">
        <f t="shared" si="778"/>
        <v>338.0434783</v>
      </c>
      <c r="BE562" s="39"/>
      <c r="BF562" s="134">
        <v>8.5447E9</v>
      </c>
      <c r="BG562" s="49"/>
      <c r="BH562" s="116">
        <f t="shared" si="714"/>
        <v>1502.415459</v>
      </c>
      <c r="BI562" s="116">
        <f t="shared" si="715"/>
        <v>901.4492754</v>
      </c>
      <c r="BJ562" s="116">
        <f t="shared" si="716"/>
        <v>751.2077295</v>
      </c>
      <c r="BK562" s="116">
        <f t="shared" si="717"/>
        <v>600.9661836</v>
      </c>
      <c r="BL562" s="49"/>
      <c r="BM562" s="49"/>
      <c r="BN562" s="49"/>
      <c r="BO562" s="49"/>
      <c r="BP562" s="49"/>
      <c r="BQ562" s="49"/>
      <c r="BR562" s="49"/>
      <c r="BS562" s="49"/>
      <c r="BT562" s="49"/>
      <c r="BU562" s="49"/>
      <c r="BV562" s="49"/>
      <c r="BW562" s="49"/>
      <c r="BX562" s="49"/>
      <c r="BY562" s="49"/>
      <c r="BZ562" s="49"/>
      <c r="CA562" s="49"/>
      <c r="CB562" s="49"/>
      <c r="CC562" s="49"/>
      <c r="CD562" s="49"/>
      <c r="CE562" s="49"/>
      <c r="CF562" s="49"/>
    </row>
    <row r="563" ht="14.25" customHeight="1">
      <c r="A563" s="103" t="s">
        <v>84</v>
      </c>
      <c r="B563" s="103" t="s">
        <v>85</v>
      </c>
      <c r="C563" s="103" t="s">
        <v>85</v>
      </c>
      <c r="D563" s="103" t="s">
        <v>1266</v>
      </c>
      <c r="E563" s="103" t="s">
        <v>1948</v>
      </c>
      <c r="F563" s="104" t="s">
        <v>1972</v>
      </c>
      <c r="G563" s="110" t="s">
        <v>2150</v>
      </c>
      <c r="H563" s="390" t="s">
        <v>1950</v>
      </c>
      <c r="I563" s="391" t="s">
        <v>2169</v>
      </c>
      <c r="J563" s="220" t="s">
        <v>2170</v>
      </c>
      <c r="K563" s="220" t="str">
        <f>_xlfn.XLOOKUP(J563,[1]Sheet1!$A:$A,[1]Sheet1!$B:$B,"")</f>
        <v>#ERROR!</v>
      </c>
      <c r="L563" s="103" t="s">
        <v>2171</v>
      </c>
      <c r="M563" s="103" t="s">
        <v>2172</v>
      </c>
      <c r="N563" s="110" t="s">
        <v>162</v>
      </c>
      <c r="O563" s="104" t="s">
        <v>2155</v>
      </c>
      <c r="P563" s="110"/>
      <c r="Q563" s="104" t="s">
        <v>480</v>
      </c>
      <c r="R563" s="110" t="s">
        <v>1955</v>
      </c>
      <c r="S563" s="110">
        <v>4.0</v>
      </c>
      <c r="T563" s="110" t="e">
        <v>#N/A</v>
      </c>
      <c r="U563" s="110">
        <v>8.5447E9</v>
      </c>
      <c r="V563" s="112">
        <v>0.0</v>
      </c>
      <c r="W563" s="113">
        <v>30.0</v>
      </c>
      <c r="X563" s="110">
        <v>45.0</v>
      </c>
      <c r="Y563" s="110">
        <v>55.0</v>
      </c>
      <c r="Z563" s="110" t="s">
        <v>1938</v>
      </c>
      <c r="AA563" s="114">
        <f t="shared" si="782"/>
        <v>357.1428571</v>
      </c>
      <c r="AB563" s="115"/>
      <c r="AC563" s="116">
        <f t="shared" si="772"/>
        <v>336.6545894</v>
      </c>
      <c r="AD563" s="117">
        <f t="shared" si="783"/>
        <v>354.373252</v>
      </c>
      <c r="AE563" s="116"/>
      <c r="AF563" s="116" t="str">
        <f t="shared" si="94"/>
        <v>#REF!</v>
      </c>
      <c r="AG563" s="210" t="str">
        <f t="shared" si="95"/>
        <v>#REF!</v>
      </c>
      <c r="AH563" s="120" t="str">
        <f t="shared" si="96"/>
        <v>#REF!</v>
      </c>
      <c r="AI563" s="121">
        <f t="shared" si="497"/>
        <v>0.1</v>
      </c>
      <c r="AJ563" s="121">
        <v>0.1</v>
      </c>
      <c r="AK563" s="122">
        <v>0.28</v>
      </c>
      <c r="AL563" s="123">
        <f t="shared" si="11"/>
        <v>94.26328502</v>
      </c>
      <c r="AM563" s="122" t="s">
        <v>10</v>
      </c>
      <c r="AN563" s="125">
        <f t="shared" si="774"/>
        <v>336.6545894</v>
      </c>
      <c r="AO563" s="112">
        <f t="shared" si="775"/>
        <v>0.28</v>
      </c>
      <c r="AP563" s="127"/>
      <c r="AQ563" s="128">
        <f t="shared" si="771"/>
        <v>277.7777778</v>
      </c>
      <c r="AR563" s="125">
        <f t="shared" si="776"/>
        <v>269.3236715</v>
      </c>
      <c r="AS563" s="126">
        <f t="shared" si="733"/>
        <v>0.2222222222</v>
      </c>
      <c r="AT563" s="126">
        <f t="shared" si="777"/>
        <v>0.2</v>
      </c>
      <c r="AU563" s="129"/>
      <c r="AV563" s="39" t="s">
        <v>2156</v>
      </c>
      <c r="AW563" s="130"/>
      <c r="AX563" s="130"/>
      <c r="AY563" s="130"/>
      <c r="AZ563" s="130"/>
      <c r="BA563" s="130"/>
      <c r="BB563" s="130"/>
      <c r="BC563" s="131">
        <v>250.0</v>
      </c>
      <c r="BD563" s="132">
        <f t="shared" si="778"/>
        <v>242.3913043</v>
      </c>
      <c r="BE563" s="39"/>
      <c r="BF563" s="134">
        <v>8.5447E9</v>
      </c>
      <c r="BG563" s="49"/>
      <c r="BH563" s="116">
        <f t="shared" si="714"/>
        <v>1122.181965</v>
      </c>
      <c r="BI563" s="116">
        <f t="shared" si="715"/>
        <v>673.3091787</v>
      </c>
      <c r="BJ563" s="116">
        <f t="shared" si="716"/>
        <v>561.0909823</v>
      </c>
      <c r="BK563" s="116">
        <f t="shared" si="717"/>
        <v>448.8727858</v>
      </c>
      <c r="BL563" s="49"/>
      <c r="BM563" s="49"/>
      <c r="BN563" s="49"/>
      <c r="BO563" s="49"/>
      <c r="BP563" s="49"/>
      <c r="BQ563" s="49"/>
      <c r="BR563" s="49"/>
      <c r="BS563" s="49"/>
      <c r="BT563" s="49"/>
      <c r="BU563" s="49"/>
      <c r="BV563" s="49"/>
      <c r="BW563" s="49"/>
      <c r="BX563" s="49"/>
      <c r="BY563" s="49"/>
      <c r="BZ563" s="49"/>
      <c r="CA563" s="49"/>
      <c r="CB563" s="49"/>
      <c r="CC563" s="49"/>
      <c r="CD563" s="49"/>
      <c r="CE563" s="49"/>
      <c r="CF563" s="49"/>
    </row>
    <row r="564" ht="14.25" customHeight="1">
      <c r="A564" s="103" t="s">
        <v>84</v>
      </c>
      <c r="B564" s="103" t="s">
        <v>85</v>
      </c>
      <c r="C564" s="103" t="s">
        <v>85</v>
      </c>
      <c r="D564" s="103" t="s">
        <v>1266</v>
      </c>
      <c r="E564" s="103" t="s">
        <v>1948</v>
      </c>
      <c r="F564" s="104" t="s">
        <v>1972</v>
      </c>
      <c r="G564" s="110" t="s">
        <v>2150</v>
      </c>
      <c r="H564" s="390" t="s">
        <v>1957</v>
      </c>
      <c r="I564" s="391" t="s">
        <v>2173</v>
      </c>
      <c r="J564" s="220" t="s">
        <v>2174</v>
      </c>
      <c r="K564" s="220" t="str">
        <f>_xlfn.XLOOKUP(J564,[1]Sheet1!$A:$A,[1]Sheet1!$B:$B,"")</f>
        <v>#ERROR!</v>
      </c>
      <c r="L564" s="103" t="s">
        <v>2175</v>
      </c>
      <c r="M564" s="103" t="s">
        <v>2176</v>
      </c>
      <c r="N564" s="110" t="s">
        <v>162</v>
      </c>
      <c r="O564" s="104" t="s">
        <v>2155</v>
      </c>
      <c r="P564" s="110"/>
      <c r="Q564" s="104" t="s">
        <v>480</v>
      </c>
      <c r="R564" s="110" t="s">
        <v>1955</v>
      </c>
      <c r="S564" s="110">
        <v>4.0</v>
      </c>
      <c r="T564" s="110" t="e">
        <v>#N/A</v>
      </c>
      <c r="U564" s="110">
        <v>8.5447E9</v>
      </c>
      <c r="V564" s="112">
        <v>0.0</v>
      </c>
      <c r="W564" s="113">
        <v>30.0</v>
      </c>
      <c r="X564" s="110">
        <v>45.0</v>
      </c>
      <c r="Y564" s="110">
        <v>55.0</v>
      </c>
      <c r="Z564" s="110" t="s">
        <v>1938</v>
      </c>
      <c r="AA564" s="114">
        <f t="shared" si="782"/>
        <v>395.7142857</v>
      </c>
      <c r="AB564" s="115"/>
      <c r="AC564" s="116">
        <f t="shared" si="772"/>
        <v>369.263285</v>
      </c>
      <c r="AD564" s="117">
        <f t="shared" si="783"/>
        <v>388.6981948</v>
      </c>
      <c r="AE564" s="116"/>
      <c r="AF564" s="116" t="str">
        <f t="shared" si="94"/>
        <v>#REF!</v>
      </c>
      <c r="AG564" s="210" t="str">
        <f t="shared" si="95"/>
        <v>#REF!</v>
      </c>
      <c r="AH564" s="120" t="str">
        <f t="shared" si="96"/>
        <v>#REF!</v>
      </c>
      <c r="AI564" s="121">
        <f t="shared" si="497"/>
        <v>0.1</v>
      </c>
      <c r="AJ564" s="121">
        <v>0.1</v>
      </c>
      <c r="AK564" s="122">
        <v>0.28</v>
      </c>
      <c r="AL564" s="123">
        <f t="shared" si="11"/>
        <v>103.3937198</v>
      </c>
      <c r="AM564" s="122" t="s">
        <v>10</v>
      </c>
      <c r="AN564" s="125">
        <f t="shared" si="774"/>
        <v>369.263285</v>
      </c>
      <c r="AO564" s="112">
        <f t="shared" si="775"/>
        <v>0.28</v>
      </c>
      <c r="AP564" s="127"/>
      <c r="AQ564" s="128">
        <f t="shared" si="771"/>
        <v>307.7777778</v>
      </c>
      <c r="AR564" s="125">
        <f t="shared" si="776"/>
        <v>295.410628</v>
      </c>
      <c r="AS564" s="126">
        <f t="shared" si="733"/>
        <v>0.2222222222</v>
      </c>
      <c r="AT564" s="126">
        <f t="shared" si="777"/>
        <v>0.2</v>
      </c>
      <c r="AU564" s="129"/>
      <c r="AV564" s="39" t="s">
        <v>2156</v>
      </c>
      <c r="AW564" s="130"/>
      <c r="AX564" s="130"/>
      <c r="AY564" s="130"/>
      <c r="AZ564" s="130"/>
      <c r="BA564" s="130"/>
      <c r="BB564" s="130"/>
      <c r="BC564" s="131">
        <v>277.0</v>
      </c>
      <c r="BD564" s="132">
        <f t="shared" si="778"/>
        <v>265.8695652</v>
      </c>
      <c r="BE564" s="39"/>
      <c r="BF564" s="134">
        <v>8.5447E9</v>
      </c>
      <c r="BG564" s="49"/>
      <c r="BH564" s="116">
        <f t="shared" si="714"/>
        <v>1230.877617</v>
      </c>
      <c r="BI564" s="116">
        <f t="shared" si="715"/>
        <v>738.52657</v>
      </c>
      <c r="BJ564" s="116">
        <f t="shared" si="716"/>
        <v>615.4388084</v>
      </c>
      <c r="BK564" s="116">
        <f t="shared" si="717"/>
        <v>492.3510467</v>
      </c>
      <c r="BL564" s="49"/>
      <c r="BM564" s="49"/>
      <c r="BN564" s="49"/>
      <c r="BO564" s="49"/>
      <c r="BP564" s="49"/>
      <c r="BQ564" s="49"/>
      <c r="BR564" s="49"/>
      <c r="BS564" s="49"/>
      <c r="BT564" s="49"/>
      <c r="BU564" s="49"/>
      <c r="BV564" s="49"/>
      <c r="BW564" s="49"/>
      <c r="BX564" s="49"/>
      <c r="BY564" s="49"/>
      <c r="BZ564" s="49"/>
      <c r="CA564" s="49"/>
      <c r="CB564" s="49"/>
      <c r="CC564" s="49"/>
      <c r="CD564" s="49"/>
      <c r="CE564" s="49"/>
      <c r="CF564" s="49"/>
    </row>
    <row r="565" ht="14.25" customHeight="1">
      <c r="A565" s="103" t="s">
        <v>84</v>
      </c>
      <c r="B565" s="103" t="s">
        <v>85</v>
      </c>
      <c r="C565" s="103" t="s">
        <v>85</v>
      </c>
      <c r="D565" s="103" t="s">
        <v>1266</v>
      </c>
      <c r="E565" s="103" t="s">
        <v>1948</v>
      </c>
      <c r="F565" s="104" t="s">
        <v>1972</v>
      </c>
      <c r="G565" s="110" t="s">
        <v>2150</v>
      </c>
      <c r="H565" s="390" t="s">
        <v>1962</v>
      </c>
      <c r="I565" s="391" t="s">
        <v>2177</v>
      </c>
      <c r="J565" s="220" t="s">
        <v>2178</v>
      </c>
      <c r="K565" s="220" t="str">
        <f>_xlfn.XLOOKUP(J565,[1]Sheet1!$A:$A,[1]Sheet1!$B:$B,"")</f>
        <v>#ERROR!</v>
      </c>
      <c r="L565" s="103" t="s">
        <v>2179</v>
      </c>
      <c r="M565" s="103" t="s">
        <v>2180</v>
      </c>
      <c r="N565" s="110" t="s">
        <v>162</v>
      </c>
      <c r="O565" s="104" t="s">
        <v>2155</v>
      </c>
      <c r="P565" s="110"/>
      <c r="Q565" s="104" t="s">
        <v>480</v>
      </c>
      <c r="R565" s="110" t="s">
        <v>1955</v>
      </c>
      <c r="S565" s="110">
        <v>4.0</v>
      </c>
      <c r="T565" s="110" t="e">
        <v>#N/A</v>
      </c>
      <c r="U565" s="110">
        <v>8.5447E9</v>
      </c>
      <c r="V565" s="112">
        <v>0.0</v>
      </c>
      <c r="W565" s="113">
        <v>30.0</v>
      </c>
      <c r="X565" s="110">
        <v>45.0</v>
      </c>
      <c r="Y565" s="110">
        <v>55.0</v>
      </c>
      <c r="Z565" s="110" t="s">
        <v>1938</v>
      </c>
      <c r="AA565" s="114">
        <f t="shared" si="782"/>
        <v>450</v>
      </c>
      <c r="AB565" s="115"/>
      <c r="AC565" s="116">
        <f t="shared" si="772"/>
        <v>415.1570048</v>
      </c>
      <c r="AD565" s="117">
        <f t="shared" si="783"/>
        <v>437.0073735</v>
      </c>
      <c r="AE565" s="116"/>
      <c r="AF565" s="116" t="str">
        <f t="shared" si="94"/>
        <v>#REF!</v>
      </c>
      <c r="AG565" s="210" t="str">
        <f t="shared" si="95"/>
        <v>#REF!</v>
      </c>
      <c r="AH565" s="120" t="str">
        <f t="shared" si="96"/>
        <v>#REF!</v>
      </c>
      <c r="AI565" s="121">
        <f t="shared" si="497"/>
        <v>0.1</v>
      </c>
      <c r="AJ565" s="121">
        <v>0.1</v>
      </c>
      <c r="AK565" s="122">
        <v>0.28</v>
      </c>
      <c r="AL565" s="123">
        <f t="shared" si="11"/>
        <v>116.2439614</v>
      </c>
      <c r="AM565" s="122" t="s">
        <v>10</v>
      </c>
      <c r="AN565" s="125">
        <f t="shared" si="774"/>
        <v>415.1570048</v>
      </c>
      <c r="AO565" s="112">
        <f t="shared" si="775"/>
        <v>0.28</v>
      </c>
      <c r="AP565" s="127"/>
      <c r="AQ565" s="128">
        <f t="shared" si="771"/>
        <v>350</v>
      </c>
      <c r="AR565" s="125">
        <f t="shared" si="776"/>
        <v>332.1256039</v>
      </c>
      <c r="AS565" s="126">
        <f t="shared" si="733"/>
        <v>0.2222222222</v>
      </c>
      <c r="AT565" s="126">
        <f t="shared" si="777"/>
        <v>0.2</v>
      </c>
      <c r="AU565" s="129"/>
      <c r="AV565" s="39" t="s">
        <v>2156</v>
      </c>
      <c r="AW565" s="130"/>
      <c r="AX565" s="130"/>
      <c r="AY565" s="130"/>
      <c r="AZ565" s="130"/>
      <c r="BA565" s="130"/>
      <c r="BB565" s="130"/>
      <c r="BC565" s="131">
        <v>315.0</v>
      </c>
      <c r="BD565" s="132">
        <f t="shared" si="778"/>
        <v>298.9130435</v>
      </c>
      <c r="BE565" s="39"/>
      <c r="BF565" s="134">
        <v>8.5447E9</v>
      </c>
      <c r="BG565" s="49"/>
      <c r="BH565" s="116">
        <f t="shared" si="714"/>
        <v>1383.856683</v>
      </c>
      <c r="BI565" s="116">
        <f t="shared" si="715"/>
        <v>830.3140097</v>
      </c>
      <c r="BJ565" s="116">
        <f t="shared" si="716"/>
        <v>691.9283414</v>
      </c>
      <c r="BK565" s="116">
        <f t="shared" si="717"/>
        <v>553.5426731</v>
      </c>
      <c r="BL565" s="49"/>
      <c r="BM565" s="49"/>
      <c r="BN565" s="49"/>
      <c r="BO565" s="49"/>
      <c r="BP565" s="49"/>
      <c r="BQ565" s="49"/>
      <c r="BR565" s="49"/>
      <c r="BS565" s="49"/>
      <c r="BT565" s="49"/>
      <c r="BU565" s="49"/>
      <c r="BV565" s="49"/>
      <c r="BW565" s="49"/>
      <c r="BX565" s="49"/>
      <c r="BY565" s="49"/>
      <c r="BZ565" s="49"/>
      <c r="CA565" s="49"/>
      <c r="CB565" s="49"/>
      <c r="CC565" s="49"/>
      <c r="CD565" s="49"/>
      <c r="CE565" s="49"/>
      <c r="CF565" s="49"/>
    </row>
    <row r="566" ht="14.25" customHeight="1">
      <c r="A566" s="103" t="s">
        <v>84</v>
      </c>
      <c r="B566" s="103" t="s">
        <v>85</v>
      </c>
      <c r="C566" s="103" t="s">
        <v>85</v>
      </c>
      <c r="D566" s="103" t="s">
        <v>1266</v>
      </c>
      <c r="E566" s="103" t="s">
        <v>1948</v>
      </c>
      <c r="F566" s="104" t="s">
        <v>1972</v>
      </c>
      <c r="G566" s="110" t="s">
        <v>2150</v>
      </c>
      <c r="H566" s="390" t="s">
        <v>1967</v>
      </c>
      <c r="I566" s="391" t="s">
        <v>2181</v>
      </c>
      <c r="J566" s="220" t="s">
        <v>2182</v>
      </c>
      <c r="K566" s="220" t="str">
        <f>_xlfn.XLOOKUP(J566,[1]Sheet1!$A:$A,[1]Sheet1!$B:$B,"")</f>
        <v>#ERROR!</v>
      </c>
      <c r="L566" s="103" t="s">
        <v>2183</v>
      </c>
      <c r="M566" s="103" t="s">
        <v>2184</v>
      </c>
      <c r="N566" s="110" t="s">
        <v>162</v>
      </c>
      <c r="O566" s="104" t="s">
        <v>2155</v>
      </c>
      <c r="P566" s="110"/>
      <c r="Q566" s="104" t="s">
        <v>1989</v>
      </c>
      <c r="R566" s="110" t="s">
        <v>1955</v>
      </c>
      <c r="S566" s="110">
        <v>4.0</v>
      </c>
      <c r="T566" s="110" t="e">
        <v>#N/A</v>
      </c>
      <c r="U566" s="110">
        <v>8.5447E9</v>
      </c>
      <c r="V566" s="112">
        <v>0.0</v>
      </c>
      <c r="W566" s="113">
        <v>30.0</v>
      </c>
      <c r="X566" s="110">
        <v>45.0</v>
      </c>
      <c r="Y566" s="110">
        <v>55.0</v>
      </c>
      <c r="Z566" s="110" t="s">
        <v>1938</v>
      </c>
      <c r="AA566" s="114">
        <f t="shared" si="782"/>
        <v>795.7142857</v>
      </c>
      <c r="AB566" s="115"/>
      <c r="AC566" s="116">
        <f t="shared" si="772"/>
        <v>707.4275362</v>
      </c>
      <c r="AD566" s="117">
        <f t="shared" si="783"/>
        <v>744.6605645</v>
      </c>
      <c r="AE566" s="116"/>
      <c r="AF566" s="116" t="str">
        <f t="shared" si="94"/>
        <v>#REF!</v>
      </c>
      <c r="AG566" s="210" t="str">
        <f t="shared" si="95"/>
        <v>#REF!</v>
      </c>
      <c r="AH566" s="120" t="str">
        <f t="shared" si="96"/>
        <v>#REF!</v>
      </c>
      <c r="AI566" s="121">
        <f t="shared" si="497"/>
        <v>0.1</v>
      </c>
      <c r="AJ566" s="121">
        <v>0.1</v>
      </c>
      <c r="AK566" s="122">
        <v>0.28</v>
      </c>
      <c r="AL566" s="123">
        <f t="shared" si="11"/>
        <v>198.0797101</v>
      </c>
      <c r="AM566" s="122" t="s">
        <v>10</v>
      </c>
      <c r="AN566" s="125">
        <f t="shared" si="774"/>
        <v>707.4275362</v>
      </c>
      <c r="AO566" s="112">
        <f t="shared" si="775"/>
        <v>0.28</v>
      </c>
      <c r="AP566" s="127"/>
      <c r="AQ566" s="128">
        <f t="shared" si="771"/>
        <v>618.8888889</v>
      </c>
      <c r="AR566" s="125">
        <f t="shared" si="776"/>
        <v>565.942029</v>
      </c>
      <c r="AS566" s="126">
        <f t="shared" si="733"/>
        <v>0.2222222222</v>
      </c>
      <c r="AT566" s="126">
        <f t="shared" si="777"/>
        <v>0.2</v>
      </c>
      <c r="AU566" s="129"/>
      <c r="AV566" s="39" t="s">
        <v>2156</v>
      </c>
      <c r="AW566" s="130"/>
      <c r="AX566" s="130"/>
      <c r="AY566" s="130"/>
      <c r="AZ566" s="130"/>
      <c r="BA566" s="130"/>
      <c r="BB566" s="130"/>
      <c r="BC566" s="131">
        <v>557.0</v>
      </c>
      <c r="BD566" s="132">
        <f t="shared" si="778"/>
        <v>509.3478261</v>
      </c>
      <c r="BE566" s="39"/>
      <c r="BF566" s="134">
        <v>8.5447E9</v>
      </c>
      <c r="BG566" s="49"/>
      <c r="BH566" s="116">
        <f t="shared" si="714"/>
        <v>2358.091787</v>
      </c>
      <c r="BI566" s="116">
        <f t="shared" si="715"/>
        <v>1414.855072</v>
      </c>
      <c r="BJ566" s="116">
        <f t="shared" si="716"/>
        <v>1179.045894</v>
      </c>
      <c r="BK566" s="116">
        <f t="shared" si="717"/>
        <v>943.236715</v>
      </c>
      <c r="BL566" s="49"/>
      <c r="BM566" s="49"/>
      <c r="BN566" s="49"/>
      <c r="BO566" s="49"/>
      <c r="BP566" s="49"/>
      <c r="BQ566" s="49"/>
      <c r="BR566" s="49"/>
      <c r="BS566" s="49"/>
      <c r="BT566" s="49"/>
      <c r="BU566" s="49"/>
      <c r="BV566" s="49"/>
      <c r="BW566" s="49"/>
      <c r="BX566" s="49"/>
      <c r="BY566" s="49"/>
      <c r="BZ566" s="49"/>
      <c r="CA566" s="49"/>
      <c r="CB566" s="49"/>
      <c r="CC566" s="49"/>
      <c r="CD566" s="49"/>
      <c r="CE566" s="49"/>
      <c r="CF566" s="49"/>
    </row>
    <row r="567" ht="14.25" customHeight="1">
      <c r="A567" s="103" t="s">
        <v>84</v>
      </c>
      <c r="B567" s="103" t="s">
        <v>85</v>
      </c>
      <c r="C567" s="103" t="s">
        <v>85</v>
      </c>
      <c r="D567" s="103" t="s">
        <v>1266</v>
      </c>
      <c r="E567" s="103" t="s">
        <v>1948</v>
      </c>
      <c r="F567" s="104" t="s">
        <v>1991</v>
      </c>
      <c r="G567" s="110" t="s">
        <v>2150</v>
      </c>
      <c r="H567" s="390" t="s">
        <v>1950</v>
      </c>
      <c r="I567" s="391" t="s">
        <v>2185</v>
      </c>
      <c r="J567" s="220" t="s">
        <v>2186</v>
      </c>
      <c r="K567" s="220" t="str">
        <f>_xlfn.XLOOKUP(J567,[1]Sheet1!$A:$A,[1]Sheet1!$B:$B,"")</f>
        <v>#ERROR!</v>
      </c>
      <c r="L567" s="103" t="s">
        <v>2187</v>
      </c>
      <c r="M567" s="103" t="s">
        <v>2188</v>
      </c>
      <c r="N567" s="110" t="s">
        <v>206</v>
      </c>
      <c r="O567" s="104" t="s">
        <v>2155</v>
      </c>
      <c r="P567" s="110"/>
      <c r="Q567" s="104" t="s">
        <v>480</v>
      </c>
      <c r="R567" s="110" t="s">
        <v>1955</v>
      </c>
      <c r="S567" s="110">
        <v>4.0</v>
      </c>
      <c r="T567" s="110" t="e">
        <v>#N/A</v>
      </c>
      <c r="U567" s="110">
        <v>8.5447E9</v>
      </c>
      <c r="V567" s="112">
        <v>0.0</v>
      </c>
      <c r="W567" s="113">
        <v>30.0</v>
      </c>
      <c r="X567" s="110">
        <v>45.0</v>
      </c>
      <c r="Y567" s="110">
        <v>55.0</v>
      </c>
      <c r="Z567" s="110" t="s">
        <v>1938</v>
      </c>
      <c r="AA567" s="114">
        <f t="shared" si="782"/>
        <v>300</v>
      </c>
      <c r="AB567" s="115"/>
      <c r="AC567" s="116">
        <f t="shared" si="772"/>
        <v>288.3454106</v>
      </c>
      <c r="AD567" s="117">
        <f t="shared" si="783"/>
        <v>303.5214849</v>
      </c>
      <c r="AE567" s="116"/>
      <c r="AF567" s="116" t="str">
        <f t="shared" si="94"/>
        <v>#REF!</v>
      </c>
      <c r="AG567" s="210" t="str">
        <f t="shared" si="95"/>
        <v>#REF!</v>
      </c>
      <c r="AH567" s="120" t="str">
        <f t="shared" si="96"/>
        <v>#REF!</v>
      </c>
      <c r="AI567" s="121">
        <f t="shared" si="497"/>
        <v>0.1</v>
      </c>
      <c r="AJ567" s="121">
        <v>0.1</v>
      </c>
      <c r="AK567" s="122">
        <v>0.28</v>
      </c>
      <c r="AL567" s="123">
        <f t="shared" si="11"/>
        <v>80.73671498</v>
      </c>
      <c r="AM567" s="122" t="s">
        <v>10</v>
      </c>
      <c r="AN567" s="125">
        <f t="shared" si="774"/>
        <v>288.3454106</v>
      </c>
      <c r="AO567" s="112">
        <f t="shared" si="775"/>
        <v>0.28</v>
      </c>
      <c r="AP567" s="127"/>
      <c r="AQ567" s="128">
        <f t="shared" si="771"/>
        <v>233.3333333</v>
      </c>
      <c r="AR567" s="125">
        <f t="shared" si="776"/>
        <v>230.6763285</v>
      </c>
      <c r="AS567" s="126">
        <f t="shared" si="733"/>
        <v>0.2222222222</v>
      </c>
      <c r="AT567" s="126">
        <f t="shared" si="777"/>
        <v>0.2</v>
      </c>
      <c r="AU567" s="129">
        <v>174.2</v>
      </c>
      <c r="AV567" s="39" t="s">
        <v>2156</v>
      </c>
      <c r="AW567" s="130"/>
      <c r="AX567" s="130"/>
      <c r="AY567" s="130"/>
      <c r="AZ567" s="130"/>
      <c r="BA567" s="130"/>
      <c r="BB567" s="130"/>
      <c r="BC567" s="131">
        <v>210.0</v>
      </c>
      <c r="BD567" s="132">
        <f t="shared" si="778"/>
        <v>207.6086957</v>
      </c>
      <c r="BE567" s="39"/>
      <c r="BF567" s="134">
        <v>8.5447E9</v>
      </c>
      <c r="BG567" s="49"/>
      <c r="BH567" s="116">
        <f t="shared" si="714"/>
        <v>961.1513688</v>
      </c>
      <c r="BI567" s="116">
        <f t="shared" si="715"/>
        <v>576.6908213</v>
      </c>
      <c r="BJ567" s="116">
        <f t="shared" si="716"/>
        <v>480.5756844</v>
      </c>
      <c r="BK567" s="116">
        <f t="shared" si="717"/>
        <v>384.4605475</v>
      </c>
      <c r="BL567" s="49"/>
      <c r="BM567" s="49"/>
      <c r="BN567" s="49"/>
      <c r="BO567" s="49"/>
      <c r="BP567" s="49"/>
      <c r="BQ567" s="49"/>
      <c r="BR567" s="49"/>
      <c r="BS567" s="49"/>
      <c r="BT567" s="49"/>
      <c r="BU567" s="49"/>
      <c r="BV567" s="49"/>
      <c r="BW567" s="49"/>
      <c r="BX567" s="49"/>
      <c r="BY567" s="49"/>
      <c r="BZ567" s="49"/>
      <c r="CA567" s="49"/>
      <c r="CB567" s="49"/>
      <c r="CC567" s="49"/>
      <c r="CD567" s="49"/>
      <c r="CE567" s="49"/>
      <c r="CF567" s="49"/>
    </row>
    <row r="568" ht="14.25" customHeight="1">
      <c r="A568" s="103" t="s">
        <v>84</v>
      </c>
      <c r="B568" s="103" t="s">
        <v>85</v>
      </c>
      <c r="C568" s="103" t="s">
        <v>85</v>
      </c>
      <c r="D568" s="103" t="s">
        <v>1266</v>
      </c>
      <c r="E568" s="103" t="s">
        <v>1948</v>
      </c>
      <c r="F568" s="104" t="s">
        <v>1991</v>
      </c>
      <c r="G568" s="110" t="s">
        <v>2150</v>
      </c>
      <c r="H568" s="390" t="s">
        <v>1957</v>
      </c>
      <c r="I568" s="391" t="s">
        <v>2189</v>
      </c>
      <c r="J568" s="220" t="s">
        <v>2190</v>
      </c>
      <c r="K568" s="220" t="str">
        <f>_xlfn.XLOOKUP(J568,[1]Sheet1!$A:$A,[1]Sheet1!$B:$B,"")</f>
        <v>#ERROR!</v>
      </c>
      <c r="L568" s="103" t="s">
        <v>2191</v>
      </c>
      <c r="M568" s="103" t="s">
        <v>2192</v>
      </c>
      <c r="N568" s="110" t="s">
        <v>206</v>
      </c>
      <c r="O568" s="104" t="s">
        <v>2155</v>
      </c>
      <c r="P568" s="110"/>
      <c r="Q568" s="104" t="s">
        <v>480</v>
      </c>
      <c r="R568" s="110" t="s">
        <v>1955</v>
      </c>
      <c r="S568" s="110">
        <v>4.0</v>
      </c>
      <c r="T568" s="110" t="e">
        <v>#N/A</v>
      </c>
      <c r="U568" s="110">
        <v>8.5447E9</v>
      </c>
      <c r="V568" s="112">
        <v>0.0</v>
      </c>
      <c r="W568" s="113">
        <v>30.0</v>
      </c>
      <c r="X568" s="110">
        <v>45.0</v>
      </c>
      <c r="Y568" s="110">
        <v>55.0</v>
      </c>
      <c r="Z568" s="110" t="s">
        <v>1938</v>
      </c>
      <c r="AA568" s="114">
        <f t="shared" si="782"/>
        <v>322.8571429</v>
      </c>
      <c r="AB568" s="115"/>
      <c r="AC568" s="116">
        <f t="shared" si="772"/>
        <v>307.6690821</v>
      </c>
      <c r="AD568" s="117">
        <f t="shared" si="783"/>
        <v>323.8621917</v>
      </c>
      <c r="AE568" s="116"/>
      <c r="AF568" s="116" t="str">
        <f t="shared" si="94"/>
        <v>#REF!</v>
      </c>
      <c r="AG568" s="210" t="str">
        <f t="shared" si="95"/>
        <v>#REF!</v>
      </c>
      <c r="AH568" s="120" t="str">
        <f t="shared" si="96"/>
        <v>#REF!</v>
      </c>
      <c r="AI568" s="121">
        <f t="shared" si="497"/>
        <v>0.1</v>
      </c>
      <c r="AJ568" s="121">
        <v>0.1</v>
      </c>
      <c r="AK568" s="122">
        <v>0.28</v>
      </c>
      <c r="AL568" s="123">
        <f t="shared" si="11"/>
        <v>86.147343</v>
      </c>
      <c r="AM568" s="122" t="s">
        <v>10</v>
      </c>
      <c r="AN568" s="125">
        <f t="shared" si="774"/>
        <v>307.6690821</v>
      </c>
      <c r="AO568" s="112">
        <f t="shared" si="775"/>
        <v>0.28</v>
      </c>
      <c r="AP568" s="127"/>
      <c r="AQ568" s="128">
        <f t="shared" si="771"/>
        <v>251.1111111</v>
      </c>
      <c r="AR568" s="125">
        <f t="shared" si="776"/>
        <v>246.1352657</v>
      </c>
      <c r="AS568" s="126">
        <f t="shared" si="733"/>
        <v>0.2222222222</v>
      </c>
      <c r="AT568" s="126">
        <f t="shared" si="777"/>
        <v>0.2</v>
      </c>
      <c r="AU568" s="129"/>
      <c r="AV568" s="39" t="s">
        <v>2156</v>
      </c>
      <c r="AW568" s="130"/>
      <c r="AX568" s="130"/>
      <c r="AY568" s="130"/>
      <c r="AZ568" s="130"/>
      <c r="BA568" s="130"/>
      <c r="BB568" s="130"/>
      <c r="BC568" s="131">
        <v>226.0</v>
      </c>
      <c r="BD568" s="132">
        <f t="shared" si="778"/>
        <v>221.5217391</v>
      </c>
      <c r="BE568" s="39"/>
      <c r="BF568" s="134">
        <v>8.5447E9</v>
      </c>
      <c r="BG568" s="49"/>
      <c r="BH568" s="116">
        <f t="shared" si="714"/>
        <v>1025.563607</v>
      </c>
      <c r="BI568" s="116">
        <f t="shared" si="715"/>
        <v>615.3381643</v>
      </c>
      <c r="BJ568" s="116">
        <f t="shared" si="716"/>
        <v>512.7818035</v>
      </c>
      <c r="BK568" s="116">
        <f t="shared" si="717"/>
        <v>410.2254428</v>
      </c>
      <c r="BL568" s="49"/>
      <c r="BM568" s="49"/>
      <c r="BN568" s="49"/>
      <c r="BO568" s="49"/>
      <c r="BP568" s="49"/>
      <c r="BQ568" s="49"/>
      <c r="BR568" s="49"/>
      <c r="BS568" s="49"/>
      <c r="BT568" s="49"/>
      <c r="BU568" s="49"/>
      <c r="BV568" s="49"/>
      <c r="BW568" s="49"/>
      <c r="BX568" s="49"/>
      <c r="BY568" s="49"/>
      <c r="BZ568" s="49"/>
      <c r="CA568" s="49"/>
      <c r="CB568" s="49"/>
      <c r="CC568" s="49"/>
      <c r="CD568" s="49"/>
      <c r="CE568" s="49"/>
      <c r="CF568" s="49"/>
    </row>
    <row r="569" ht="14.25" customHeight="1">
      <c r="A569" s="103" t="s">
        <v>84</v>
      </c>
      <c r="B569" s="103" t="s">
        <v>85</v>
      </c>
      <c r="C569" s="103" t="s">
        <v>85</v>
      </c>
      <c r="D569" s="103" t="s">
        <v>1266</v>
      </c>
      <c r="E569" s="103" t="s">
        <v>1948</v>
      </c>
      <c r="F569" s="104" t="s">
        <v>1991</v>
      </c>
      <c r="G569" s="110" t="s">
        <v>2150</v>
      </c>
      <c r="H569" s="390" t="s">
        <v>1962</v>
      </c>
      <c r="I569" s="391" t="s">
        <v>2193</v>
      </c>
      <c r="J569" s="220" t="s">
        <v>2194</v>
      </c>
      <c r="K569" s="220" t="str">
        <f>_xlfn.XLOOKUP(J569,[1]Sheet1!$A:$A,[1]Sheet1!$B:$B,"")</f>
        <v>#ERROR!</v>
      </c>
      <c r="L569" s="103" t="s">
        <v>2195</v>
      </c>
      <c r="M569" s="103" t="s">
        <v>2196</v>
      </c>
      <c r="N569" s="110" t="s">
        <v>206</v>
      </c>
      <c r="O569" s="104" t="s">
        <v>2155</v>
      </c>
      <c r="P569" s="110"/>
      <c r="Q569" s="104" t="s">
        <v>480</v>
      </c>
      <c r="R569" s="110" t="s">
        <v>1955</v>
      </c>
      <c r="S569" s="110">
        <v>4.0</v>
      </c>
      <c r="T569" s="110" t="e">
        <v>#N/A</v>
      </c>
      <c r="U569" s="110">
        <v>8.5447E9</v>
      </c>
      <c r="V569" s="112">
        <v>0.0</v>
      </c>
      <c r="W569" s="113">
        <v>30.0</v>
      </c>
      <c r="X569" s="110">
        <v>45.0</v>
      </c>
      <c r="Y569" s="110">
        <v>55.0</v>
      </c>
      <c r="Z569" s="110" t="s">
        <v>1938</v>
      </c>
      <c r="AA569" s="114">
        <f t="shared" si="782"/>
        <v>345.7142857</v>
      </c>
      <c r="AB569" s="115"/>
      <c r="AC569" s="116">
        <f t="shared" si="772"/>
        <v>326.9927536</v>
      </c>
      <c r="AD569" s="117">
        <f t="shared" si="783"/>
        <v>344.2028986</v>
      </c>
      <c r="AE569" s="116"/>
      <c r="AF569" s="116" t="str">
        <f t="shared" si="94"/>
        <v>#REF!</v>
      </c>
      <c r="AG569" s="210" t="str">
        <f t="shared" si="95"/>
        <v>#REF!</v>
      </c>
      <c r="AH569" s="120" t="str">
        <f t="shared" si="96"/>
        <v>#REF!</v>
      </c>
      <c r="AI569" s="121">
        <f t="shared" si="497"/>
        <v>0.1</v>
      </c>
      <c r="AJ569" s="121">
        <v>0.1</v>
      </c>
      <c r="AK569" s="122">
        <v>0.28</v>
      </c>
      <c r="AL569" s="123">
        <f t="shared" si="11"/>
        <v>91.55797101</v>
      </c>
      <c r="AM569" s="122" t="s">
        <v>10</v>
      </c>
      <c r="AN569" s="125">
        <f t="shared" si="774"/>
        <v>326.9927536</v>
      </c>
      <c r="AO569" s="112">
        <f t="shared" si="775"/>
        <v>0.28</v>
      </c>
      <c r="AP569" s="127"/>
      <c r="AQ569" s="128">
        <f t="shared" si="771"/>
        <v>268.8888889</v>
      </c>
      <c r="AR569" s="125">
        <f t="shared" si="776"/>
        <v>261.5942029</v>
      </c>
      <c r="AS569" s="126">
        <f t="shared" si="733"/>
        <v>0.2222222222</v>
      </c>
      <c r="AT569" s="126">
        <f t="shared" si="777"/>
        <v>0.2</v>
      </c>
      <c r="AU569" s="129">
        <v>203.39</v>
      </c>
      <c r="AV569" s="39" t="s">
        <v>2156</v>
      </c>
      <c r="AW569" s="130"/>
      <c r="AX569" s="130"/>
      <c r="AY569" s="130"/>
      <c r="AZ569" s="130"/>
      <c r="BA569" s="130"/>
      <c r="BB569" s="130"/>
      <c r="BC569" s="131">
        <v>242.0</v>
      </c>
      <c r="BD569" s="132">
        <f t="shared" si="778"/>
        <v>235.4347826</v>
      </c>
      <c r="BE569" s="39"/>
      <c r="BF569" s="134">
        <v>8.5447E9</v>
      </c>
      <c r="BG569" s="49"/>
      <c r="BH569" s="116">
        <f t="shared" si="714"/>
        <v>1089.975845</v>
      </c>
      <c r="BI569" s="116">
        <f t="shared" si="715"/>
        <v>653.9855072</v>
      </c>
      <c r="BJ569" s="116">
        <f t="shared" si="716"/>
        <v>544.9879227</v>
      </c>
      <c r="BK569" s="116">
        <f t="shared" si="717"/>
        <v>435.9903382</v>
      </c>
      <c r="BL569" s="49"/>
      <c r="BM569" s="49"/>
      <c r="BN569" s="49"/>
      <c r="BO569" s="49"/>
      <c r="BP569" s="49"/>
      <c r="BQ569" s="49"/>
      <c r="BR569" s="49"/>
      <c r="BS569" s="49"/>
      <c r="BT569" s="49"/>
      <c r="BU569" s="49"/>
      <c r="BV569" s="49"/>
      <c r="BW569" s="49"/>
      <c r="BX569" s="49"/>
      <c r="BY569" s="49"/>
      <c r="BZ569" s="49"/>
      <c r="CA569" s="49"/>
      <c r="CB569" s="49"/>
      <c r="CC569" s="49"/>
      <c r="CD569" s="49"/>
      <c r="CE569" s="49"/>
      <c r="CF569" s="49"/>
    </row>
    <row r="570" ht="14.25" customHeight="1">
      <c r="A570" s="103" t="s">
        <v>84</v>
      </c>
      <c r="B570" s="103" t="s">
        <v>85</v>
      </c>
      <c r="C570" s="103" t="s">
        <v>85</v>
      </c>
      <c r="D570" s="103" t="s">
        <v>1266</v>
      </c>
      <c r="E570" s="103" t="s">
        <v>1948</v>
      </c>
      <c r="F570" s="104" t="s">
        <v>1991</v>
      </c>
      <c r="G570" s="110" t="s">
        <v>2150</v>
      </c>
      <c r="H570" s="390" t="s">
        <v>1967</v>
      </c>
      <c r="I570" s="391" t="s">
        <v>2197</v>
      </c>
      <c r="J570" s="220" t="s">
        <v>2198</v>
      </c>
      <c r="K570" s="220" t="str">
        <f>_xlfn.XLOOKUP(J570,[1]Sheet1!$A:$A,[1]Sheet1!$B:$B,"")</f>
        <v>#ERROR!</v>
      </c>
      <c r="L570" s="103" t="s">
        <v>2199</v>
      </c>
      <c r="M570" s="103" t="s">
        <v>2200</v>
      </c>
      <c r="N570" s="110" t="s">
        <v>206</v>
      </c>
      <c r="O570" s="104" t="s">
        <v>2155</v>
      </c>
      <c r="P570" s="110"/>
      <c r="Q570" s="104" t="s">
        <v>480</v>
      </c>
      <c r="R570" s="110" t="s">
        <v>1955</v>
      </c>
      <c r="S570" s="110">
        <v>4.0</v>
      </c>
      <c r="T570" s="110" t="e">
        <v>#N/A</v>
      </c>
      <c r="U570" s="110">
        <v>8.5447E9</v>
      </c>
      <c r="V570" s="112">
        <v>0.0</v>
      </c>
      <c r="W570" s="113">
        <v>30.0</v>
      </c>
      <c r="X570" s="110">
        <v>45.0</v>
      </c>
      <c r="Y570" s="110">
        <v>55.0</v>
      </c>
      <c r="Z570" s="110" t="s">
        <v>1938</v>
      </c>
      <c r="AA570" s="114">
        <f t="shared" si="782"/>
        <v>500</v>
      </c>
      <c r="AB570" s="115"/>
      <c r="AC570" s="116">
        <f t="shared" si="772"/>
        <v>457.4275362</v>
      </c>
      <c r="AD570" s="117">
        <f t="shared" si="783"/>
        <v>481.5026697</v>
      </c>
      <c r="AE570" s="116"/>
      <c r="AF570" s="116" t="str">
        <f t="shared" si="94"/>
        <v>#REF!</v>
      </c>
      <c r="AG570" s="210" t="str">
        <f t="shared" si="95"/>
        <v>#REF!</v>
      </c>
      <c r="AH570" s="120" t="str">
        <f t="shared" si="96"/>
        <v>#REF!</v>
      </c>
      <c r="AI570" s="121">
        <f t="shared" si="497"/>
        <v>0.1</v>
      </c>
      <c r="AJ570" s="121">
        <v>0.1</v>
      </c>
      <c r="AK570" s="122">
        <v>0.28</v>
      </c>
      <c r="AL570" s="123">
        <f t="shared" si="11"/>
        <v>128.0797101</v>
      </c>
      <c r="AM570" s="122" t="s">
        <v>10</v>
      </c>
      <c r="AN570" s="125">
        <f t="shared" si="774"/>
        <v>457.4275362</v>
      </c>
      <c r="AO570" s="112">
        <f t="shared" si="775"/>
        <v>0.28</v>
      </c>
      <c r="AP570" s="127"/>
      <c r="AQ570" s="128">
        <f t="shared" si="771"/>
        <v>388.8888889</v>
      </c>
      <c r="AR570" s="125">
        <f t="shared" si="776"/>
        <v>365.942029</v>
      </c>
      <c r="AS570" s="126">
        <f t="shared" si="733"/>
        <v>0.2222222222</v>
      </c>
      <c r="AT570" s="126">
        <f t="shared" si="777"/>
        <v>0.2</v>
      </c>
      <c r="AU570" s="129">
        <v>261.52</v>
      </c>
      <c r="AV570" s="39" t="s">
        <v>2156</v>
      </c>
      <c r="AW570" s="130"/>
      <c r="AX570" s="130"/>
      <c r="AY570" s="130"/>
      <c r="AZ570" s="130"/>
      <c r="BA570" s="130"/>
      <c r="BB570" s="130"/>
      <c r="BC570" s="131">
        <v>350.0</v>
      </c>
      <c r="BD570" s="132">
        <f t="shared" si="778"/>
        <v>329.3478261</v>
      </c>
      <c r="BE570" s="39"/>
      <c r="BF570" s="134">
        <v>8.5447E9</v>
      </c>
      <c r="BG570" s="49"/>
      <c r="BH570" s="116">
        <f t="shared" si="714"/>
        <v>1524.758454</v>
      </c>
      <c r="BI570" s="116">
        <f t="shared" si="715"/>
        <v>914.8550725</v>
      </c>
      <c r="BJ570" s="116">
        <f t="shared" si="716"/>
        <v>762.3792271</v>
      </c>
      <c r="BK570" s="116">
        <f t="shared" si="717"/>
        <v>609.9033816</v>
      </c>
      <c r="BL570" s="49"/>
      <c r="BM570" s="49"/>
      <c r="BN570" s="49"/>
      <c r="BO570" s="49"/>
      <c r="BP570" s="49"/>
      <c r="BQ570" s="49"/>
      <c r="BR570" s="49"/>
      <c r="BS570" s="49"/>
      <c r="BT570" s="49"/>
      <c r="BU570" s="49"/>
      <c r="BV570" s="49"/>
      <c r="BW570" s="49"/>
      <c r="BX570" s="49"/>
      <c r="BY570" s="49"/>
      <c r="BZ570" s="49"/>
      <c r="CA570" s="49"/>
      <c r="CB570" s="49"/>
      <c r="CC570" s="49"/>
      <c r="CD570" s="49"/>
      <c r="CE570" s="49"/>
      <c r="CF570" s="49"/>
    </row>
    <row r="571" ht="14.25" customHeight="1">
      <c r="A571" s="103" t="s">
        <v>84</v>
      </c>
      <c r="B571" s="103" t="s">
        <v>85</v>
      </c>
      <c r="C571" s="103" t="s">
        <v>85</v>
      </c>
      <c r="D571" s="103" t="s">
        <v>1266</v>
      </c>
      <c r="E571" s="103" t="s">
        <v>1948</v>
      </c>
      <c r="F571" s="104" t="s">
        <v>2008</v>
      </c>
      <c r="G571" s="110" t="s">
        <v>2150</v>
      </c>
      <c r="H571" s="390" t="s">
        <v>1950</v>
      </c>
      <c r="I571" s="391" t="s">
        <v>2201</v>
      </c>
      <c r="J571" s="220" t="s">
        <v>2202</v>
      </c>
      <c r="K571" s="220" t="str">
        <f>_xlfn.XLOOKUP(J571,[1]Sheet1!$A:$A,[1]Sheet1!$B:$B,"")</f>
        <v>#ERROR!</v>
      </c>
      <c r="L571" s="103" t="s">
        <v>2203</v>
      </c>
      <c r="M571" s="103" t="s">
        <v>2204</v>
      </c>
      <c r="N571" s="110" t="s">
        <v>206</v>
      </c>
      <c r="O571" s="104" t="s">
        <v>95</v>
      </c>
      <c r="P571" s="110"/>
      <c r="Q571" s="104" t="s">
        <v>480</v>
      </c>
      <c r="R571" s="110" t="s">
        <v>1955</v>
      </c>
      <c r="S571" s="110">
        <v>4.0</v>
      </c>
      <c r="T571" s="110" t="e">
        <v>#N/A</v>
      </c>
      <c r="U571" s="110">
        <v>8.5447E9</v>
      </c>
      <c r="V571" s="112">
        <v>0.0</v>
      </c>
      <c r="W571" s="113">
        <v>30.0</v>
      </c>
      <c r="X571" s="110">
        <v>45.0</v>
      </c>
      <c r="Y571" s="110">
        <v>55.0</v>
      </c>
      <c r="Z571" s="110" t="s">
        <v>1938</v>
      </c>
      <c r="AA571" s="114">
        <f t="shared" si="782"/>
        <v>338.5319193</v>
      </c>
      <c r="AB571" s="115"/>
      <c r="AC571" s="116">
        <f t="shared" si="772"/>
        <v>320.9207047</v>
      </c>
      <c r="AD571" s="117">
        <f t="shared" si="783"/>
        <v>337.8112681</v>
      </c>
      <c r="AE571" s="116"/>
      <c r="AF571" s="116" t="str">
        <f t="shared" si="94"/>
        <v>#REF!</v>
      </c>
      <c r="AG571" s="210" t="str">
        <f t="shared" si="95"/>
        <v>#REF!</v>
      </c>
      <c r="AH571" s="120" t="str">
        <f t="shared" si="96"/>
        <v>#REF!</v>
      </c>
      <c r="AI571" s="121">
        <f t="shared" si="497"/>
        <v>0.1</v>
      </c>
      <c r="AJ571" s="121">
        <v>0.1</v>
      </c>
      <c r="AK571" s="122">
        <v>0.28</v>
      </c>
      <c r="AL571" s="123">
        <f t="shared" si="11"/>
        <v>89.85779733</v>
      </c>
      <c r="AM571" s="122" t="s">
        <v>10</v>
      </c>
      <c r="AN571" s="125">
        <f t="shared" si="774"/>
        <v>320.9207047</v>
      </c>
      <c r="AO571" s="112">
        <f t="shared" si="775"/>
        <v>0.28</v>
      </c>
      <c r="AP571" s="127"/>
      <c r="AQ571" s="128">
        <f t="shared" si="771"/>
        <v>263.3026039</v>
      </c>
      <c r="AR571" s="125">
        <f t="shared" si="776"/>
        <v>256.7365638</v>
      </c>
      <c r="AS571" s="126">
        <f t="shared" si="733"/>
        <v>0.2222222222</v>
      </c>
      <c r="AT571" s="126">
        <f t="shared" si="777"/>
        <v>0.2</v>
      </c>
      <c r="AU571" s="129"/>
      <c r="AV571" s="39" t="s">
        <v>1956</v>
      </c>
      <c r="AW571" s="130"/>
      <c r="AX571" s="130"/>
      <c r="AY571" s="130"/>
      <c r="AZ571" s="130"/>
      <c r="BA571" s="130">
        <v>1628.0</v>
      </c>
      <c r="BB571" s="130">
        <f t="shared" ref="BB571:BB574" si="784">AZ571+BA571</f>
        <v>1628</v>
      </c>
      <c r="BC571" s="131">
        <f t="shared" ref="BC571:BC574" si="785">(AZ571+BA571)/$F$5</f>
        <v>236.9723435</v>
      </c>
      <c r="BD571" s="132">
        <f t="shared" si="778"/>
        <v>231.0629074</v>
      </c>
      <c r="BE571" s="39"/>
      <c r="BF571" s="134">
        <v>8.5447E9</v>
      </c>
      <c r="BG571" s="49"/>
      <c r="BH571" s="116">
        <f t="shared" si="714"/>
        <v>1069.735682</v>
      </c>
      <c r="BI571" s="116">
        <f t="shared" si="715"/>
        <v>641.8414095</v>
      </c>
      <c r="BJ571" s="116">
        <f t="shared" si="716"/>
        <v>534.8678412</v>
      </c>
      <c r="BK571" s="116">
        <f t="shared" si="717"/>
        <v>427.894273</v>
      </c>
      <c r="BL571" s="49"/>
      <c r="BM571" s="49"/>
      <c r="BN571" s="49"/>
      <c r="BO571" s="49"/>
      <c r="BP571" s="49"/>
      <c r="BQ571" s="49"/>
      <c r="BR571" s="49"/>
      <c r="BS571" s="49"/>
      <c r="BT571" s="49"/>
      <c r="BU571" s="49"/>
      <c r="BV571" s="49"/>
      <c r="BW571" s="49"/>
      <c r="BX571" s="49"/>
      <c r="BY571" s="49"/>
      <c r="BZ571" s="49"/>
      <c r="CA571" s="49"/>
      <c r="CB571" s="49"/>
      <c r="CC571" s="49"/>
      <c r="CD571" s="49"/>
      <c r="CE571" s="49"/>
      <c r="CF571" s="49"/>
    </row>
    <row r="572" ht="14.25" customHeight="1">
      <c r="A572" s="103" t="s">
        <v>84</v>
      </c>
      <c r="B572" s="103" t="s">
        <v>85</v>
      </c>
      <c r="C572" s="103" t="s">
        <v>85</v>
      </c>
      <c r="D572" s="103" t="s">
        <v>1266</v>
      </c>
      <c r="E572" s="103" t="s">
        <v>1948</v>
      </c>
      <c r="F572" s="104" t="s">
        <v>2008</v>
      </c>
      <c r="G572" s="110" t="s">
        <v>2150</v>
      </c>
      <c r="H572" s="390" t="s">
        <v>1957</v>
      </c>
      <c r="I572" s="391" t="s">
        <v>2205</v>
      </c>
      <c r="J572" s="220" t="s">
        <v>2206</v>
      </c>
      <c r="K572" s="220" t="str">
        <f>_xlfn.XLOOKUP(J572,[1]Sheet1!$A:$A,[1]Sheet1!$B:$B,"")</f>
        <v>#ERROR!</v>
      </c>
      <c r="L572" s="103" t="s">
        <v>2207</v>
      </c>
      <c r="M572" s="103" t="s">
        <v>2208</v>
      </c>
      <c r="N572" s="110" t="s">
        <v>206</v>
      </c>
      <c r="O572" s="104" t="s">
        <v>95</v>
      </c>
      <c r="P572" s="110"/>
      <c r="Q572" s="104" t="s">
        <v>480</v>
      </c>
      <c r="R572" s="110" t="s">
        <v>1955</v>
      </c>
      <c r="S572" s="110">
        <v>4.0</v>
      </c>
      <c r="T572" s="110" t="e">
        <v>#N/A</v>
      </c>
      <c r="U572" s="110">
        <v>8.5447E9</v>
      </c>
      <c r="V572" s="112">
        <v>0.0</v>
      </c>
      <c r="W572" s="113">
        <v>30.0</v>
      </c>
      <c r="X572" s="110">
        <v>45.0</v>
      </c>
      <c r="Y572" s="110">
        <v>55.0</v>
      </c>
      <c r="Z572" s="110" t="s">
        <v>1938</v>
      </c>
      <c r="AA572" s="114">
        <f t="shared" si="782"/>
        <v>351.4244126</v>
      </c>
      <c r="AB572" s="115"/>
      <c r="AC572" s="116">
        <f t="shared" si="772"/>
        <v>331.8201555</v>
      </c>
      <c r="AD572" s="117">
        <f t="shared" si="783"/>
        <v>349.2843743</v>
      </c>
      <c r="AE572" s="116"/>
      <c r="AF572" s="116" t="str">
        <f t="shared" si="94"/>
        <v>#REF!</v>
      </c>
      <c r="AG572" s="210" t="str">
        <f t="shared" si="95"/>
        <v>#REF!</v>
      </c>
      <c r="AH572" s="120" t="str">
        <f t="shared" si="96"/>
        <v>#REF!</v>
      </c>
      <c r="AI572" s="121">
        <f t="shared" si="497"/>
        <v>0.1</v>
      </c>
      <c r="AJ572" s="121">
        <v>0.1</v>
      </c>
      <c r="AK572" s="122">
        <v>0.28</v>
      </c>
      <c r="AL572" s="123">
        <f t="shared" si="11"/>
        <v>92.90964355</v>
      </c>
      <c r="AM572" s="122" t="s">
        <v>10</v>
      </c>
      <c r="AN572" s="125">
        <f t="shared" si="774"/>
        <v>331.8201555</v>
      </c>
      <c r="AO572" s="112">
        <f t="shared" si="775"/>
        <v>0.28</v>
      </c>
      <c r="AP572" s="127"/>
      <c r="AQ572" s="128">
        <f t="shared" si="771"/>
        <v>273.3300987</v>
      </c>
      <c r="AR572" s="125">
        <f t="shared" si="776"/>
        <v>265.4561244</v>
      </c>
      <c r="AS572" s="126">
        <f t="shared" si="733"/>
        <v>0.2222222222</v>
      </c>
      <c r="AT572" s="126">
        <f t="shared" si="777"/>
        <v>0.2</v>
      </c>
      <c r="AU572" s="129"/>
      <c r="AV572" s="39" t="s">
        <v>1956</v>
      </c>
      <c r="AW572" s="130"/>
      <c r="AX572" s="130"/>
      <c r="AY572" s="130"/>
      <c r="AZ572" s="130"/>
      <c r="BA572" s="130">
        <v>1690.0</v>
      </c>
      <c r="BB572" s="130">
        <f t="shared" si="784"/>
        <v>1690</v>
      </c>
      <c r="BC572" s="131">
        <f t="shared" si="785"/>
        <v>245.9970888</v>
      </c>
      <c r="BD572" s="132">
        <f t="shared" si="778"/>
        <v>238.910512</v>
      </c>
      <c r="BE572" s="39"/>
      <c r="BF572" s="134">
        <v>8.5447E9</v>
      </c>
      <c r="BG572" s="49"/>
      <c r="BH572" s="116">
        <f t="shared" si="714"/>
        <v>1106.067185</v>
      </c>
      <c r="BI572" s="116">
        <f t="shared" si="715"/>
        <v>663.6403111</v>
      </c>
      <c r="BJ572" s="116">
        <f t="shared" si="716"/>
        <v>553.0335926</v>
      </c>
      <c r="BK572" s="116">
        <f t="shared" si="717"/>
        <v>442.4268741</v>
      </c>
      <c r="BL572" s="49"/>
      <c r="BM572" s="49"/>
      <c r="BN572" s="49"/>
      <c r="BO572" s="49"/>
      <c r="BP572" s="49"/>
      <c r="BQ572" s="49"/>
      <c r="BR572" s="49"/>
      <c r="BS572" s="49"/>
      <c r="BT572" s="49"/>
      <c r="BU572" s="49"/>
      <c r="BV572" s="49"/>
      <c r="BW572" s="49"/>
      <c r="BX572" s="49"/>
      <c r="BY572" s="49"/>
      <c r="BZ572" s="49"/>
      <c r="CA572" s="49"/>
      <c r="CB572" s="49"/>
      <c r="CC572" s="49"/>
      <c r="CD572" s="49"/>
      <c r="CE572" s="49"/>
      <c r="CF572" s="49"/>
    </row>
    <row r="573" ht="14.25" customHeight="1">
      <c r="A573" s="103" t="s">
        <v>84</v>
      </c>
      <c r="B573" s="103" t="s">
        <v>85</v>
      </c>
      <c r="C573" s="103" t="s">
        <v>85</v>
      </c>
      <c r="D573" s="103" t="s">
        <v>1266</v>
      </c>
      <c r="E573" s="103" t="s">
        <v>1948</v>
      </c>
      <c r="F573" s="104" t="s">
        <v>2008</v>
      </c>
      <c r="G573" s="110" t="s">
        <v>2150</v>
      </c>
      <c r="H573" s="390" t="s">
        <v>1962</v>
      </c>
      <c r="I573" s="391" t="s">
        <v>2209</v>
      </c>
      <c r="J573" s="220" t="s">
        <v>2210</v>
      </c>
      <c r="K573" s="220" t="str">
        <f>_xlfn.XLOOKUP(J573,[1]Sheet1!$A:$A,[1]Sheet1!$B:$B,"")</f>
        <v>#ERROR!</v>
      </c>
      <c r="L573" s="103" t="s">
        <v>2211</v>
      </c>
      <c r="M573" s="103" t="s">
        <v>2212</v>
      </c>
      <c r="N573" s="110" t="s">
        <v>206</v>
      </c>
      <c r="O573" s="104" t="s">
        <v>95</v>
      </c>
      <c r="P573" s="110"/>
      <c r="Q573" s="104" t="s">
        <v>480</v>
      </c>
      <c r="R573" s="110" t="s">
        <v>1955</v>
      </c>
      <c r="S573" s="110">
        <v>4.0</v>
      </c>
      <c r="T573" s="110" t="e">
        <v>#N/A</v>
      </c>
      <c r="U573" s="110">
        <v>8.5447E9</v>
      </c>
      <c r="V573" s="112">
        <v>0.0</v>
      </c>
      <c r="W573" s="113">
        <v>30.0</v>
      </c>
      <c r="X573" s="110">
        <v>45.0</v>
      </c>
      <c r="Y573" s="110">
        <v>55.0</v>
      </c>
      <c r="Z573" s="110" t="s">
        <v>1938</v>
      </c>
      <c r="AA573" s="114">
        <f t="shared" si="782"/>
        <v>385.7350801</v>
      </c>
      <c r="AB573" s="115"/>
      <c r="AC573" s="116">
        <f t="shared" si="772"/>
        <v>360.8267585</v>
      </c>
      <c r="AD573" s="117">
        <f t="shared" si="783"/>
        <v>379.8176405</v>
      </c>
      <c r="AE573" s="116"/>
      <c r="AF573" s="116" t="str">
        <f t="shared" si="94"/>
        <v>#REF!</v>
      </c>
      <c r="AG573" s="210" t="str">
        <f t="shared" si="95"/>
        <v>#REF!</v>
      </c>
      <c r="AH573" s="120" t="str">
        <f t="shared" si="96"/>
        <v>#REF!</v>
      </c>
      <c r="AI573" s="121">
        <f t="shared" si="497"/>
        <v>0.1</v>
      </c>
      <c r="AJ573" s="121">
        <v>0.1</v>
      </c>
      <c r="AK573" s="122">
        <v>0.28</v>
      </c>
      <c r="AL573" s="123">
        <f t="shared" si="11"/>
        <v>101.0314924</v>
      </c>
      <c r="AM573" s="122" t="s">
        <v>10</v>
      </c>
      <c r="AN573" s="125">
        <f t="shared" si="774"/>
        <v>360.8267585</v>
      </c>
      <c r="AO573" s="112">
        <f t="shared" si="775"/>
        <v>0.28</v>
      </c>
      <c r="AP573" s="127"/>
      <c r="AQ573" s="128">
        <f t="shared" si="771"/>
        <v>300.0161734</v>
      </c>
      <c r="AR573" s="125">
        <f t="shared" si="776"/>
        <v>288.6614068</v>
      </c>
      <c r="AS573" s="126">
        <f t="shared" si="733"/>
        <v>0.2222222222</v>
      </c>
      <c r="AT573" s="126">
        <f t="shared" si="777"/>
        <v>0.2</v>
      </c>
      <c r="AU573" s="129">
        <v>269.55</v>
      </c>
      <c r="AV573" s="39" t="s">
        <v>1956</v>
      </c>
      <c r="AW573" s="130"/>
      <c r="AX573" s="130"/>
      <c r="AY573" s="130"/>
      <c r="AZ573" s="130"/>
      <c r="BA573" s="130">
        <v>1855.0</v>
      </c>
      <c r="BB573" s="130">
        <f t="shared" si="784"/>
        <v>1855</v>
      </c>
      <c r="BC573" s="131">
        <f t="shared" si="785"/>
        <v>270.014556</v>
      </c>
      <c r="BD573" s="132">
        <f t="shared" si="778"/>
        <v>259.7952661</v>
      </c>
      <c r="BE573" s="39"/>
      <c r="BF573" s="134">
        <v>8.5447E9</v>
      </c>
      <c r="BG573" s="49"/>
      <c r="BH573" s="116">
        <f t="shared" si="714"/>
        <v>1202.755862</v>
      </c>
      <c r="BI573" s="116">
        <f t="shared" si="715"/>
        <v>721.653517</v>
      </c>
      <c r="BJ573" s="116">
        <f t="shared" si="716"/>
        <v>601.3779308</v>
      </c>
      <c r="BK573" s="116">
        <f t="shared" si="717"/>
        <v>481.1023447</v>
      </c>
      <c r="BL573" s="49"/>
      <c r="BM573" s="49"/>
      <c r="BN573" s="49"/>
      <c r="BO573" s="49"/>
      <c r="BP573" s="49"/>
      <c r="BQ573" s="49"/>
      <c r="BR573" s="49"/>
      <c r="BS573" s="49"/>
      <c r="BT573" s="49"/>
      <c r="BU573" s="49"/>
      <c r="BV573" s="49"/>
      <c r="BW573" s="49"/>
      <c r="BX573" s="49"/>
      <c r="BY573" s="49"/>
      <c r="BZ573" s="49"/>
      <c r="CA573" s="49"/>
      <c r="CB573" s="49"/>
      <c r="CC573" s="49"/>
      <c r="CD573" s="49"/>
      <c r="CE573" s="49"/>
      <c r="CF573" s="49"/>
    </row>
    <row r="574" ht="14.25" customHeight="1">
      <c r="A574" s="103" t="s">
        <v>84</v>
      </c>
      <c r="B574" s="103" t="s">
        <v>85</v>
      </c>
      <c r="C574" s="103" t="s">
        <v>85</v>
      </c>
      <c r="D574" s="103" t="s">
        <v>1266</v>
      </c>
      <c r="E574" s="103" t="s">
        <v>1948</v>
      </c>
      <c r="F574" s="104" t="s">
        <v>2008</v>
      </c>
      <c r="G574" s="110" t="s">
        <v>2150</v>
      </c>
      <c r="H574" s="390" t="s">
        <v>1967</v>
      </c>
      <c r="I574" s="391" t="s">
        <v>2213</v>
      </c>
      <c r="J574" s="220" t="s">
        <v>2214</v>
      </c>
      <c r="K574" s="220" t="str">
        <f>_xlfn.XLOOKUP(J574,[1]Sheet1!$A:$A,[1]Sheet1!$B:$B,"")</f>
        <v>#ERROR!</v>
      </c>
      <c r="L574" s="103" t="s">
        <v>2215</v>
      </c>
      <c r="M574" s="103" t="s">
        <v>2216</v>
      </c>
      <c r="N574" s="110" t="s">
        <v>206</v>
      </c>
      <c r="O574" s="104" t="s">
        <v>95</v>
      </c>
      <c r="P574" s="110"/>
      <c r="Q574" s="104" t="s">
        <v>480</v>
      </c>
      <c r="R574" s="110" t="s">
        <v>1955</v>
      </c>
      <c r="S574" s="110">
        <v>4.0</v>
      </c>
      <c r="T574" s="110" t="e">
        <v>#N/A</v>
      </c>
      <c r="U574" s="110">
        <v>8.5447E9</v>
      </c>
      <c r="V574" s="112">
        <v>0.0</v>
      </c>
      <c r="W574" s="113">
        <v>30.0</v>
      </c>
      <c r="X574" s="110">
        <v>45.0</v>
      </c>
      <c r="Y574" s="110">
        <v>55.0</v>
      </c>
      <c r="Z574" s="110" t="s">
        <v>1938</v>
      </c>
      <c r="AA574" s="114">
        <f t="shared" si="782"/>
        <v>541.6926596</v>
      </c>
      <c r="AB574" s="115"/>
      <c r="AC574" s="116">
        <f t="shared" si="772"/>
        <v>492.6749538</v>
      </c>
      <c r="AD574" s="117">
        <f t="shared" si="783"/>
        <v>518.6052145</v>
      </c>
      <c r="AE574" s="116"/>
      <c r="AF574" s="116" t="str">
        <f t="shared" si="94"/>
        <v>#REF!</v>
      </c>
      <c r="AG574" s="210" t="str">
        <f t="shared" si="95"/>
        <v>#REF!</v>
      </c>
      <c r="AH574" s="120" t="str">
        <f t="shared" si="96"/>
        <v>#REF!</v>
      </c>
      <c r="AI574" s="121">
        <f t="shared" si="497"/>
        <v>0.1</v>
      </c>
      <c r="AJ574" s="121">
        <v>0.1</v>
      </c>
      <c r="AK574" s="122">
        <v>0.28</v>
      </c>
      <c r="AL574" s="123">
        <f t="shared" si="11"/>
        <v>137.9489871</v>
      </c>
      <c r="AM574" s="122" t="s">
        <v>10</v>
      </c>
      <c r="AN574" s="125">
        <f t="shared" si="774"/>
        <v>492.6749538</v>
      </c>
      <c r="AO574" s="112">
        <f t="shared" si="775"/>
        <v>0.28</v>
      </c>
      <c r="AP574" s="127"/>
      <c r="AQ574" s="128">
        <f t="shared" si="771"/>
        <v>421.316513</v>
      </c>
      <c r="AR574" s="125">
        <f t="shared" si="776"/>
        <v>394.139963</v>
      </c>
      <c r="AS574" s="126">
        <f t="shared" si="733"/>
        <v>0.2222222222</v>
      </c>
      <c r="AT574" s="126">
        <f t="shared" si="777"/>
        <v>0.2</v>
      </c>
      <c r="AU574" s="129">
        <v>335.18</v>
      </c>
      <c r="AV574" s="39" t="s">
        <v>1956</v>
      </c>
      <c r="AW574" s="130"/>
      <c r="AX574" s="130"/>
      <c r="AY574" s="130"/>
      <c r="AZ574" s="130"/>
      <c r="BA574" s="130">
        <v>2605.0</v>
      </c>
      <c r="BB574" s="130">
        <f t="shared" si="784"/>
        <v>2605</v>
      </c>
      <c r="BC574" s="131">
        <f t="shared" si="785"/>
        <v>379.1848617</v>
      </c>
      <c r="BD574" s="132">
        <f t="shared" si="778"/>
        <v>354.7259667</v>
      </c>
      <c r="BE574" s="39"/>
      <c r="BF574" s="134">
        <v>8.5447E9</v>
      </c>
      <c r="BG574" s="49"/>
      <c r="BH574" s="116">
        <f t="shared" si="714"/>
        <v>1642.249846</v>
      </c>
      <c r="BI574" s="116">
        <f t="shared" si="715"/>
        <v>985.3499075</v>
      </c>
      <c r="BJ574" s="116">
        <f t="shared" si="716"/>
        <v>821.1249229</v>
      </c>
      <c r="BK574" s="116">
        <f t="shared" si="717"/>
        <v>656.8999384</v>
      </c>
      <c r="BL574" s="49"/>
      <c r="BM574" s="49"/>
      <c r="BN574" s="49"/>
      <c r="BO574" s="49"/>
      <c r="BP574" s="49"/>
      <c r="BQ574" s="49"/>
      <c r="BR574" s="49"/>
      <c r="BS574" s="49"/>
      <c r="BT574" s="49"/>
      <c r="BU574" s="49"/>
      <c r="BV574" s="49"/>
      <c r="BW574" s="49"/>
      <c r="BX574" s="49"/>
      <c r="BY574" s="49"/>
      <c r="BZ574" s="49"/>
      <c r="CA574" s="49"/>
      <c r="CB574" s="49"/>
      <c r="CC574" s="49"/>
      <c r="CD574" s="49"/>
      <c r="CE574" s="49"/>
      <c r="CF574" s="49"/>
    </row>
    <row r="575" ht="14.25" customHeight="1">
      <c r="A575" s="103" t="s">
        <v>84</v>
      </c>
      <c r="B575" s="103" t="s">
        <v>85</v>
      </c>
      <c r="C575" s="103" t="s">
        <v>85</v>
      </c>
      <c r="D575" s="103" t="s">
        <v>1266</v>
      </c>
      <c r="E575" s="103" t="s">
        <v>1948</v>
      </c>
      <c r="F575" s="104" t="s">
        <v>2025</v>
      </c>
      <c r="G575" s="110" t="s">
        <v>2150</v>
      </c>
      <c r="H575" s="390" t="s">
        <v>2026</v>
      </c>
      <c r="I575" s="391" t="s">
        <v>2217</v>
      </c>
      <c r="J575" s="220" t="s">
        <v>2218</v>
      </c>
      <c r="K575" s="220" t="str">
        <f>_xlfn.XLOOKUP(J575,[1]Sheet1!$A:$A,[1]Sheet1!$B:$B,"")</f>
        <v>#ERROR!</v>
      </c>
      <c r="L575" s="103" t="s">
        <v>2219</v>
      </c>
      <c r="M575" s="103" t="s">
        <v>2220</v>
      </c>
      <c r="N575" s="110" t="s">
        <v>106</v>
      </c>
      <c r="O575" s="104" t="s">
        <v>2155</v>
      </c>
      <c r="P575" s="110"/>
      <c r="Q575" s="104" t="s">
        <v>480</v>
      </c>
      <c r="R575" s="110" t="s">
        <v>1955</v>
      </c>
      <c r="S575" s="110">
        <v>4.0</v>
      </c>
      <c r="T575" s="110" t="e">
        <v>#N/A</v>
      </c>
      <c r="U575" s="110">
        <v>8.5447E9</v>
      </c>
      <c r="V575" s="112">
        <v>0.0</v>
      </c>
      <c r="W575" s="113">
        <v>30.0</v>
      </c>
      <c r="X575" s="110">
        <v>45.0</v>
      </c>
      <c r="Y575" s="110">
        <v>55.0</v>
      </c>
      <c r="Z575" s="110" t="s">
        <v>1938</v>
      </c>
      <c r="AA575" s="114">
        <f t="shared" si="782"/>
        <v>1292.957746</v>
      </c>
      <c r="AB575" s="115"/>
      <c r="AC575" s="116">
        <f t="shared" si="772"/>
        <v>1127.754616</v>
      </c>
      <c r="AD575" s="117">
        <f t="shared" si="783"/>
        <v>1187.110122</v>
      </c>
      <c r="AE575" s="116"/>
      <c r="AF575" s="116" t="str">
        <f t="shared" si="94"/>
        <v>#REF!</v>
      </c>
      <c r="AG575" s="210" t="str">
        <f t="shared" si="95"/>
        <v>#REF!</v>
      </c>
      <c r="AH575" s="120" t="str">
        <f t="shared" si="96"/>
        <v>#REF!</v>
      </c>
      <c r="AI575" s="121">
        <f t="shared" si="497"/>
        <v>0.1</v>
      </c>
      <c r="AJ575" s="121">
        <v>0.1</v>
      </c>
      <c r="AK575" s="122">
        <v>0.27</v>
      </c>
      <c r="AL575" s="123">
        <f t="shared" si="11"/>
        <v>304.4937463</v>
      </c>
      <c r="AM575" s="122" t="s">
        <v>10</v>
      </c>
      <c r="AN575" s="125">
        <f t="shared" si="774"/>
        <v>1127.754616</v>
      </c>
      <c r="AO575" s="112">
        <f t="shared" si="775"/>
        <v>0.27</v>
      </c>
      <c r="AP575" s="127"/>
      <c r="AQ575" s="128">
        <f t="shared" si="771"/>
        <v>1020</v>
      </c>
      <c r="AR575" s="125">
        <f t="shared" si="776"/>
        <v>914.7342995</v>
      </c>
      <c r="AS575" s="126">
        <f t="shared" si="733"/>
        <v>0.2111111111</v>
      </c>
      <c r="AT575" s="126">
        <f t="shared" si="777"/>
        <v>0.1888888889</v>
      </c>
      <c r="AU575" s="129"/>
      <c r="AV575" s="39" t="s">
        <v>2156</v>
      </c>
      <c r="AW575" s="130"/>
      <c r="AX575" s="130"/>
      <c r="AY575" s="130"/>
      <c r="AZ575" s="130"/>
      <c r="BA575" s="130"/>
      <c r="BB575" s="130"/>
      <c r="BC575" s="131">
        <v>918.0</v>
      </c>
      <c r="BD575" s="132">
        <f t="shared" si="778"/>
        <v>823.2608696</v>
      </c>
      <c r="BE575" s="39"/>
      <c r="BF575" s="134">
        <v>8.5447E9</v>
      </c>
      <c r="BG575" s="49"/>
      <c r="BH575" s="116">
        <f t="shared" si="714"/>
        <v>3759.182053</v>
      </c>
      <c r="BI575" s="116">
        <f t="shared" si="715"/>
        <v>2255.509232</v>
      </c>
      <c r="BJ575" s="116">
        <f t="shared" si="716"/>
        <v>1879.591026</v>
      </c>
      <c r="BK575" s="116">
        <f t="shared" si="717"/>
        <v>1503.672821</v>
      </c>
      <c r="BL575" s="49"/>
      <c r="BM575" s="49"/>
      <c r="BN575" s="49"/>
      <c r="BO575" s="49"/>
      <c r="BP575" s="49"/>
      <c r="BQ575" s="49"/>
      <c r="BR575" s="49"/>
      <c r="BS575" s="49"/>
      <c r="BT575" s="49"/>
      <c r="BU575" s="49"/>
      <c r="BV575" s="49"/>
      <c r="BW575" s="49"/>
      <c r="BX575" s="49"/>
      <c r="BY575" s="49"/>
      <c r="BZ575" s="49"/>
      <c r="CA575" s="49"/>
      <c r="CB575" s="49"/>
      <c r="CC575" s="49"/>
      <c r="CD575" s="49"/>
      <c r="CE575" s="49"/>
      <c r="CF575" s="49"/>
    </row>
    <row r="576" ht="14.25" customHeight="1">
      <c r="A576" s="103" t="s">
        <v>84</v>
      </c>
      <c r="B576" s="103" t="s">
        <v>85</v>
      </c>
      <c r="C576" s="103" t="s">
        <v>85</v>
      </c>
      <c r="D576" s="103" t="s">
        <v>1266</v>
      </c>
      <c r="E576" s="103" t="s">
        <v>1948</v>
      </c>
      <c r="F576" s="104" t="s">
        <v>2025</v>
      </c>
      <c r="G576" s="110" t="s">
        <v>2150</v>
      </c>
      <c r="H576" s="390" t="s">
        <v>2031</v>
      </c>
      <c r="I576" s="391" t="s">
        <v>2221</v>
      </c>
      <c r="J576" s="220" t="s">
        <v>2222</v>
      </c>
      <c r="K576" s="220" t="str">
        <f>_xlfn.XLOOKUP(J576,[1]Sheet1!$A:$A,[1]Sheet1!$B:$B,"")</f>
        <v>#ERROR!</v>
      </c>
      <c r="L576" s="103" t="s">
        <v>2223</v>
      </c>
      <c r="M576" s="103" t="s">
        <v>2224</v>
      </c>
      <c r="N576" s="110" t="s">
        <v>106</v>
      </c>
      <c r="O576" s="104" t="s">
        <v>2155</v>
      </c>
      <c r="P576" s="110"/>
      <c r="Q576" s="104" t="s">
        <v>480</v>
      </c>
      <c r="R576" s="110" t="s">
        <v>1955</v>
      </c>
      <c r="S576" s="110">
        <v>4.0</v>
      </c>
      <c r="T576" s="110" t="e">
        <v>#N/A</v>
      </c>
      <c r="U576" s="110">
        <v>8.5447E9</v>
      </c>
      <c r="V576" s="112">
        <v>0.0</v>
      </c>
      <c r="W576" s="113">
        <v>30.0</v>
      </c>
      <c r="X576" s="110">
        <v>45.0</v>
      </c>
      <c r="Y576" s="110">
        <v>55.0</v>
      </c>
      <c r="Z576" s="110" t="s">
        <v>1938</v>
      </c>
      <c r="AA576" s="114">
        <f t="shared" si="782"/>
        <v>1747.887324</v>
      </c>
      <c r="AB576" s="115"/>
      <c r="AC576" s="116">
        <f t="shared" si="772"/>
        <v>1512.507445</v>
      </c>
      <c r="AD576" s="117">
        <f t="shared" si="783"/>
        <v>1592.1131</v>
      </c>
      <c r="AE576" s="116"/>
      <c r="AF576" s="116" t="str">
        <f t="shared" si="94"/>
        <v>#REF!</v>
      </c>
      <c r="AG576" s="210" t="str">
        <f t="shared" si="95"/>
        <v>#REF!</v>
      </c>
      <c r="AH576" s="120" t="str">
        <f t="shared" si="96"/>
        <v>#REF!</v>
      </c>
      <c r="AI576" s="121">
        <f t="shared" si="497"/>
        <v>0.1</v>
      </c>
      <c r="AJ576" s="121">
        <v>0.1</v>
      </c>
      <c r="AK576" s="122">
        <v>0.27</v>
      </c>
      <c r="AL576" s="123">
        <f t="shared" si="11"/>
        <v>408.3770101</v>
      </c>
      <c r="AM576" s="122" t="s">
        <v>10</v>
      </c>
      <c r="AN576" s="125">
        <f t="shared" si="774"/>
        <v>1512.507445</v>
      </c>
      <c r="AO576" s="112">
        <f t="shared" si="775"/>
        <v>0.27</v>
      </c>
      <c r="AP576" s="127"/>
      <c r="AQ576" s="128">
        <f t="shared" si="771"/>
        <v>1378.888889</v>
      </c>
      <c r="AR576" s="125">
        <f t="shared" si="776"/>
        <v>1226.811594</v>
      </c>
      <c r="AS576" s="126">
        <f t="shared" si="733"/>
        <v>0.2111111111</v>
      </c>
      <c r="AT576" s="126">
        <f t="shared" si="777"/>
        <v>0.1888888889</v>
      </c>
      <c r="AU576" s="129"/>
      <c r="AV576" s="39" t="s">
        <v>2156</v>
      </c>
      <c r="AW576" s="130"/>
      <c r="AX576" s="130"/>
      <c r="AY576" s="130"/>
      <c r="AZ576" s="130"/>
      <c r="BA576" s="130"/>
      <c r="BB576" s="130"/>
      <c r="BC576" s="131">
        <v>1241.0</v>
      </c>
      <c r="BD576" s="132">
        <f t="shared" si="778"/>
        <v>1104.130435</v>
      </c>
      <c r="BE576" s="39"/>
      <c r="BF576" s="134">
        <v>8.5447E9</v>
      </c>
      <c r="BG576" s="49"/>
      <c r="BH576" s="116">
        <f t="shared" si="714"/>
        <v>5041.691483</v>
      </c>
      <c r="BI576" s="116">
        <f t="shared" si="715"/>
        <v>3025.01489</v>
      </c>
      <c r="BJ576" s="116">
        <f t="shared" si="716"/>
        <v>2520.845742</v>
      </c>
      <c r="BK576" s="116">
        <f t="shared" si="717"/>
        <v>2016.676593</v>
      </c>
      <c r="BL576" s="49"/>
      <c r="BM576" s="49"/>
      <c r="BN576" s="49"/>
      <c r="BO576" s="49"/>
      <c r="BP576" s="49"/>
      <c r="BQ576" s="49"/>
      <c r="BR576" s="49"/>
      <c r="BS576" s="49"/>
      <c r="BT576" s="49"/>
      <c r="BU576" s="49"/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</row>
    <row r="577" ht="14.25" customHeight="1">
      <c r="A577" s="103" t="s">
        <v>84</v>
      </c>
      <c r="B577" s="103" t="s">
        <v>85</v>
      </c>
      <c r="C577" s="103" t="s">
        <v>85</v>
      </c>
      <c r="D577" s="103" t="s">
        <v>1266</v>
      </c>
      <c r="E577" s="103" t="s">
        <v>1948</v>
      </c>
      <c r="F577" s="104" t="s">
        <v>2036</v>
      </c>
      <c r="G577" s="110" t="s">
        <v>2150</v>
      </c>
      <c r="H577" s="390" t="s">
        <v>2026</v>
      </c>
      <c r="I577" s="391" t="s">
        <v>2225</v>
      </c>
      <c r="J577" s="220" t="s">
        <v>2226</v>
      </c>
      <c r="K577" s="220" t="str">
        <f>_xlfn.XLOOKUP(J577,[1]Sheet1!$A:$A,[1]Sheet1!$B:$B,"")</f>
        <v>#ERROR!</v>
      </c>
      <c r="L577" s="103" t="s">
        <v>2227</v>
      </c>
      <c r="M577" s="103" t="s">
        <v>2228</v>
      </c>
      <c r="N577" s="110" t="s">
        <v>106</v>
      </c>
      <c r="O577" s="104" t="s">
        <v>2155</v>
      </c>
      <c r="P577" s="110"/>
      <c r="Q577" s="104" t="s">
        <v>480</v>
      </c>
      <c r="R577" s="110" t="s">
        <v>1955</v>
      </c>
      <c r="S577" s="110">
        <v>4.0</v>
      </c>
      <c r="T577" s="110" t="e">
        <v>#N/A</v>
      </c>
      <c r="U577" s="110">
        <v>8.5447E9</v>
      </c>
      <c r="V577" s="112">
        <v>0.0</v>
      </c>
      <c r="W577" s="113">
        <v>30.0</v>
      </c>
      <c r="X577" s="110">
        <v>45.0</v>
      </c>
      <c r="Y577" s="110">
        <v>55.0</v>
      </c>
      <c r="Z577" s="110" t="s">
        <v>1938</v>
      </c>
      <c r="AA577" s="114">
        <f t="shared" si="782"/>
        <v>568.5714286</v>
      </c>
      <c r="AB577" s="115"/>
      <c r="AC577" s="116">
        <f t="shared" si="772"/>
        <v>515.3985507</v>
      </c>
      <c r="AD577" s="117">
        <f t="shared" si="783"/>
        <v>542.5247902</v>
      </c>
      <c r="AE577" s="116"/>
      <c r="AF577" s="116" t="str">
        <f t="shared" si="94"/>
        <v>#REF!</v>
      </c>
      <c r="AG577" s="210" t="str">
        <f t="shared" si="95"/>
        <v>#REF!</v>
      </c>
      <c r="AH577" s="120" t="str">
        <f t="shared" si="96"/>
        <v>#REF!</v>
      </c>
      <c r="AI577" s="121">
        <f t="shared" si="497"/>
        <v>0.1</v>
      </c>
      <c r="AJ577" s="121">
        <v>0.1</v>
      </c>
      <c r="AK577" s="122">
        <v>0.28</v>
      </c>
      <c r="AL577" s="123">
        <f t="shared" si="11"/>
        <v>144.3115942</v>
      </c>
      <c r="AM577" s="122" t="s">
        <v>10</v>
      </c>
      <c r="AN577" s="125">
        <f t="shared" si="774"/>
        <v>515.3985507</v>
      </c>
      <c r="AO577" s="112">
        <f t="shared" si="775"/>
        <v>0.28</v>
      </c>
      <c r="AP577" s="127"/>
      <c r="AQ577" s="128">
        <f t="shared" si="771"/>
        <v>442.2222222</v>
      </c>
      <c r="AR577" s="125">
        <f t="shared" si="776"/>
        <v>412.3188406</v>
      </c>
      <c r="AS577" s="126">
        <f t="shared" si="733"/>
        <v>0.2222222222</v>
      </c>
      <c r="AT577" s="126">
        <f t="shared" si="777"/>
        <v>0.2</v>
      </c>
      <c r="AU577" s="129"/>
      <c r="AV577" s="39" t="s">
        <v>2156</v>
      </c>
      <c r="AW577" s="130"/>
      <c r="AX577" s="130"/>
      <c r="AY577" s="130"/>
      <c r="AZ577" s="130"/>
      <c r="BA577" s="130"/>
      <c r="BB577" s="130"/>
      <c r="BC577" s="131">
        <v>398.0</v>
      </c>
      <c r="BD577" s="132">
        <f t="shared" si="778"/>
        <v>371.0869565</v>
      </c>
      <c r="BE577" s="39"/>
      <c r="BF577" s="134">
        <v>8.5447E9</v>
      </c>
      <c r="BG577" s="49"/>
      <c r="BH577" s="116">
        <f t="shared" si="714"/>
        <v>1717.995169</v>
      </c>
      <c r="BI577" s="116">
        <f t="shared" si="715"/>
        <v>1030.797101</v>
      </c>
      <c r="BJ577" s="116">
        <f t="shared" si="716"/>
        <v>858.9975845</v>
      </c>
      <c r="BK577" s="116">
        <f t="shared" si="717"/>
        <v>687.1980676</v>
      </c>
      <c r="BL577" s="49"/>
      <c r="BM577" s="49"/>
      <c r="BN577" s="49"/>
      <c r="BO577" s="49"/>
      <c r="BP577" s="49"/>
      <c r="BQ577" s="49"/>
      <c r="BR577" s="49"/>
      <c r="BS577" s="49"/>
      <c r="BT577" s="49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</row>
    <row r="578" ht="14.25" customHeight="1">
      <c r="A578" s="103" t="s">
        <v>84</v>
      </c>
      <c r="B578" s="103" t="s">
        <v>85</v>
      </c>
      <c r="C578" s="103" t="s">
        <v>85</v>
      </c>
      <c r="D578" s="103" t="s">
        <v>1266</v>
      </c>
      <c r="E578" s="103" t="s">
        <v>1948</v>
      </c>
      <c r="F578" s="104" t="s">
        <v>2036</v>
      </c>
      <c r="G578" s="110" t="s">
        <v>2150</v>
      </c>
      <c r="H578" s="390" t="s">
        <v>2031</v>
      </c>
      <c r="I578" s="391" t="s">
        <v>2229</v>
      </c>
      <c r="J578" s="220" t="s">
        <v>2230</v>
      </c>
      <c r="K578" s="220" t="str">
        <f>_xlfn.XLOOKUP(J578,[1]Sheet1!$A:$A,[1]Sheet1!$B:$B,"")</f>
        <v>#ERROR!</v>
      </c>
      <c r="L578" s="103" t="s">
        <v>2231</v>
      </c>
      <c r="M578" s="103" t="s">
        <v>2232</v>
      </c>
      <c r="N578" s="110" t="s">
        <v>106</v>
      </c>
      <c r="O578" s="104" t="s">
        <v>2155</v>
      </c>
      <c r="P578" s="110"/>
      <c r="Q578" s="104" t="s">
        <v>480</v>
      </c>
      <c r="R578" s="110" t="s">
        <v>1955</v>
      </c>
      <c r="S578" s="110">
        <v>4.0</v>
      </c>
      <c r="T578" s="110" t="e">
        <v>#N/A</v>
      </c>
      <c r="U578" s="110">
        <v>8.5447E9</v>
      </c>
      <c r="V578" s="112">
        <v>0.0</v>
      </c>
      <c r="W578" s="113">
        <v>30.0</v>
      </c>
      <c r="X578" s="110">
        <v>45.0</v>
      </c>
      <c r="Y578" s="110">
        <v>55.0</v>
      </c>
      <c r="Z578" s="110" t="s">
        <v>1938</v>
      </c>
      <c r="AA578" s="114">
        <f t="shared" si="782"/>
        <v>994.2857143</v>
      </c>
      <c r="AB578" s="115"/>
      <c r="AC578" s="116">
        <f t="shared" si="772"/>
        <v>875.3019324</v>
      </c>
      <c r="AD578" s="117">
        <f t="shared" si="783"/>
        <v>921.3704551</v>
      </c>
      <c r="AE578" s="116"/>
      <c r="AF578" s="116" t="str">
        <f t="shared" si="94"/>
        <v>#REF!</v>
      </c>
      <c r="AG578" s="210" t="str">
        <f t="shared" si="95"/>
        <v>#REF!</v>
      </c>
      <c r="AH578" s="120" t="str">
        <f t="shared" si="96"/>
        <v>#REF!</v>
      </c>
      <c r="AI578" s="121">
        <f t="shared" si="497"/>
        <v>0.1</v>
      </c>
      <c r="AJ578" s="121">
        <v>0.1</v>
      </c>
      <c r="AK578" s="122">
        <v>0.28</v>
      </c>
      <c r="AL578" s="123">
        <f t="shared" si="11"/>
        <v>245.0845411</v>
      </c>
      <c r="AM578" s="122" t="s">
        <v>10</v>
      </c>
      <c r="AN578" s="125">
        <f t="shared" si="774"/>
        <v>875.3019324</v>
      </c>
      <c r="AO578" s="112">
        <f t="shared" si="775"/>
        <v>0.28</v>
      </c>
      <c r="AP578" s="127"/>
      <c r="AQ578" s="128">
        <f t="shared" si="771"/>
        <v>773.3333333</v>
      </c>
      <c r="AR578" s="125">
        <f t="shared" si="776"/>
        <v>700.2415459</v>
      </c>
      <c r="AS578" s="126">
        <f t="shared" si="733"/>
        <v>0.2222222222</v>
      </c>
      <c r="AT578" s="126">
        <f t="shared" si="777"/>
        <v>0.2</v>
      </c>
      <c r="AU578" s="129"/>
      <c r="AV578" s="39" t="s">
        <v>2156</v>
      </c>
      <c r="AW578" s="130"/>
      <c r="AX578" s="130"/>
      <c r="AY578" s="130"/>
      <c r="AZ578" s="130"/>
      <c r="BA578" s="130"/>
      <c r="BB578" s="130"/>
      <c r="BC578" s="131">
        <v>696.0</v>
      </c>
      <c r="BD578" s="132">
        <f t="shared" si="778"/>
        <v>630.2173913</v>
      </c>
      <c r="BE578" s="39"/>
      <c r="BF578" s="134">
        <v>8.5447E9</v>
      </c>
      <c r="BG578" s="49"/>
      <c r="BH578" s="116">
        <f t="shared" si="714"/>
        <v>2917.673108</v>
      </c>
      <c r="BI578" s="116">
        <f t="shared" si="715"/>
        <v>1750.603865</v>
      </c>
      <c r="BJ578" s="116">
        <f t="shared" si="716"/>
        <v>1458.836554</v>
      </c>
      <c r="BK578" s="116">
        <f t="shared" si="717"/>
        <v>1167.069243</v>
      </c>
      <c r="BL578" s="49"/>
      <c r="BM578" s="49"/>
      <c r="BN578" s="49"/>
      <c r="BO578" s="49"/>
      <c r="BP578" s="49"/>
      <c r="BQ578" s="49"/>
      <c r="BR578" s="49"/>
      <c r="BS578" s="49"/>
      <c r="BT578" s="49"/>
      <c r="BU578" s="49"/>
      <c r="BV578" s="49"/>
      <c r="BW578" s="49"/>
      <c r="BX578" s="49"/>
      <c r="BY578" s="49"/>
      <c r="BZ578" s="49"/>
      <c r="CA578" s="49"/>
      <c r="CB578" s="49"/>
      <c r="CC578" s="49"/>
      <c r="CD578" s="49"/>
      <c r="CE578" s="49"/>
      <c r="CF578" s="49"/>
    </row>
    <row r="579" ht="14.25" customHeight="1">
      <c r="A579" s="103" t="s">
        <v>84</v>
      </c>
      <c r="B579" s="103" t="s">
        <v>85</v>
      </c>
      <c r="C579" s="103" t="s">
        <v>85</v>
      </c>
      <c r="D579" s="103" t="s">
        <v>1266</v>
      </c>
      <c r="E579" s="103" t="s">
        <v>1948</v>
      </c>
      <c r="F579" s="104" t="s">
        <v>2045</v>
      </c>
      <c r="G579" s="110" t="s">
        <v>2150</v>
      </c>
      <c r="H579" s="390" t="s">
        <v>2026</v>
      </c>
      <c r="I579" s="391" t="s">
        <v>2233</v>
      </c>
      <c r="J579" s="220" t="s">
        <v>2234</v>
      </c>
      <c r="K579" s="220" t="str">
        <f>_xlfn.XLOOKUP(J579,[1]Sheet1!$A:$A,[1]Sheet1!$B:$B,"")</f>
        <v>#ERROR!</v>
      </c>
      <c r="L579" s="103" t="s">
        <v>2235</v>
      </c>
      <c r="M579" s="103" t="s">
        <v>2236</v>
      </c>
      <c r="N579" s="110" t="s">
        <v>106</v>
      </c>
      <c r="O579" s="104" t="s">
        <v>2155</v>
      </c>
      <c r="P579" s="110"/>
      <c r="Q579" s="104" t="s">
        <v>480</v>
      </c>
      <c r="R579" s="110" t="s">
        <v>1955</v>
      </c>
      <c r="S579" s="110">
        <v>4.0</v>
      </c>
      <c r="T579" s="110" t="e">
        <v>#N/A</v>
      </c>
      <c r="U579" s="110">
        <v>8.5447E9</v>
      </c>
      <c r="V579" s="112">
        <v>0.0</v>
      </c>
      <c r="W579" s="113">
        <v>30.0</v>
      </c>
      <c r="X579" s="110">
        <v>45.0</v>
      </c>
      <c r="Y579" s="110">
        <v>55.0</v>
      </c>
      <c r="Z579" s="110" t="s">
        <v>1938</v>
      </c>
      <c r="AA579" s="114">
        <f t="shared" si="782"/>
        <v>645.7142857</v>
      </c>
      <c r="AB579" s="115"/>
      <c r="AC579" s="116">
        <f t="shared" si="772"/>
        <v>580.615942</v>
      </c>
      <c r="AD579" s="117">
        <f t="shared" si="783"/>
        <v>611.1746758</v>
      </c>
      <c r="AE579" s="116"/>
      <c r="AF579" s="116" t="str">
        <f t="shared" si="94"/>
        <v>#REF!</v>
      </c>
      <c r="AG579" s="210" t="str">
        <f t="shared" si="95"/>
        <v>#REF!</v>
      </c>
      <c r="AH579" s="120" t="str">
        <f t="shared" si="96"/>
        <v>#REF!</v>
      </c>
      <c r="AI579" s="121">
        <f t="shared" si="497"/>
        <v>0.1</v>
      </c>
      <c r="AJ579" s="121">
        <v>0.1</v>
      </c>
      <c r="AK579" s="122">
        <v>0.28</v>
      </c>
      <c r="AL579" s="123">
        <f t="shared" si="11"/>
        <v>162.5724638</v>
      </c>
      <c r="AM579" s="122" t="s">
        <v>10</v>
      </c>
      <c r="AN579" s="125">
        <f t="shared" si="774"/>
        <v>580.615942</v>
      </c>
      <c r="AO579" s="112">
        <f t="shared" si="775"/>
        <v>0.28</v>
      </c>
      <c r="AP579" s="127"/>
      <c r="AQ579" s="128">
        <f t="shared" si="771"/>
        <v>502.2222222</v>
      </c>
      <c r="AR579" s="125">
        <f t="shared" si="776"/>
        <v>464.4927536</v>
      </c>
      <c r="AS579" s="126">
        <f t="shared" si="733"/>
        <v>0.2222222222</v>
      </c>
      <c r="AT579" s="126">
        <f t="shared" si="777"/>
        <v>0.2</v>
      </c>
      <c r="AU579" s="129"/>
      <c r="AV579" s="39" t="s">
        <v>2156</v>
      </c>
      <c r="AW579" s="130"/>
      <c r="AX579" s="130"/>
      <c r="AY579" s="130"/>
      <c r="AZ579" s="130"/>
      <c r="BA579" s="130"/>
      <c r="BB579" s="130"/>
      <c r="BC579" s="131">
        <v>452.0</v>
      </c>
      <c r="BD579" s="132">
        <f t="shared" si="778"/>
        <v>418.0434783</v>
      </c>
      <c r="BE579" s="39"/>
      <c r="BF579" s="134">
        <v>8.5447E9</v>
      </c>
      <c r="BG579" s="49"/>
      <c r="BH579" s="116">
        <f t="shared" si="714"/>
        <v>1935.386473</v>
      </c>
      <c r="BI579" s="116">
        <f t="shared" si="715"/>
        <v>1161.231884</v>
      </c>
      <c r="BJ579" s="116">
        <f t="shared" si="716"/>
        <v>967.6932367</v>
      </c>
      <c r="BK579" s="116">
        <f t="shared" si="717"/>
        <v>774.1545894</v>
      </c>
      <c r="BL579" s="49"/>
      <c r="BM579" s="49"/>
      <c r="BN579" s="49"/>
      <c r="BO579" s="49"/>
      <c r="BP579" s="49"/>
      <c r="BQ579" s="49"/>
      <c r="BR579" s="49"/>
      <c r="BS579" s="49"/>
      <c r="BT579" s="4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</row>
    <row r="580" ht="14.25" customHeight="1">
      <c r="A580" s="103" t="s">
        <v>84</v>
      </c>
      <c r="B580" s="103" t="s">
        <v>85</v>
      </c>
      <c r="C580" s="103" t="s">
        <v>85</v>
      </c>
      <c r="D580" s="103" t="s">
        <v>1266</v>
      </c>
      <c r="E580" s="103" t="s">
        <v>1948</v>
      </c>
      <c r="F580" s="104" t="s">
        <v>2045</v>
      </c>
      <c r="G580" s="110" t="s">
        <v>2150</v>
      </c>
      <c r="H580" s="390" t="s">
        <v>2031</v>
      </c>
      <c r="I580" s="391" t="s">
        <v>2237</v>
      </c>
      <c r="J580" s="220" t="s">
        <v>2238</v>
      </c>
      <c r="K580" s="220" t="str">
        <f>_xlfn.XLOOKUP(J580,[1]Sheet1!$A:$A,[1]Sheet1!$B:$B,"")</f>
        <v>#ERROR!</v>
      </c>
      <c r="L580" s="103" t="s">
        <v>2239</v>
      </c>
      <c r="M580" s="103" t="s">
        <v>2240</v>
      </c>
      <c r="N580" s="110" t="s">
        <v>106</v>
      </c>
      <c r="O580" s="104" t="s">
        <v>2155</v>
      </c>
      <c r="P580" s="110"/>
      <c r="Q580" s="104" t="s">
        <v>480</v>
      </c>
      <c r="R580" s="110" t="s">
        <v>1955</v>
      </c>
      <c r="S580" s="110">
        <v>4.0</v>
      </c>
      <c r="T580" s="110" t="e">
        <v>#N/A</v>
      </c>
      <c r="U580" s="110">
        <v>8.5447E9</v>
      </c>
      <c r="V580" s="112">
        <v>0.0</v>
      </c>
      <c r="W580" s="113">
        <v>30.0</v>
      </c>
      <c r="X580" s="110">
        <v>45.0</v>
      </c>
      <c r="Y580" s="110">
        <v>55.0</v>
      </c>
      <c r="Z580" s="110" t="s">
        <v>1938</v>
      </c>
      <c r="AA580" s="114">
        <f t="shared" si="782"/>
        <v>1074.285714</v>
      </c>
      <c r="AB580" s="115"/>
      <c r="AC580" s="116">
        <f t="shared" si="772"/>
        <v>942.9347826</v>
      </c>
      <c r="AD580" s="117">
        <f t="shared" si="783"/>
        <v>992.5629291</v>
      </c>
      <c r="AE580" s="116"/>
      <c r="AF580" s="116" t="str">
        <f t="shared" si="94"/>
        <v>#REF!</v>
      </c>
      <c r="AG580" s="210" t="str">
        <f t="shared" si="95"/>
        <v>#REF!</v>
      </c>
      <c r="AH580" s="120" t="str">
        <f t="shared" si="96"/>
        <v>#REF!</v>
      </c>
      <c r="AI580" s="121">
        <f t="shared" si="497"/>
        <v>0.1</v>
      </c>
      <c r="AJ580" s="121">
        <v>0.1</v>
      </c>
      <c r="AK580" s="122">
        <v>0.28</v>
      </c>
      <c r="AL580" s="123">
        <f t="shared" si="11"/>
        <v>264.0217391</v>
      </c>
      <c r="AM580" s="122" t="s">
        <v>10</v>
      </c>
      <c r="AN580" s="125">
        <f t="shared" si="774"/>
        <v>942.9347826</v>
      </c>
      <c r="AO580" s="112">
        <f t="shared" si="775"/>
        <v>0.28</v>
      </c>
      <c r="AP580" s="127"/>
      <c r="AQ580" s="128">
        <f t="shared" si="771"/>
        <v>835.5555556</v>
      </c>
      <c r="AR580" s="125">
        <f t="shared" si="776"/>
        <v>754.3478261</v>
      </c>
      <c r="AS580" s="126">
        <f t="shared" si="733"/>
        <v>0.2222222222</v>
      </c>
      <c r="AT580" s="126">
        <f t="shared" si="777"/>
        <v>0.2</v>
      </c>
      <c r="AU580" s="129"/>
      <c r="AV580" s="39" t="s">
        <v>2156</v>
      </c>
      <c r="AW580" s="130"/>
      <c r="AX580" s="130"/>
      <c r="AY580" s="130"/>
      <c r="AZ580" s="130"/>
      <c r="BA580" s="130"/>
      <c r="BB580" s="130"/>
      <c r="BC580" s="131">
        <v>752.0</v>
      </c>
      <c r="BD580" s="132">
        <f t="shared" si="778"/>
        <v>678.9130435</v>
      </c>
      <c r="BE580" s="39"/>
      <c r="BF580" s="134">
        <v>8.5447E9</v>
      </c>
      <c r="BG580" s="49"/>
      <c r="BH580" s="116">
        <f t="shared" si="714"/>
        <v>3143.115942</v>
      </c>
      <c r="BI580" s="116">
        <f t="shared" si="715"/>
        <v>1885.869565</v>
      </c>
      <c r="BJ580" s="116">
        <f t="shared" si="716"/>
        <v>1571.557971</v>
      </c>
      <c r="BK580" s="116">
        <f t="shared" si="717"/>
        <v>1257.246377</v>
      </c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</row>
    <row r="581" ht="14.25" customHeight="1">
      <c r="A581" s="103" t="s">
        <v>84</v>
      </c>
      <c r="B581" s="103" t="s">
        <v>85</v>
      </c>
      <c r="C581" s="103" t="s">
        <v>85</v>
      </c>
      <c r="D581" s="103" t="s">
        <v>1266</v>
      </c>
      <c r="E581" s="103" t="s">
        <v>1948</v>
      </c>
      <c r="F581" s="104" t="s">
        <v>1949</v>
      </c>
      <c r="G581" s="110" t="s">
        <v>1319</v>
      </c>
      <c r="H581" s="390" t="s">
        <v>1950</v>
      </c>
      <c r="I581" s="391" t="s">
        <v>2241</v>
      </c>
      <c r="J581" s="220" t="s">
        <v>1952</v>
      </c>
      <c r="K581" s="220" t="str">
        <f>_xlfn.XLOOKUP(J581,[1]Sheet1!$A:$A,[1]Sheet1!$B:$B,"")</f>
        <v>#ERROR!</v>
      </c>
      <c r="L581" s="103" t="s">
        <v>1953</v>
      </c>
      <c r="M581" s="103" t="s">
        <v>1954</v>
      </c>
      <c r="N581" s="110" t="s">
        <v>106</v>
      </c>
      <c r="O581" s="104" t="s">
        <v>147</v>
      </c>
      <c r="P581" s="110"/>
      <c r="Q581" s="104" t="s">
        <v>1989</v>
      </c>
      <c r="R581" s="110" t="s">
        <v>1955</v>
      </c>
      <c r="S581" s="110">
        <v>2.0</v>
      </c>
      <c r="T581" s="110" t="e">
        <v>#N/A</v>
      </c>
      <c r="U581" s="110">
        <v>8.5447E9</v>
      </c>
      <c r="V581" s="112">
        <v>0.0</v>
      </c>
      <c r="W581" s="113">
        <v>30.0</v>
      </c>
      <c r="X581" s="110">
        <v>45.0</v>
      </c>
      <c r="Y581" s="110">
        <v>55.0</v>
      </c>
      <c r="Z581" s="110" t="s">
        <v>1938</v>
      </c>
      <c r="AA581" s="114">
        <f t="shared" ref="AA581:AA780" si="786">(BC581/(1-(AK581+2%)))*$F$6</f>
        <v>539.0625</v>
      </c>
      <c r="AB581" s="115"/>
      <c r="AC581" s="116">
        <f t="shared" si="772"/>
        <v>500</v>
      </c>
      <c r="AD581" s="117">
        <f t="shared" si="783"/>
        <v>526.3157895</v>
      </c>
      <c r="AE581" s="116"/>
      <c r="AF581" s="116" t="str">
        <f t="shared" si="94"/>
        <v>#REF!</v>
      </c>
      <c r="AG581" s="210" t="str">
        <f t="shared" si="95"/>
        <v>#REF!</v>
      </c>
      <c r="AH581" s="120" t="str">
        <f t="shared" si="96"/>
        <v>#REF!</v>
      </c>
      <c r="AI581" s="121">
        <f t="shared" si="497"/>
        <v>0.07</v>
      </c>
      <c r="AJ581" s="121">
        <v>0.07</v>
      </c>
      <c r="AK581" s="122">
        <v>0.33999999999999997</v>
      </c>
      <c r="AL581" s="123">
        <f t="shared" si="11"/>
        <v>170</v>
      </c>
      <c r="AM581" s="122" t="s">
        <v>10</v>
      </c>
      <c r="AN581" s="125">
        <f t="shared" si="774"/>
        <v>500</v>
      </c>
      <c r="AO581" s="112">
        <f t="shared" si="775"/>
        <v>0.34</v>
      </c>
      <c r="AP581" s="127"/>
      <c r="AQ581" s="128">
        <f t="shared" ref="AQ581:AQ780" si="787">(BC581/(1-AI581))*$F$6</f>
        <v>370.9677419</v>
      </c>
      <c r="AR581" s="125">
        <f t="shared" si="776"/>
        <v>354.8387097</v>
      </c>
      <c r="AS581" s="126">
        <f t="shared" si="733"/>
        <v>0.311827957</v>
      </c>
      <c r="AT581" s="126">
        <f t="shared" si="777"/>
        <v>0.2903225806</v>
      </c>
      <c r="AU581" s="129"/>
      <c r="AV581" s="39" t="s">
        <v>2242</v>
      </c>
      <c r="AW581" s="130"/>
      <c r="AX581" s="130"/>
      <c r="AY581" s="130"/>
      <c r="AZ581" s="130"/>
      <c r="BA581" s="130"/>
      <c r="BB581" s="130"/>
      <c r="BC581" s="392">
        <v>300.0</v>
      </c>
      <c r="BD581" s="132">
        <f t="shared" ref="BD581:BD780" si="788">BC581*1.1</f>
        <v>330</v>
      </c>
      <c r="BE581" s="393"/>
      <c r="BF581" s="134"/>
      <c r="BG581" s="49"/>
      <c r="BH581" s="118">
        <f t="shared" si="714"/>
        <v>1666.666667</v>
      </c>
      <c r="BI581" s="118">
        <f t="shared" si="715"/>
        <v>1000</v>
      </c>
      <c r="BJ581" s="118">
        <f t="shared" si="716"/>
        <v>833.3333333</v>
      </c>
      <c r="BK581" s="118">
        <f t="shared" si="717"/>
        <v>666.6666667</v>
      </c>
      <c r="BL581" s="49"/>
      <c r="BM581" s="49"/>
      <c r="BN581" s="394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</row>
    <row r="582" ht="14.25" customHeight="1">
      <c r="A582" s="103" t="s">
        <v>84</v>
      </c>
      <c r="B582" s="103" t="s">
        <v>85</v>
      </c>
      <c r="C582" s="103" t="s">
        <v>85</v>
      </c>
      <c r="D582" s="103" t="s">
        <v>1266</v>
      </c>
      <c r="E582" s="103" t="s">
        <v>1948</v>
      </c>
      <c r="F582" s="104" t="s">
        <v>1949</v>
      </c>
      <c r="G582" s="110" t="s">
        <v>1319</v>
      </c>
      <c r="H582" s="390" t="s">
        <v>1957</v>
      </c>
      <c r="I582" s="391" t="s">
        <v>2243</v>
      </c>
      <c r="J582" s="220" t="s">
        <v>1959</v>
      </c>
      <c r="K582" s="220" t="str">
        <f>_xlfn.XLOOKUP(J582,[1]Sheet1!$A:$A,[1]Sheet1!$B:$B,"")</f>
        <v>#ERROR!</v>
      </c>
      <c r="L582" s="103" t="s">
        <v>1960</v>
      </c>
      <c r="M582" s="103" t="s">
        <v>1961</v>
      </c>
      <c r="N582" s="110" t="s">
        <v>106</v>
      </c>
      <c r="O582" s="104" t="s">
        <v>147</v>
      </c>
      <c r="P582" s="110"/>
      <c r="Q582" s="104" t="s">
        <v>1989</v>
      </c>
      <c r="R582" s="110" t="s">
        <v>1955</v>
      </c>
      <c r="S582" s="110">
        <v>2.0</v>
      </c>
      <c r="T582" s="110" t="e">
        <v>#N/A</v>
      </c>
      <c r="U582" s="110">
        <v>8.5447E9</v>
      </c>
      <c r="V582" s="112">
        <v>0.0</v>
      </c>
      <c r="W582" s="113">
        <v>30.0</v>
      </c>
      <c r="X582" s="110">
        <v>45.0</v>
      </c>
      <c r="Y582" s="110">
        <v>55.0</v>
      </c>
      <c r="Z582" s="110" t="s">
        <v>1938</v>
      </c>
      <c r="AA582" s="114">
        <f t="shared" si="786"/>
        <v>605.546875</v>
      </c>
      <c r="AB582" s="115"/>
      <c r="AC582" s="116">
        <f t="shared" si="772"/>
        <v>561.6666667</v>
      </c>
      <c r="AD582" s="117">
        <f t="shared" si="783"/>
        <v>591.2280702</v>
      </c>
      <c r="AE582" s="116"/>
      <c r="AF582" s="116" t="str">
        <f t="shared" si="94"/>
        <v>#REF!</v>
      </c>
      <c r="AG582" s="210" t="str">
        <f t="shared" si="95"/>
        <v>#REF!</v>
      </c>
      <c r="AH582" s="120" t="str">
        <f t="shared" si="96"/>
        <v>#REF!</v>
      </c>
      <c r="AI582" s="121">
        <f t="shared" si="497"/>
        <v>0.07</v>
      </c>
      <c r="AJ582" s="121">
        <v>0.07</v>
      </c>
      <c r="AK582" s="122">
        <v>0.33999999999999997</v>
      </c>
      <c r="AL582" s="123">
        <f t="shared" si="11"/>
        <v>190.9666667</v>
      </c>
      <c r="AM582" s="122" t="s">
        <v>10</v>
      </c>
      <c r="AN582" s="125">
        <f t="shared" si="774"/>
        <v>561.6666667</v>
      </c>
      <c r="AO582" s="112">
        <f t="shared" si="775"/>
        <v>0.34</v>
      </c>
      <c r="AP582" s="127"/>
      <c r="AQ582" s="128">
        <f t="shared" si="787"/>
        <v>416.7204301</v>
      </c>
      <c r="AR582" s="125">
        <f t="shared" si="776"/>
        <v>398.6021505</v>
      </c>
      <c r="AS582" s="126">
        <f t="shared" si="733"/>
        <v>0.311827957</v>
      </c>
      <c r="AT582" s="126">
        <f t="shared" si="777"/>
        <v>0.2903225806</v>
      </c>
      <c r="AU582" s="129"/>
      <c r="AV582" s="39" t="s">
        <v>2242</v>
      </c>
      <c r="AW582" s="130"/>
      <c r="AX582" s="130"/>
      <c r="AY582" s="130"/>
      <c r="AZ582" s="130"/>
      <c r="BA582" s="130"/>
      <c r="BB582" s="130"/>
      <c r="BC582" s="392">
        <v>337.0</v>
      </c>
      <c r="BD582" s="132">
        <f t="shared" si="788"/>
        <v>370.7</v>
      </c>
      <c r="BE582" s="393"/>
      <c r="BF582" s="134"/>
      <c r="BG582" s="49"/>
      <c r="BH582" s="118">
        <f t="shared" si="714"/>
        <v>1872.222222</v>
      </c>
      <c r="BI582" s="118">
        <f t="shared" si="715"/>
        <v>1123.333333</v>
      </c>
      <c r="BJ582" s="118">
        <f t="shared" si="716"/>
        <v>936.1111111</v>
      </c>
      <c r="BK582" s="118">
        <f t="shared" si="717"/>
        <v>748.8888889</v>
      </c>
      <c r="BL582" s="49"/>
      <c r="BM582" s="49"/>
      <c r="BN582" s="394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</row>
    <row r="583" ht="14.25" customHeight="1">
      <c r="A583" s="103" t="s">
        <v>84</v>
      </c>
      <c r="B583" s="103" t="s">
        <v>85</v>
      </c>
      <c r="C583" s="103" t="s">
        <v>85</v>
      </c>
      <c r="D583" s="103" t="s">
        <v>1266</v>
      </c>
      <c r="E583" s="103" t="s">
        <v>1948</v>
      </c>
      <c r="F583" s="104" t="s">
        <v>1949</v>
      </c>
      <c r="G583" s="110" t="s">
        <v>1319</v>
      </c>
      <c r="H583" s="390" t="s">
        <v>1962</v>
      </c>
      <c r="I583" s="391" t="s">
        <v>2244</v>
      </c>
      <c r="J583" s="220" t="s">
        <v>2245</v>
      </c>
      <c r="K583" s="220" t="str">
        <f>_xlfn.XLOOKUP(J583,[1]Sheet1!$A:$A,[1]Sheet1!$B:$B,"")</f>
        <v>#ERROR!</v>
      </c>
      <c r="L583" s="103" t="s">
        <v>1965</v>
      </c>
      <c r="M583" s="103" t="s">
        <v>1966</v>
      </c>
      <c r="N583" s="110" t="s">
        <v>106</v>
      </c>
      <c r="O583" s="104" t="s">
        <v>147</v>
      </c>
      <c r="P583" s="110"/>
      <c r="Q583" s="104" t="s">
        <v>1989</v>
      </c>
      <c r="R583" s="110" t="s">
        <v>1955</v>
      </c>
      <c r="S583" s="110">
        <v>2.0</v>
      </c>
      <c r="T583" s="110" t="e">
        <v>#N/A</v>
      </c>
      <c r="U583" s="110">
        <v>8.5447E9</v>
      </c>
      <c r="V583" s="112">
        <v>0.0</v>
      </c>
      <c r="W583" s="113">
        <v>30.0</v>
      </c>
      <c r="X583" s="110">
        <v>45.0</v>
      </c>
      <c r="Y583" s="110">
        <v>55.0</v>
      </c>
      <c r="Z583" s="110" t="s">
        <v>1938</v>
      </c>
      <c r="AA583" s="114">
        <f t="shared" si="786"/>
        <v>767.265625</v>
      </c>
      <c r="AB583" s="115"/>
      <c r="AC583" s="116">
        <f t="shared" si="772"/>
        <v>711.6666667</v>
      </c>
      <c r="AD583" s="117">
        <f t="shared" si="783"/>
        <v>749.122807</v>
      </c>
      <c r="AE583" s="116"/>
      <c r="AF583" s="116" t="str">
        <f t="shared" si="94"/>
        <v>#REF!</v>
      </c>
      <c r="AG583" s="210" t="str">
        <f t="shared" si="95"/>
        <v>#REF!</v>
      </c>
      <c r="AH583" s="120" t="str">
        <f t="shared" si="96"/>
        <v>#REF!</v>
      </c>
      <c r="AI583" s="121">
        <f t="shared" si="497"/>
        <v>0.07</v>
      </c>
      <c r="AJ583" s="121">
        <v>0.07</v>
      </c>
      <c r="AK583" s="122">
        <v>0.33999999999999997</v>
      </c>
      <c r="AL583" s="123">
        <f t="shared" si="11"/>
        <v>241.9666667</v>
      </c>
      <c r="AM583" s="122" t="s">
        <v>10</v>
      </c>
      <c r="AN583" s="125">
        <f t="shared" si="774"/>
        <v>711.6666667</v>
      </c>
      <c r="AO583" s="112">
        <f t="shared" si="775"/>
        <v>0.34</v>
      </c>
      <c r="AP583" s="127"/>
      <c r="AQ583" s="128">
        <f t="shared" si="787"/>
        <v>528.0107527</v>
      </c>
      <c r="AR583" s="125">
        <f t="shared" si="776"/>
        <v>505.0537634</v>
      </c>
      <c r="AS583" s="126">
        <f t="shared" si="733"/>
        <v>0.311827957</v>
      </c>
      <c r="AT583" s="126">
        <f t="shared" si="777"/>
        <v>0.2903225806</v>
      </c>
      <c r="AU583" s="129"/>
      <c r="AV583" s="39" t="s">
        <v>2242</v>
      </c>
      <c r="AW583" s="130"/>
      <c r="AX583" s="130"/>
      <c r="AY583" s="130"/>
      <c r="AZ583" s="130"/>
      <c r="BA583" s="130"/>
      <c r="BB583" s="130"/>
      <c r="BC583" s="392">
        <v>427.0</v>
      </c>
      <c r="BD583" s="132">
        <f t="shared" si="788"/>
        <v>469.7</v>
      </c>
      <c r="BE583" s="393"/>
      <c r="BF583" s="134"/>
      <c r="BG583" s="49"/>
      <c r="BH583" s="118">
        <f t="shared" si="714"/>
        <v>2372.222222</v>
      </c>
      <c r="BI583" s="118">
        <f t="shared" si="715"/>
        <v>1423.333333</v>
      </c>
      <c r="BJ583" s="118">
        <f t="shared" si="716"/>
        <v>1186.111111</v>
      </c>
      <c r="BK583" s="118">
        <f t="shared" si="717"/>
        <v>948.8888889</v>
      </c>
      <c r="BL583" s="49"/>
      <c r="BM583" s="49"/>
      <c r="BN583" s="394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</row>
    <row r="584" ht="14.25" customHeight="1">
      <c r="A584" s="103" t="s">
        <v>84</v>
      </c>
      <c r="B584" s="103" t="s">
        <v>85</v>
      </c>
      <c r="C584" s="103" t="s">
        <v>85</v>
      </c>
      <c r="D584" s="103" t="s">
        <v>1266</v>
      </c>
      <c r="E584" s="103" t="s">
        <v>1948</v>
      </c>
      <c r="F584" s="104" t="s">
        <v>1949</v>
      </c>
      <c r="G584" s="110" t="s">
        <v>1319</v>
      </c>
      <c r="H584" s="390" t="s">
        <v>1967</v>
      </c>
      <c r="I584" s="391" t="s">
        <v>2246</v>
      </c>
      <c r="J584" s="220" t="s">
        <v>1969</v>
      </c>
      <c r="K584" s="220" t="str">
        <f>_xlfn.XLOOKUP(J584,[1]Sheet1!$A:$A,[1]Sheet1!$B:$B,"")</f>
        <v>#ERROR!</v>
      </c>
      <c r="L584" s="103" t="s">
        <v>1970</v>
      </c>
      <c r="M584" s="103" t="s">
        <v>1971</v>
      </c>
      <c r="N584" s="110" t="s">
        <v>106</v>
      </c>
      <c r="O584" s="104" t="s">
        <v>147</v>
      </c>
      <c r="P584" s="110"/>
      <c r="Q584" s="104" t="s">
        <v>1989</v>
      </c>
      <c r="R584" s="110" t="s">
        <v>1955</v>
      </c>
      <c r="S584" s="110">
        <v>2.0</v>
      </c>
      <c r="T584" s="110" t="e">
        <v>#N/A</v>
      </c>
      <c r="U584" s="110">
        <v>8.5447E9</v>
      </c>
      <c r="V584" s="112">
        <v>0.0</v>
      </c>
      <c r="W584" s="113">
        <v>30.0</v>
      </c>
      <c r="X584" s="110">
        <v>45.0</v>
      </c>
      <c r="Y584" s="110">
        <v>55.0</v>
      </c>
      <c r="Z584" s="110" t="s">
        <v>1938</v>
      </c>
      <c r="AA584" s="114">
        <f t="shared" si="786"/>
        <v>1286.5625</v>
      </c>
      <c r="AB584" s="115"/>
      <c r="AC584" s="116">
        <f t="shared" si="772"/>
        <v>1193.333333</v>
      </c>
      <c r="AD584" s="117">
        <f t="shared" si="783"/>
        <v>1256.140351</v>
      </c>
      <c r="AE584" s="116"/>
      <c r="AF584" s="116" t="str">
        <f t="shared" si="94"/>
        <v>#REF!</v>
      </c>
      <c r="AG584" s="210" t="str">
        <f t="shared" si="95"/>
        <v>#REF!</v>
      </c>
      <c r="AH584" s="120" t="str">
        <f t="shared" si="96"/>
        <v>#REF!</v>
      </c>
      <c r="AI584" s="121">
        <f t="shared" si="497"/>
        <v>0.07</v>
      </c>
      <c r="AJ584" s="121">
        <v>0.07</v>
      </c>
      <c r="AK584" s="122">
        <v>0.33999999999999997</v>
      </c>
      <c r="AL584" s="123">
        <f t="shared" si="11"/>
        <v>405.7333333</v>
      </c>
      <c r="AM584" s="122" t="s">
        <v>10</v>
      </c>
      <c r="AN584" s="125">
        <f t="shared" si="774"/>
        <v>1193.333333</v>
      </c>
      <c r="AO584" s="112">
        <f t="shared" si="775"/>
        <v>0.34</v>
      </c>
      <c r="AP584" s="127"/>
      <c r="AQ584" s="128">
        <f t="shared" si="787"/>
        <v>885.3763441</v>
      </c>
      <c r="AR584" s="125">
        <f t="shared" si="776"/>
        <v>846.8817204</v>
      </c>
      <c r="AS584" s="126">
        <f t="shared" si="733"/>
        <v>0.311827957</v>
      </c>
      <c r="AT584" s="126">
        <f t="shared" si="777"/>
        <v>0.2903225806</v>
      </c>
      <c r="AU584" s="129">
        <v>900.07</v>
      </c>
      <c r="AV584" s="39" t="s">
        <v>2242</v>
      </c>
      <c r="AW584" s="130"/>
      <c r="AX584" s="130"/>
      <c r="AY584" s="130"/>
      <c r="AZ584" s="130"/>
      <c r="BA584" s="130"/>
      <c r="BB584" s="130"/>
      <c r="BC584" s="392">
        <v>716.0</v>
      </c>
      <c r="BD584" s="132">
        <f t="shared" si="788"/>
        <v>787.6</v>
      </c>
      <c r="BE584" s="393"/>
      <c r="BF584" s="134"/>
      <c r="BG584" s="49"/>
      <c r="BH584" s="118">
        <f t="shared" si="714"/>
        <v>3977.777778</v>
      </c>
      <c r="BI584" s="118">
        <f t="shared" si="715"/>
        <v>2386.666667</v>
      </c>
      <c r="BJ584" s="118">
        <f t="shared" si="716"/>
        <v>1988.888889</v>
      </c>
      <c r="BK584" s="118">
        <f t="shared" si="717"/>
        <v>1591.111111</v>
      </c>
      <c r="BL584" s="49"/>
      <c r="BM584" s="49"/>
      <c r="BN584" s="394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</row>
    <row r="585" ht="14.25" customHeight="1">
      <c r="A585" s="103" t="s">
        <v>84</v>
      </c>
      <c r="B585" s="103" t="s">
        <v>120</v>
      </c>
      <c r="C585" s="103" t="s">
        <v>120</v>
      </c>
      <c r="D585" s="103" t="s">
        <v>1266</v>
      </c>
      <c r="E585" s="103" t="s">
        <v>1948</v>
      </c>
      <c r="F585" s="104" t="s">
        <v>1949</v>
      </c>
      <c r="G585" s="110" t="s">
        <v>1319</v>
      </c>
      <c r="H585" s="390" t="s">
        <v>1950</v>
      </c>
      <c r="I585" s="391" t="s">
        <v>2247</v>
      </c>
      <c r="J585" s="220" t="s">
        <v>2248</v>
      </c>
      <c r="K585" s="220" t="str">
        <f>_xlfn.XLOOKUP(J585,[1]Sheet1!$A:$A,[1]Sheet1!$B:$B,"")</f>
        <v>#ERROR!</v>
      </c>
      <c r="L585" s="103" t="s">
        <v>2249</v>
      </c>
      <c r="M585" s="103" t="s">
        <v>2250</v>
      </c>
      <c r="N585" s="110" t="s">
        <v>162</v>
      </c>
      <c r="O585" s="104" t="s">
        <v>147</v>
      </c>
      <c r="P585" s="110"/>
      <c r="Q585" s="104" t="s">
        <v>1989</v>
      </c>
      <c r="R585" s="110" t="s">
        <v>1955</v>
      </c>
      <c r="S585" s="110">
        <v>2.0</v>
      </c>
      <c r="T585" s="110" t="e">
        <v>#N/A</v>
      </c>
      <c r="U585" s="110">
        <v>8.5447E9</v>
      </c>
      <c r="V585" s="112">
        <v>0.0</v>
      </c>
      <c r="W585" s="113">
        <v>30.0</v>
      </c>
      <c r="X585" s="110">
        <v>45.0</v>
      </c>
      <c r="Y585" s="110">
        <v>55.0</v>
      </c>
      <c r="Z585" s="110" t="s">
        <v>1938</v>
      </c>
      <c r="AA585" s="114">
        <f t="shared" si="786"/>
        <v>530.078125</v>
      </c>
      <c r="AB585" s="115"/>
      <c r="AC585" s="116">
        <f t="shared" si="772"/>
        <v>491.6666667</v>
      </c>
      <c r="AD585" s="117">
        <f t="shared" si="783"/>
        <v>517.5438596</v>
      </c>
      <c r="AE585" s="116"/>
      <c r="AF585" s="116" t="str">
        <f t="shared" si="94"/>
        <v>#REF!</v>
      </c>
      <c r="AG585" s="210" t="str">
        <f t="shared" si="95"/>
        <v>#REF!</v>
      </c>
      <c r="AH585" s="120" t="str">
        <f t="shared" si="96"/>
        <v>#REF!</v>
      </c>
      <c r="AI585" s="121">
        <f t="shared" si="497"/>
        <v>0.07</v>
      </c>
      <c r="AJ585" s="121">
        <v>0.07</v>
      </c>
      <c r="AK585" s="122">
        <v>0.33999999999999997</v>
      </c>
      <c r="AL585" s="123">
        <f t="shared" si="11"/>
        <v>167.1666667</v>
      </c>
      <c r="AM585" s="122" t="s">
        <v>10</v>
      </c>
      <c r="AN585" s="125">
        <f t="shared" si="774"/>
        <v>491.6666667</v>
      </c>
      <c r="AO585" s="112">
        <f t="shared" si="775"/>
        <v>0.34</v>
      </c>
      <c r="AP585" s="127"/>
      <c r="AQ585" s="128">
        <f t="shared" si="787"/>
        <v>364.7849462</v>
      </c>
      <c r="AR585" s="125">
        <f t="shared" si="776"/>
        <v>348.9247312</v>
      </c>
      <c r="AS585" s="126">
        <f t="shared" si="733"/>
        <v>0.311827957</v>
      </c>
      <c r="AT585" s="126">
        <f t="shared" si="777"/>
        <v>0.2903225806</v>
      </c>
      <c r="AU585" s="129"/>
      <c r="AV585" s="39" t="s">
        <v>2242</v>
      </c>
      <c r="AW585" s="130"/>
      <c r="AX585" s="130"/>
      <c r="AY585" s="130"/>
      <c r="AZ585" s="130"/>
      <c r="BA585" s="130"/>
      <c r="BB585" s="130"/>
      <c r="BC585" s="392">
        <v>295.0</v>
      </c>
      <c r="BD585" s="132">
        <f t="shared" si="788"/>
        <v>324.5</v>
      </c>
      <c r="BE585" s="393"/>
      <c r="BF585" s="134"/>
      <c r="BG585" s="49"/>
      <c r="BH585" s="118">
        <f t="shared" si="714"/>
        <v>1638.888889</v>
      </c>
      <c r="BI585" s="118">
        <f t="shared" si="715"/>
        <v>983.3333333</v>
      </c>
      <c r="BJ585" s="118">
        <f t="shared" si="716"/>
        <v>819.4444444</v>
      </c>
      <c r="BK585" s="118">
        <f t="shared" si="717"/>
        <v>655.5555556</v>
      </c>
      <c r="BL585" s="49"/>
      <c r="BM585" s="49"/>
      <c r="BN585" s="394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</row>
    <row r="586" ht="14.25" customHeight="1">
      <c r="A586" s="103" t="s">
        <v>84</v>
      </c>
      <c r="B586" s="103" t="s">
        <v>120</v>
      </c>
      <c r="C586" s="103" t="s">
        <v>120</v>
      </c>
      <c r="D586" s="103" t="s">
        <v>1266</v>
      </c>
      <c r="E586" s="103" t="s">
        <v>1948</v>
      </c>
      <c r="F586" s="104" t="s">
        <v>1949</v>
      </c>
      <c r="G586" s="110" t="s">
        <v>1319</v>
      </c>
      <c r="H586" s="390" t="s">
        <v>1957</v>
      </c>
      <c r="I586" s="391" t="s">
        <v>2251</v>
      </c>
      <c r="J586" s="220" t="s">
        <v>2252</v>
      </c>
      <c r="K586" s="220" t="str">
        <f>_xlfn.XLOOKUP(J586,[1]Sheet1!$A:$A,[1]Sheet1!$B:$B,"")</f>
        <v>#ERROR!</v>
      </c>
      <c r="L586" s="103" t="s">
        <v>2253</v>
      </c>
      <c r="M586" s="103" t="s">
        <v>2254</v>
      </c>
      <c r="N586" s="110" t="s">
        <v>162</v>
      </c>
      <c r="O586" s="104" t="s">
        <v>147</v>
      </c>
      <c r="P586" s="110"/>
      <c r="Q586" s="104" t="s">
        <v>1989</v>
      </c>
      <c r="R586" s="110" t="s">
        <v>1955</v>
      </c>
      <c r="S586" s="110">
        <v>2.0</v>
      </c>
      <c r="T586" s="110" t="e">
        <v>#N/A</v>
      </c>
      <c r="U586" s="110">
        <v>8.5447E9</v>
      </c>
      <c r="V586" s="112">
        <v>0.0</v>
      </c>
      <c r="W586" s="113">
        <v>30.0</v>
      </c>
      <c r="X586" s="110">
        <v>45.0</v>
      </c>
      <c r="Y586" s="110">
        <v>55.0</v>
      </c>
      <c r="Z586" s="110" t="s">
        <v>1938</v>
      </c>
      <c r="AA586" s="114">
        <f t="shared" si="786"/>
        <v>655.859375</v>
      </c>
      <c r="AB586" s="115"/>
      <c r="AC586" s="116">
        <f t="shared" si="772"/>
        <v>608.3333333</v>
      </c>
      <c r="AD586" s="117">
        <f t="shared" si="783"/>
        <v>640.3508772</v>
      </c>
      <c r="AE586" s="116"/>
      <c r="AF586" s="116" t="str">
        <f t="shared" si="94"/>
        <v>#REF!</v>
      </c>
      <c r="AG586" s="210" t="str">
        <f t="shared" si="95"/>
        <v>#REF!</v>
      </c>
      <c r="AH586" s="120" t="str">
        <f t="shared" si="96"/>
        <v>#REF!</v>
      </c>
      <c r="AI586" s="121">
        <f t="shared" si="497"/>
        <v>0.07</v>
      </c>
      <c r="AJ586" s="121">
        <v>0.07</v>
      </c>
      <c r="AK586" s="122">
        <v>0.33999999999999997</v>
      </c>
      <c r="AL586" s="123">
        <f t="shared" si="11"/>
        <v>206.8333333</v>
      </c>
      <c r="AM586" s="122" t="s">
        <v>10</v>
      </c>
      <c r="AN586" s="125">
        <f t="shared" si="774"/>
        <v>608.3333333</v>
      </c>
      <c r="AO586" s="112">
        <f t="shared" si="775"/>
        <v>0.34</v>
      </c>
      <c r="AP586" s="127"/>
      <c r="AQ586" s="128">
        <f t="shared" si="787"/>
        <v>451.344086</v>
      </c>
      <c r="AR586" s="125">
        <f t="shared" si="776"/>
        <v>431.7204301</v>
      </c>
      <c r="AS586" s="126">
        <f t="shared" si="733"/>
        <v>0.311827957</v>
      </c>
      <c r="AT586" s="126">
        <f t="shared" si="777"/>
        <v>0.2903225806</v>
      </c>
      <c r="AU586" s="129"/>
      <c r="AV586" s="39" t="s">
        <v>2242</v>
      </c>
      <c r="AW586" s="130"/>
      <c r="AX586" s="130"/>
      <c r="AY586" s="130"/>
      <c r="AZ586" s="130"/>
      <c r="BA586" s="130"/>
      <c r="BB586" s="130"/>
      <c r="BC586" s="392">
        <v>365.0</v>
      </c>
      <c r="BD586" s="132">
        <f t="shared" si="788"/>
        <v>401.5</v>
      </c>
      <c r="BE586" s="393"/>
      <c r="BF586" s="134"/>
      <c r="BG586" s="49"/>
      <c r="BH586" s="118">
        <f t="shared" si="714"/>
        <v>2027.777778</v>
      </c>
      <c r="BI586" s="118">
        <f t="shared" si="715"/>
        <v>1216.666667</v>
      </c>
      <c r="BJ586" s="118">
        <f t="shared" si="716"/>
        <v>1013.888889</v>
      </c>
      <c r="BK586" s="118">
        <f t="shared" si="717"/>
        <v>811.1111111</v>
      </c>
      <c r="BL586" s="49"/>
      <c r="BM586" s="49"/>
      <c r="BN586" s="394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</row>
    <row r="587" ht="14.25" customHeight="1">
      <c r="A587" s="103" t="s">
        <v>84</v>
      </c>
      <c r="B587" s="103" t="s">
        <v>120</v>
      </c>
      <c r="C587" s="103" t="s">
        <v>120</v>
      </c>
      <c r="D587" s="103" t="s">
        <v>1266</v>
      </c>
      <c r="E587" s="103" t="s">
        <v>1948</v>
      </c>
      <c r="F587" s="104" t="s">
        <v>1949</v>
      </c>
      <c r="G587" s="110" t="s">
        <v>1319</v>
      </c>
      <c r="H587" s="390" t="s">
        <v>1962</v>
      </c>
      <c r="I587" s="104" t="s">
        <v>2255</v>
      </c>
      <c r="J587" s="220" t="s">
        <v>2256</v>
      </c>
      <c r="K587" s="220" t="str">
        <f>_xlfn.XLOOKUP(J587,[1]Sheet1!$A:$A,[1]Sheet1!$B:$B,"")</f>
        <v>#ERROR!</v>
      </c>
      <c r="L587" s="103" t="s">
        <v>2257</v>
      </c>
      <c r="M587" s="103" t="s">
        <v>2258</v>
      </c>
      <c r="N587" s="110" t="s">
        <v>162</v>
      </c>
      <c r="O587" s="104" t="s">
        <v>147</v>
      </c>
      <c r="P587" s="110"/>
      <c r="Q587" s="104" t="s">
        <v>1989</v>
      </c>
      <c r="R587" s="110" t="s">
        <v>1955</v>
      </c>
      <c r="S587" s="110">
        <v>2.0</v>
      </c>
      <c r="T587" s="110" t="e">
        <v>#N/A</v>
      </c>
      <c r="U587" s="110">
        <v>8.5447E9</v>
      </c>
      <c r="V587" s="112">
        <v>0.0</v>
      </c>
      <c r="W587" s="113">
        <v>30.0</v>
      </c>
      <c r="X587" s="110">
        <v>45.0</v>
      </c>
      <c r="Y587" s="110">
        <v>55.0</v>
      </c>
      <c r="Z587" s="110" t="s">
        <v>1938</v>
      </c>
      <c r="AA587" s="114">
        <f t="shared" si="786"/>
        <v>754.6875</v>
      </c>
      <c r="AB587" s="115"/>
      <c r="AC587" s="116">
        <f t="shared" si="772"/>
        <v>700</v>
      </c>
      <c r="AD587" s="117">
        <f t="shared" si="783"/>
        <v>736.8421053</v>
      </c>
      <c r="AE587" s="116"/>
      <c r="AF587" s="116" t="str">
        <f t="shared" si="94"/>
        <v>#REF!</v>
      </c>
      <c r="AG587" s="210" t="str">
        <f t="shared" si="95"/>
        <v>#REF!</v>
      </c>
      <c r="AH587" s="120" t="str">
        <f t="shared" si="96"/>
        <v>#REF!</v>
      </c>
      <c r="AI587" s="121">
        <f t="shared" si="497"/>
        <v>0.07</v>
      </c>
      <c r="AJ587" s="121">
        <v>0.07</v>
      </c>
      <c r="AK587" s="122">
        <v>0.33999999999999997</v>
      </c>
      <c r="AL587" s="123">
        <f t="shared" si="11"/>
        <v>238</v>
      </c>
      <c r="AM587" s="122" t="s">
        <v>10</v>
      </c>
      <c r="AN587" s="125">
        <f t="shared" si="774"/>
        <v>700</v>
      </c>
      <c r="AO587" s="112">
        <f t="shared" si="775"/>
        <v>0.34</v>
      </c>
      <c r="AP587" s="127"/>
      <c r="AQ587" s="128">
        <f t="shared" si="787"/>
        <v>519.3548387</v>
      </c>
      <c r="AR587" s="125">
        <f t="shared" si="776"/>
        <v>496.7741935</v>
      </c>
      <c r="AS587" s="126">
        <f t="shared" si="733"/>
        <v>0.311827957</v>
      </c>
      <c r="AT587" s="126">
        <f t="shared" si="777"/>
        <v>0.2903225806</v>
      </c>
      <c r="AU587" s="129">
        <v>547.75</v>
      </c>
      <c r="AV587" s="39" t="s">
        <v>2242</v>
      </c>
      <c r="AW587" s="130"/>
      <c r="AX587" s="130"/>
      <c r="AY587" s="130"/>
      <c r="AZ587" s="130"/>
      <c r="BA587" s="130"/>
      <c r="BB587" s="130"/>
      <c r="BC587" s="392">
        <v>420.0</v>
      </c>
      <c r="BD587" s="132">
        <f t="shared" si="788"/>
        <v>462</v>
      </c>
      <c r="BE587" s="39"/>
      <c r="BF587" s="134">
        <v>8.5447E9</v>
      </c>
      <c r="BG587" s="49"/>
      <c r="BH587" s="118">
        <f t="shared" si="714"/>
        <v>2333.333333</v>
      </c>
      <c r="BI587" s="118">
        <f t="shared" si="715"/>
        <v>1400</v>
      </c>
      <c r="BJ587" s="118">
        <f t="shared" si="716"/>
        <v>1166.666667</v>
      </c>
      <c r="BK587" s="118">
        <f t="shared" si="717"/>
        <v>933.3333333</v>
      </c>
      <c r="BL587" s="49"/>
      <c r="BM587" s="49"/>
      <c r="BN587" s="394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</row>
    <row r="588" ht="14.25" customHeight="1">
      <c r="A588" s="103" t="s">
        <v>84</v>
      </c>
      <c r="B588" s="103" t="s">
        <v>120</v>
      </c>
      <c r="C588" s="103" t="s">
        <v>120</v>
      </c>
      <c r="D588" s="103" t="s">
        <v>1266</v>
      </c>
      <c r="E588" s="103" t="s">
        <v>1948</v>
      </c>
      <c r="F588" s="104" t="s">
        <v>1949</v>
      </c>
      <c r="G588" s="110" t="s">
        <v>1319</v>
      </c>
      <c r="H588" s="390" t="s">
        <v>1967</v>
      </c>
      <c r="I588" s="391" t="s">
        <v>2259</v>
      </c>
      <c r="J588" s="220" t="s">
        <v>2260</v>
      </c>
      <c r="K588" s="220" t="str">
        <f>_xlfn.XLOOKUP(J588,[1]Sheet1!$A:$A,[1]Sheet1!$B:$B,"")</f>
        <v>#ERROR!</v>
      </c>
      <c r="L588" s="103" t="s">
        <v>2261</v>
      </c>
      <c r="M588" s="103" t="s">
        <v>2262</v>
      </c>
      <c r="N588" s="110" t="s">
        <v>162</v>
      </c>
      <c r="O588" s="104" t="s">
        <v>147</v>
      </c>
      <c r="P588" s="110"/>
      <c r="Q588" s="104" t="s">
        <v>1989</v>
      </c>
      <c r="R588" s="110" t="s">
        <v>1955</v>
      </c>
      <c r="S588" s="110">
        <v>2.0</v>
      </c>
      <c r="T588" s="110" t="e">
        <v>#N/A</v>
      </c>
      <c r="U588" s="110">
        <v>8.5447E9</v>
      </c>
      <c r="V588" s="112">
        <v>0.0</v>
      </c>
      <c r="W588" s="113">
        <v>30.0</v>
      </c>
      <c r="X588" s="110">
        <v>45.0</v>
      </c>
      <c r="Y588" s="110">
        <v>55.0</v>
      </c>
      <c r="Z588" s="110" t="s">
        <v>1938</v>
      </c>
      <c r="AA588" s="114">
        <f t="shared" si="786"/>
        <v>1329.6875</v>
      </c>
      <c r="AB588" s="115"/>
      <c r="AC588" s="116">
        <f t="shared" si="772"/>
        <v>1233.333333</v>
      </c>
      <c r="AD588" s="117">
        <f t="shared" si="783"/>
        <v>1298.245614</v>
      </c>
      <c r="AE588" s="116"/>
      <c r="AF588" s="116" t="str">
        <f t="shared" si="94"/>
        <v>#REF!</v>
      </c>
      <c r="AG588" s="210" t="str">
        <f t="shared" si="95"/>
        <v>#REF!</v>
      </c>
      <c r="AH588" s="120" t="str">
        <f t="shared" si="96"/>
        <v>#REF!</v>
      </c>
      <c r="AI588" s="121">
        <f t="shared" si="497"/>
        <v>0.07</v>
      </c>
      <c r="AJ588" s="121">
        <v>0.07</v>
      </c>
      <c r="AK588" s="122">
        <v>0.33999999999999997</v>
      </c>
      <c r="AL588" s="123">
        <f t="shared" si="11"/>
        <v>419.3333333</v>
      </c>
      <c r="AM588" s="122" t="s">
        <v>10</v>
      </c>
      <c r="AN588" s="125">
        <f t="shared" si="774"/>
        <v>1233.333333</v>
      </c>
      <c r="AO588" s="112">
        <f t="shared" si="775"/>
        <v>0.34</v>
      </c>
      <c r="AP588" s="127"/>
      <c r="AQ588" s="128">
        <f t="shared" si="787"/>
        <v>915.0537634</v>
      </c>
      <c r="AR588" s="125">
        <f t="shared" si="776"/>
        <v>875.2688172</v>
      </c>
      <c r="AS588" s="126">
        <f t="shared" si="733"/>
        <v>0.311827957</v>
      </c>
      <c r="AT588" s="126">
        <f t="shared" si="777"/>
        <v>0.2903225806</v>
      </c>
      <c r="AU588" s="129">
        <v>938.25</v>
      </c>
      <c r="AV588" s="39" t="s">
        <v>2242</v>
      </c>
      <c r="AW588" s="130"/>
      <c r="AX588" s="130"/>
      <c r="AY588" s="130"/>
      <c r="AZ588" s="130"/>
      <c r="BA588" s="130"/>
      <c r="BB588" s="130"/>
      <c r="BC588" s="392">
        <v>740.0</v>
      </c>
      <c r="BD588" s="132">
        <f t="shared" si="788"/>
        <v>814</v>
      </c>
      <c r="BE588" s="39"/>
      <c r="BF588" s="134">
        <v>8.5447E9</v>
      </c>
      <c r="BG588" s="49"/>
      <c r="BH588" s="118">
        <f t="shared" si="714"/>
        <v>4111.111111</v>
      </c>
      <c r="BI588" s="118">
        <f t="shared" si="715"/>
        <v>2466.666667</v>
      </c>
      <c r="BJ588" s="118">
        <f t="shared" si="716"/>
        <v>2055.555556</v>
      </c>
      <c r="BK588" s="118">
        <f t="shared" si="717"/>
        <v>1644.444444</v>
      </c>
      <c r="BL588" s="49"/>
      <c r="BM588" s="49"/>
      <c r="BN588" s="394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</row>
    <row r="589" ht="14.25" customHeight="1">
      <c r="A589" s="103" t="s">
        <v>84</v>
      </c>
      <c r="B589" s="103" t="s">
        <v>120</v>
      </c>
      <c r="C589" s="103" t="s">
        <v>120</v>
      </c>
      <c r="D589" s="103" t="s">
        <v>1266</v>
      </c>
      <c r="E589" s="103" t="s">
        <v>1948</v>
      </c>
      <c r="F589" s="104" t="s">
        <v>1972</v>
      </c>
      <c r="G589" s="110" t="s">
        <v>1319</v>
      </c>
      <c r="H589" s="390" t="s">
        <v>1950</v>
      </c>
      <c r="I589" s="391" t="s">
        <v>2263</v>
      </c>
      <c r="J589" s="220" t="s">
        <v>1974</v>
      </c>
      <c r="K589" s="220" t="str">
        <f>_xlfn.XLOOKUP(J589,[1]Sheet1!$A:$A,[1]Sheet1!$B:$B,"")</f>
        <v>#ERROR!</v>
      </c>
      <c r="L589" s="103" t="s">
        <v>1975</v>
      </c>
      <c r="M589" s="103" t="s">
        <v>1976</v>
      </c>
      <c r="N589" s="110" t="s">
        <v>162</v>
      </c>
      <c r="O589" s="104" t="s">
        <v>147</v>
      </c>
      <c r="P589" s="110"/>
      <c r="Q589" s="104" t="s">
        <v>1989</v>
      </c>
      <c r="R589" s="110" t="s">
        <v>1955</v>
      </c>
      <c r="S589" s="110">
        <v>2.0</v>
      </c>
      <c r="T589" s="110" t="e">
        <v>#N/A</v>
      </c>
      <c r="U589" s="110">
        <v>8.5447E9</v>
      </c>
      <c r="V589" s="112">
        <v>0.0</v>
      </c>
      <c r="W589" s="113">
        <v>30.0</v>
      </c>
      <c r="X589" s="110">
        <v>45.0</v>
      </c>
      <c r="Y589" s="110">
        <v>55.0</v>
      </c>
      <c r="Z589" s="110" t="s">
        <v>1938</v>
      </c>
      <c r="AA589" s="114">
        <f t="shared" si="786"/>
        <v>547.6190476</v>
      </c>
      <c r="AB589" s="115"/>
      <c r="AC589" s="116">
        <f t="shared" si="772"/>
        <v>507.6923077</v>
      </c>
      <c r="AD589" s="117">
        <f t="shared" si="783"/>
        <v>534.4129555</v>
      </c>
      <c r="AE589" s="116"/>
      <c r="AF589" s="116" t="str">
        <f t="shared" si="94"/>
        <v>#REF!</v>
      </c>
      <c r="AG589" s="210" t="str">
        <f t="shared" si="95"/>
        <v>#REF!</v>
      </c>
      <c r="AH589" s="120" t="str">
        <f t="shared" si="96"/>
        <v>#REF!</v>
      </c>
      <c r="AI589" s="121">
        <f t="shared" si="497"/>
        <v>0.07</v>
      </c>
      <c r="AJ589" s="121">
        <v>0.07</v>
      </c>
      <c r="AK589" s="122">
        <v>0.35</v>
      </c>
      <c r="AL589" s="123">
        <f t="shared" si="11"/>
        <v>177.6923077</v>
      </c>
      <c r="AM589" s="122" t="s">
        <v>10</v>
      </c>
      <c r="AN589" s="125">
        <f t="shared" si="774"/>
        <v>507.6923077</v>
      </c>
      <c r="AO589" s="112">
        <f t="shared" si="775"/>
        <v>0.35</v>
      </c>
      <c r="AP589" s="127"/>
      <c r="AQ589" s="128">
        <f t="shared" si="787"/>
        <v>370.9677419</v>
      </c>
      <c r="AR589" s="125">
        <f t="shared" si="776"/>
        <v>354.8387097</v>
      </c>
      <c r="AS589" s="126">
        <f t="shared" si="733"/>
        <v>0.3225806452</v>
      </c>
      <c r="AT589" s="126">
        <f t="shared" si="777"/>
        <v>0.3010752688</v>
      </c>
      <c r="AU589" s="129"/>
      <c r="AV589" s="39" t="s">
        <v>2242</v>
      </c>
      <c r="AW589" s="130"/>
      <c r="AX589" s="130"/>
      <c r="AY589" s="130"/>
      <c r="AZ589" s="130"/>
      <c r="BA589" s="130"/>
      <c r="BB589" s="130"/>
      <c r="BC589" s="392">
        <v>300.0</v>
      </c>
      <c r="BD589" s="132">
        <f t="shared" si="788"/>
        <v>330</v>
      </c>
      <c r="BE589" s="393"/>
      <c r="BF589" s="134"/>
      <c r="BG589" s="49"/>
      <c r="BH589" s="118">
        <f t="shared" si="714"/>
        <v>1692.307692</v>
      </c>
      <c r="BI589" s="118">
        <f t="shared" si="715"/>
        <v>1015.384615</v>
      </c>
      <c r="BJ589" s="118">
        <f t="shared" si="716"/>
        <v>846.1538462</v>
      </c>
      <c r="BK589" s="118">
        <f t="shared" si="717"/>
        <v>676.9230769</v>
      </c>
      <c r="BL589" s="49"/>
      <c r="BM589" s="49"/>
      <c r="BN589" s="394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</row>
    <row r="590" ht="14.25" customHeight="1">
      <c r="A590" s="103" t="s">
        <v>84</v>
      </c>
      <c r="B590" s="103" t="s">
        <v>120</v>
      </c>
      <c r="C590" s="103" t="s">
        <v>120</v>
      </c>
      <c r="D590" s="103" t="s">
        <v>1266</v>
      </c>
      <c r="E590" s="103" t="s">
        <v>1948</v>
      </c>
      <c r="F590" s="104" t="s">
        <v>1972</v>
      </c>
      <c r="G590" s="110" t="s">
        <v>1319</v>
      </c>
      <c r="H590" s="390" t="s">
        <v>1957</v>
      </c>
      <c r="I590" s="391" t="s">
        <v>2264</v>
      </c>
      <c r="J590" s="220" t="s">
        <v>1978</v>
      </c>
      <c r="K590" s="220" t="str">
        <f>_xlfn.XLOOKUP(J590,[1]Sheet1!$A:$A,[1]Sheet1!$B:$B,"")</f>
        <v>#ERROR!</v>
      </c>
      <c r="L590" s="103" t="s">
        <v>1979</v>
      </c>
      <c r="M590" s="103" t="s">
        <v>1980</v>
      </c>
      <c r="N590" s="110" t="s">
        <v>162</v>
      </c>
      <c r="O590" s="104" t="s">
        <v>147</v>
      </c>
      <c r="P590" s="110"/>
      <c r="Q590" s="104" t="s">
        <v>1989</v>
      </c>
      <c r="R590" s="110" t="s">
        <v>1955</v>
      </c>
      <c r="S590" s="110">
        <v>2.0</v>
      </c>
      <c r="T590" s="110" t="e">
        <v>#N/A</v>
      </c>
      <c r="U590" s="110">
        <v>8.5447E9</v>
      </c>
      <c r="V590" s="112">
        <v>0.0</v>
      </c>
      <c r="W590" s="113">
        <v>30.0</v>
      </c>
      <c r="X590" s="110">
        <v>45.0</v>
      </c>
      <c r="Y590" s="110">
        <v>55.0</v>
      </c>
      <c r="Z590" s="110" t="s">
        <v>1938</v>
      </c>
      <c r="AA590" s="114">
        <f t="shared" si="786"/>
        <v>657.1428571</v>
      </c>
      <c r="AB590" s="115"/>
      <c r="AC590" s="116">
        <f t="shared" si="772"/>
        <v>609.2307692</v>
      </c>
      <c r="AD590" s="117">
        <f t="shared" si="783"/>
        <v>641.2955466</v>
      </c>
      <c r="AE590" s="116"/>
      <c r="AF590" s="116" t="str">
        <f t="shared" si="94"/>
        <v>#REF!</v>
      </c>
      <c r="AG590" s="210" t="str">
        <f t="shared" si="95"/>
        <v>#REF!</v>
      </c>
      <c r="AH590" s="120" t="str">
        <f t="shared" si="96"/>
        <v>#REF!</v>
      </c>
      <c r="AI590" s="121">
        <f t="shared" si="497"/>
        <v>0.07</v>
      </c>
      <c r="AJ590" s="121">
        <v>0.07</v>
      </c>
      <c r="AK590" s="122">
        <v>0.35</v>
      </c>
      <c r="AL590" s="123">
        <f t="shared" si="11"/>
        <v>213.2307692</v>
      </c>
      <c r="AM590" s="122" t="s">
        <v>10</v>
      </c>
      <c r="AN590" s="125">
        <f t="shared" si="774"/>
        <v>609.2307692</v>
      </c>
      <c r="AO590" s="112">
        <f t="shared" si="775"/>
        <v>0.35</v>
      </c>
      <c r="AP590" s="127"/>
      <c r="AQ590" s="128">
        <f t="shared" si="787"/>
        <v>445.1612903</v>
      </c>
      <c r="AR590" s="125">
        <f t="shared" si="776"/>
        <v>425.8064516</v>
      </c>
      <c r="AS590" s="126">
        <f t="shared" si="733"/>
        <v>0.3225806452</v>
      </c>
      <c r="AT590" s="126">
        <f t="shared" si="777"/>
        <v>0.3010752688</v>
      </c>
      <c r="AU590" s="129"/>
      <c r="AV590" s="39" t="s">
        <v>2242</v>
      </c>
      <c r="AW590" s="130"/>
      <c r="AX590" s="130"/>
      <c r="AY590" s="130"/>
      <c r="AZ590" s="130"/>
      <c r="BA590" s="130"/>
      <c r="BB590" s="130"/>
      <c r="BC590" s="392">
        <v>360.0</v>
      </c>
      <c r="BD590" s="132">
        <f t="shared" si="788"/>
        <v>396</v>
      </c>
      <c r="BE590" s="393"/>
      <c r="BF590" s="134"/>
      <c r="BG590" s="49"/>
      <c r="BH590" s="118">
        <f t="shared" si="714"/>
        <v>2030.769231</v>
      </c>
      <c r="BI590" s="118">
        <f t="shared" si="715"/>
        <v>1218.461538</v>
      </c>
      <c r="BJ590" s="118">
        <f t="shared" si="716"/>
        <v>1015.384615</v>
      </c>
      <c r="BK590" s="118">
        <f t="shared" si="717"/>
        <v>812.3076923</v>
      </c>
      <c r="BL590" s="49"/>
      <c r="BM590" s="49"/>
      <c r="BN590" s="394"/>
      <c r="BO590" s="49"/>
      <c r="BP590" s="49"/>
      <c r="BQ590" s="49"/>
      <c r="BR590" s="49"/>
      <c r="BS590" s="49"/>
      <c r="BT590" s="49"/>
      <c r="BU590" s="49"/>
      <c r="BV590" s="49"/>
      <c r="BW590" s="49"/>
      <c r="BX590" s="49"/>
      <c r="BY590" s="49"/>
      <c r="BZ590" s="49"/>
      <c r="CA590" s="49"/>
      <c r="CB590" s="49"/>
      <c r="CC590" s="49"/>
      <c r="CD590" s="49"/>
      <c r="CE590" s="49"/>
      <c r="CF590" s="49"/>
    </row>
    <row r="591" ht="14.25" customHeight="1">
      <c r="A591" s="103" t="s">
        <v>84</v>
      </c>
      <c r="B591" s="103" t="s">
        <v>120</v>
      </c>
      <c r="C591" s="103" t="s">
        <v>120</v>
      </c>
      <c r="D591" s="103" t="s">
        <v>1266</v>
      </c>
      <c r="E591" s="103" t="s">
        <v>1948</v>
      </c>
      <c r="F591" s="104" t="s">
        <v>1972</v>
      </c>
      <c r="G591" s="110" t="s">
        <v>1319</v>
      </c>
      <c r="H591" s="390" t="s">
        <v>1962</v>
      </c>
      <c r="I591" s="391" t="s">
        <v>2265</v>
      </c>
      <c r="J591" s="220" t="s">
        <v>1982</v>
      </c>
      <c r="K591" s="220" t="str">
        <f>_xlfn.XLOOKUP(J591,[1]Sheet1!$A:$A,[1]Sheet1!$B:$B,"")</f>
        <v>#ERROR!</v>
      </c>
      <c r="L591" s="103" t="s">
        <v>1983</v>
      </c>
      <c r="M591" s="103" t="s">
        <v>1984</v>
      </c>
      <c r="N591" s="110" t="s">
        <v>162</v>
      </c>
      <c r="O591" s="104" t="s">
        <v>147</v>
      </c>
      <c r="P591" s="110"/>
      <c r="Q591" s="104" t="s">
        <v>1989</v>
      </c>
      <c r="R591" s="110" t="s">
        <v>1955</v>
      </c>
      <c r="S591" s="110">
        <v>2.0</v>
      </c>
      <c r="T591" s="110" t="e">
        <v>#N/A</v>
      </c>
      <c r="U591" s="110">
        <v>8.5447E9</v>
      </c>
      <c r="V591" s="112">
        <v>0.0</v>
      </c>
      <c r="W591" s="113">
        <v>30.0</v>
      </c>
      <c r="X591" s="110">
        <v>45.0</v>
      </c>
      <c r="Y591" s="110">
        <v>55.0</v>
      </c>
      <c r="Z591" s="110" t="s">
        <v>1938</v>
      </c>
      <c r="AA591" s="114">
        <f t="shared" si="786"/>
        <v>867.0634921</v>
      </c>
      <c r="AB591" s="115"/>
      <c r="AC591" s="116">
        <f t="shared" si="772"/>
        <v>803.8461538</v>
      </c>
      <c r="AD591" s="117">
        <f t="shared" si="783"/>
        <v>846.1538462</v>
      </c>
      <c r="AE591" s="116"/>
      <c r="AF591" s="116" t="str">
        <f t="shared" si="94"/>
        <v>#REF!</v>
      </c>
      <c r="AG591" s="210" t="str">
        <f t="shared" si="95"/>
        <v>#REF!</v>
      </c>
      <c r="AH591" s="120" t="str">
        <f t="shared" si="96"/>
        <v>#REF!</v>
      </c>
      <c r="AI591" s="121">
        <f t="shared" si="497"/>
        <v>0.07</v>
      </c>
      <c r="AJ591" s="121">
        <v>0.07</v>
      </c>
      <c r="AK591" s="122">
        <v>0.35</v>
      </c>
      <c r="AL591" s="123">
        <f t="shared" si="11"/>
        <v>281.3461538</v>
      </c>
      <c r="AM591" s="122" t="s">
        <v>10</v>
      </c>
      <c r="AN591" s="125">
        <f t="shared" si="774"/>
        <v>803.8461538</v>
      </c>
      <c r="AO591" s="112">
        <f t="shared" si="775"/>
        <v>0.35</v>
      </c>
      <c r="AP591" s="127"/>
      <c r="AQ591" s="128">
        <f t="shared" si="787"/>
        <v>587.3655914</v>
      </c>
      <c r="AR591" s="125">
        <f t="shared" si="776"/>
        <v>561.827957</v>
      </c>
      <c r="AS591" s="126">
        <f t="shared" si="733"/>
        <v>0.3225806452</v>
      </c>
      <c r="AT591" s="126">
        <f t="shared" si="777"/>
        <v>0.3010752688</v>
      </c>
      <c r="AU591" s="129"/>
      <c r="AV591" s="39" t="s">
        <v>2242</v>
      </c>
      <c r="AW591" s="130"/>
      <c r="AX591" s="130"/>
      <c r="AY591" s="130"/>
      <c r="AZ591" s="130"/>
      <c r="BA591" s="130"/>
      <c r="BB591" s="130"/>
      <c r="BC591" s="392">
        <v>475.0</v>
      </c>
      <c r="BD591" s="132">
        <f t="shared" si="788"/>
        <v>522.5</v>
      </c>
      <c r="BE591" s="393"/>
      <c r="BF591" s="134"/>
      <c r="BG591" s="49"/>
      <c r="BH591" s="118">
        <f t="shared" si="714"/>
        <v>2679.487179</v>
      </c>
      <c r="BI591" s="118">
        <f t="shared" si="715"/>
        <v>1607.692308</v>
      </c>
      <c r="BJ591" s="118">
        <f t="shared" si="716"/>
        <v>1339.74359</v>
      </c>
      <c r="BK591" s="118">
        <f t="shared" si="717"/>
        <v>1071.794872</v>
      </c>
      <c r="BL591" s="49"/>
      <c r="BM591" s="49"/>
      <c r="BN591" s="394"/>
      <c r="BO591" s="49"/>
      <c r="BP591" s="49"/>
      <c r="BQ591" s="49"/>
      <c r="BR591" s="49"/>
      <c r="BS591" s="49"/>
      <c r="BT591" s="49"/>
      <c r="BU591" s="49"/>
      <c r="BV591" s="49"/>
      <c r="BW591" s="49"/>
      <c r="BX591" s="49"/>
      <c r="BY591" s="49"/>
      <c r="BZ591" s="49"/>
      <c r="CA591" s="49"/>
      <c r="CB591" s="49"/>
      <c r="CC591" s="49"/>
      <c r="CD591" s="49"/>
      <c r="CE591" s="49"/>
      <c r="CF591" s="49"/>
    </row>
    <row r="592" ht="14.25" customHeight="1">
      <c r="A592" s="103" t="s">
        <v>84</v>
      </c>
      <c r="B592" s="103" t="s">
        <v>120</v>
      </c>
      <c r="C592" s="103" t="s">
        <v>120</v>
      </c>
      <c r="D592" s="103" t="s">
        <v>1266</v>
      </c>
      <c r="E592" s="103" t="s">
        <v>1948</v>
      </c>
      <c r="F592" s="104" t="s">
        <v>1972</v>
      </c>
      <c r="G592" s="110" t="s">
        <v>1319</v>
      </c>
      <c r="H592" s="390" t="s">
        <v>1967</v>
      </c>
      <c r="I592" s="391" t="s">
        <v>2266</v>
      </c>
      <c r="J592" s="220" t="s">
        <v>1986</v>
      </c>
      <c r="K592" s="220" t="str">
        <f>_xlfn.XLOOKUP(J592,[1]Sheet1!$A:$A,[1]Sheet1!$B:$B,"")</f>
        <v>#ERROR!</v>
      </c>
      <c r="L592" s="103" t="s">
        <v>1987</v>
      </c>
      <c r="M592" s="103" t="s">
        <v>1988</v>
      </c>
      <c r="N592" s="110" t="s">
        <v>162</v>
      </c>
      <c r="O592" s="104" t="s">
        <v>147</v>
      </c>
      <c r="P592" s="110"/>
      <c r="Q592" s="104" t="s">
        <v>1989</v>
      </c>
      <c r="R592" s="110" t="s">
        <v>1955</v>
      </c>
      <c r="S592" s="110">
        <v>2.0</v>
      </c>
      <c r="T592" s="110" t="e">
        <v>#N/A</v>
      </c>
      <c r="U592" s="110">
        <v>8.5447E9</v>
      </c>
      <c r="V592" s="112">
        <v>0.0</v>
      </c>
      <c r="W592" s="113">
        <v>30.0</v>
      </c>
      <c r="X592" s="110">
        <v>45.0</v>
      </c>
      <c r="Y592" s="110">
        <v>55.0</v>
      </c>
      <c r="Z592" s="110" t="s">
        <v>1938</v>
      </c>
      <c r="AA592" s="114">
        <f t="shared" si="786"/>
        <v>1487.698413</v>
      </c>
      <c r="AB592" s="115"/>
      <c r="AC592" s="116">
        <f t="shared" si="772"/>
        <v>1379.230769</v>
      </c>
      <c r="AD592" s="117">
        <f t="shared" si="783"/>
        <v>1451.821862</v>
      </c>
      <c r="AE592" s="116"/>
      <c r="AF592" s="116" t="str">
        <f t="shared" si="94"/>
        <v>#REF!</v>
      </c>
      <c r="AG592" s="210" t="str">
        <f t="shared" si="95"/>
        <v>#REF!</v>
      </c>
      <c r="AH592" s="120" t="str">
        <f t="shared" si="96"/>
        <v>#REF!</v>
      </c>
      <c r="AI592" s="121">
        <f t="shared" si="497"/>
        <v>0.07</v>
      </c>
      <c r="AJ592" s="121">
        <v>0.07</v>
      </c>
      <c r="AK592" s="122">
        <v>0.35</v>
      </c>
      <c r="AL592" s="123">
        <f t="shared" si="11"/>
        <v>482.7307692</v>
      </c>
      <c r="AM592" s="122" t="s">
        <v>10</v>
      </c>
      <c r="AN592" s="125">
        <f t="shared" si="774"/>
        <v>1379.230769</v>
      </c>
      <c r="AO592" s="112">
        <f t="shared" si="775"/>
        <v>0.35</v>
      </c>
      <c r="AP592" s="127"/>
      <c r="AQ592" s="128">
        <f t="shared" si="787"/>
        <v>1007.795699</v>
      </c>
      <c r="AR592" s="125">
        <f t="shared" si="776"/>
        <v>963.9784946</v>
      </c>
      <c r="AS592" s="126">
        <f t="shared" si="733"/>
        <v>0.3225806452</v>
      </c>
      <c r="AT592" s="126">
        <f t="shared" si="777"/>
        <v>0.3010752688</v>
      </c>
      <c r="AU592" s="129"/>
      <c r="AV592" s="39" t="s">
        <v>2242</v>
      </c>
      <c r="AW592" s="130"/>
      <c r="AX592" s="130"/>
      <c r="AY592" s="130"/>
      <c r="AZ592" s="130"/>
      <c r="BA592" s="130"/>
      <c r="BB592" s="130"/>
      <c r="BC592" s="392">
        <v>815.0</v>
      </c>
      <c r="BD592" s="132">
        <f t="shared" si="788"/>
        <v>896.5</v>
      </c>
      <c r="BE592" s="393"/>
      <c r="BF592" s="134"/>
      <c r="BG592" s="49"/>
      <c r="BH592" s="118">
        <f t="shared" si="714"/>
        <v>4597.435897</v>
      </c>
      <c r="BI592" s="118">
        <f t="shared" si="715"/>
        <v>2758.461538</v>
      </c>
      <c r="BJ592" s="118">
        <f t="shared" si="716"/>
        <v>2298.717949</v>
      </c>
      <c r="BK592" s="118">
        <f t="shared" si="717"/>
        <v>1838.974359</v>
      </c>
      <c r="BL592" s="49"/>
      <c r="BM592" s="49"/>
      <c r="BN592" s="394"/>
      <c r="BO592" s="49"/>
      <c r="BP592" s="49"/>
      <c r="BQ592" s="49"/>
      <c r="BR592" s="49"/>
      <c r="BS592" s="49"/>
      <c r="BT592" s="49"/>
      <c r="BU592" s="49"/>
      <c r="BV592" s="49"/>
      <c r="BW592" s="49"/>
      <c r="BX592" s="49"/>
      <c r="BY592" s="49"/>
      <c r="BZ592" s="49"/>
      <c r="CA592" s="49"/>
      <c r="CB592" s="49"/>
      <c r="CC592" s="49"/>
      <c r="CD592" s="49"/>
      <c r="CE592" s="49"/>
      <c r="CF592" s="49"/>
    </row>
    <row r="593" ht="14.25" customHeight="1">
      <c r="A593" s="103" t="s">
        <v>84</v>
      </c>
      <c r="B593" s="103" t="s">
        <v>120</v>
      </c>
      <c r="C593" s="103" t="s">
        <v>120</v>
      </c>
      <c r="D593" s="103" t="s">
        <v>1266</v>
      </c>
      <c r="E593" s="103" t="s">
        <v>1948</v>
      </c>
      <c r="F593" s="104" t="s">
        <v>1991</v>
      </c>
      <c r="G593" s="110" t="s">
        <v>1319</v>
      </c>
      <c r="H593" s="390" t="s">
        <v>1950</v>
      </c>
      <c r="I593" s="391" t="s">
        <v>2267</v>
      </c>
      <c r="J593" s="220" t="s">
        <v>1993</v>
      </c>
      <c r="K593" s="220" t="str">
        <f>_xlfn.XLOOKUP(J593,[1]Sheet1!$A:$A,[1]Sheet1!$B:$B,"")</f>
        <v>#ERROR!</v>
      </c>
      <c r="L593" s="103" t="s">
        <v>1994</v>
      </c>
      <c r="M593" s="103" t="s">
        <v>1995</v>
      </c>
      <c r="N593" s="110" t="s">
        <v>206</v>
      </c>
      <c r="O593" s="104" t="s">
        <v>147</v>
      </c>
      <c r="P593" s="110"/>
      <c r="Q593" s="104" t="s">
        <v>1989</v>
      </c>
      <c r="R593" s="110" t="s">
        <v>1955</v>
      </c>
      <c r="S593" s="110">
        <v>2.0</v>
      </c>
      <c r="T593" s="110" t="e">
        <v>#N/A</v>
      </c>
      <c r="U593" s="110">
        <v>8.5447E9</v>
      </c>
      <c r="V593" s="112">
        <v>0.0</v>
      </c>
      <c r="W593" s="113">
        <v>30.0</v>
      </c>
      <c r="X593" s="110">
        <v>45.0</v>
      </c>
      <c r="Y593" s="110">
        <v>55.0</v>
      </c>
      <c r="Z593" s="110" t="s">
        <v>1938</v>
      </c>
      <c r="AA593" s="114">
        <f t="shared" si="786"/>
        <v>476.6935484</v>
      </c>
      <c r="AB593" s="115"/>
      <c r="AC593" s="116">
        <f t="shared" si="772"/>
        <v>441.71875</v>
      </c>
      <c r="AD593" s="117">
        <f t="shared" si="783"/>
        <v>464.9671053</v>
      </c>
      <c r="AE593" s="116"/>
      <c r="AF593" s="116" t="str">
        <f t="shared" si="94"/>
        <v>#REF!</v>
      </c>
      <c r="AG593" s="210" t="str">
        <f t="shared" si="95"/>
        <v>#REF!</v>
      </c>
      <c r="AH593" s="120" t="str">
        <f t="shared" si="96"/>
        <v>#REF!</v>
      </c>
      <c r="AI593" s="121">
        <f t="shared" si="497"/>
        <v>0.07</v>
      </c>
      <c r="AJ593" s="121">
        <v>0.07</v>
      </c>
      <c r="AK593" s="122">
        <v>0.36</v>
      </c>
      <c r="AL593" s="123">
        <f t="shared" si="11"/>
        <v>159.01875</v>
      </c>
      <c r="AM593" s="122" t="s">
        <v>10</v>
      </c>
      <c r="AN593" s="125">
        <f t="shared" si="774"/>
        <v>441.71875</v>
      </c>
      <c r="AO593" s="112">
        <f t="shared" si="775"/>
        <v>0.36</v>
      </c>
      <c r="AP593" s="127"/>
      <c r="AQ593" s="128">
        <f t="shared" si="787"/>
        <v>317.7956989</v>
      </c>
      <c r="AR593" s="125">
        <f t="shared" si="776"/>
        <v>303.9784946</v>
      </c>
      <c r="AS593" s="126">
        <f t="shared" si="733"/>
        <v>0.3333333333</v>
      </c>
      <c r="AT593" s="126">
        <f t="shared" si="777"/>
        <v>0.311827957</v>
      </c>
      <c r="AU593" s="129">
        <v>313.1</v>
      </c>
      <c r="AV593" s="39" t="s">
        <v>2242</v>
      </c>
      <c r="AW593" s="130"/>
      <c r="AX593" s="130"/>
      <c r="AY593" s="130"/>
      <c r="AZ593" s="130"/>
      <c r="BA593" s="130"/>
      <c r="BB593" s="130"/>
      <c r="BC593" s="392">
        <v>257.0</v>
      </c>
      <c r="BD593" s="132">
        <f t="shared" si="788"/>
        <v>282.7</v>
      </c>
      <c r="BE593" s="393"/>
      <c r="BF593" s="134"/>
      <c r="BG593" s="49"/>
      <c r="BH593" s="118">
        <f t="shared" si="714"/>
        <v>1472.395833</v>
      </c>
      <c r="BI593" s="118">
        <f t="shared" si="715"/>
        <v>883.4375</v>
      </c>
      <c r="BJ593" s="118">
        <f t="shared" si="716"/>
        <v>736.1979167</v>
      </c>
      <c r="BK593" s="118">
        <f t="shared" si="717"/>
        <v>588.9583333</v>
      </c>
      <c r="BL593" s="49"/>
      <c r="BM593" s="49"/>
      <c r="BN593" s="394"/>
      <c r="BO593" s="49"/>
      <c r="BP593" s="49"/>
      <c r="BQ593" s="49"/>
      <c r="BR593" s="49"/>
      <c r="BS593" s="49"/>
      <c r="BT593" s="49"/>
      <c r="BU593" s="49"/>
      <c r="BV593" s="49"/>
      <c r="BW593" s="49"/>
      <c r="BX593" s="49"/>
      <c r="BY593" s="49"/>
      <c r="BZ593" s="49"/>
      <c r="CA593" s="49"/>
      <c r="CB593" s="49"/>
      <c r="CC593" s="49"/>
      <c r="CD593" s="49"/>
      <c r="CE593" s="49"/>
      <c r="CF593" s="49"/>
    </row>
    <row r="594" ht="14.25" customHeight="1">
      <c r="A594" s="103" t="s">
        <v>84</v>
      </c>
      <c r="B594" s="103" t="s">
        <v>120</v>
      </c>
      <c r="C594" s="103" t="s">
        <v>120</v>
      </c>
      <c r="D594" s="103" t="s">
        <v>1266</v>
      </c>
      <c r="E594" s="103" t="s">
        <v>1948</v>
      </c>
      <c r="F594" s="104" t="s">
        <v>1991</v>
      </c>
      <c r="G594" s="110" t="s">
        <v>1319</v>
      </c>
      <c r="H594" s="390" t="s">
        <v>1957</v>
      </c>
      <c r="I594" s="391" t="s">
        <v>2268</v>
      </c>
      <c r="J594" s="220" t="s">
        <v>1997</v>
      </c>
      <c r="K594" s="220" t="str">
        <f>_xlfn.XLOOKUP(J594,[1]Sheet1!$A:$A,[1]Sheet1!$B:$B,"")</f>
        <v>#ERROR!</v>
      </c>
      <c r="L594" s="103" t="s">
        <v>1998</v>
      </c>
      <c r="M594" s="103" t="s">
        <v>1999</v>
      </c>
      <c r="N594" s="110" t="s">
        <v>206</v>
      </c>
      <c r="O594" s="104" t="s">
        <v>147</v>
      </c>
      <c r="P594" s="110"/>
      <c r="Q594" s="104" t="s">
        <v>1989</v>
      </c>
      <c r="R594" s="110" t="s">
        <v>1955</v>
      </c>
      <c r="S594" s="110">
        <v>2.0</v>
      </c>
      <c r="T594" s="110" t="e">
        <v>#N/A</v>
      </c>
      <c r="U594" s="110">
        <v>8.5447E9</v>
      </c>
      <c r="V594" s="112">
        <v>0.0</v>
      </c>
      <c r="W594" s="113">
        <v>30.0</v>
      </c>
      <c r="X594" s="110">
        <v>45.0</v>
      </c>
      <c r="Y594" s="110">
        <v>55.0</v>
      </c>
      <c r="Z594" s="110" t="s">
        <v>1938</v>
      </c>
      <c r="AA594" s="114">
        <f t="shared" si="786"/>
        <v>571.2903226</v>
      </c>
      <c r="AB594" s="115"/>
      <c r="AC594" s="116">
        <f t="shared" si="772"/>
        <v>529.375</v>
      </c>
      <c r="AD594" s="117">
        <f t="shared" si="783"/>
        <v>557.2368421</v>
      </c>
      <c r="AE594" s="116"/>
      <c r="AF594" s="116" t="str">
        <f t="shared" si="94"/>
        <v>#REF!</v>
      </c>
      <c r="AG594" s="210" t="str">
        <f t="shared" si="95"/>
        <v>#REF!</v>
      </c>
      <c r="AH594" s="120" t="str">
        <f t="shared" si="96"/>
        <v>#REF!</v>
      </c>
      <c r="AI594" s="121">
        <f t="shared" si="497"/>
        <v>0.07</v>
      </c>
      <c r="AJ594" s="121">
        <v>0.07</v>
      </c>
      <c r="AK594" s="122">
        <v>0.36</v>
      </c>
      <c r="AL594" s="123">
        <f t="shared" si="11"/>
        <v>190.575</v>
      </c>
      <c r="AM594" s="122" t="s">
        <v>10</v>
      </c>
      <c r="AN594" s="125">
        <f t="shared" si="774"/>
        <v>529.375</v>
      </c>
      <c r="AO594" s="112">
        <f t="shared" si="775"/>
        <v>0.36</v>
      </c>
      <c r="AP594" s="127"/>
      <c r="AQ594" s="128">
        <f t="shared" si="787"/>
        <v>380.8602151</v>
      </c>
      <c r="AR594" s="125">
        <f t="shared" si="776"/>
        <v>364.3010753</v>
      </c>
      <c r="AS594" s="126">
        <f t="shared" si="733"/>
        <v>0.3333333333</v>
      </c>
      <c r="AT594" s="126">
        <f t="shared" si="777"/>
        <v>0.311827957</v>
      </c>
      <c r="AU594" s="129"/>
      <c r="AV594" s="39" t="s">
        <v>2242</v>
      </c>
      <c r="AW594" s="130"/>
      <c r="AX594" s="130"/>
      <c r="AY594" s="130"/>
      <c r="AZ594" s="130"/>
      <c r="BA594" s="130"/>
      <c r="BB594" s="130"/>
      <c r="BC594" s="392">
        <v>308.0</v>
      </c>
      <c r="BD594" s="132">
        <f t="shared" si="788"/>
        <v>338.8</v>
      </c>
      <c r="BE594" s="393"/>
      <c r="BF594" s="134"/>
      <c r="BG594" s="49"/>
      <c r="BH594" s="118">
        <f t="shared" si="714"/>
        <v>1764.583333</v>
      </c>
      <c r="BI594" s="118">
        <f t="shared" si="715"/>
        <v>1058.75</v>
      </c>
      <c r="BJ594" s="118">
        <f t="shared" si="716"/>
        <v>882.2916667</v>
      </c>
      <c r="BK594" s="118">
        <f t="shared" si="717"/>
        <v>705.8333333</v>
      </c>
      <c r="BL594" s="49"/>
      <c r="BM594" s="49"/>
      <c r="BN594" s="394"/>
      <c r="BO594" s="49"/>
      <c r="BP594" s="49"/>
      <c r="BQ594" s="49"/>
      <c r="BR594" s="49"/>
      <c r="BS594" s="49"/>
      <c r="BT594" s="49"/>
      <c r="BU594" s="49"/>
      <c r="BV594" s="49"/>
      <c r="BW594" s="49"/>
      <c r="BX594" s="49"/>
      <c r="BY594" s="49"/>
      <c r="BZ594" s="49"/>
      <c r="CA594" s="49"/>
      <c r="CB594" s="49"/>
      <c r="CC594" s="49"/>
      <c r="CD594" s="49"/>
      <c r="CE594" s="49"/>
      <c r="CF594" s="49"/>
    </row>
    <row r="595" ht="14.25" customHeight="1">
      <c r="A595" s="103" t="s">
        <v>84</v>
      </c>
      <c r="B595" s="103" t="s">
        <v>120</v>
      </c>
      <c r="C595" s="103" t="s">
        <v>120</v>
      </c>
      <c r="D595" s="103" t="s">
        <v>1266</v>
      </c>
      <c r="E595" s="103" t="s">
        <v>1948</v>
      </c>
      <c r="F595" s="104" t="s">
        <v>1991</v>
      </c>
      <c r="G595" s="110" t="s">
        <v>1319</v>
      </c>
      <c r="H595" s="390" t="s">
        <v>1962</v>
      </c>
      <c r="I595" s="391" t="s">
        <v>2269</v>
      </c>
      <c r="J595" s="220" t="s">
        <v>2001</v>
      </c>
      <c r="K595" s="220" t="str">
        <f>_xlfn.XLOOKUP(J595,[1]Sheet1!$A:$A,[1]Sheet1!$B:$B,"")</f>
        <v>#ERROR!</v>
      </c>
      <c r="L595" s="103" t="s">
        <v>2002</v>
      </c>
      <c r="M595" s="103" t="s">
        <v>2003</v>
      </c>
      <c r="N595" s="110" t="s">
        <v>206</v>
      </c>
      <c r="O595" s="104" t="s">
        <v>147</v>
      </c>
      <c r="P595" s="110"/>
      <c r="Q595" s="104" t="s">
        <v>1989</v>
      </c>
      <c r="R595" s="110" t="s">
        <v>1955</v>
      </c>
      <c r="S595" s="110">
        <v>2.0</v>
      </c>
      <c r="T595" s="110" t="e">
        <v>#N/A</v>
      </c>
      <c r="U595" s="110">
        <v>8.5447E9</v>
      </c>
      <c r="V595" s="112">
        <v>0.0</v>
      </c>
      <c r="W595" s="113">
        <v>30.0</v>
      </c>
      <c r="X595" s="110">
        <v>45.0</v>
      </c>
      <c r="Y595" s="110">
        <v>55.0</v>
      </c>
      <c r="Z595" s="110" t="s">
        <v>1938</v>
      </c>
      <c r="AA595" s="114">
        <f t="shared" si="786"/>
        <v>711.5625</v>
      </c>
      <c r="AB595" s="115"/>
      <c r="AC595" s="116">
        <f t="shared" si="772"/>
        <v>660</v>
      </c>
      <c r="AD595" s="117">
        <f t="shared" si="783"/>
        <v>694.7368421</v>
      </c>
      <c r="AE595" s="116"/>
      <c r="AF595" s="116" t="str">
        <f t="shared" si="94"/>
        <v>#REF!</v>
      </c>
      <c r="AG595" s="210" t="str">
        <f t="shared" si="95"/>
        <v>#REF!</v>
      </c>
      <c r="AH595" s="120" t="str">
        <f t="shared" si="96"/>
        <v>#REF!</v>
      </c>
      <c r="AI595" s="121">
        <f t="shared" si="497"/>
        <v>0.07</v>
      </c>
      <c r="AJ595" s="121">
        <v>0.07</v>
      </c>
      <c r="AK595" s="122">
        <v>0.33999999999999997</v>
      </c>
      <c r="AL595" s="123">
        <f t="shared" si="11"/>
        <v>224.4</v>
      </c>
      <c r="AM595" s="122" t="s">
        <v>10</v>
      </c>
      <c r="AN595" s="125">
        <f t="shared" si="774"/>
        <v>660</v>
      </c>
      <c r="AO595" s="112">
        <f t="shared" si="775"/>
        <v>0.34</v>
      </c>
      <c r="AP595" s="127"/>
      <c r="AQ595" s="128">
        <f t="shared" si="787"/>
        <v>489.6774194</v>
      </c>
      <c r="AR595" s="125">
        <f t="shared" si="776"/>
        <v>468.3870968</v>
      </c>
      <c r="AS595" s="126">
        <f t="shared" si="733"/>
        <v>0.311827957</v>
      </c>
      <c r="AT595" s="126">
        <f t="shared" si="777"/>
        <v>0.2903225806</v>
      </c>
      <c r="AU595" s="129">
        <v>494.6</v>
      </c>
      <c r="AV595" s="39" t="s">
        <v>2242</v>
      </c>
      <c r="AW595" s="130"/>
      <c r="AX595" s="130"/>
      <c r="AY595" s="130"/>
      <c r="AZ595" s="130"/>
      <c r="BA595" s="130"/>
      <c r="BB595" s="130"/>
      <c r="BC595" s="392">
        <v>396.0</v>
      </c>
      <c r="BD595" s="132">
        <f t="shared" si="788"/>
        <v>435.6</v>
      </c>
      <c r="BE595" s="393"/>
      <c r="BF595" s="134"/>
      <c r="BG595" s="49"/>
      <c r="BH595" s="118">
        <f t="shared" si="714"/>
        <v>2200</v>
      </c>
      <c r="BI595" s="118">
        <f t="shared" si="715"/>
        <v>1320</v>
      </c>
      <c r="BJ595" s="118">
        <f t="shared" si="716"/>
        <v>1100</v>
      </c>
      <c r="BK595" s="118">
        <f t="shared" si="717"/>
        <v>880</v>
      </c>
      <c r="BL595" s="49"/>
      <c r="BM595" s="49"/>
      <c r="BN595" s="394"/>
      <c r="BO595" s="49"/>
      <c r="BP595" s="49"/>
      <c r="BQ595" s="49"/>
      <c r="BR595" s="49"/>
      <c r="BS595" s="49"/>
      <c r="BT595" s="49"/>
      <c r="BU595" s="49"/>
      <c r="BV595" s="49"/>
      <c r="BW595" s="49"/>
      <c r="BX595" s="49"/>
      <c r="BY595" s="49"/>
      <c r="BZ595" s="49"/>
      <c r="CA595" s="49"/>
      <c r="CB595" s="49"/>
      <c r="CC595" s="49"/>
      <c r="CD595" s="49"/>
      <c r="CE595" s="49"/>
      <c r="CF595" s="49"/>
    </row>
    <row r="596" ht="14.25" customHeight="1">
      <c r="A596" s="103" t="s">
        <v>84</v>
      </c>
      <c r="B596" s="103" t="s">
        <v>120</v>
      </c>
      <c r="C596" s="103" t="s">
        <v>120</v>
      </c>
      <c r="D596" s="103" t="s">
        <v>1266</v>
      </c>
      <c r="E596" s="103" t="s">
        <v>1948</v>
      </c>
      <c r="F596" s="104" t="s">
        <v>1991</v>
      </c>
      <c r="G596" s="110" t="s">
        <v>1319</v>
      </c>
      <c r="H596" s="390" t="s">
        <v>1967</v>
      </c>
      <c r="I596" s="391" t="s">
        <v>2270</v>
      </c>
      <c r="J596" s="220" t="s">
        <v>2005</v>
      </c>
      <c r="K596" s="220" t="str">
        <f>_xlfn.XLOOKUP(J596,[1]Sheet1!$A:$A,[1]Sheet1!$B:$B,"")</f>
        <v>#ERROR!</v>
      </c>
      <c r="L596" s="103" t="s">
        <v>2006</v>
      </c>
      <c r="M596" s="103" t="s">
        <v>2007</v>
      </c>
      <c r="N596" s="110" t="s">
        <v>206</v>
      </c>
      <c r="O596" s="104" t="s">
        <v>147</v>
      </c>
      <c r="P596" s="110"/>
      <c r="Q596" s="104" t="s">
        <v>1989</v>
      </c>
      <c r="R596" s="110" t="s">
        <v>1955</v>
      </c>
      <c r="S596" s="110">
        <v>2.0</v>
      </c>
      <c r="T596" s="110" t="e">
        <v>#N/A</v>
      </c>
      <c r="U596" s="110">
        <v>8.5447E9</v>
      </c>
      <c r="V596" s="112">
        <v>0.0</v>
      </c>
      <c r="W596" s="113">
        <v>30.0</v>
      </c>
      <c r="X596" s="110">
        <v>45.0</v>
      </c>
      <c r="Y596" s="110">
        <v>55.0</v>
      </c>
      <c r="Z596" s="110" t="s">
        <v>1938</v>
      </c>
      <c r="AA596" s="114">
        <f t="shared" si="786"/>
        <v>1216.484375</v>
      </c>
      <c r="AB596" s="115"/>
      <c r="AC596" s="116">
        <f t="shared" si="772"/>
        <v>1128.333333</v>
      </c>
      <c r="AD596" s="117">
        <f t="shared" si="783"/>
        <v>1187.719298</v>
      </c>
      <c r="AE596" s="116"/>
      <c r="AF596" s="116" t="str">
        <f t="shared" si="94"/>
        <v>#REF!</v>
      </c>
      <c r="AG596" s="210" t="str">
        <f t="shared" si="95"/>
        <v>#REF!</v>
      </c>
      <c r="AH596" s="120" t="str">
        <f t="shared" si="96"/>
        <v>#REF!</v>
      </c>
      <c r="AI596" s="121">
        <f t="shared" si="497"/>
        <v>0.07</v>
      </c>
      <c r="AJ596" s="121">
        <v>0.07</v>
      </c>
      <c r="AK596" s="122">
        <v>0.33999999999999997</v>
      </c>
      <c r="AL596" s="123">
        <f t="shared" si="11"/>
        <v>383.6333333</v>
      </c>
      <c r="AM596" s="122" t="s">
        <v>10</v>
      </c>
      <c r="AN596" s="125">
        <f t="shared" si="774"/>
        <v>1128.333333</v>
      </c>
      <c r="AO596" s="112">
        <f t="shared" si="775"/>
        <v>0.34</v>
      </c>
      <c r="AP596" s="127"/>
      <c r="AQ596" s="128">
        <f t="shared" si="787"/>
        <v>837.1505376</v>
      </c>
      <c r="AR596" s="125">
        <f t="shared" si="776"/>
        <v>800.7526882</v>
      </c>
      <c r="AS596" s="126">
        <f t="shared" si="733"/>
        <v>0.311827957</v>
      </c>
      <c r="AT596" s="126">
        <f t="shared" si="777"/>
        <v>0.2903225806</v>
      </c>
      <c r="AU596" s="129"/>
      <c r="AV596" s="39" t="s">
        <v>2242</v>
      </c>
      <c r="AW596" s="130"/>
      <c r="AX596" s="130"/>
      <c r="AY596" s="130"/>
      <c r="AZ596" s="130"/>
      <c r="BA596" s="130"/>
      <c r="BB596" s="130"/>
      <c r="BC596" s="392">
        <v>677.0</v>
      </c>
      <c r="BD596" s="132">
        <f t="shared" si="788"/>
        <v>744.7</v>
      </c>
      <c r="BE596" s="393"/>
      <c r="BF596" s="134"/>
      <c r="BG596" s="49"/>
      <c r="BH596" s="118">
        <f t="shared" si="714"/>
        <v>3761.111111</v>
      </c>
      <c r="BI596" s="118">
        <f t="shared" si="715"/>
        <v>2256.666667</v>
      </c>
      <c r="BJ596" s="118">
        <f t="shared" si="716"/>
        <v>1880.555556</v>
      </c>
      <c r="BK596" s="118">
        <f t="shared" si="717"/>
        <v>1504.444444</v>
      </c>
      <c r="BL596" s="49"/>
      <c r="BM596" s="49"/>
      <c r="BN596" s="394"/>
      <c r="BO596" s="49"/>
      <c r="BP596" s="49"/>
      <c r="BQ596" s="49"/>
      <c r="BR596" s="49"/>
      <c r="BS596" s="49"/>
      <c r="BT596" s="49"/>
      <c r="BU596" s="49"/>
      <c r="BV596" s="49"/>
      <c r="BW596" s="49"/>
      <c r="BX596" s="49"/>
      <c r="BY596" s="49"/>
      <c r="BZ596" s="49"/>
      <c r="CA596" s="49"/>
      <c r="CB596" s="49"/>
      <c r="CC596" s="49"/>
      <c r="CD596" s="49"/>
      <c r="CE596" s="49"/>
      <c r="CF596" s="49"/>
    </row>
    <row r="597" ht="14.25" customHeight="1">
      <c r="A597" s="103" t="s">
        <v>84</v>
      </c>
      <c r="B597" s="103" t="s">
        <v>120</v>
      </c>
      <c r="C597" s="103" t="s">
        <v>120</v>
      </c>
      <c r="D597" s="103" t="s">
        <v>1266</v>
      </c>
      <c r="E597" s="103" t="s">
        <v>1948</v>
      </c>
      <c r="F597" s="104" t="s">
        <v>2008</v>
      </c>
      <c r="G597" s="110" t="s">
        <v>1319</v>
      </c>
      <c r="H597" s="390">
        <v>2.0</v>
      </c>
      <c r="I597" s="391" t="s">
        <v>2271</v>
      </c>
      <c r="J597" s="220" t="s">
        <v>2272</v>
      </c>
      <c r="K597" s="220" t="str">
        <f>_xlfn.XLOOKUP(J597,[1]Sheet1!$A:$A,[1]Sheet1!$B:$B,"")</f>
        <v>#ERROR!</v>
      </c>
      <c r="L597" s="103" t="s">
        <v>2273</v>
      </c>
      <c r="M597" s="103" t="s">
        <v>2274</v>
      </c>
      <c r="N597" s="110" t="s">
        <v>206</v>
      </c>
      <c r="O597" s="104" t="s">
        <v>147</v>
      </c>
      <c r="P597" s="110"/>
      <c r="Q597" s="104" t="s">
        <v>1989</v>
      </c>
      <c r="R597" s="110" t="s">
        <v>1955</v>
      </c>
      <c r="S597" s="110">
        <v>2.0</v>
      </c>
      <c r="T597" s="110" t="e">
        <v>#N/A</v>
      </c>
      <c r="U597" s="110">
        <v>8.5447E9</v>
      </c>
      <c r="V597" s="112">
        <v>0.0</v>
      </c>
      <c r="W597" s="113">
        <v>30.0</v>
      </c>
      <c r="X597" s="110">
        <v>45.0</v>
      </c>
      <c r="Y597" s="110">
        <v>55.0</v>
      </c>
      <c r="Z597" s="110" t="s">
        <v>1938</v>
      </c>
      <c r="AA597" s="114">
        <f t="shared" si="786"/>
        <v>402.9920643</v>
      </c>
      <c r="AB597" s="115"/>
      <c r="AC597" s="116">
        <f t="shared" si="772"/>
        <v>373.7897408</v>
      </c>
      <c r="AD597" s="117">
        <f t="shared" si="783"/>
        <v>393.4628851</v>
      </c>
      <c r="AE597" s="116"/>
      <c r="AF597" s="116" t="str">
        <f t="shared" si="94"/>
        <v>#REF!</v>
      </c>
      <c r="AG597" s="210" t="str">
        <f t="shared" si="95"/>
        <v>#REF!</v>
      </c>
      <c r="AH597" s="120" t="str">
        <f t="shared" si="96"/>
        <v>#REF!</v>
      </c>
      <c r="AI597" s="121">
        <f t="shared" si="497"/>
        <v>0.07</v>
      </c>
      <c r="AJ597" s="121">
        <v>0.07</v>
      </c>
      <c r="AK597" s="122">
        <v>0.33999999999999997</v>
      </c>
      <c r="AL597" s="123">
        <f t="shared" si="11"/>
        <v>127.0885119</v>
      </c>
      <c r="AM597" s="122" t="s">
        <v>10</v>
      </c>
      <c r="AN597" s="125">
        <f t="shared" si="774"/>
        <v>373.7897408</v>
      </c>
      <c r="AO597" s="112">
        <f t="shared" si="775"/>
        <v>0.34</v>
      </c>
      <c r="AP597" s="127"/>
      <c r="AQ597" s="128">
        <f t="shared" si="787"/>
        <v>277.3278722</v>
      </c>
      <c r="AR597" s="125">
        <f t="shared" si="776"/>
        <v>265.2701386</v>
      </c>
      <c r="AS597" s="126">
        <f t="shared" si="733"/>
        <v>0.311827957</v>
      </c>
      <c r="AT597" s="126">
        <f t="shared" si="777"/>
        <v>0.2903225806</v>
      </c>
      <c r="AU597" s="129"/>
      <c r="AV597" s="39" t="s">
        <v>2242</v>
      </c>
      <c r="AW597" s="130"/>
      <c r="AX597" s="130"/>
      <c r="AY597" s="130"/>
      <c r="AZ597" s="130"/>
      <c r="BA597" s="130"/>
      <c r="BB597" s="130"/>
      <c r="BC597" s="392">
        <v>224.27384448448896</v>
      </c>
      <c r="BD597" s="132">
        <f t="shared" si="788"/>
        <v>246.7012289</v>
      </c>
      <c r="BE597" s="393"/>
      <c r="BF597" s="134"/>
      <c r="BG597" s="49"/>
      <c r="BH597" s="118">
        <f t="shared" si="714"/>
        <v>1245.965803</v>
      </c>
      <c r="BI597" s="118">
        <f t="shared" si="715"/>
        <v>747.5794816</v>
      </c>
      <c r="BJ597" s="118">
        <f t="shared" si="716"/>
        <v>622.9829013</v>
      </c>
      <c r="BK597" s="118">
        <f t="shared" si="717"/>
        <v>498.3863211</v>
      </c>
      <c r="BL597" s="49"/>
      <c r="BM597" s="49"/>
      <c r="BN597" s="394"/>
      <c r="BO597" s="49"/>
      <c r="BP597" s="49"/>
      <c r="BQ597" s="49"/>
      <c r="BR597" s="49"/>
      <c r="BS597" s="49"/>
      <c r="BT597" s="49"/>
      <c r="BU597" s="49"/>
      <c r="BV597" s="49"/>
      <c r="BW597" s="49"/>
      <c r="BX597" s="49"/>
      <c r="BY597" s="49"/>
      <c r="BZ597" s="49"/>
      <c r="CA597" s="49"/>
      <c r="CB597" s="49"/>
      <c r="CC597" s="49"/>
      <c r="CD597" s="49"/>
      <c r="CE597" s="49"/>
      <c r="CF597" s="49"/>
    </row>
    <row r="598" ht="14.25" customHeight="1">
      <c r="A598" s="103" t="s">
        <v>84</v>
      </c>
      <c r="B598" s="103" t="s">
        <v>120</v>
      </c>
      <c r="C598" s="103" t="s">
        <v>120</v>
      </c>
      <c r="D598" s="103" t="s">
        <v>1266</v>
      </c>
      <c r="E598" s="103" t="s">
        <v>1948</v>
      </c>
      <c r="F598" s="104" t="s">
        <v>2008</v>
      </c>
      <c r="G598" s="110" t="s">
        <v>1319</v>
      </c>
      <c r="H598" s="390">
        <v>4.0</v>
      </c>
      <c r="I598" s="391" t="s">
        <v>2275</v>
      </c>
      <c r="J598" s="220" t="s">
        <v>2276</v>
      </c>
      <c r="K598" s="220" t="str">
        <f>_xlfn.XLOOKUP(J598,[1]Sheet1!$A:$A,[1]Sheet1!$B:$B,"")</f>
        <v>#ERROR!</v>
      </c>
      <c r="L598" s="103" t="s">
        <v>2277</v>
      </c>
      <c r="M598" s="103" t="s">
        <v>2278</v>
      </c>
      <c r="N598" s="110" t="s">
        <v>206</v>
      </c>
      <c r="O598" s="104" t="s">
        <v>147</v>
      </c>
      <c r="P598" s="110"/>
      <c r="Q598" s="104" t="s">
        <v>1989</v>
      </c>
      <c r="R598" s="110" t="s">
        <v>1955</v>
      </c>
      <c r="S598" s="110">
        <v>2.0</v>
      </c>
      <c r="T598" s="110" t="e">
        <v>#N/A</v>
      </c>
      <c r="U598" s="110">
        <v>8.5447E9</v>
      </c>
      <c r="V598" s="112">
        <v>0.0</v>
      </c>
      <c r="W598" s="113">
        <v>30.0</v>
      </c>
      <c r="X598" s="110">
        <v>45.0</v>
      </c>
      <c r="Y598" s="110">
        <v>55.0</v>
      </c>
      <c r="Z598" s="110" t="s">
        <v>1938</v>
      </c>
      <c r="AA598" s="114">
        <f t="shared" si="786"/>
        <v>483.6075787</v>
      </c>
      <c r="AB598" s="115"/>
      <c r="AC598" s="116">
        <f t="shared" si="772"/>
        <v>448.5635513</v>
      </c>
      <c r="AD598" s="117">
        <f t="shared" si="783"/>
        <v>472.1721592</v>
      </c>
      <c r="AE598" s="116"/>
      <c r="AF598" s="116" t="str">
        <f t="shared" si="94"/>
        <v>#REF!</v>
      </c>
      <c r="AG598" s="210" t="str">
        <f t="shared" si="95"/>
        <v>#REF!</v>
      </c>
      <c r="AH598" s="120" t="str">
        <f t="shared" si="96"/>
        <v>#REF!</v>
      </c>
      <c r="AI598" s="121">
        <f t="shared" si="497"/>
        <v>0.07</v>
      </c>
      <c r="AJ598" s="121">
        <v>0.07</v>
      </c>
      <c r="AK598" s="122">
        <v>0.33999999999999997</v>
      </c>
      <c r="AL598" s="123">
        <f t="shared" si="11"/>
        <v>152.5116074</v>
      </c>
      <c r="AM598" s="122" t="s">
        <v>10</v>
      </c>
      <c r="AN598" s="125">
        <f t="shared" si="774"/>
        <v>448.5635513</v>
      </c>
      <c r="AO598" s="112">
        <f t="shared" si="775"/>
        <v>0.34</v>
      </c>
      <c r="AP598" s="127"/>
      <c r="AQ598" s="128">
        <f t="shared" si="787"/>
        <v>332.8052154</v>
      </c>
      <c r="AR598" s="125">
        <f t="shared" si="776"/>
        <v>318.3354235</v>
      </c>
      <c r="AS598" s="126">
        <f t="shared" si="733"/>
        <v>0.311827957</v>
      </c>
      <c r="AT598" s="126">
        <f t="shared" si="777"/>
        <v>0.2903225806</v>
      </c>
      <c r="AU598" s="129"/>
      <c r="AV598" s="39" t="s">
        <v>2242</v>
      </c>
      <c r="AW598" s="130"/>
      <c r="AX598" s="130"/>
      <c r="AY598" s="130"/>
      <c r="AZ598" s="130"/>
      <c r="BA598" s="130"/>
      <c r="BB598" s="130"/>
      <c r="BC598" s="392">
        <v>269.13813075141354</v>
      </c>
      <c r="BD598" s="132">
        <f t="shared" si="788"/>
        <v>296.0519438</v>
      </c>
      <c r="BE598" s="393"/>
      <c r="BF598" s="134"/>
      <c r="BG598" s="49"/>
      <c r="BH598" s="118">
        <f t="shared" si="714"/>
        <v>1495.211838</v>
      </c>
      <c r="BI598" s="118">
        <f t="shared" si="715"/>
        <v>897.1271025</v>
      </c>
      <c r="BJ598" s="118">
        <f t="shared" si="716"/>
        <v>747.6059188</v>
      </c>
      <c r="BK598" s="118">
        <f t="shared" si="717"/>
        <v>598.084735</v>
      </c>
      <c r="BL598" s="49"/>
      <c r="BM598" s="49"/>
      <c r="BN598" s="394"/>
      <c r="BO598" s="49"/>
      <c r="BP598" s="49"/>
      <c r="BQ598" s="49"/>
      <c r="BR598" s="49"/>
      <c r="BS598" s="49"/>
      <c r="BT598" s="49"/>
      <c r="BU598" s="49"/>
      <c r="BV598" s="49"/>
      <c r="BW598" s="49"/>
      <c r="BX598" s="49"/>
      <c r="BY598" s="49"/>
      <c r="BZ598" s="49"/>
      <c r="CA598" s="49"/>
      <c r="CB598" s="49"/>
      <c r="CC598" s="49"/>
      <c r="CD598" s="49"/>
      <c r="CE598" s="49"/>
      <c r="CF598" s="49"/>
    </row>
    <row r="599" ht="14.25" customHeight="1">
      <c r="A599" s="103" t="s">
        <v>84</v>
      </c>
      <c r="B599" s="103" t="s">
        <v>120</v>
      </c>
      <c r="C599" s="103" t="s">
        <v>120</v>
      </c>
      <c r="D599" s="103" t="s">
        <v>1266</v>
      </c>
      <c r="E599" s="103" t="s">
        <v>1948</v>
      </c>
      <c r="F599" s="104" t="s">
        <v>2008</v>
      </c>
      <c r="G599" s="110" t="s">
        <v>1319</v>
      </c>
      <c r="H599" s="390" t="s">
        <v>1950</v>
      </c>
      <c r="I599" s="391" t="s">
        <v>2279</v>
      </c>
      <c r="J599" s="220" t="s">
        <v>2010</v>
      </c>
      <c r="K599" s="220" t="str">
        <f>_xlfn.XLOOKUP(J599,[1]Sheet1!$A:$A,[1]Sheet1!$B:$B,"")</f>
        <v>#ERROR!</v>
      </c>
      <c r="L599" s="103" t="s">
        <v>2011</v>
      </c>
      <c r="M599" s="103" t="s">
        <v>2012</v>
      </c>
      <c r="N599" s="110" t="s">
        <v>206</v>
      </c>
      <c r="O599" s="104" t="s">
        <v>147</v>
      </c>
      <c r="P599" s="110"/>
      <c r="Q599" s="104" t="s">
        <v>1989</v>
      </c>
      <c r="R599" s="110" t="s">
        <v>1955</v>
      </c>
      <c r="S599" s="110">
        <v>2.0</v>
      </c>
      <c r="T599" s="110" t="e">
        <v>#N/A</v>
      </c>
      <c r="U599" s="110">
        <v>8.5447E9</v>
      </c>
      <c r="V599" s="112">
        <v>0.0</v>
      </c>
      <c r="W599" s="113">
        <v>30.0</v>
      </c>
      <c r="X599" s="110">
        <v>45.0</v>
      </c>
      <c r="Y599" s="110">
        <v>55.0</v>
      </c>
      <c r="Z599" s="110" t="s">
        <v>1938</v>
      </c>
      <c r="AA599" s="114">
        <f t="shared" si="786"/>
        <v>564.2230931</v>
      </c>
      <c r="AB599" s="115"/>
      <c r="AC599" s="116">
        <f t="shared" si="772"/>
        <v>523.3373617</v>
      </c>
      <c r="AD599" s="117">
        <f t="shared" si="783"/>
        <v>550.8814334</v>
      </c>
      <c r="AE599" s="116"/>
      <c r="AF599" s="116" t="str">
        <f t="shared" si="94"/>
        <v>#REF!</v>
      </c>
      <c r="AG599" s="210" t="str">
        <f t="shared" si="95"/>
        <v>#REF!</v>
      </c>
      <c r="AH599" s="120" t="str">
        <f t="shared" si="96"/>
        <v>#REF!</v>
      </c>
      <c r="AI599" s="121">
        <f t="shared" si="497"/>
        <v>0.07</v>
      </c>
      <c r="AJ599" s="121">
        <v>0.07</v>
      </c>
      <c r="AK599" s="122">
        <v>0.33999999999999997</v>
      </c>
      <c r="AL599" s="123">
        <f t="shared" si="11"/>
        <v>177.934703</v>
      </c>
      <c r="AM599" s="122" t="s">
        <v>10</v>
      </c>
      <c r="AN599" s="125">
        <f t="shared" si="774"/>
        <v>523.3373617</v>
      </c>
      <c r="AO599" s="112">
        <f t="shared" si="775"/>
        <v>0.34</v>
      </c>
      <c r="AP599" s="127"/>
      <c r="AQ599" s="128">
        <f t="shared" si="787"/>
        <v>388.2825587</v>
      </c>
      <c r="AR599" s="125">
        <f t="shared" si="776"/>
        <v>371.4007083</v>
      </c>
      <c r="AS599" s="126">
        <f t="shared" si="733"/>
        <v>0.311827957</v>
      </c>
      <c r="AT599" s="126">
        <f t="shared" si="777"/>
        <v>0.2903225806</v>
      </c>
      <c r="AU599" s="129"/>
      <c r="AV599" s="39" t="s">
        <v>2242</v>
      </c>
      <c r="AW599" s="130"/>
      <c r="AX599" s="130"/>
      <c r="AY599" s="130"/>
      <c r="AZ599" s="130"/>
      <c r="BA599" s="130"/>
      <c r="BB599" s="130"/>
      <c r="BC599" s="392">
        <v>314.0024170183381</v>
      </c>
      <c r="BD599" s="132">
        <f t="shared" si="788"/>
        <v>345.4026587</v>
      </c>
      <c r="BE599" s="393"/>
      <c r="BF599" s="134"/>
      <c r="BG599" s="49"/>
      <c r="BH599" s="118">
        <f t="shared" si="714"/>
        <v>1744.457872</v>
      </c>
      <c r="BI599" s="118">
        <f t="shared" si="715"/>
        <v>1046.674723</v>
      </c>
      <c r="BJ599" s="118">
        <f t="shared" si="716"/>
        <v>872.2289362</v>
      </c>
      <c r="BK599" s="118">
        <f t="shared" si="717"/>
        <v>697.7831489</v>
      </c>
      <c r="BL599" s="49"/>
      <c r="BM599" s="49"/>
      <c r="BN599" s="394"/>
      <c r="BO599" s="49"/>
      <c r="BP599" s="49"/>
      <c r="BQ599" s="49"/>
      <c r="BR599" s="49"/>
      <c r="BS599" s="49"/>
      <c r="BT599" s="49"/>
      <c r="BU599" s="49"/>
      <c r="BV599" s="49"/>
      <c r="BW599" s="49"/>
      <c r="BX599" s="49"/>
      <c r="BY599" s="49"/>
      <c r="BZ599" s="49"/>
      <c r="CA599" s="49"/>
      <c r="CB599" s="49"/>
      <c r="CC599" s="49"/>
      <c r="CD599" s="49"/>
      <c r="CE599" s="49"/>
      <c r="CF599" s="49"/>
    </row>
    <row r="600" ht="14.25" customHeight="1">
      <c r="A600" s="103" t="s">
        <v>84</v>
      </c>
      <c r="B600" s="103" t="s">
        <v>120</v>
      </c>
      <c r="C600" s="103" t="s">
        <v>120</v>
      </c>
      <c r="D600" s="103" t="s">
        <v>1266</v>
      </c>
      <c r="E600" s="103" t="s">
        <v>1948</v>
      </c>
      <c r="F600" s="104" t="s">
        <v>2008</v>
      </c>
      <c r="G600" s="110" t="s">
        <v>1319</v>
      </c>
      <c r="H600" s="390" t="s">
        <v>1957</v>
      </c>
      <c r="I600" s="391" t="s">
        <v>2280</v>
      </c>
      <c r="J600" s="220" t="s">
        <v>2014</v>
      </c>
      <c r="K600" s="220" t="str">
        <f>_xlfn.XLOOKUP(J600,[1]Sheet1!$A:$A,[1]Sheet1!$B:$B,"")</f>
        <v>#ERROR!</v>
      </c>
      <c r="L600" s="103" t="s">
        <v>2015</v>
      </c>
      <c r="M600" s="103" t="s">
        <v>2016</v>
      </c>
      <c r="N600" s="110" t="s">
        <v>206</v>
      </c>
      <c r="O600" s="104" t="s">
        <v>147</v>
      </c>
      <c r="P600" s="110"/>
      <c r="Q600" s="104" t="s">
        <v>1989</v>
      </c>
      <c r="R600" s="110" t="s">
        <v>1955</v>
      </c>
      <c r="S600" s="110">
        <v>2.0</v>
      </c>
      <c r="T600" s="110" t="e">
        <v>#N/A</v>
      </c>
      <c r="U600" s="110">
        <v>8.5447E9</v>
      </c>
      <c r="V600" s="112">
        <v>0.0</v>
      </c>
      <c r="W600" s="113">
        <v>30.0</v>
      </c>
      <c r="X600" s="110">
        <v>45.0</v>
      </c>
      <c r="Y600" s="110">
        <v>55.0</v>
      </c>
      <c r="Z600" s="110" t="s">
        <v>1938</v>
      </c>
      <c r="AA600" s="114">
        <f t="shared" si="786"/>
        <v>644.8386075</v>
      </c>
      <c r="AB600" s="115"/>
      <c r="AC600" s="116">
        <f t="shared" si="772"/>
        <v>598.1111721</v>
      </c>
      <c r="AD600" s="117">
        <f t="shared" si="783"/>
        <v>629.5907075</v>
      </c>
      <c r="AE600" s="116"/>
      <c r="AF600" s="116" t="str">
        <f t="shared" si="94"/>
        <v>#REF!</v>
      </c>
      <c r="AG600" s="210" t="str">
        <f t="shared" si="95"/>
        <v>#REF!</v>
      </c>
      <c r="AH600" s="120" t="str">
        <f t="shared" si="96"/>
        <v>#REF!</v>
      </c>
      <c r="AI600" s="121">
        <f t="shared" si="497"/>
        <v>0.07</v>
      </c>
      <c r="AJ600" s="121">
        <v>0.07</v>
      </c>
      <c r="AK600" s="122">
        <v>0.33999999999999997</v>
      </c>
      <c r="AL600" s="123">
        <f t="shared" si="11"/>
        <v>203.3577985</v>
      </c>
      <c r="AM600" s="122" t="s">
        <v>10</v>
      </c>
      <c r="AN600" s="125">
        <f t="shared" si="774"/>
        <v>598.1111721</v>
      </c>
      <c r="AO600" s="112">
        <f t="shared" si="775"/>
        <v>0.34</v>
      </c>
      <c r="AP600" s="127"/>
      <c r="AQ600" s="128">
        <f t="shared" si="787"/>
        <v>443.7599019</v>
      </c>
      <c r="AR600" s="125">
        <f t="shared" si="776"/>
        <v>424.4659931</v>
      </c>
      <c r="AS600" s="126">
        <f t="shared" si="733"/>
        <v>0.311827957</v>
      </c>
      <c r="AT600" s="126">
        <f t="shared" si="777"/>
        <v>0.2903225806</v>
      </c>
      <c r="AU600" s="129"/>
      <c r="AV600" s="39" t="s">
        <v>2242</v>
      </c>
      <c r="AW600" s="130"/>
      <c r="AX600" s="130"/>
      <c r="AY600" s="130"/>
      <c r="AZ600" s="130"/>
      <c r="BA600" s="130"/>
      <c r="BB600" s="130"/>
      <c r="BC600" s="392">
        <v>358.86670328526264</v>
      </c>
      <c r="BD600" s="132">
        <f t="shared" si="788"/>
        <v>394.7533736</v>
      </c>
      <c r="BE600" s="393"/>
      <c r="BF600" s="134"/>
      <c r="BG600" s="49"/>
      <c r="BH600" s="118">
        <f t="shared" si="714"/>
        <v>1993.703907</v>
      </c>
      <c r="BI600" s="118">
        <f t="shared" si="715"/>
        <v>1196.222344</v>
      </c>
      <c r="BJ600" s="118">
        <f t="shared" si="716"/>
        <v>996.8519536</v>
      </c>
      <c r="BK600" s="118">
        <f t="shared" si="717"/>
        <v>797.4815629</v>
      </c>
      <c r="BL600" s="49"/>
      <c r="BM600" s="49"/>
      <c r="BN600" s="394"/>
      <c r="BO600" s="49"/>
      <c r="BP600" s="49"/>
      <c r="BQ600" s="49"/>
      <c r="BR600" s="49"/>
      <c r="BS600" s="49"/>
      <c r="BT600" s="49"/>
      <c r="BU600" s="49"/>
      <c r="BV600" s="49"/>
      <c r="BW600" s="49"/>
      <c r="BX600" s="49"/>
      <c r="BY600" s="49"/>
      <c r="BZ600" s="49"/>
      <c r="CA600" s="49"/>
      <c r="CB600" s="49"/>
      <c r="CC600" s="49"/>
      <c r="CD600" s="49"/>
      <c r="CE600" s="49"/>
      <c r="CF600" s="49"/>
    </row>
    <row r="601" ht="14.25" customHeight="1">
      <c r="A601" s="103" t="s">
        <v>84</v>
      </c>
      <c r="B601" s="103" t="s">
        <v>120</v>
      </c>
      <c r="C601" s="103" t="s">
        <v>120</v>
      </c>
      <c r="D601" s="103" t="s">
        <v>1266</v>
      </c>
      <c r="E601" s="103" t="s">
        <v>1948</v>
      </c>
      <c r="F601" s="104" t="s">
        <v>2008</v>
      </c>
      <c r="G601" s="110" t="s">
        <v>1319</v>
      </c>
      <c r="H601" s="390">
        <v>10.0</v>
      </c>
      <c r="I601" s="391" t="s">
        <v>2281</v>
      </c>
      <c r="J601" s="220" t="s">
        <v>2282</v>
      </c>
      <c r="K601" s="220" t="str">
        <f>_xlfn.XLOOKUP(J601,[1]Sheet1!$A:$A,[1]Sheet1!$B:$B,"")</f>
        <v>#ERROR!</v>
      </c>
      <c r="L601" s="103" t="s">
        <v>2283</v>
      </c>
      <c r="M601" s="103" t="s">
        <v>2284</v>
      </c>
      <c r="N601" s="110" t="s">
        <v>206</v>
      </c>
      <c r="O601" s="104" t="s">
        <v>147</v>
      </c>
      <c r="P601" s="110"/>
      <c r="Q601" s="104" t="s">
        <v>1989</v>
      </c>
      <c r="R601" s="110" t="s">
        <v>1955</v>
      </c>
      <c r="S601" s="110">
        <v>2.0</v>
      </c>
      <c r="T601" s="110" t="e">
        <v>#N/A</v>
      </c>
      <c r="U601" s="110">
        <v>8.5447E9</v>
      </c>
      <c r="V601" s="112">
        <v>0.0</v>
      </c>
      <c r="W601" s="113">
        <v>30.0</v>
      </c>
      <c r="X601" s="110">
        <v>45.0</v>
      </c>
      <c r="Y601" s="110">
        <v>55.0</v>
      </c>
      <c r="Z601" s="110" t="s">
        <v>1938</v>
      </c>
      <c r="AA601" s="114">
        <f t="shared" si="786"/>
        <v>725.4541219</v>
      </c>
      <c r="AB601" s="115"/>
      <c r="AC601" s="116">
        <f t="shared" si="772"/>
        <v>672.8849826</v>
      </c>
      <c r="AD601" s="117">
        <f t="shared" si="783"/>
        <v>708.2999817</v>
      </c>
      <c r="AE601" s="116"/>
      <c r="AF601" s="116" t="str">
        <f t="shared" si="94"/>
        <v>#REF!</v>
      </c>
      <c r="AG601" s="210" t="str">
        <f t="shared" si="95"/>
        <v>#REF!</v>
      </c>
      <c r="AH601" s="120" t="str">
        <f t="shared" si="96"/>
        <v>#REF!</v>
      </c>
      <c r="AI601" s="121">
        <f t="shared" si="497"/>
        <v>0.07</v>
      </c>
      <c r="AJ601" s="121">
        <v>0.07</v>
      </c>
      <c r="AK601" s="122">
        <v>0.33999999999999997</v>
      </c>
      <c r="AL601" s="123">
        <f t="shared" si="11"/>
        <v>228.7808941</v>
      </c>
      <c r="AM601" s="122" t="s">
        <v>10</v>
      </c>
      <c r="AN601" s="125">
        <f t="shared" si="774"/>
        <v>672.8849826</v>
      </c>
      <c r="AO601" s="112">
        <f t="shared" si="775"/>
        <v>0.34</v>
      </c>
      <c r="AP601" s="127"/>
      <c r="AQ601" s="128">
        <f t="shared" si="787"/>
        <v>499.2372451</v>
      </c>
      <c r="AR601" s="125">
        <f t="shared" si="776"/>
        <v>477.531278</v>
      </c>
      <c r="AS601" s="126">
        <f t="shared" si="733"/>
        <v>0.311827957</v>
      </c>
      <c r="AT601" s="126">
        <f t="shared" si="777"/>
        <v>0.2903225806</v>
      </c>
      <c r="AU601" s="129"/>
      <c r="AV601" s="39" t="s">
        <v>2242</v>
      </c>
      <c r="AW601" s="130"/>
      <c r="AX601" s="130"/>
      <c r="AY601" s="130"/>
      <c r="AZ601" s="130"/>
      <c r="BA601" s="130"/>
      <c r="BB601" s="130"/>
      <c r="BC601" s="392">
        <v>403.7309895521872</v>
      </c>
      <c r="BD601" s="132">
        <f t="shared" si="788"/>
        <v>444.1040885</v>
      </c>
      <c r="BE601" s="393"/>
      <c r="BF601" s="134"/>
      <c r="BG601" s="49"/>
      <c r="BH601" s="118">
        <f t="shared" si="714"/>
        <v>2242.949942</v>
      </c>
      <c r="BI601" s="118">
        <f t="shared" si="715"/>
        <v>1345.769965</v>
      </c>
      <c r="BJ601" s="118">
        <f t="shared" si="716"/>
        <v>1121.474971</v>
      </c>
      <c r="BK601" s="118">
        <f t="shared" si="717"/>
        <v>897.1799768</v>
      </c>
      <c r="BL601" s="49"/>
      <c r="BM601" s="49"/>
      <c r="BN601" s="394"/>
      <c r="BO601" s="49"/>
      <c r="BP601" s="49"/>
      <c r="BQ601" s="49"/>
      <c r="BR601" s="49"/>
      <c r="BS601" s="49"/>
      <c r="BT601" s="49"/>
      <c r="BU601" s="49"/>
      <c r="BV601" s="49"/>
      <c r="BW601" s="49"/>
      <c r="BX601" s="49"/>
      <c r="BY601" s="49"/>
      <c r="BZ601" s="49"/>
      <c r="CA601" s="49"/>
      <c r="CB601" s="49"/>
      <c r="CC601" s="49"/>
      <c r="CD601" s="49"/>
      <c r="CE601" s="49"/>
      <c r="CF601" s="49"/>
    </row>
    <row r="602" ht="14.25" customHeight="1">
      <c r="A602" s="103" t="s">
        <v>84</v>
      </c>
      <c r="B602" s="103" t="s">
        <v>120</v>
      </c>
      <c r="C602" s="103" t="s">
        <v>120</v>
      </c>
      <c r="D602" s="103" t="s">
        <v>1266</v>
      </c>
      <c r="E602" s="103" t="s">
        <v>1948</v>
      </c>
      <c r="F602" s="104" t="s">
        <v>2008</v>
      </c>
      <c r="G602" s="110" t="s">
        <v>1319</v>
      </c>
      <c r="H602" s="390" t="s">
        <v>1962</v>
      </c>
      <c r="I602" s="391" t="s">
        <v>2285</v>
      </c>
      <c r="J602" s="220" t="s">
        <v>2018</v>
      </c>
      <c r="K602" s="220" t="str">
        <f>_xlfn.XLOOKUP(J602,[1]Sheet1!$A:$A,[1]Sheet1!$B:$B,"")</f>
        <v>#ERROR!</v>
      </c>
      <c r="L602" s="103" t="s">
        <v>2019</v>
      </c>
      <c r="M602" s="103" t="s">
        <v>2020</v>
      </c>
      <c r="N602" s="110" t="s">
        <v>206</v>
      </c>
      <c r="O602" s="104" t="s">
        <v>147</v>
      </c>
      <c r="P602" s="110"/>
      <c r="Q602" s="104" t="s">
        <v>1989</v>
      </c>
      <c r="R602" s="110" t="s">
        <v>1955</v>
      </c>
      <c r="S602" s="110">
        <v>2.0</v>
      </c>
      <c r="T602" s="110" t="e">
        <v>#N/A</v>
      </c>
      <c r="U602" s="110">
        <v>8.5447E9</v>
      </c>
      <c r="V602" s="112">
        <v>0.0</v>
      </c>
      <c r="W602" s="113">
        <v>30.0</v>
      </c>
      <c r="X602" s="110">
        <v>45.0</v>
      </c>
      <c r="Y602" s="110">
        <v>55.0</v>
      </c>
      <c r="Z602" s="110" t="s">
        <v>1938</v>
      </c>
      <c r="AA602" s="114">
        <f t="shared" si="786"/>
        <v>806.0696362</v>
      </c>
      <c r="AB602" s="115"/>
      <c r="AC602" s="116">
        <f t="shared" si="772"/>
        <v>747.658793</v>
      </c>
      <c r="AD602" s="117">
        <f t="shared" si="783"/>
        <v>787.0092558</v>
      </c>
      <c r="AE602" s="116"/>
      <c r="AF602" s="116" t="str">
        <f t="shared" si="94"/>
        <v>#REF!</v>
      </c>
      <c r="AG602" s="210" t="str">
        <f t="shared" si="95"/>
        <v>#REF!</v>
      </c>
      <c r="AH602" s="120" t="str">
        <f t="shared" si="96"/>
        <v>#REF!</v>
      </c>
      <c r="AI602" s="121">
        <f t="shared" si="497"/>
        <v>0.07</v>
      </c>
      <c r="AJ602" s="121">
        <v>0.07</v>
      </c>
      <c r="AK602" s="122">
        <v>0.33999999999999997</v>
      </c>
      <c r="AL602" s="123">
        <f t="shared" si="11"/>
        <v>254.2039896</v>
      </c>
      <c r="AM602" s="122" t="s">
        <v>10</v>
      </c>
      <c r="AN602" s="125">
        <f t="shared" si="774"/>
        <v>747.658793</v>
      </c>
      <c r="AO602" s="112">
        <f t="shared" si="775"/>
        <v>0.34</v>
      </c>
      <c r="AP602" s="127"/>
      <c r="AQ602" s="128">
        <f t="shared" si="787"/>
        <v>554.7145884</v>
      </c>
      <c r="AR602" s="125">
        <f t="shared" si="776"/>
        <v>530.5965628</v>
      </c>
      <c r="AS602" s="126">
        <f t="shared" si="733"/>
        <v>0.311827957</v>
      </c>
      <c r="AT602" s="126">
        <f t="shared" si="777"/>
        <v>0.2903225806</v>
      </c>
      <c r="AU602" s="129"/>
      <c r="AV602" s="39" t="s">
        <v>2242</v>
      </c>
      <c r="AW602" s="130"/>
      <c r="AX602" s="130"/>
      <c r="AY602" s="130"/>
      <c r="AZ602" s="130"/>
      <c r="BA602" s="130"/>
      <c r="BB602" s="130"/>
      <c r="BC602" s="392">
        <v>448.5952758191118</v>
      </c>
      <c r="BD602" s="132">
        <f t="shared" si="788"/>
        <v>493.4548034</v>
      </c>
      <c r="BE602" s="393"/>
      <c r="BF602" s="134"/>
      <c r="BG602" s="49"/>
      <c r="BH602" s="118">
        <f t="shared" si="714"/>
        <v>2492.195977</v>
      </c>
      <c r="BI602" s="118">
        <f t="shared" si="715"/>
        <v>1495.317586</v>
      </c>
      <c r="BJ602" s="118">
        <f t="shared" si="716"/>
        <v>1246.097988</v>
      </c>
      <c r="BK602" s="118">
        <f t="shared" si="717"/>
        <v>996.8783907</v>
      </c>
      <c r="BL602" s="49"/>
      <c r="BM602" s="49"/>
      <c r="BN602" s="394"/>
      <c r="BO602" s="49"/>
      <c r="BP602" s="49"/>
      <c r="BQ602" s="49"/>
      <c r="BR602" s="49"/>
      <c r="BS602" s="49"/>
      <c r="BT602" s="49"/>
      <c r="BU602" s="49"/>
      <c r="BV602" s="49"/>
      <c r="BW602" s="49"/>
      <c r="BX602" s="49"/>
      <c r="BY602" s="49"/>
      <c r="BZ602" s="49"/>
      <c r="CA602" s="49"/>
      <c r="CB602" s="49"/>
      <c r="CC602" s="49"/>
      <c r="CD602" s="49"/>
      <c r="CE602" s="49"/>
      <c r="CF602" s="49"/>
    </row>
    <row r="603" ht="14.25" customHeight="1">
      <c r="A603" s="103" t="s">
        <v>84</v>
      </c>
      <c r="B603" s="103" t="s">
        <v>120</v>
      </c>
      <c r="C603" s="103" t="s">
        <v>120</v>
      </c>
      <c r="D603" s="103" t="s">
        <v>1266</v>
      </c>
      <c r="E603" s="103" t="s">
        <v>1948</v>
      </c>
      <c r="F603" s="104" t="s">
        <v>2008</v>
      </c>
      <c r="G603" s="110" t="s">
        <v>1319</v>
      </c>
      <c r="H603" s="390">
        <v>16.0</v>
      </c>
      <c r="I603" s="391" t="s">
        <v>2286</v>
      </c>
      <c r="J603" s="220" t="s">
        <v>2287</v>
      </c>
      <c r="K603" s="220" t="str">
        <f>_xlfn.XLOOKUP(J603,[1]Sheet1!$A:$A,[1]Sheet1!$B:$B,"")</f>
        <v>#ERROR!</v>
      </c>
      <c r="L603" s="103" t="s">
        <v>2288</v>
      </c>
      <c r="M603" s="103" t="s">
        <v>2289</v>
      </c>
      <c r="N603" s="110" t="s">
        <v>206</v>
      </c>
      <c r="O603" s="104" t="s">
        <v>147</v>
      </c>
      <c r="P603" s="110"/>
      <c r="Q603" s="104" t="s">
        <v>1989</v>
      </c>
      <c r="R603" s="110" t="s">
        <v>1955</v>
      </c>
      <c r="S603" s="110">
        <v>2.0</v>
      </c>
      <c r="T603" s="110" t="e">
        <v>#N/A</v>
      </c>
      <c r="U603" s="110">
        <v>8.5447E9</v>
      </c>
      <c r="V603" s="112">
        <v>0.0</v>
      </c>
      <c r="W603" s="113">
        <v>30.0</v>
      </c>
      <c r="X603" s="110">
        <v>45.0</v>
      </c>
      <c r="Y603" s="110">
        <v>55.0</v>
      </c>
      <c r="Z603" s="110" t="s">
        <v>1938</v>
      </c>
      <c r="AA603" s="114">
        <f t="shared" si="786"/>
        <v>980.1185438</v>
      </c>
      <c r="AB603" s="115"/>
      <c r="AC603" s="116">
        <f t="shared" si="772"/>
        <v>909.0954609</v>
      </c>
      <c r="AD603" s="117">
        <f t="shared" si="783"/>
        <v>956.9425904</v>
      </c>
      <c r="AE603" s="116"/>
      <c r="AF603" s="116" t="str">
        <f t="shared" si="94"/>
        <v>#REF!</v>
      </c>
      <c r="AG603" s="210" t="str">
        <f t="shared" si="95"/>
        <v>#REF!</v>
      </c>
      <c r="AH603" s="120" t="str">
        <f t="shared" si="96"/>
        <v>#REF!</v>
      </c>
      <c r="AI603" s="121">
        <f t="shared" si="497"/>
        <v>0.07</v>
      </c>
      <c r="AJ603" s="121">
        <v>0.07</v>
      </c>
      <c r="AK603" s="122">
        <v>0.33999999999999997</v>
      </c>
      <c r="AL603" s="123">
        <f t="shared" si="11"/>
        <v>309.0924567</v>
      </c>
      <c r="AM603" s="122" t="s">
        <v>10</v>
      </c>
      <c r="AN603" s="125">
        <f t="shared" si="774"/>
        <v>909.0954609</v>
      </c>
      <c r="AO603" s="112">
        <f t="shared" si="775"/>
        <v>0.34</v>
      </c>
      <c r="AP603" s="127"/>
      <c r="AQ603" s="128">
        <f t="shared" si="787"/>
        <v>674.4901807</v>
      </c>
      <c r="AR603" s="125">
        <f t="shared" si="776"/>
        <v>645.1645207</v>
      </c>
      <c r="AS603" s="126">
        <f t="shared" si="733"/>
        <v>0.311827957</v>
      </c>
      <c r="AT603" s="126">
        <f t="shared" si="777"/>
        <v>0.2903225806</v>
      </c>
      <c r="AU603" s="129"/>
      <c r="AV603" s="39" t="s">
        <v>2242</v>
      </c>
      <c r="AW603" s="130"/>
      <c r="AX603" s="130"/>
      <c r="AY603" s="130"/>
      <c r="AZ603" s="130"/>
      <c r="BA603" s="130"/>
      <c r="BB603" s="130"/>
      <c r="BC603" s="392">
        <v>545.4572765506676</v>
      </c>
      <c r="BD603" s="132">
        <f t="shared" si="788"/>
        <v>600.0030042</v>
      </c>
      <c r="BE603" s="393"/>
      <c r="BF603" s="134"/>
      <c r="BG603" s="49"/>
      <c r="BH603" s="118">
        <f t="shared" si="714"/>
        <v>3030.318203</v>
      </c>
      <c r="BI603" s="118">
        <f t="shared" si="715"/>
        <v>1818.190922</v>
      </c>
      <c r="BJ603" s="118">
        <f t="shared" si="716"/>
        <v>1515.159102</v>
      </c>
      <c r="BK603" s="118">
        <f t="shared" si="717"/>
        <v>1212.127281</v>
      </c>
      <c r="BL603" s="49"/>
      <c r="BM603" s="49"/>
      <c r="BN603" s="394"/>
      <c r="BO603" s="49"/>
      <c r="BP603" s="49"/>
      <c r="BQ603" s="49"/>
      <c r="BR603" s="49"/>
      <c r="BS603" s="49"/>
      <c r="BT603" s="49"/>
      <c r="BU603" s="49"/>
      <c r="BV603" s="49"/>
      <c r="BW603" s="49"/>
      <c r="BX603" s="49"/>
      <c r="BY603" s="49"/>
      <c r="BZ603" s="49"/>
      <c r="CA603" s="49"/>
      <c r="CB603" s="49"/>
      <c r="CC603" s="49"/>
      <c r="CD603" s="49"/>
      <c r="CE603" s="49"/>
      <c r="CF603" s="49"/>
    </row>
    <row r="604" ht="14.25" customHeight="1">
      <c r="A604" s="103" t="s">
        <v>84</v>
      </c>
      <c r="B604" s="103" t="s">
        <v>120</v>
      </c>
      <c r="C604" s="103" t="s">
        <v>120</v>
      </c>
      <c r="D604" s="103" t="s">
        <v>1266</v>
      </c>
      <c r="E604" s="103" t="s">
        <v>1948</v>
      </c>
      <c r="F604" s="104" t="s">
        <v>2008</v>
      </c>
      <c r="G604" s="110" t="s">
        <v>1319</v>
      </c>
      <c r="H604" s="390">
        <v>20.0</v>
      </c>
      <c r="I604" s="391" t="s">
        <v>2290</v>
      </c>
      <c r="J604" s="220" t="s">
        <v>2291</v>
      </c>
      <c r="K604" s="220" t="str">
        <f>_xlfn.XLOOKUP(J604,[1]Sheet1!$A:$A,[1]Sheet1!$B:$B,"")</f>
        <v>#ERROR!</v>
      </c>
      <c r="L604" s="103" t="s">
        <v>2292</v>
      </c>
      <c r="M604" s="103" t="s">
        <v>2293</v>
      </c>
      <c r="N604" s="110" t="s">
        <v>206</v>
      </c>
      <c r="O604" s="104" t="s">
        <v>147</v>
      </c>
      <c r="P604" s="110"/>
      <c r="Q604" s="104" t="s">
        <v>1989</v>
      </c>
      <c r="R604" s="110" t="s">
        <v>1955</v>
      </c>
      <c r="S604" s="110">
        <v>2.0</v>
      </c>
      <c r="T604" s="110" t="e">
        <v>#N/A</v>
      </c>
      <c r="U604" s="110">
        <v>8.5447E9</v>
      </c>
      <c r="V604" s="112">
        <v>0.0</v>
      </c>
      <c r="W604" s="113">
        <v>30.0</v>
      </c>
      <c r="X604" s="110">
        <v>45.0</v>
      </c>
      <c r="Y604" s="110">
        <v>55.0</v>
      </c>
      <c r="Z604" s="110" t="s">
        <v>1938</v>
      </c>
      <c r="AA604" s="114">
        <f t="shared" si="786"/>
        <v>1154.591688</v>
      </c>
      <c r="AB604" s="115"/>
      <c r="AC604" s="116">
        <f t="shared" si="772"/>
        <v>1070.925624</v>
      </c>
      <c r="AD604" s="117">
        <f t="shared" si="783"/>
        <v>1127.29013</v>
      </c>
      <c r="AE604" s="116"/>
      <c r="AF604" s="116" t="str">
        <f t="shared" si="94"/>
        <v>#REF!</v>
      </c>
      <c r="AG604" s="210" t="str">
        <f t="shared" si="95"/>
        <v>#REF!</v>
      </c>
      <c r="AH604" s="120" t="str">
        <f t="shared" si="96"/>
        <v>#REF!</v>
      </c>
      <c r="AI604" s="121">
        <f t="shared" si="497"/>
        <v>0.07</v>
      </c>
      <c r="AJ604" s="121">
        <v>0.07</v>
      </c>
      <c r="AK604" s="122">
        <v>0.33999999999999997</v>
      </c>
      <c r="AL604" s="123">
        <f t="shared" si="11"/>
        <v>364.114712</v>
      </c>
      <c r="AM604" s="122" t="s">
        <v>10</v>
      </c>
      <c r="AN604" s="125">
        <f t="shared" si="774"/>
        <v>1070.925624</v>
      </c>
      <c r="AO604" s="112">
        <f t="shared" si="775"/>
        <v>0.34</v>
      </c>
      <c r="AP604" s="127"/>
      <c r="AQ604" s="128">
        <f t="shared" si="787"/>
        <v>794.5577207</v>
      </c>
      <c r="AR604" s="125">
        <f t="shared" si="776"/>
        <v>760.0117328</v>
      </c>
      <c r="AS604" s="126">
        <f t="shared" si="733"/>
        <v>0.311827957</v>
      </c>
      <c r="AT604" s="126">
        <f t="shared" si="777"/>
        <v>0.2903225806</v>
      </c>
      <c r="AU604" s="129"/>
      <c r="AV604" s="39" t="s">
        <v>2242</v>
      </c>
      <c r="AW604" s="130"/>
      <c r="AX604" s="130"/>
      <c r="AY604" s="130"/>
      <c r="AZ604" s="130"/>
      <c r="BA604" s="130"/>
      <c r="BB604" s="130"/>
      <c r="BC604" s="392">
        <v>642.5553741334235</v>
      </c>
      <c r="BD604" s="132">
        <f t="shared" si="788"/>
        <v>706.8109115</v>
      </c>
      <c r="BE604" s="393"/>
      <c r="BF604" s="134"/>
      <c r="BG604" s="49"/>
      <c r="BH604" s="118">
        <f t="shared" si="714"/>
        <v>3569.752079</v>
      </c>
      <c r="BI604" s="118">
        <f t="shared" si="715"/>
        <v>2141.851247</v>
      </c>
      <c r="BJ604" s="118">
        <f t="shared" si="716"/>
        <v>1784.876039</v>
      </c>
      <c r="BK604" s="118">
        <f t="shared" si="717"/>
        <v>1427.900831</v>
      </c>
      <c r="BL604" s="49"/>
      <c r="BM604" s="49"/>
      <c r="BN604" s="394"/>
      <c r="BO604" s="49"/>
      <c r="BP604" s="49"/>
      <c r="BQ604" s="49"/>
      <c r="BR604" s="49"/>
      <c r="BS604" s="49"/>
      <c r="BT604" s="49"/>
      <c r="BU604" s="49"/>
      <c r="BV604" s="49"/>
      <c r="BW604" s="49"/>
      <c r="BX604" s="49"/>
      <c r="BY604" s="49"/>
      <c r="BZ604" s="49"/>
      <c r="CA604" s="49"/>
      <c r="CB604" s="49"/>
      <c r="CC604" s="49"/>
      <c r="CD604" s="49"/>
      <c r="CE604" s="49"/>
      <c r="CF604" s="49"/>
    </row>
    <row r="605" ht="14.25" customHeight="1">
      <c r="A605" s="103" t="s">
        <v>84</v>
      </c>
      <c r="B605" s="103" t="s">
        <v>120</v>
      </c>
      <c r="C605" s="103" t="s">
        <v>120</v>
      </c>
      <c r="D605" s="103" t="s">
        <v>1266</v>
      </c>
      <c r="E605" s="103" t="s">
        <v>1948</v>
      </c>
      <c r="F605" s="104" t="s">
        <v>2008</v>
      </c>
      <c r="G605" s="110" t="s">
        <v>1319</v>
      </c>
      <c r="H605" s="390" t="s">
        <v>1967</v>
      </c>
      <c r="I605" s="391" t="s">
        <v>2294</v>
      </c>
      <c r="J605" s="220" t="s">
        <v>2022</v>
      </c>
      <c r="K605" s="220" t="str">
        <f>_xlfn.XLOOKUP(J605,[1]Sheet1!$A:$A,[1]Sheet1!$B:$B,"")</f>
        <v>#ERROR!</v>
      </c>
      <c r="L605" s="103" t="s">
        <v>2023</v>
      </c>
      <c r="M605" s="103" t="s">
        <v>2024</v>
      </c>
      <c r="N605" s="110" t="s">
        <v>206</v>
      </c>
      <c r="O605" s="104" t="s">
        <v>147</v>
      </c>
      <c r="P605" s="110"/>
      <c r="Q605" s="104" t="s">
        <v>1989</v>
      </c>
      <c r="R605" s="110" t="s">
        <v>1955</v>
      </c>
      <c r="S605" s="110">
        <v>2.0</v>
      </c>
      <c r="T605" s="110" t="e">
        <v>#N/A</v>
      </c>
      <c r="U605" s="110">
        <v>8.5447E9</v>
      </c>
      <c r="V605" s="112">
        <v>0.0</v>
      </c>
      <c r="W605" s="113">
        <v>30.0</v>
      </c>
      <c r="X605" s="110">
        <v>45.0</v>
      </c>
      <c r="Y605" s="110">
        <v>55.0</v>
      </c>
      <c r="Z605" s="110" t="s">
        <v>1938</v>
      </c>
      <c r="AA605" s="114">
        <f t="shared" si="786"/>
        <v>1315.822717</v>
      </c>
      <c r="AB605" s="115"/>
      <c r="AC605" s="116">
        <f t="shared" si="772"/>
        <v>1220.473244</v>
      </c>
      <c r="AD605" s="117">
        <f t="shared" si="783"/>
        <v>1284.708678</v>
      </c>
      <c r="AE605" s="116"/>
      <c r="AF605" s="116" t="str">
        <f t="shared" si="94"/>
        <v>#REF!</v>
      </c>
      <c r="AG605" s="210" t="str">
        <f t="shared" si="95"/>
        <v>#REF!</v>
      </c>
      <c r="AH605" s="120" t="str">
        <f t="shared" si="96"/>
        <v>#REF!</v>
      </c>
      <c r="AI605" s="121">
        <f t="shared" si="497"/>
        <v>0.07</v>
      </c>
      <c r="AJ605" s="121">
        <v>0.07</v>
      </c>
      <c r="AK605" s="122">
        <v>0.33999999999999997</v>
      </c>
      <c r="AL605" s="123">
        <f t="shared" si="11"/>
        <v>414.9609031</v>
      </c>
      <c r="AM605" s="122" t="s">
        <v>10</v>
      </c>
      <c r="AN605" s="125">
        <f t="shared" si="774"/>
        <v>1220.473244</v>
      </c>
      <c r="AO605" s="112">
        <f t="shared" si="775"/>
        <v>0.34</v>
      </c>
      <c r="AP605" s="127"/>
      <c r="AQ605" s="128">
        <f t="shared" si="787"/>
        <v>905.5124072</v>
      </c>
      <c r="AR605" s="125">
        <f t="shared" si="776"/>
        <v>866.1423025</v>
      </c>
      <c r="AS605" s="126">
        <f t="shared" si="733"/>
        <v>0.311827957</v>
      </c>
      <c r="AT605" s="126">
        <f t="shared" si="777"/>
        <v>0.2903225806</v>
      </c>
      <c r="AU605" s="129"/>
      <c r="AV605" s="39" t="s">
        <v>2242</v>
      </c>
      <c r="AW605" s="130"/>
      <c r="AX605" s="130"/>
      <c r="AY605" s="130"/>
      <c r="AZ605" s="130"/>
      <c r="BA605" s="130"/>
      <c r="BB605" s="130"/>
      <c r="BC605" s="392">
        <v>732.2839466672727</v>
      </c>
      <c r="BD605" s="132">
        <f t="shared" si="788"/>
        <v>805.5123413</v>
      </c>
      <c r="BE605" s="393"/>
      <c r="BF605" s="134"/>
      <c r="BG605" s="49"/>
      <c r="BH605" s="118">
        <f t="shared" si="714"/>
        <v>4068.244148</v>
      </c>
      <c r="BI605" s="118">
        <f t="shared" si="715"/>
        <v>2440.946489</v>
      </c>
      <c r="BJ605" s="118">
        <f t="shared" si="716"/>
        <v>2034.122074</v>
      </c>
      <c r="BK605" s="118">
        <f t="shared" si="717"/>
        <v>1627.297659</v>
      </c>
      <c r="BL605" s="49"/>
      <c r="BM605" s="49"/>
      <c r="BN605" s="394"/>
      <c r="BO605" s="49"/>
      <c r="BP605" s="49"/>
      <c r="BQ605" s="49"/>
      <c r="BR605" s="49"/>
      <c r="BS605" s="49"/>
      <c r="BT605" s="49"/>
      <c r="BU605" s="49"/>
      <c r="BV605" s="49"/>
      <c r="BW605" s="49"/>
      <c r="BX605" s="49"/>
      <c r="BY605" s="49"/>
      <c r="BZ605" s="49"/>
      <c r="CA605" s="49"/>
      <c r="CB605" s="49"/>
      <c r="CC605" s="49"/>
      <c r="CD605" s="49"/>
      <c r="CE605" s="49"/>
      <c r="CF605" s="49"/>
    </row>
    <row r="606" ht="14.25" customHeight="1">
      <c r="A606" s="103" t="s">
        <v>84</v>
      </c>
      <c r="B606" s="103" t="s">
        <v>120</v>
      </c>
      <c r="C606" s="103" t="s">
        <v>120</v>
      </c>
      <c r="D606" s="103" t="s">
        <v>1266</v>
      </c>
      <c r="E606" s="103" t="s">
        <v>1948</v>
      </c>
      <c r="F606" s="104" t="s">
        <v>2008</v>
      </c>
      <c r="G606" s="110" t="s">
        <v>1319</v>
      </c>
      <c r="H606" s="390" t="s">
        <v>1962</v>
      </c>
      <c r="I606" s="391" t="s">
        <v>2295</v>
      </c>
      <c r="J606" s="220" t="s">
        <v>2296</v>
      </c>
      <c r="K606" s="220" t="str">
        <f>_xlfn.XLOOKUP(J606,[1]Sheet1!$A:$A,[1]Sheet1!$B:$B,"")</f>
        <v>#ERROR!</v>
      </c>
      <c r="L606" s="103" t="s">
        <v>2297</v>
      </c>
      <c r="M606" s="103" t="s">
        <v>2298</v>
      </c>
      <c r="N606" s="110" t="s">
        <v>201</v>
      </c>
      <c r="O606" s="104" t="s">
        <v>147</v>
      </c>
      <c r="P606" s="110"/>
      <c r="Q606" s="104" t="s">
        <v>1989</v>
      </c>
      <c r="R606" s="110" t="s">
        <v>1955</v>
      </c>
      <c r="S606" s="110">
        <v>2.0</v>
      </c>
      <c r="T606" s="110" t="e">
        <v>#N/A</v>
      </c>
      <c r="U606" s="110">
        <v>8.5447E9</v>
      </c>
      <c r="V606" s="112">
        <v>0.0</v>
      </c>
      <c r="W606" s="113">
        <v>30.0</v>
      </c>
      <c r="X606" s="110">
        <v>45.0</v>
      </c>
      <c r="Y606" s="110">
        <v>55.0</v>
      </c>
      <c r="Z606" s="110" t="s">
        <v>1938</v>
      </c>
      <c r="AA606" s="114">
        <f t="shared" si="786"/>
        <v>1078.125</v>
      </c>
      <c r="AB606" s="115"/>
      <c r="AC606" s="116">
        <f t="shared" si="772"/>
        <v>1000</v>
      </c>
      <c r="AD606" s="117">
        <f t="shared" si="783"/>
        <v>1052.631579</v>
      </c>
      <c r="AE606" s="116"/>
      <c r="AF606" s="116" t="str">
        <f t="shared" si="94"/>
        <v>#REF!</v>
      </c>
      <c r="AG606" s="210" t="str">
        <f t="shared" si="95"/>
        <v>#REF!</v>
      </c>
      <c r="AH606" s="120" t="str">
        <f t="shared" si="96"/>
        <v>#REF!</v>
      </c>
      <c r="AI606" s="121">
        <f t="shared" si="497"/>
        <v>0.07</v>
      </c>
      <c r="AJ606" s="121">
        <v>0.07</v>
      </c>
      <c r="AK606" s="122">
        <v>0.33999999999999997</v>
      </c>
      <c r="AL606" s="123">
        <f t="shared" si="11"/>
        <v>340</v>
      </c>
      <c r="AM606" s="122" t="s">
        <v>10</v>
      </c>
      <c r="AN606" s="125">
        <f t="shared" si="774"/>
        <v>1000</v>
      </c>
      <c r="AO606" s="112">
        <f t="shared" si="775"/>
        <v>0.34</v>
      </c>
      <c r="AP606" s="127"/>
      <c r="AQ606" s="128">
        <f t="shared" si="787"/>
        <v>741.9354839</v>
      </c>
      <c r="AR606" s="125">
        <f t="shared" si="776"/>
        <v>709.6774194</v>
      </c>
      <c r="AS606" s="126">
        <f t="shared" si="733"/>
        <v>0.311827957</v>
      </c>
      <c r="AT606" s="126">
        <f t="shared" si="777"/>
        <v>0.2903225806</v>
      </c>
      <c r="AU606" s="129"/>
      <c r="AV606" s="39" t="s">
        <v>2242</v>
      </c>
      <c r="AW606" s="130"/>
      <c r="AX606" s="130"/>
      <c r="AY606" s="130"/>
      <c r="AZ606" s="130"/>
      <c r="BA606" s="130"/>
      <c r="BB606" s="130"/>
      <c r="BC606" s="392">
        <v>600.0</v>
      </c>
      <c r="BD606" s="132">
        <f t="shared" si="788"/>
        <v>660</v>
      </c>
      <c r="BE606" s="393"/>
      <c r="BF606" s="134"/>
      <c r="BG606" s="49"/>
      <c r="BH606" s="118">
        <f t="shared" si="714"/>
        <v>3333.333333</v>
      </c>
      <c r="BI606" s="118">
        <f t="shared" si="715"/>
        <v>2000</v>
      </c>
      <c r="BJ606" s="118">
        <f t="shared" si="716"/>
        <v>1666.666667</v>
      </c>
      <c r="BK606" s="118">
        <f t="shared" si="717"/>
        <v>1333.333333</v>
      </c>
      <c r="BL606" s="49"/>
      <c r="BM606" s="49"/>
      <c r="BN606" s="394"/>
      <c r="BO606" s="49"/>
      <c r="BP606" s="49"/>
      <c r="BQ606" s="49"/>
      <c r="BR606" s="49"/>
      <c r="BS606" s="49"/>
      <c r="BT606" s="49"/>
      <c r="BU606" s="49"/>
      <c r="BV606" s="49"/>
      <c r="BW606" s="49"/>
      <c r="BX606" s="49"/>
      <c r="BY606" s="49"/>
      <c r="BZ606" s="49"/>
      <c r="CA606" s="49"/>
      <c r="CB606" s="49"/>
      <c r="CC606" s="49"/>
      <c r="CD606" s="49"/>
      <c r="CE606" s="49"/>
      <c r="CF606" s="49"/>
    </row>
    <row r="607" ht="14.25" customHeight="1">
      <c r="A607" s="103" t="s">
        <v>84</v>
      </c>
      <c r="B607" s="103" t="s">
        <v>120</v>
      </c>
      <c r="C607" s="103" t="s">
        <v>120</v>
      </c>
      <c r="D607" s="103" t="s">
        <v>1266</v>
      </c>
      <c r="E607" s="103" t="s">
        <v>1948</v>
      </c>
      <c r="F607" s="104" t="s">
        <v>2008</v>
      </c>
      <c r="G607" s="110" t="s">
        <v>1319</v>
      </c>
      <c r="H607" s="390" t="s">
        <v>1967</v>
      </c>
      <c r="I607" s="391" t="s">
        <v>2299</v>
      </c>
      <c r="J607" s="220" t="s">
        <v>2300</v>
      </c>
      <c r="K607" s="220" t="str">
        <f>_xlfn.XLOOKUP(J607,[1]Sheet1!$A:$A,[1]Sheet1!$B:$B,"")</f>
        <v>#ERROR!</v>
      </c>
      <c r="L607" s="103" t="s">
        <v>2301</v>
      </c>
      <c r="M607" s="103" t="s">
        <v>2302</v>
      </c>
      <c r="N607" s="110" t="s">
        <v>201</v>
      </c>
      <c r="O607" s="104" t="s">
        <v>147</v>
      </c>
      <c r="P607" s="110"/>
      <c r="Q607" s="104" t="s">
        <v>1989</v>
      </c>
      <c r="R607" s="110" t="s">
        <v>1955</v>
      </c>
      <c r="S607" s="110">
        <v>2.0</v>
      </c>
      <c r="T607" s="110" t="e">
        <v>#N/A</v>
      </c>
      <c r="U607" s="110">
        <v>8.5447E9</v>
      </c>
      <c r="V607" s="112">
        <v>0.0</v>
      </c>
      <c r="W607" s="113">
        <v>30.0</v>
      </c>
      <c r="X607" s="110">
        <v>45.0</v>
      </c>
      <c r="Y607" s="110">
        <v>55.0</v>
      </c>
      <c r="Z607" s="110" t="s">
        <v>1938</v>
      </c>
      <c r="AA607" s="114">
        <f t="shared" si="786"/>
        <v>1644.140625</v>
      </c>
      <c r="AB607" s="115"/>
      <c r="AC607" s="116">
        <f t="shared" si="772"/>
        <v>1525</v>
      </c>
      <c r="AD607" s="117">
        <f t="shared" si="783"/>
        <v>1605.263158</v>
      </c>
      <c r="AE607" s="116"/>
      <c r="AF607" s="116" t="str">
        <f t="shared" si="94"/>
        <v>#REF!</v>
      </c>
      <c r="AG607" s="210" t="str">
        <f t="shared" si="95"/>
        <v>#REF!</v>
      </c>
      <c r="AH607" s="120" t="str">
        <f t="shared" si="96"/>
        <v>#REF!</v>
      </c>
      <c r="AI607" s="121">
        <f t="shared" si="497"/>
        <v>0.07</v>
      </c>
      <c r="AJ607" s="121">
        <v>0.07</v>
      </c>
      <c r="AK607" s="122">
        <v>0.33999999999999997</v>
      </c>
      <c r="AL607" s="123">
        <f t="shared" si="11"/>
        <v>518.5</v>
      </c>
      <c r="AM607" s="122" t="s">
        <v>10</v>
      </c>
      <c r="AN607" s="125">
        <f t="shared" si="774"/>
        <v>1525</v>
      </c>
      <c r="AO607" s="112">
        <f t="shared" si="775"/>
        <v>0.34</v>
      </c>
      <c r="AP607" s="127"/>
      <c r="AQ607" s="128">
        <f t="shared" si="787"/>
        <v>1131.451613</v>
      </c>
      <c r="AR607" s="125">
        <f t="shared" si="776"/>
        <v>1082.258065</v>
      </c>
      <c r="AS607" s="126">
        <f t="shared" si="733"/>
        <v>0.311827957</v>
      </c>
      <c r="AT607" s="126">
        <f t="shared" si="777"/>
        <v>0.2903225806</v>
      </c>
      <c r="AU607" s="129"/>
      <c r="AV607" s="39" t="s">
        <v>2242</v>
      </c>
      <c r="AW607" s="130"/>
      <c r="AX607" s="130"/>
      <c r="AY607" s="130"/>
      <c r="AZ607" s="130"/>
      <c r="BA607" s="130"/>
      <c r="BB607" s="130"/>
      <c r="BC607" s="392">
        <v>915.0</v>
      </c>
      <c r="BD607" s="132">
        <f t="shared" si="788"/>
        <v>1006.5</v>
      </c>
      <c r="BE607" s="393"/>
      <c r="BF607" s="134"/>
      <c r="BG607" s="49"/>
      <c r="BH607" s="118">
        <f t="shared" si="714"/>
        <v>5083.333333</v>
      </c>
      <c r="BI607" s="118">
        <f t="shared" si="715"/>
        <v>3050</v>
      </c>
      <c r="BJ607" s="118">
        <f t="shared" si="716"/>
        <v>2541.666667</v>
      </c>
      <c r="BK607" s="118">
        <f t="shared" si="717"/>
        <v>2033.333333</v>
      </c>
      <c r="BL607" s="49"/>
      <c r="BM607" s="49"/>
      <c r="BN607" s="394"/>
      <c r="BO607" s="49"/>
      <c r="BP607" s="49"/>
      <c r="BQ607" s="49"/>
      <c r="BR607" s="49"/>
      <c r="BS607" s="49"/>
      <c r="BT607" s="49"/>
      <c r="BU607" s="49"/>
      <c r="BV607" s="49"/>
      <c r="BW607" s="49"/>
      <c r="BX607" s="49"/>
      <c r="BY607" s="49"/>
      <c r="BZ607" s="49"/>
      <c r="CA607" s="49"/>
      <c r="CB607" s="49"/>
      <c r="CC607" s="49"/>
      <c r="CD607" s="49"/>
      <c r="CE607" s="49"/>
      <c r="CF607" s="49"/>
    </row>
    <row r="608" ht="14.25" customHeight="1">
      <c r="A608" s="103" t="s">
        <v>84</v>
      </c>
      <c r="B608" s="103" t="s">
        <v>120</v>
      </c>
      <c r="C608" s="103" t="s">
        <v>120</v>
      </c>
      <c r="D608" s="103" t="s">
        <v>1266</v>
      </c>
      <c r="E608" s="103" t="s">
        <v>1948</v>
      </c>
      <c r="F608" s="104" t="s">
        <v>2008</v>
      </c>
      <c r="G608" s="110" t="s">
        <v>1319</v>
      </c>
      <c r="H608" s="390" t="s">
        <v>2303</v>
      </c>
      <c r="I608" s="391" t="s">
        <v>2304</v>
      </c>
      <c r="J608" s="220" t="s">
        <v>2305</v>
      </c>
      <c r="K608" s="220" t="str">
        <f>_xlfn.XLOOKUP(J608,[1]Sheet1!$A:$A,[1]Sheet1!$B:$B,"")</f>
        <v>#ERROR!</v>
      </c>
      <c r="L608" s="103" t="s">
        <v>2306</v>
      </c>
      <c r="M608" s="103" t="s">
        <v>2307</v>
      </c>
      <c r="N608" s="110" t="s">
        <v>201</v>
      </c>
      <c r="O608" s="104" t="s">
        <v>147</v>
      </c>
      <c r="P608" s="110"/>
      <c r="Q608" s="104" t="s">
        <v>1989</v>
      </c>
      <c r="R608" s="110" t="s">
        <v>1955</v>
      </c>
      <c r="S608" s="110">
        <v>2.0</v>
      </c>
      <c r="T608" s="110" t="e">
        <v>#N/A</v>
      </c>
      <c r="U608" s="110">
        <v>8.5447E9</v>
      </c>
      <c r="V608" s="112">
        <v>0.0</v>
      </c>
      <c r="W608" s="113">
        <v>30.0</v>
      </c>
      <c r="X608" s="110">
        <v>45.0</v>
      </c>
      <c r="Y608" s="110">
        <v>55.0</v>
      </c>
      <c r="Z608" s="110" t="s">
        <v>1938</v>
      </c>
      <c r="AA608" s="114">
        <f t="shared" si="786"/>
        <v>898.4375</v>
      </c>
      <c r="AB608" s="115"/>
      <c r="AC608" s="116">
        <f t="shared" si="772"/>
        <v>833.3333333</v>
      </c>
      <c r="AD608" s="117">
        <f t="shared" si="783"/>
        <v>877.1929825</v>
      </c>
      <c r="AE608" s="116"/>
      <c r="AF608" s="116" t="str">
        <f t="shared" si="94"/>
        <v>#REF!</v>
      </c>
      <c r="AG608" s="210" t="str">
        <f t="shared" si="95"/>
        <v>#REF!</v>
      </c>
      <c r="AH608" s="120" t="str">
        <f t="shared" si="96"/>
        <v>#REF!</v>
      </c>
      <c r="AI608" s="121">
        <f t="shared" si="497"/>
        <v>0.07</v>
      </c>
      <c r="AJ608" s="121">
        <v>0.07</v>
      </c>
      <c r="AK608" s="122">
        <v>0.33999999999999997</v>
      </c>
      <c r="AL608" s="123">
        <f t="shared" si="11"/>
        <v>283.3333333</v>
      </c>
      <c r="AM608" s="122" t="s">
        <v>10</v>
      </c>
      <c r="AN608" s="125">
        <f t="shared" si="774"/>
        <v>833.3333333</v>
      </c>
      <c r="AO608" s="112">
        <f t="shared" si="775"/>
        <v>0.34</v>
      </c>
      <c r="AP608" s="127"/>
      <c r="AQ608" s="128">
        <f t="shared" si="787"/>
        <v>618.2795699</v>
      </c>
      <c r="AR608" s="125">
        <f t="shared" si="776"/>
        <v>591.3978495</v>
      </c>
      <c r="AS608" s="126">
        <f t="shared" si="733"/>
        <v>0.311827957</v>
      </c>
      <c r="AT608" s="126">
        <f t="shared" si="777"/>
        <v>0.2903225806</v>
      </c>
      <c r="AU608" s="129"/>
      <c r="AV608" s="39" t="s">
        <v>2242</v>
      </c>
      <c r="AW608" s="130"/>
      <c r="AX608" s="130"/>
      <c r="AY608" s="130"/>
      <c r="AZ608" s="130"/>
      <c r="BA608" s="130"/>
      <c r="BB608" s="130"/>
      <c r="BC608" s="392">
        <v>500.0</v>
      </c>
      <c r="BD608" s="132">
        <f t="shared" si="788"/>
        <v>550</v>
      </c>
      <c r="BE608" s="393"/>
      <c r="BF608" s="134"/>
      <c r="BG608" s="49"/>
      <c r="BH608" s="118">
        <f t="shared" si="714"/>
        <v>2777.777778</v>
      </c>
      <c r="BI608" s="118">
        <f t="shared" si="715"/>
        <v>1666.666667</v>
      </c>
      <c r="BJ608" s="118">
        <f t="shared" si="716"/>
        <v>1388.888889</v>
      </c>
      <c r="BK608" s="118">
        <f t="shared" si="717"/>
        <v>1111.111111</v>
      </c>
      <c r="BL608" s="49"/>
      <c r="BM608" s="49"/>
      <c r="BN608" s="394"/>
      <c r="BO608" s="49"/>
      <c r="BP608" s="49"/>
      <c r="BQ608" s="49"/>
      <c r="BR608" s="49"/>
      <c r="BS608" s="49"/>
      <c r="BT608" s="49"/>
      <c r="BU608" s="49"/>
      <c r="BV608" s="49"/>
      <c r="BW608" s="49"/>
      <c r="BX608" s="49"/>
      <c r="BY608" s="49"/>
      <c r="BZ608" s="49"/>
      <c r="CA608" s="49"/>
      <c r="CB608" s="49"/>
      <c r="CC608" s="49"/>
      <c r="CD608" s="49"/>
      <c r="CE608" s="49"/>
      <c r="CF608" s="49"/>
    </row>
    <row r="609" ht="14.25" customHeight="1">
      <c r="A609" s="103" t="s">
        <v>84</v>
      </c>
      <c r="B609" s="103" t="s">
        <v>120</v>
      </c>
      <c r="C609" s="103" t="s">
        <v>120</v>
      </c>
      <c r="D609" s="103" t="s">
        <v>1266</v>
      </c>
      <c r="E609" s="103" t="s">
        <v>1948</v>
      </c>
      <c r="F609" s="104" t="s">
        <v>2008</v>
      </c>
      <c r="G609" s="110" t="s">
        <v>1319</v>
      </c>
      <c r="H609" s="390" t="s">
        <v>1950</v>
      </c>
      <c r="I609" s="391" t="s">
        <v>2308</v>
      </c>
      <c r="J609" s="220" t="s">
        <v>2309</v>
      </c>
      <c r="K609" s="220" t="str">
        <f>_xlfn.XLOOKUP(J609,[1]Sheet1!$A:$A,[1]Sheet1!$B:$B,"")</f>
        <v>#ERROR!</v>
      </c>
      <c r="L609" s="103" t="s">
        <v>2310</v>
      </c>
      <c r="M609" s="103" t="s">
        <v>2311</v>
      </c>
      <c r="N609" s="110" t="s">
        <v>201</v>
      </c>
      <c r="O609" s="104" t="s">
        <v>147</v>
      </c>
      <c r="P609" s="110"/>
      <c r="Q609" s="104" t="s">
        <v>1989</v>
      </c>
      <c r="R609" s="110" t="s">
        <v>1955</v>
      </c>
      <c r="S609" s="110">
        <v>2.0</v>
      </c>
      <c r="T609" s="110" t="e">
        <v>#N/A</v>
      </c>
      <c r="U609" s="110">
        <v>8.5447E9</v>
      </c>
      <c r="V609" s="112">
        <v>0.0</v>
      </c>
      <c r="W609" s="113">
        <v>30.0</v>
      </c>
      <c r="X609" s="110">
        <v>45.0</v>
      </c>
      <c r="Y609" s="110">
        <v>55.0</v>
      </c>
      <c r="Z609" s="110" t="s">
        <v>1938</v>
      </c>
      <c r="AA609" s="114">
        <f t="shared" si="786"/>
        <v>736.71875</v>
      </c>
      <c r="AB609" s="115"/>
      <c r="AC609" s="116">
        <f t="shared" si="772"/>
        <v>683.3333333</v>
      </c>
      <c r="AD609" s="117">
        <f t="shared" si="783"/>
        <v>719.2982456</v>
      </c>
      <c r="AE609" s="116"/>
      <c r="AF609" s="116" t="str">
        <f t="shared" si="94"/>
        <v>#REF!</v>
      </c>
      <c r="AG609" s="210" t="str">
        <f t="shared" si="95"/>
        <v>#REF!</v>
      </c>
      <c r="AH609" s="120" t="str">
        <f t="shared" si="96"/>
        <v>#REF!</v>
      </c>
      <c r="AI609" s="121">
        <f t="shared" si="497"/>
        <v>0.07</v>
      </c>
      <c r="AJ609" s="121">
        <v>0.07</v>
      </c>
      <c r="AK609" s="122">
        <v>0.33999999999999997</v>
      </c>
      <c r="AL609" s="123">
        <f t="shared" si="11"/>
        <v>232.3333333</v>
      </c>
      <c r="AM609" s="122" t="s">
        <v>10</v>
      </c>
      <c r="AN609" s="125">
        <f t="shared" si="774"/>
        <v>683.3333333</v>
      </c>
      <c r="AO609" s="112">
        <f t="shared" si="775"/>
        <v>0.34</v>
      </c>
      <c r="AP609" s="127"/>
      <c r="AQ609" s="128">
        <f t="shared" si="787"/>
        <v>506.9892473</v>
      </c>
      <c r="AR609" s="125">
        <f t="shared" si="776"/>
        <v>484.9462366</v>
      </c>
      <c r="AS609" s="126">
        <f t="shared" si="733"/>
        <v>0.311827957</v>
      </c>
      <c r="AT609" s="126">
        <f t="shared" si="777"/>
        <v>0.2903225806</v>
      </c>
      <c r="AU609" s="129"/>
      <c r="AV609" s="39" t="s">
        <v>2242</v>
      </c>
      <c r="AW609" s="130"/>
      <c r="AX609" s="130"/>
      <c r="AY609" s="130"/>
      <c r="AZ609" s="130"/>
      <c r="BA609" s="130"/>
      <c r="BB609" s="130"/>
      <c r="BC609" s="392">
        <v>410.0</v>
      </c>
      <c r="BD609" s="132">
        <f t="shared" si="788"/>
        <v>451</v>
      </c>
      <c r="BE609" s="393"/>
      <c r="BF609" s="134"/>
      <c r="BG609" s="49"/>
      <c r="BH609" s="118">
        <f t="shared" si="714"/>
        <v>2277.777778</v>
      </c>
      <c r="BI609" s="118">
        <f t="shared" si="715"/>
        <v>1366.666667</v>
      </c>
      <c r="BJ609" s="118">
        <f t="shared" si="716"/>
        <v>1138.888889</v>
      </c>
      <c r="BK609" s="118">
        <f t="shared" si="717"/>
        <v>911.1111111</v>
      </c>
      <c r="BL609" s="49"/>
      <c r="BM609" s="49"/>
      <c r="BN609" s="394"/>
      <c r="BO609" s="49"/>
      <c r="BP609" s="49"/>
      <c r="BQ609" s="49"/>
      <c r="BR609" s="49"/>
      <c r="BS609" s="49"/>
      <c r="BT609" s="49"/>
      <c r="BU609" s="49"/>
      <c r="BV609" s="49"/>
      <c r="BW609" s="49"/>
      <c r="BX609" s="49"/>
      <c r="BY609" s="49"/>
      <c r="BZ609" s="49"/>
      <c r="CA609" s="49"/>
      <c r="CB609" s="49"/>
      <c r="CC609" s="49"/>
      <c r="CD609" s="49"/>
      <c r="CE609" s="49"/>
      <c r="CF609" s="49"/>
    </row>
    <row r="610" ht="14.25" customHeight="1">
      <c r="A610" s="103" t="s">
        <v>84</v>
      </c>
      <c r="B610" s="103" t="s">
        <v>120</v>
      </c>
      <c r="C610" s="103" t="s">
        <v>120</v>
      </c>
      <c r="D610" s="103" t="s">
        <v>1266</v>
      </c>
      <c r="E610" s="103" t="s">
        <v>1948</v>
      </c>
      <c r="F610" s="104" t="s">
        <v>2008</v>
      </c>
      <c r="G610" s="110" t="s">
        <v>1319</v>
      </c>
      <c r="H610" s="390" t="s">
        <v>1957</v>
      </c>
      <c r="I610" s="391" t="s">
        <v>2312</v>
      </c>
      <c r="J610" s="220" t="s">
        <v>2313</v>
      </c>
      <c r="K610" s="220" t="str">
        <f>_xlfn.XLOOKUP(J610,[1]Sheet1!$A:$A,[1]Sheet1!$B:$B,"")</f>
        <v>#ERROR!</v>
      </c>
      <c r="L610" s="103" t="s">
        <v>2314</v>
      </c>
      <c r="M610" s="103" t="s">
        <v>2315</v>
      </c>
      <c r="N610" s="110" t="s">
        <v>201</v>
      </c>
      <c r="O610" s="104" t="s">
        <v>147</v>
      </c>
      <c r="P610" s="110"/>
      <c r="Q610" s="104" t="s">
        <v>1989</v>
      </c>
      <c r="R610" s="110" t="s">
        <v>1955</v>
      </c>
      <c r="S610" s="110">
        <v>2.0</v>
      </c>
      <c r="T610" s="110" t="e">
        <v>#N/A</v>
      </c>
      <c r="U610" s="110">
        <v>8.5447E9</v>
      </c>
      <c r="V610" s="112">
        <v>0.0</v>
      </c>
      <c r="W610" s="113">
        <v>30.0</v>
      </c>
      <c r="X610" s="110">
        <v>45.0</v>
      </c>
      <c r="Y610" s="110">
        <v>55.0</v>
      </c>
      <c r="Z610" s="110" t="s">
        <v>1938</v>
      </c>
      <c r="AA610" s="114">
        <f t="shared" si="786"/>
        <v>907.421875</v>
      </c>
      <c r="AB610" s="115"/>
      <c r="AC610" s="116">
        <f t="shared" si="772"/>
        <v>841.6666667</v>
      </c>
      <c r="AD610" s="117">
        <f t="shared" si="783"/>
        <v>885.9649123</v>
      </c>
      <c r="AE610" s="116"/>
      <c r="AF610" s="116" t="str">
        <f t="shared" si="94"/>
        <v>#REF!</v>
      </c>
      <c r="AG610" s="210" t="str">
        <f t="shared" si="95"/>
        <v>#REF!</v>
      </c>
      <c r="AH610" s="120" t="str">
        <f t="shared" si="96"/>
        <v>#REF!</v>
      </c>
      <c r="AI610" s="121">
        <f t="shared" si="497"/>
        <v>0.07</v>
      </c>
      <c r="AJ610" s="121">
        <v>0.07</v>
      </c>
      <c r="AK610" s="122">
        <v>0.33999999999999997</v>
      </c>
      <c r="AL610" s="123">
        <f t="shared" si="11"/>
        <v>286.1666667</v>
      </c>
      <c r="AM610" s="122" t="s">
        <v>10</v>
      </c>
      <c r="AN610" s="125">
        <f t="shared" si="774"/>
        <v>841.6666667</v>
      </c>
      <c r="AO610" s="112">
        <f t="shared" si="775"/>
        <v>0.34</v>
      </c>
      <c r="AP610" s="127"/>
      <c r="AQ610" s="128">
        <f t="shared" si="787"/>
        <v>624.4623656</v>
      </c>
      <c r="AR610" s="125">
        <f t="shared" si="776"/>
        <v>597.311828</v>
      </c>
      <c r="AS610" s="126">
        <f t="shared" si="733"/>
        <v>0.311827957</v>
      </c>
      <c r="AT610" s="126">
        <f t="shared" si="777"/>
        <v>0.2903225806</v>
      </c>
      <c r="AU610" s="129"/>
      <c r="AV610" s="39" t="s">
        <v>2242</v>
      </c>
      <c r="AW610" s="130"/>
      <c r="AX610" s="130"/>
      <c r="AY610" s="130"/>
      <c r="AZ610" s="130"/>
      <c r="BA610" s="130"/>
      <c r="BB610" s="130"/>
      <c r="BC610" s="392">
        <v>505.0</v>
      </c>
      <c r="BD610" s="132">
        <f t="shared" si="788"/>
        <v>555.5</v>
      </c>
      <c r="BE610" s="393"/>
      <c r="BF610" s="134"/>
      <c r="BG610" s="49"/>
      <c r="BH610" s="118">
        <f t="shared" si="714"/>
        <v>2805.555556</v>
      </c>
      <c r="BI610" s="118">
        <f t="shared" si="715"/>
        <v>1683.333333</v>
      </c>
      <c r="BJ610" s="118">
        <f t="shared" si="716"/>
        <v>1402.777778</v>
      </c>
      <c r="BK610" s="118">
        <f t="shared" si="717"/>
        <v>1122.222222</v>
      </c>
      <c r="BL610" s="49"/>
      <c r="BM610" s="49"/>
      <c r="BN610" s="394"/>
      <c r="BO610" s="49"/>
      <c r="BP610" s="49"/>
      <c r="BQ610" s="49"/>
      <c r="BR610" s="49"/>
      <c r="BS610" s="49"/>
      <c r="BT610" s="49"/>
      <c r="BU610" s="49"/>
      <c r="BV610" s="49"/>
      <c r="BW610" s="49"/>
      <c r="BX610" s="49"/>
      <c r="BY610" s="49"/>
      <c r="BZ610" s="49"/>
      <c r="CA610" s="49"/>
      <c r="CB610" s="49"/>
      <c r="CC610" s="49"/>
      <c r="CD610" s="49"/>
      <c r="CE610" s="49"/>
      <c r="CF610" s="49"/>
    </row>
    <row r="611" ht="14.25" customHeight="1">
      <c r="A611" s="103" t="s">
        <v>84</v>
      </c>
      <c r="B611" s="103" t="s">
        <v>120</v>
      </c>
      <c r="C611" s="103" t="s">
        <v>120</v>
      </c>
      <c r="D611" s="103" t="s">
        <v>1266</v>
      </c>
      <c r="E611" s="103" t="s">
        <v>1948</v>
      </c>
      <c r="F611" s="104" t="s">
        <v>2008</v>
      </c>
      <c r="G611" s="110" t="s">
        <v>1319</v>
      </c>
      <c r="H611" s="390" t="s">
        <v>1962</v>
      </c>
      <c r="I611" s="391" t="s">
        <v>2316</v>
      </c>
      <c r="J611" s="220" t="s">
        <v>2317</v>
      </c>
      <c r="K611" s="220" t="str">
        <f>_xlfn.XLOOKUP(J611,[1]Sheet1!$A:$A,[1]Sheet1!$B:$B,"")</f>
        <v>#ERROR!</v>
      </c>
      <c r="L611" s="103" t="s">
        <v>2318</v>
      </c>
      <c r="M611" s="103" t="s">
        <v>2319</v>
      </c>
      <c r="N611" s="110" t="s">
        <v>201</v>
      </c>
      <c r="O611" s="104" t="s">
        <v>147</v>
      </c>
      <c r="P611" s="110"/>
      <c r="Q611" s="104" t="s">
        <v>1989</v>
      </c>
      <c r="R611" s="110" t="s">
        <v>1955</v>
      </c>
      <c r="S611" s="110">
        <v>2.0</v>
      </c>
      <c r="T611" s="110" t="e">
        <v>#N/A</v>
      </c>
      <c r="U611" s="110">
        <v>8.5447E9</v>
      </c>
      <c r="V611" s="112">
        <v>0.0</v>
      </c>
      <c r="W611" s="113">
        <v>30.0</v>
      </c>
      <c r="X611" s="110">
        <v>45.0</v>
      </c>
      <c r="Y611" s="110">
        <v>55.0</v>
      </c>
      <c r="Z611" s="110" t="s">
        <v>1938</v>
      </c>
      <c r="AA611" s="114">
        <f t="shared" si="786"/>
        <v>1105.078125</v>
      </c>
      <c r="AB611" s="115"/>
      <c r="AC611" s="116">
        <f t="shared" si="772"/>
        <v>1025</v>
      </c>
      <c r="AD611" s="117">
        <f t="shared" si="783"/>
        <v>1078.947368</v>
      </c>
      <c r="AE611" s="116"/>
      <c r="AF611" s="116" t="str">
        <f t="shared" si="94"/>
        <v>#REF!</v>
      </c>
      <c r="AG611" s="210" t="str">
        <f t="shared" si="95"/>
        <v>#REF!</v>
      </c>
      <c r="AH611" s="120" t="str">
        <f t="shared" si="96"/>
        <v>#REF!</v>
      </c>
      <c r="AI611" s="121">
        <f t="shared" si="497"/>
        <v>0.07</v>
      </c>
      <c r="AJ611" s="121">
        <v>0.07</v>
      </c>
      <c r="AK611" s="122">
        <v>0.33999999999999997</v>
      </c>
      <c r="AL611" s="123">
        <f t="shared" si="11"/>
        <v>348.5</v>
      </c>
      <c r="AM611" s="122" t="s">
        <v>10</v>
      </c>
      <c r="AN611" s="125">
        <f t="shared" si="774"/>
        <v>1025</v>
      </c>
      <c r="AO611" s="112">
        <f t="shared" si="775"/>
        <v>0.34</v>
      </c>
      <c r="AP611" s="127"/>
      <c r="AQ611" s="128">
        <f t="shared" si="787"/>
        <v>760.483871</v>
      </c>
      <c r="AR611" s="125">
        <f t="shared" si="776"/>
        <v>727.4193548</v>
      </c>
      <c r="AS611" s="126">
        <f t="shared" si="733"/>
        <v>0.311827957</v>
      </c>
      <c r="AT611" s="126">
        <f t="shared" si="777"/>
        <v>0.2903225806</v>
      </c>
      <c r="AU611" s="129"/>
      <c r="AV611" s="39" t="s">
        <v>2242</v>
      </c>
      <c r="AW611" s="130"/>
      <c r="AX611" s="130"/>
      <c r="AY611" s="130"/>
      <c r="AZ611" s="130"/>
      <c r="BA611" s="130"/>
      <c r="BB611" s="130"/>
      <c r="BC611" s="392">
        <v>615.0</v>
      </c>
      <c r="BD611" s="132">
        <f t="shared" si="788"/>
        <v>676.5</v>
      </c>
      <c r="BE611" s="393"/>
      <c r="BF611" s="134"/>
      <c r="BG611" s="49"/>
      <c r="BH611" s="118">
        <f t="shared" si="714"/>
        <v>3416.666667</v>
      </c>
      <c r="BI611" s="118">
        <f t="shared" si="715"/>
        <v>2050</v>
      </c>
      <c r="BJ611" s="118">
        <f t="shared" si="716"/>
        <v>1708.333333</v>
      </c>
      <c r="BK611" s="118">
        <f t="shared" si="717"/>
        <v>1366.666667</v>
      </c>
      <c r="BL611" s="49"/>
      <c r="BM611" s="49"/>
      <c r="BN611" s="394"/>
      <c r="BO611" s="49"/>
      <c r="BP611" s="49"/>
      <c r="BQ611" s="49"/>
      <c r="BR611" s="49"/>
      <c r="BS611" s="49"/>
      <c r="BT611" s="49"/>
      <c r="BU611" s="49"/>
      <c r="BV611" s="49"/>
      <c r="BW611" s="49"/>
      <c r="BX611" s="49"/>
      <c r="BY611" s="49"/>
      <c r="BZ611" s="49"/>
      <c r="CA611" s="49"/>
      <c r="CB611" s="49"/>
      <c r="CC611" s="49"/>
      <c r="CD611" s="49"/>
      <c r="CE611" s="49"/>
      <c r="CF611" s="49"/>
    </row>
    <row r="612" ht="14.25" customHeight="1">
      <c r="A612" s="103" t="s">
        <v>84</v>
      </c>
      <c r="B612" s="103" t="s">
        <v>120</v>
      </c>
      <c r="C612" s="103" t="s">
        <v>120</v>
      </c>
      <c r="D612" s="103" t="s">
        <v>1266</v>
      </c>
      <c r="E612" s="103" t="s">
        <v>1948</v>
      </c>
      <c r="F612" s="104" t="s">
        <v>2008</v>
      </c>
      <c r="G612" s="110" t="s">
        <v>1319</v>
      </c>
      <c r="H612" s="390" t="s">
        <v>1967</v>
      </c>
      <c r="I612" s="391" t="s">
        <v>2320</v>
      </c>
      <c r="J612" s="220" t="s">
        <v>2321</v>
      </c>
      <c r="K612" s="220" t="str">
        <f>_xlfn.XLOOKUP(J612,[1]Sheet1!$A:$A,[1]Sheet1!$B:$B,"")</f>
        <v>#ERROR!</v>
      </c>
      <c r="L612" s="103" t="s">
        <v>2322</v>
      </c>
      <c r="M612" s="103" t="s">
        <v>2323</v>
      </c>
      <c r="N612" s="110" t="s">
        <v>201</v>
      </c>
      <c r="O612" s="104" t="s">
        <v>147</v>
      </c>
      <c r="P612" s="110"/>
      <c r="Q612" s="104" t="s">
        <v>1989</v>
      </c>
      <c r="R612" s="110" t="s">
        <v>1955</v>
      </c>
      <c r="S612" s="110">
        <v>2.0</v>
      </c>
      <c r="T612" s="110" t="e">
        <v>#N/A</v>
      </c>
      <c r="U612" s="110">
        <v>8.5447E9</v>
      </c>
      <c r="V612" s="112">
        <v>0.0</v>
      </c>
      <c r="W612" s="113">
        <v>30.0</v>
      </c>
      <c r="X612" s="110">
        <v>45.0</v>
      </c>
      <c r="Y612" s="110">
        <v>55.0</v>
      </c>
      <c r="Z612" s="110" t="s">
        <v>1938</v>
      </c>
      <c r="AA612" s="114">
        <f t="shared" si="786"/>
        <v>1707.03125</v>
      </c>
      <c r="AB612" s="115"/>
      <c r="AC612" s="116">
        <f t="shared" si="772"/>
        <v>1583.333333</v>
      </c>
      <c r="AD612" s="117">
        <f t="shared" si="783"/>
        <v>1666.666667</v>
      </c>
      <c r="AE612" s="116"/>
      <c r="AF612" s="116" t="str">
        <f t="shared" si="94"/>
        <v>#REF!</v>
      </c>
      <c r="AG612" s="210" t="str">
        <f t="shared" si="95"/>
        <v>#REF!</v>
      </c>
      <c r="AH612" s="120" t="str">
        <f t="shared" si="96"/>
        <v>#REF!</v>
      </c>
      <c r="AI612" s="121">
        <f t="shared" si="497"/>
        <v>0.07</v>
      </c>
      <c r="AJ612" s="121">
        <v>0.07</v>
      </c>
      <c r="AK612" s="122">
        <v>0.33999999999999997</v>
      </c>
      <c r="AL612" s="123">
        <f t="shared" si="11"/>
        <v>538.3333333</v>
      </c>
      <c r="AM612" s="122" t="s">
        <v>10</v>
      </c>
      <c r="AN612" s="125">
        <f t="shared" si="774"/>
        <v>1583.333333</v>
      </c>
      <c r="AO612" s="112">
        <f t="shared" si="775"/>
        <v>0.34</v>
      </c>
      <c r="AP612" s="127"/>
      <c r="AQ612" s="128">
        <f t="shared" si="787"/>
        <v>1174.731183</v>
      </c>
      <c r="AR612" s="125">
        <f t="shared" si="776"/>
        <v>1123.655914</v>
      </c>
      <c r="AS612" s="126">
        <f t="shared" si="733"/>
        <v>0.311827957</v>
      </c>
      <c r="AT612" s="126">
        <f t="shared" si="777"/>
        <v>0.2903225806</v>
      </c>
      <c r="AU612" s="129"/>
      <c r="AV612" s="39" t="s">
        <v>2242</v>
      </c>
      <c r="AW612" s="130"/>
      <c r="AX612" s="130"/>
      <c r="AY612" s="130"/>
      <c r="AZ612" s="130"/>
      <c r="BA612" s="130"/>
      <c r="BB612" s="130"/>
      <c r="BC612" s="392">
        <v>950.0</v>
      </c>
      <c r="BD612" s="132">
        <f t="shared" si="788"/>
        <v>1045</v>
      </c>
      <c r="BE612" s="393"/>
      <c r="BF612" s="134"/>
      <c r="BG612" s="49"/>
      <c r="BH612" s="118">
        <f t="shared" si="714"/>
        <v>5277.777778</v>
      </c>
      <c r="BI612" s="118">
        <f t="shared" si="715"/>
        <v>3166.666667</v>
      </c>
      <c r="BJ612" s="118">
        <f t="shared" si="716"/>
        <v>2638.888889</v>
      </c>
      <c r="BK612" s="118">
        <f t="shared" si="717"/>
        <v>2111.111111</v>
      </c>
      <c r="BL612" s="49"/>
      <c r="BM612" s="49"/>
      <c r="BN612" s="394"/>
      <c r="BO612" s="49"/>
      <c r="BP612" s="49"/>
      <c r="BQ612" s="49"/>
      <c r="BR612" s="49"/>
      <c r="BS612" s="49"/>
      <c r="BT612" s="49"/>
      <c r="BU612" s="49"/>
      <c r="BV612" s="49"/>
      <c r="BW612" s="49"/>
      <c r="BX612" s="49"/>
      <c r="BY612" s="49"/>
      <c r="BZ612" s="49"/>
      <c r="CA612" s="49"/>
      <c r="CB612" s="49"/>
      <c r="CC612" s="49"/>
      <c r="CD612" s="49"/>
      <c r="CE612" s="49"/>
      <c r="CF612" s="49"/>
    </row>
    <row r="613" ht="14.25" customHeight="1">
      <c r="A613" s="103" t="s">
        <v>84</v>
      </c>
      <c r="B613" s="103" t="s">
        <v>85</v>
      </c>
      <c r="C613" s="103" t="s">
        <v>85</v>
      </c>
      <c r="D613" s="103" t="s">
        <v>1266</v>
      </c>
      <c r="E613" s="103" t="s">
        <v>1948</v>
      </c>
      <c r="F613" s="104" t="s">
        <v>2025</v>
      </c>
      <c r="G613" s="110" t="s">
        <v>1319</v>
      </c>
      <c r="H613" s="390" t="s">
        <v>1962</v>
      </c>
      <c r="I613" s="391" t="s">
        <v>2324</v>
      </c>
      <c r="J613" s="220" t="s">
        <v>2325</v>
      </c>
      <c r="K613" s="220" t="str">
        <f>_xlfn.XLOOKUP(J613,[1]Sheet1!$A:$A,[1]Sheet1!$B:$B,"")</f>
        <v>#ERROR!</v>
      </c>
      <c r="L613" s="149" t="s">
        <v>2326</v>
      </c>
      <c r="M613" s="149" t="s">
        <v>2327</v>
      </c>
      <c r="N613" s="110" t="s">
        <v>106</v>
      </c>
      <c r="O613" s="104" t="s">
        <v>147</v>
      </c>
      <c r="P613" s="110"/>
      <c r="Q613" s="104" t="s">
        <v>1989</v>
      </c>
      <c r="R613" s="110" t="s">
        <v>1955</v>
      </c>
      <c r="S613" s="110">
        <v>2.0</v>
      </c>
      <c r="T613" s="155" t="e">
        <v>#N/A</v>
      </c>
      <c r="U613" s="155">
        <v>8.5447E9</v>
      </c>
      <c r="V613" s="157">
        <v>0.0</v>
      </c>
      <c r="W613" s="158">
        <v>30.0</v>
      </c>
      <c r="X613" s="155">
        <v>45.0</v>
      </c>
      <c r="Y613" s="155">
        <v>55.0</v>
      </c>
      <c r="Z613" s="155" t="s">
        <v>1938</v>
      </c>
      <c r="AA613" s="114">
        <f t="shared" si="786"/>
        <v>1410.546875</v>
      </c>
      <c r="AB613" s="395"/>
      <c r="AC613" s="159">
        <f t="shared" si="772"/>
        <v>1308.333333</v>
      </c>
      <c r="AD613" s="117">
        <f t="shared" si="783"/>
        <v>1377.192982</v>
      </c>
      <c r="AE613" s="159"/>
      <c r="AF613" s="159" t="str">
        <f t="shared" si="94"/>
        <v>#REF!</v>
      </c>
      <c r="AG613" s="396" t="str">
        <f t="shared" si="95"/>
        <v>#REF!</v>
      </c>
      <c r="AH613" s="120" t="str">
        <f t="shared" si="96"/>
        <v>#REF!</v>
      </c>
      <c r="AI613" s="157">
        <f t="shared" si="497"/>
        <v>0.07</v>
      </c>
      <c r="AJ613" s="157">
        <v>0.07</v>
      </c>
      <c r="AK613" s="157">
        <v>0.33999999999999997</v>
      </c>
      <c r="AL613" s="123">
        <f t="shared" si="11"/>
        <v>444.8333333</v>
      </c>
      <c r="AM613" s="157" t="s">
        <v>10</v>
      </c>
      <c r="AN613" s="161">
        <f t="shared" si="774"/>
        <v>1308.333333</v>
      </c>
      <c r="AO613" s="157">
        <f t="shared" si="775"/>
        <v>0.34</v>
      </c>
      <c r="AP613" s="127"/>
      <c r="AQ613" s="163">
        <f t="shared" si="787"/>
        <v>970.6989247</v>
      </c>
      <c r="AR613" s="161">
        <f t="shared" si="776"/>
        <v>928.4946237</v>
      </c>
      <c r="AS613" s="162">
        <f t="shared" si="733"/>
        <v>0.311827957</v>
      </c>
      <c r="AT613" s="162">
        <f t="shared" si="777"/>
        <v>0.2903225806</v>
      </c>
      <c r="AU613" s="129"/>
      <c r="AV613" s="39" t="s">
        <v>2242</v>
      </c>
      <c r="AW613" s="130"/>
      <c r="AX613" s="130"/>
      <c r="AY613" s="130"/>
      <c r="AZ613" s="130"/>
      <c r="BA613" s="130"/>
      <c r="BB613" s="130"/>
      <c r="BC613" s="392">
        <v>785.0</v>
      </c>
      <c r="BD613" s="132">
        <f t="shared" si="788"/>
        <v>863.5</v>
      </c>
      <c r="BE613" s="393"/>
      <c r="BF613" s="134"/>
      <c r="BG613" s="49"/>
      <c r="BH613" s="118">
        <f t="shared" si="714"/>
        <v>4361.111111</v>
      </c>
      <c r="BI613" s="118">
        <f t="shared" si="715"/>
        <v>2616.666667</v>
      </c>
      <c r="BJ613" s="118">
        <f t="shared" si="716"/>
        <v>2180.555556</v>
      </c>
      <c r="BK613" s="118">
        <f t="shared" si="717"/>
        <v>1744.444444</v>
      </c>
      <c r="BL613" s="49"/>
      <c r="BM613" s="49"/>
      <c r="BN613" s="394"/>
      <c r="BO613" s="49"/>
      <c r="BP613" s="49"/>
      <c r="BQ613" s="49"/>
      <c r="BR613" s="49"/>
      <c r="BS613" s="49"/>
      <c r="BT613" s="49"/>
      <c r="BU613" s="49"/>
      <c r="BV613" s="49"/>
      <c r="BW613" s="49"/>
      <c r="BX613" s="49"/>
      <c r="BY613" s="49"/>
      <c r="BZ613" s="49"/>
      <c r="CA613" s="49"/>
      <c r="CB613" s="49"/>
      <c r="CC613" s="49"/>
      <c r="CD613" s="49"/>
      <c r="CE613" s="49"/>
      <c r="CF613" s="49"/>
    </row>
    <row r="614" ht="14.25" customHeight="1">
      <c r="A614" s="103" t="s">
        <v>84</v>
      </c>
      <c r="B614" s="103" t="s">
        <v>85</v>
      </c>
      <c r="C614" s="103" t="s">
        <v>85</v>
      </c>
      <c r="D614" s="103" t="s">
        <v>1266</v>
      </c>
      <c r="E614" s="103" t="s">
        <v>1948</v>
      </c>
      <c r="F614" s="104" t="s">
        <v>2025</v>
      </c>
      <c r="G614" s="110" t="s">
        <v>1319</v>
      </c>
      <c r="H614" s="390" t="s">
        <v>1967</v>
      </c>
      <c r="I614" s="391" t="s">
        <v>2328</v>
      </c>
      <c r="J614" s="220" t="s">
        <v>2329</v>
      </c>
      <c r="K614" s="220" t="str">
        <f>_xlfn.XLOOKUP(J614,[1]Sheet1!$A:$A,[1]Sheet1!$B:$B,"")</f>
        <v>#ERROR!</v>
      </c>
      <c r="L614" s="149" t="s">
        <v>2330</v>
      </c>
      <c r="M614" s="149" t="s">
        <v>2331</v>
      </c>
      <c r="N614" s="110" t="s">
        <v>106</v>
      </c>
      <c r="O614" s="104" t="s">
        <v>147</v>
      </c>
      <c r="P614" s="110"/>
      <c r="Q614" s="104" t="s">
        <v>1989</v>
      </c>
      <c r="R614" s="110" t="s">
        <v>1955</v>
      </c>
      <c r="S614" s="110">
        <v>2.0</v>
      </c>
      <c r="T614" s="155" t="e">
        <v>#N/A</v>
      </c>
      <c r="U614" s="155">
        <v>8.5447E9</v>
      </c>
      <c r="V614" s="157">
        <v>0.0</v>
      </c>
      <c r="W614" s="158">
        <v>30.0</v>
      </c>
      <c r="X614" s="155">
        <v>45.0</v>
      </c>
      <c r="Y614" s="155">
        <v>55.0</v>
      </c>
      <c r="Z614" s="155" t="s">
        <v>1938</v>
      </c>
      <c r="AA614" s="114">
        <f t="shared" si="786"/>
        <v>1707.03125</v>
      </c>
      <c r="AB614" s="395"/>
      <c r="AC614" s="159">
        <f t="shared" si="772"/>
        <v>1583.333333</v>
      </c>
      <c r="AD614" s="117">
        <f t="shared" si="783"/>
        <v>1666.666667</v>
      </c>
      <c r="AE614" s="159"/>
      <c r="AF614" s="159" t="str">
        <f t="shared" si="94"/>
        <v>#REF!</v>
      </c>
      <c r="AG614" s="396" t="str">
        <f t="shared" si="95"/>
        <v>#REF!</v>
      </c>
      <c r="AH614" s="120" t="str">
        <f t="shared" si="96"/>
        <v>#REF!</v>
      </c>
      <c r="AI614" s="157">
        <f t="shared" si="497"/>
        <v>0.07</v>
      </c>
      <c r="AJ614" s="157">
        <v>0.07</v>
      </c>
      <c r="AK614" s="157">
        <v>0.33999999999999997</v>
      </c>
      <c r="AL614" s="123">
        <f t="shared" si="11"/>
        <v>538.3333333</v>
      </c>
      <c r="AM614" s="157" t="s">
        <v>10</v>
      </c>
      <c r="AN614" s="161">
        <f t="shared" si="774"/>
        <v>1583.333333</v>
      </c>
      <c r="AO614" s="157">
        <f t="shared" si="775"/>
        <v>0.34</v>
      </c>
      <c r="AP614" s="127"/>
      <c r="AQ614" s="163">
        <f t="shared" si="787"/>
        <v>1174.731183</v>
      </c>
      <c r="AR614" s="161">
        <f t="shared" si="776"/>
        <v>1123.655914</v>
      </c>
      <c r="AS614" s="162">
        <f t="shared" si="733"/>
        <v>0.311827957</v>
      </c>
      <c r="AT614" s="162">
        <f t="shared" si="777"/>
        <v>0.2903225806</v>
      </c>
      <c r="AU614" s="129"/>
      <c r="AV614" s="39" t="s">
        <v>2242</v>
      </c>
      <c r="AW614" s="130"/>
      <c r="AX614" s="130"/>
      <c r="AY614" s="130"/>
      <c r="AZ614" s="130"/>
      <c r="BA614" s="130"/>
      <c r="BB614" s="130"/>
      <c r="BC614" s="392">
        <v>950.0</v>
      </c>
      <c r="BD614" s="132">
        <f t="shared" si="788"/>
        <v>1045</v>
      </c>
      <c r="BE614" s="393"/>
      <c r="BF614" s="134"/>
      <c r="BG614" s="49"/>
      <c r="BH614" s="118">
        <f t="shared" si="714"/>
        <v>5277.777778</v>
      </c>
      <c r="BI614" s="118">
        <f t="shared" si="715"/>
        <v>3166.666667</v>
      </c>
      <c r="BJ614" s="118">
        <f t="shared" si="716"/>
        <v>2638.888889</v>
      </c>
      <c r="BK614" s="118">
        <f t="shared" si="717"/>
        <v>2111.111111</v>
      </c>
      <c r="BL614" s="49"/>
      <c r="BM614" s="49"/>
      <c r="BN614" s="394"/>
      <c r="BO614" s="49"/>
      <c r="BP614" s="49"/>
      <c r="BQ614" s="49"/>
      <c r="BR614" s="49"/>
      <c r="BS614" s="49"/>
      <c r="BT614" s="49"/>
      <c r="BU614" s="49"/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</row>
    <row r="615" ht="14.25" customHeight="1">
      <c r="A615" s="103" t="s">
        <v>84</v>
      </c>
      <c r="B615" s="103" t="s">
        <v>85</v>
      </c>
      <c r="C615" s="103" t="s">
        <v>85</v>
      </c>
      <c r="D615" s="103" t="s">
        <v>1266</v>
      </c>
      <c r="E615" s="103" t="s">
        <v>1948</v>
      </c>
      <c r="F615" s="104" t="s">
        <v>2025</v>
      </c>
      <c r="G615" s="110" t="s">
        <v>1319</v>
      </c>
      <c r="H615" s="390" t="s">
        <v>2026</v>
      </c>
      <c r="I615" s="391" t="s">
        <v>2332</v>
      </c>
      <c r="J615" s="220" t="s">
        <v>2028</v>
      </c>
      <c r="K615" s="220" t="str">
        <f>_xlfn.XLOOKUP(J615,[1]Sheet1!$A:$A,[1]Sheet1!$B:$B,"")</f>
        <v>#ERROR!</v>
      </c>
      <c r="L615" s="103" t="s">
        <v>2029</v>
      </c>
      <c r="M615" s="103" t="s">
        <v>2030</v>
      </c>
      <c r="N615" s="110" t="s">
        <v>106</v>
      </c>
      <c r="O615" s="104" t="s">
        <v>147</v>
      </c>
      <c r="P615" s="110"/>
      <c r="Q615" s="104" t="s">
        <v>1989</v>
      </c>
      <c r="R615" s="110" t="s">
        <v>1955</v>
      </c>
      <c r="S615" s="110">
        <v>2.0</v>
      </c>
      <c r="T615" s="110" t="e">
        <v>#N/A</v>
      </c>
      <c r="U615" s="110">
        <v>8.5447E9</v>
      </c>
      <c r="V615" s="112">
        <v>0.0</v>
      </c>
      <c r="W615" s="113">
        <v>30.0</v>
      </c>
      <c r="X615" s="110">
        <v>45.0</v>
      </c>
      <c r="Y615" s="110">
        <v>55.0</v>
      </c>
      <c r="Z615" s="110" t="s">
        <v>1938</v>
      </c>
      <c r="AA615" s="114">
        <f t="shared" si="786"/>
        <v>2839.0625</v>
      </c>
      <c r="AB615" s="115"/>
      <c r="AC615" s="116">
        <f t="shared" si="772"/>
        <v>2633.333333</v>
      </c>
      <c r="AD615" s="117">
        <f t="shared" si="783"/>
        <v>2771.929825</v>
      </c>
      <c r="AE615" s="116"/>
      <c r="AF615" s="116" t="str">
        <f t="shared" si="94"/>
        <v>#REF!</v>
      </c>
      <c r="AG615" s="210" t="str">
        <f t="shared" si="95"/>
        <v>#REF!</v>
      </c>
      <c r="AH615" s="120" t="str">
        <f t="shared" si="96"/>
        <v>#REF!</v>
      </c>
      <c r="AI615" s="121">
        <f t="shared" si="497"/>
        <v>0.07</v>
      </c>
      <c r="AJ615" s="121">
        <v>0.07</v>
      </c>
      <c r="AK615" s="122">
        <v>0.33999999999999997</v>
      </c>
      <c r="AL615" s="123">
        <f t="shared" si="11"/>
        <v>895.3333333</v>
      </c>
      <c r="AM615" s="122" t="s">
        <v>10</v>
      </c>
      <c r="AN615" s="125">
        <f t="shared" si="774"/>
        <v>2633.333333</v>
      </c>
      <c r="AO615" s="112">
        <f t="shared" si="775"/>
        <v>0.34</v>
      </c>
      <c r="AP615" s="127"/>
      <c r="AQ615" s="128">
        <f t="shared" si="787"/>
        <v>1953.763441</v>
      </c>
      <c r="AR615" s="125">
        <f t="shared" si="776"/>
        <v>1868.817204</v>
      </c>
      <c r="AS615" s="126">
        <f t="shared" si="733"/>
        <v>0.311827957</v>
      </c>
      <c r="AT615" s="126">
        <f t="shared" si="777"/>
        <v>0.2903225806</v>
      </c>
      <c r="AU615" s="129"/>
      <c r="AV615" s="39" t="s">
        <v>2242</v>
      </c>
      <c r="AW615" s="130"/>
      <c r="AX615" s="130"/>
      <c r="AY615" s="130"/>
      <c r="AZ615" s="130"/>
      <c r="BA615" s="130"/>
      <c r="BB615" s="130"/>
      <c r="BC615" s="392">
        <v>1580.0</v>
      </c>
      <c r="BD615" s="132">
        <f t="shared" si="788"/>
        <v>1738</v>
      </c>
      <c r="BE615" s="393"/>
      <c r="BF615" s="134"/>
      <c r="BG615" s="49"/>
      <c r="BH615" s="118">
        <f t="shared" si="714"/>
        <v>8777.777778</v>
      </c>
      <c r="BI615" s="118">
        <f t="shared" si="715"/>
        <v>5266.666667</v>
      </c>
      <c r="BJ615" s="118">
        <f t="shared" si="716"/>
        <v>4388.888889</v>
      </c>
      <c r="BK615" s="118">
        <f t="shared" si="717"/>
        <v>3511.111111</v>
      </c>
      <c r="BL615" s="49"/>
      <c r="BM615" s="49"/>
      <c r="BN615" s="394"/>
      <c r="BO615" s="49"/>
      <c r="BP615" s="49"/>
      <c r="BQ615" s="49"/>
      <c r="BR615" s="49"/>
      <c r="BS615" s="49"/>
      <c r="BT615" s="49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</row>
    <row r="616" ht="14.25" customHeight="1">
      <c r="A616" s="103" t="s">
        <v>84</v>
      </c>
      <c r="B616" s="103" t="s">
        <v>85</v>
      </c>
      <c r="C616" s="103" t="s">
        <v>85</v>
      </c>
      <c r="D616" s="103" t="s">
        <v>1266</v>
      </c>
      <c r="E616" s="103" t="s">
        <v>1948</v>
      </c>
      <c r="F616" s="104" t="s">
        <v>2025</v>
      </c>
      <c r="G616" s="110" t="s">
        <v>1319</v>
      </c>
      <c r="H616" s="390" t="s">
        <v>2333</v>
      </c>
      <c r="I616" s="391" t="s">
        <v>2334</v>
      </c>
      <c r="J616" s="220" t="s">
        <v>2335</v>
      </c>
      <c r="K616" s="220" t="str">
        <f>_xlfn.XLOOKUP(J616,[1]Sheet1!$A:$A,[1]Sheet1!$B:$B,"")</f>
        <v>#ERROR!</v>
      </c>
      <c r="L616" s="149" t="s">
        <v>2336</v>
      </c>
      <c r="M616" s="149" t="s">
        <v>2337</v>
      </c>
      <c r="N616" s="110" t="s">
        <v>106</v>
      </c>
      <c r="O616" s="104" t="s">
        <v>147</v>
      </c>
      <c r="P616" s="110"/>
      <c r="Q616" s="104" t="s">
        <v>1989</v>
      </c>
      <c r="R616" s="110" t="s">
        <v>1955</v>
      </c>
      <c r="S616" s="110">
        <v>2.0</v>
      </c>
      <c r="T616" s="155" t="e">
        <v>#N/A</v>
      </c>
      <c r="U616" s="155">
        <v>8.5447E9</v>
      </c>
      <c r="V616" s="157">
        <v>0.0</v>
      </c>
      <c r="W616" s="158">
        <v>30.0</v>
      </c>
      <c r="X616" s="155">
        <v>45.0</v>
      </c>
      <c r="Y616" s="155">
        <v>55.0</v>
      </c>
      <c r="Z616" s="155" t="s">
        <v>1938</v>
      </c>
      <c r="AA616" s="114">
        <f t="shared" si="786"/>
        <v>4240.625</v>
      </c>
      <c r="AB616" s="395"/>
      <c r="AC616" s="159">
        <f t="shared" si="772"/>
        <v>3933.333333</v>
      </c>
      <c r="AD616" s="117">
        <f t="shared" si="783"/>
        <v>4140.350877</v>
      </c>
      <c r="AE616" s="159"/>
      <c r="AF616" s="159" t="str">
        <f t="shared" si="94"/>
        <v>#REF!</v>
      </c>
      <c r="AG616" s="396" t="str">
        <f t="shared" si="95"/>
        <v>#REF!</v>
      </c>
      <c r="AH616" s="120" t="str">
        <f t="shared" si="96"/>
        <v>#REF!</v>
      </c>
      <c r="AI616" s="157">
        <f t="shared" si="497"/>
        <v>0.07</v>
      </c>
      <c r="AJ616" s="157">
        <v>0.07</v>
      </c>
      <c r="AK616" s="157">
        <v>0.33999999999999997</v>
      </c>
      <c r="AL616" s="123">
        <f t="shared" si="11"/>
        <v>1337.333333</v>
      </c>
      <c r="AM616" s="157" t="s">
        <v>10</v>
      </c>
      <c r="AN616" s="161">
        <f t="shared" si="774"/>
        <v>3933.333333</v>
      </c>
      <c r="AO616" s="157">
        <f t="shared" si="775"/>
        <v>0.34</v>
      </c>
      <c r="AP616" s="127"/>
      <c r="AQ616" s="163">
        <f t="shared" si="787"/>
        <v>2918.27957</v>
      </c>
      <c r="AR616" s="161">
        <f t="shared" si="776"/>
        <v>2791.397849</v>
      </c>
      <c r="AS616" s="162">
        <f t="shared" si="733"/>
        <v>0.311827957</v>
      </c>
      <c r="AT616" s="162">
        <f t="shared" si="777"/>
        <v>0.2903225806</v>
      </c>
      <c r="AU616" s="129"/>
      <c r="AV616" s="39" t="s">
        <v>2242</v>
      </c>
      <c r="AW616" s="130"/>
      <c r="AX616" s="130"/>
      <c r="AY616" s="130"/>
      <c r="AZ616" s="130"/>
      <c r="BA616" s="130"/>
      <c r="BB616" s="130"/>
      <c r="BC616" s="392">
        <v>2360.0</v>
      </c>
      <c r="BD616" s="132">
        <f t="shared" si="788"/>
        <v>2596</v>
      </c>
      <c r="BE616" s="393"/>
      <c r="BF616" s="134"/>
      <c r="BG616" s="49"/>
      <c r="BH616" s="118">
        <f t="shared" si="714"/>
        <v>13111.11111</v>
      </c>
      <c r="BI616" s="118">
        <f t="shared" si="715"/>
        <v>7866.666667</v>
      </c>
      <c r="BJ616" s="118">
        <f t="shared" si="716"/>
        <v>6555.555556</v>
      </c>
      <c r="BK616" s="118">
        <f t="shared" si="717"/>
        <v>5244.444444</v>
      </c>
      <c r="BL616" s="49"/>
      <c r="BM616" s="49"/>
      <c r="BN616" s="394"/>
      <c r="BO616" s="49"/>
      <c r="BP616" s="49"/>
      <c r="BQ616" s="49"/>
      <c r="BR616" s="49"/>
      <c r="BS616" s="49"/>
      <c r="BT616" s="49"/>
      <c r="BU616" s="49"/>
      <c r="BV616" s="49"/>
      <c r="BW616" s="49"/>
      <c r="BX616" s="49"/>
      <c r="BY616" s="49"/>
      <c r="BZ616" s="49"/>
      <c r="CA616" s="49"/>
      <c r="CB616" s="49"/>
      <c r="CC616" s="49"/>
      <c r="CD616" s="49"/>
      <c r="CE616" s="49"/>
      <c r="CF616" s="49"/>
    </row>
    <row r="617" ht="14.25" customHeight="1">
      <c r="A617" s="103" t="s">
        <v>84</v>
      </c>
      <c r="B617" s="103" t="s">
        <v>85</v>
      </c>
      <c r="C617" s="103" t="s">
        <v>85</v>
      </c>
      <c r="D617" s="103" t="s">
        <v>1266</v>
      </c>
      <c r="E617" s="103" t="s">
        <v>1948</v>
      </c>
      <c r="F617" s="104" t="s">
        <v>2025</v>
      </c>
      <c r="G617" s="110" t="s">
        <v>1319</v>
      </c>
      <c r="H617" s="390" t="s">
        <v>2031</v>
      </c>
      <c r="I617" s="391" t="s">
        <v>2338</v>
      </c>
      <c r="J617" s="220" t="s">
        <v>2033</v>
      </c>
      <c r="K617" s="220" t="str">
        <f>_xlfn.XLOOKUP(J617,[1]Sheet1!$A:$A,[1]Sheet1!$B:$B,"")</f>
        <v>#ERROR!</v>
      </c>
      <c r="L617" s="103" t="s">
        <v>2034</v>
      </c>
      <c r="M617" s="103" t="s">
        <v>2035</v>
      </c>
      <c r="N617" s="110" t="s">
        <v>106</v>
      </c>
      <c r="O617" s="104" t="s">
        <v>147</v>
      </c>
      <c r="P617" s="110"/>
      <c r="Q617" s="104" t="s">
        <v>1989</v>
      </c>
      <c r="R617" s="110" t="s">
        <v>1955</v>
      </c>
      <c r="S617" s="110">
        <v>2.0</v>
      </c>
      <c r="T617" s="110" t="e">
        <v>#N/A</v>
      </c>
      <c r="U617" s="110">
        <v>8.5447E9</v>
      </c>
      <c r="V617" s="112">
        <v>0.0</v>
      </c>
      <c r="W617" s="113">
        <v>30.0</v>
      </c>
      <c r="X617" s="110">
        <v>45.0</v>
      </c>
      <c r="Y617" s="110">
        <v>55.0</v>
      </c>
      <c r="Z617" s="110" t="s">
        <v>1938</v>
      </c>
      <c r="AA617" s="114">
        <f t="shared" si="786"/>
        <v>5570.3125</v>
      </c>
      <c r="AB617" s="115"/>
      <c r="AC617" s="116">
        <f t="shared" si="772"/>
        <v>5166.666667</v>
      </c>
      <c r="AD617" s="117">
        <f t="shared" si="783"/>
        <v>5438.596491</v>
      </c>
      <c r="AE617" s="116"/>
      <c r="AF617" s="116" t="str">
        <f t="shared" si="94"/>
        <v>#REF!</v>
      </c>
      <c r="AG617" s="210" t="str">
        <f t="shared" si="95"/>
        <v>#REF!</v>
      </c>
      <c r="AH617" s="120" t="str">
        <f t="shared" si="96"/>
        <v>#REF!</v>
      </c>
      <c r="AI617" s="121">
        <f t="shared" si="497"/>
        <v>0.07</v>
      </c>
      <c r="AJ617" s="121">
        <v>0.07</v>
      </c>
      <c r="AK617" s="122">
        <v>0.33999999999999997</v>
      </c>
      <c r="AL617" s="123">
        <f t="shared" si="11"/>
        <v>1756.666667</v>
      </c>
      <c r="AM617" s="122" t="s">
        <v>10</v>
      </c>
      <c r="AN617" s="125">
        <f t="shared" si="774"/>
        <v>5166.666667</v>
      </c>
      <c r="AO617" s="112">
        <f t="shared" si="775"/>
        <v>0.34</v>
      </c>
      <c r="AP617" s="127"/>
      <c r="AQ617" s="128">
        <f t="shared" si="787"/>
        <v>3833.333333</v>
      </c>
      <c r="AR617" s="125">
        <f t="shared" si="776"/>
        <v>3666.666667</v>
      </c>
      <c r="AS617" s="126">
        <f t="shared" si="733"/>
        <v>0.311827957</v>
      </c>
      <c r="AT617" s="126">
        <f t="shared" si="777"/>
        <v>0.2903225806</v>
      </c>
      <c r="AU617" s="129"/>
      <c r="AV617" s="39" t="s">
        <v>2242</v>
      </c>
      <c r="AW617" s="130"/>
      <c r="AX617" s="130"/>
      <c r="AY617" s="130"/>
      <c r="AZ617" s="130"/>
      <c r="BA617" s="130"/>
      <c r="BB617" s="130"/>
      <c r="BC617" s="392">
        <v>3100.0</v>
      </c>
      <c r="BD617" s="132">
        <f t="shared" si="788"/>
        <v>3410</v>
      </c>
      <c r="BE617" s="393"/>
      <c r="BF617" s="134"/>
      <c r="BG617" s="49"/>
      <c r="BH617" s="118">
        <f t="shared" si="714"/>
        <v>17222.22222</v>
      </c>
      <c r="BI617" s="118">
        <f t="shared" si="715"/>
        <v>10333.33333</v>
      </c>
      <c r="BJ617" s="118">
        <f t="shared" si="716"/>
        <v>8611.111111</v>
      </c>
      <c r="BK617" s="118">
        <f t="shared" si="717"/>
        <v>6888.888889</v>
      </c>
      <c r="BL617" s="49"/>
      <c r="BM617" s="49"/>
      <c r="BN617" s="394"/>
      <c r="BO617" s="49"/>
      <c r="BP617" s="49"/>
      <c r="BQ617" s="49"/>
      <c r="BR617" s="49"/>
      <c r="BS617" s="49"/>
      <c r="BT617" s="49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</row>
    <row r="618" ht="14.25" customHeight="1">
      <c r="A618" s="103" t="s">
        <v>84</v>
      </c>
      <c r="B618" s="103" t="s">
        <v>85</v>
      </c>
      <c r="C618" s="103" t="s">
        <v>85</v>
      </c>
      <c r="D618" s="103" t="s">
        <v>1266</v>
      </c>
      <c r="E618" s="103" t="s">
        <v>1948</v>
      </c>
      <c r="F618" s="104" t="s">
        <v>2025</v>
      </c>
      <c r="G618" s="110" t="s">
        <v>1319</v>
      </c>
      <c r="H618" s="390" t="s">
        <v>2339</v>
      </c>
      <c r="I618" s="391" t="s">
        <v>2340</v>
      </c>
      <c r="J618" s="220" t="s">
        <v>2341</v>
      </c>
      <c r="K618" s="220" t="str">
        <f>_xlfn.XLOOKUP(J618,[1]Sheet1!$A:$A,[1]Sheet1!$B:$B,"")</f>
        <v>#ERROR!</v>
      </c>
      <c r="L618" s="149" t="s">
        <v>2342</v>
      </c>
      <c r="M618" s="149" t="s">
        <v>2343</v>
      </c>
      <c r="N618" s="110" t="s">
        <v>106</v>
      </c>
      <c r="O618" s="104" t="s">
        <v>147</v>
      </c>
      <c r="P618" s="110"/>
      <c r="Q618" s="104" t="s">
        <v>1989</v>
      </c>
      <c r="R618" s="110" t="s">
        <v>1955</v>
      </c>
      <c r="S618" s="110">
        <v>2.0</v>
      </c>
      <c r="T618" s="155" t="e">
        <v>#N/A</v>
      </c>
      <c r="U618" s="155">
        <v>8.5447E9</v>
      </c>
      <c r="V618" s="157">
        <v>0.0</v>
      </c>
      <c r="W618" s="158">
        <v>30.0</v>
      </c>
      <c r="X618" s="155">
        <v>45.0</v>
      </c>
      <c r="Y618" s="155">
        <v>55.0</v>
      </c>
      <c r="Z618" s="155" t="s">
        <v>1938</v>
      </c>
      <c r="AA618" s="114">
        <f t="shared" si="786"/>
        <v>7906.25</v>
      </c>
      <c r="AB618" s="395"/>
      <c r="AC618" s="159">
        <f t="shared" si="772"/>
        <v>7333.333333</v>
      </c>
      <c r="AD618" s="117">
        <f t="shared" si="783"/>
        <v>7719.298246</v>
      </c>
      <c r="AE618" s="159"/>
      <c r="AF618" s="159" t="str">
        <f t="shared" si="94"/>
        <v>#REF!</v>
      </c>
      <c r="AG618" s="396" t="str">
        <f t="shared" si="95"/>
        <v>#REF!</v>
      </c>
      <c r="AH618" s="120" t="str">
        <f t="shared" si="96"/>
        <v>#REF!</v>
      </c>
      <c r="AI618" s="157">
        <f t="shared" si="497"/>
        <v>0.07</v>
      </c>
      <c r="AJ618" s="157">
        <v>0.07</v>
      </c>
      <c r="AK618" s="157">
        <v>0.33999999999999997</v>
      </c>
      <c r="AL618" s="123">
        <f t="shared" si="11"/>
        <v>2493.333333</v>
      </c>
      <c r="AM618" s="157" t="s">
        <v>10</v>
      </c>
      <c r="AN618" s="161">
        <f t="shared" si="774"/>
        <v>7333.333333</v>
      </c>
      <c r="AO618" s="157">
        <f t="shared" si="775"/>
        <v>0.34</v>
      </c>
      <c r="AP618" s="127"/>
      <c r="AQ618" s="163">
        <f t="shared" si="787"/>
        <v>5440.860215</v>
      </c>
      <c r="AR618" s="161">
        <f t="shared" si="776"/>
        <v>5204.301075</v>
      </c>
      <c r="AS618" s="162">
        <f t="shared" si="733"/>
        <v>0.311827957</v>
      </c>
      <c r="AT618" s="162">
        <f t="shared" si="777"/>
        <v>0.2903225806</v>
      </c>
      <c r="AU618" s="129"/>
      <c r="AV618" s="39" t="s">
        <v>2242</v>
      </c>
      <c r="AW618" s="130"/>
      <c r="AX618" s="130"/>
      <c r="AY618" s="130"/>
      <c r="AZ618" s="130"/>
      <c r="BA618" s="130"/>
      <c r="BB618" s="130"/>
      <c r="BC618" s="392">
        <v>4400.0</v>
      </c>
      <c r="BD618" s="132">
        <f t="shared" si="788"/>
        <v>4840</v>
      </c>
      <c r="BE618" s="393"/>
      <c r="BF618" s="134"/>
      <c r="BG618" s="49"/>
      <c r="BH618" s="118">
        <f t="shared" si="714"/>
        <v>24444.44444</v>
      </c>
      <c r="BI618" s="118">
        <f t="shared" si="715"/>
        <v>14666.66667</v>
      </c>
      <c r="BJ618" s="118">
        <f t="shared" si="716"/>
        <v>12222.22222</v>
      </c>
      <c r="BK618" s="118">
        <f t="shared" si="717"/>
        <v>9777.777778</v>
      </c>
      <c r="BL618" s="49"/>
      <c r="BM618" s="49"/>
      <c r="BN618" s="394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</row>
    <row r="619" ht="14.25" customHeight="1">
      <c r="A619" s="103" t="s">
        <v>84</v>
      </c>
      <c r="B619" s="103" t="s">
        <v>85</v>
      </c>
      <c r="C619" s="103" t="s">
        <v>85</v>
      </c>
      <c r="D619" s="103" t="s">
        <v>1266</v>
      </c>
      <c r="E619" s="103" t="s">
        <v>1948</v>
      </c>
      <c r="F619" s="104" t="s">
        <v>2025</v>
      </c>
      <c r="G619" s="110" t="s">
        <v>1319</v>
      </c>
      <c r="H619" s="390" t="s">
        <v>2344</v>
      </c>
      <c r="I619" s="391" t="s">
        <v>2345</v>
      </c>
      <c r="J619" s="220" t="s">
        <v>2346</v>
      </c>
      <c r="K619" s="220" t="str">
        <f>_xlfn.XLOOKUP(J619,[1]Sheet1!$A:$A,[1]Sheet1!$B:$B,"")</f>
        <v>#ERROR!</v>
      </c>
      <c r="L619" s="149" t="s">
        <v>2347</v>
      </c>
      <c r="M619" s="149" t="s">
        <v>2348</v>
      </c>
      <c r="N619" s="110" t="s">
        <v>106</v>
      </c>
      <c r="O619" s="104" t="s">
        <v>147</v>
      </c>
      <c r="P619" s="110"/>
      <c r="Q619" s="104" t="s">
        <v>1989</v>
      </c>
      <c r="R619" s="110" t="s">
        <v>1955</v>
      </c>
      <c r="S619" s="110">
        <v>2.0</v>
      </c>
      <c r="T619" s="155" t="e">
        <v>#N/A</v>
      </c>
      <c r="U619" s="155">
        <v>8.5447E9</v>
      </c>
      <c r="V619" s="157">
        <v>0.0</v>
      </c>
      <c r="W619" s="158">
        <v>30.0</v>
      </c>
      <c r="X619" s="155">
        <v>45.0</v>
      </c>
      <c r="Y619" s="155">
        <v>55.0</v>
      </c>
      <c r="Z619" s="155" t="s">
        <v>1938</v>
      </c>
      <c r="AA619" s="114">
        <f t="shared" si="786"/>
        <v>13800</v>
      </c>
      <c r="AB619" s="395"/>
      <c r="AC619" s="159">
        <f t="shared" si="772"/>
        <v>12800</v>
      </c>
      <c r="AD619" s="117">
        <f t="shared" si="783"/>
        <v>13473.68421</v>
      </c>
      <c r="AE619" s="159"/>
      <c r="AF619" s="159" t="str">
        <f t="shared" si="94"/>
        <v>#REF!</v>
      </c>
      <c r="AG619" s="396" t="str">
        <f t="shared" si="95"/>
        <v>#REF!</v>
      </c>
      <c r="AH619" s="120" t="str">
        <f t="shared" si="96"/>
        <v>#REF!</v>
      </c>
      <c r="AI619" s="157">
        <f t="shared" si="497"/>
        <v>0.07</v>
      </c>
      <c r="AJ619" s="157">
        <v>0.07</v>
      </c>
      <c r="AK619" s="157">
        <v>0.33999999999999997</v>
      </c>
      <c r="AL619" s="123">
        <f t="shared" si="11"/>
        <v>4352</v>
      </c>
      <c r="AM619" s="157" t="s">
        <v>10</v>
      </c>
      <c r="AN619" s="161">
        <f t="shared" si="774"/>
        <v>12800</v>
      </c>
      <c r="AO619" s="157">
        <f t="shared" si="775"/>
        <v>0.34</v>
      </c>
      <c r="AP619" s="127"/>
      <c r="AQ619" s="163">
        <f t="shared" si="787"/>
        <v>9496.774194</v>
      </c>
      <c r="AR619" s="161">
        <f t="shared" si="776"/>
        <v>9083.870968</v>
      </c>
      <c r="AS619" s="162">
        <f t="shared" si="733"/>
        <v>0.311827957</v>
      </c>
      <c r="AT619" s="162">
        <f t="shared" si="777"/>
        <v>0.2903225806</v>
      </c>
      <c r="AU619" s="129"/>
      <c r="AV619" s="39" t="s">
        <v>2242</v>
      </c>
      <c r="AW619" s="130"/>
      <c r="AX619" s="130"/>
      <c r="AY619" s="130"/>
      <c r="AZ619" s="130"/>
      <c r="BA619" s="130"/>
      <c r="BB619" s="130"/>
      <c r="BC619" s="392">
        <v>7680.0</v>
      </c>
      <c r="BD619" s="132">
        <f t="shared" si="788"/>
        <v>8448</v>
      </c>
      <c r="BE619" s="393"/>
      <c r="BF619" s="134"/>
      <c r="BG619" s="49"/>
      <c r="BH619" s="118">
        <f t="shared" si="714"/>
        <v>42666.66667</v>
      </c>
      <c r="BI619" s="118">
        <f t="shared" si="715"/>
        <v>25600</v>
      </c>
      <c r="BJ619" s="118">
        <f t="shared" si="716"/>
        <v>21333.33333</v>
      </c>
      <c r="BK619" s="118">
        <f t="shared" si="717"/>
        <v>17066.66667</v>
      </c>
      <c r="BL619" s="49"/>
      <c r="BM619" s="49"/>
      <c r="BN619" s="394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</row>
    <row r="620" ht="14.25" customHeight="1">
      <c r="A620" s="103" t="s">
        <v>84</v>
      </c>
      <c r="B620" s="103" t="s">
        <v>120</v>
      </c>
      <c r="C620" s="103" t="s">
        <v>120</v>
      </c>
      <c r="D620" s="103" t="s">
        <v>1266</v>
      </c>
      <c r="E620" s="103" t="s">
        <v>1948</v>
      </c>
      <c r="F620" s="104" t="s">
        <v>2025</v>
      </c>
      <c r="G620" s="110" t="s">
        <v>1319</v>
      </c>
      <c r="H620" s="390" t="s">
        <v>1962</v>
      </c>
      <c r="I620" s="391" t="s">
        <v>2349</v>
      </c>
      <c r="J620" s="220" t="s">
        <v>2350</v>
      </c>
      <c r="K620" s="220" t="str">
        <f>_xlfn.XLOOKUP(J620,[1]Sheet1!$A:$A,[1]Sheet1!$B:$B,"")</f>
        <v>#ERROR!</v>
      </c>
      <c r="L620" s="149" t="s">
        <v>2351</v>
      </c>
      <c r="M620" s="149" t="s">
        <v>2352</v>
      </c>
      <c r="N620" s="110" t="s">
        <v>162</v>
      </c>
      <c r="O620" s="104" t="s">
        <v>147</v>
      </c>
      <c r="P620" s="110"/>
      <c r="Q620" s="104" t="s">
        <v>1989</v>
      </c>
      <c r="R620" s="110" t="s">
        <v>1955</v>
      </c>
      <c r="S620" s="110">
        <v>2.0</v>
      </c>
      <c r="T620" s="155" t="e">
        <v>#N/A</v>
      </c>
      <c r="U620" s="155">
        <v>8.5447E9</v>
      </c>
      <c r="V620" s="157">
        <v>0.0</v>
      </c>
      <c r="W620" s="158">
        <v>30.0</v>
      </c>
      <c r="X620" s="155">
        <v>45.0</v>
      </c>
      <c r="Y620" s="155">
        <v>55.0</v>
      </c>
      <c r="Z620" s="155" t="s">
        <v>1938</v>
      </c>
      <c r="AA620" s="114">
        <f t="shared" si="786"/>
        <v>1455.46875</v>
      </c>
      <c r="AB620" s="395"/>
      <c r="AC620" s="159">
        <f t="shared" si="772"/>
        <v>1350</v>
      </c>
      <c r="AD620" s="117">
        <f t="shared" si="783"/>
        <v>1421.052632</v>
      </c>
      <c r="AE620" s="159"/>
      <c r="AF620" s="159" t="str">
        <f t="shared" si="94"/>
        <v>#REF!</v>
      </c>
      <c r="AG620" s="396" t="str">
        <f t="shared" si="95"/>
        <v>#REF!</v>
      </c>
      <c r="AH620" s="120" t="str">
        <f t="shared" si="96"/>
        <v>#REF!</v>
      </c>
      <c r="AI620" s="157">
        <f t="shared" si="497"/>
        <v>0.07</v>
      </c>
      <c r="AJ620" s="157">
        <v>0.07</v>
      </c>
      <c r="AK620" s="157">
        <v>0.33999999999999997</v>
      </c>
      <c r="AL620" s="123">
        <f t="shared" si="11"/>
        <v>459</v>
      </c>
      <c r="AM620" s="157" t="s">
        <v>10</v>
      </c>
      <c r="AN620" s="161">
        <f t="shared" si="774"/>
        <v>1350</v>
      </c>
      <c r="AO620" s="157">
        <f t="shared" si="775"/>
        <v>0.34</v>
      </c>
      <c r="AP620" s="127"/>
      <c r="AQ620" s="163">
        <f t="shared" si="787"/>
        <v>1001.612903</v>
      </c>
      <c r="AR620" s="161">
        <f t="shared" si="776"/>
        <v>958.0645161</v>
      </c>
      <c r="AS620" s="162">
        <f t="shared" si="733"/>
        <v>0.311827957</v>
      </c>
      <c r="AT620" s="162">
        <f t="shared" si="777"/>
        <v>0.2903225806</v>
      </c>
      <c r="AU620" s="129"/>
      <c r="AV620" s="39" t="s">
        <v>2242</v>
      </c>
      <c r="AW620" s="130"/>
      <c r="AX620" s="130"/>
      <c r="AY620" s="130"/>
      <c r="AZ620" s="130"/>
      <c r="BA620" s="130"/>
      <c r="BB620" s="130"/>
      <c r="BC620" s="392">
        <v>810.0</v>
      </c>
      <c r="BD620" s="132">
        <f t="shared" si="788"/>
        <v>891</v>
      </c>
      <c r="BE620" s="393"/>
      <c r="BF620" s="134"/>
      <c r="BG620" s="49"/>
      <c r="BH620" s="118">
        <f t="shared" si="714"/>
        <v>4500</v>
      </c>
      <c r="BI620" s="118">
        <f t="shared" si="715"/>
        <v>2700</v>
      </c>
      <c r="BJ620" s="118">
        <f t="shared" si="716"/>
        <v>2250</v>
      </c>
      <c r="BK620" s="118">
        <f t="shared" si="717"/>
        <v>1800</v>
      </c>
      <c r="BL620" s="49"/>
      <c r="BM620" s="49"/>
      <c r="BN620" s="394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</row>
    <row r="621" ht="14.25" customHeight="1">
      <c r="A621" s="103" t="s">
        <v>84</v>
      </c>
      <c r="B621" s="103" t="s">
        <v>120</v>
      </c>
      <c r="C621" s="103" t="s">
        <v>120</v>
      </c>
      <c r="D621" s="103" t="s">
        <v>1266</v>
      </c>
      <c r="E621" s="103" t="s">
        <v>1948</v>
      </c>
      <c r="F621" s="104" t="s">
        <v>2025</v>
      </c>
      <c r="G621" s="110" t="s">
        <v>1319</v>
      </c>
      <c r="H621" s="390" t="s">
        <v>1967</v>
      </c>
      <c r="I621" s="391" t="s">
        <v>2353</v>
      </c>
      <c r="J621" s="220" t="s">
        <v>2354</v>
      </c>
      <c r="K621" s="220" t="str">
        <f>_xlfn.XLOOKUP(J621,[1]Sheet1!$A:$A,[1]Sheet1!$B:$B,"")</f>
        <v>#ERROR!</v>
      </c>
      <c r="L621" s="149" t="s">
        <v>2355</v>
      </c>
      <c r="M621" s="149" t="s">
        <v>2356</v>
      </c>
      <c r="N621" s="110" t="s">
        <v>162</v>
      </c>
      <c r="O621" s="104" t="s">
        <v>147</v>
      </c>
      <c r="P621" s="110"/>
      <c r="Q621" s="104" t="s">
        <v>1989</v>
      </c>
      <c r="R621" s="110" t="s">
        <v>1955</v>
      </c>
      <c r="S621" s="110">
        <v>2.0</v>
      </c>
      <c r="T621" s="155" t="e">
        <v>#N/A</v>
      </c>
      <c r="U621" s="155">
        <v>8.5447E9</v>
      </c>
      <c r="V621" s="157">
        <v>0.0</v>
      </c>
      <c r="W621" s="158">
        <v>30.0</v>
      </c>
      <c r="X621" s="155">
        <v>45.0</v>
      </c>
      <c r="Y621" s="155">
        <v>55.0</v>
      </c>
      <c r="Z621" s="155" t="s">
        <v>1938</v>
      </c>
      <c r="AA621" s="114">
        <f t="shared" si="786"/>
        <v>1859.765625</v>
      </c>
      <c r="AB621" s="395"/>
      <c r="AC621" s="159">
        <f t="shared" si="772"/>
        <v>1725</v>
      </c>
      <c r="AD621" s="117">
        <f t="shared" si="783"/>
        <v>1815.789474</v>
      </c>
      <c r="AE621" s="159"/>
      <c r="AF621" s="159" t="str">
        <f t="shared" si="94"/>
        <v>#REF!</v>
      </c>
      <c r="AG621" s="396" t="str">
        <f t="shared" si="95"/>
        <v>#REF!</v>
      </c>
      <c r="AH621" s="120" t="str">
        <f t="shared" si="96"/>
        <v>#REF!</v>
      </c>
      <c r="AI621" s="157">
        <f t="shared" si="497"/>
        <v>0.07</v>
      </c>
      <c r="AJ621" s="157">
        <v>0.07</v>
      </c>
      <c r="AK621" s="157">
        <v>0.33999999999999997</v>
      </c>
      <c r="AL621" s="123">
        <f t="shared" si="11"/>
        <v>586.5</v>
      </c>
      <c r="AM621" s="157" t="s">
        <v>10</v>
      </c>
      <c r="AN621" s="161">
        <f t="shared" si="774"/>
        <v>1725</v>
      </c>
      <c r="AO621" s="157">
        <f t="shared" si="775"/>
        <v>0.34</v>
      </c>
      <c r="AP621" s="127"/>
      <c r="AQ621" s="163">
        <f t="shared" si="787"/>
        <v>1279.83871</v>
      </c>
      <c r="AR621" s="161">
        <f t="shared" si="776"/>
        <v>1224.193548</v>
      </c>
      <c r="AS621" s="162">
        <f t="shared" si="733"/>
        <v>0.311827957</v>
      </c>
      <c r="AT621" s="162">
        <f t="shared" si="777"/>
        <v>0.2903225806</v>
      </c>
      <c r="AU621" s="129"/>
      <c r="AV621" s="39" t="s">
        <v>2242</v>
      </c>
      <c r="AW621" s="130"/>
      <c r="AX621" s="130"/>
      <c r="AY621" s="130"/>
      <c r="AZ621" s="130"/>
      <c r="BA621" s="130"/>
      <c r="BB621" s="130"/>
      <c r="BC621" s="392">
        <v>1035.0</v>
      </c>
      <c r="BD621" s="132">
        <f t="shared" si="788"/>
        <v>1138.5</v>
      </c>
      <c r="BE621" s="393"/>
      <c r="BF621" s="134"/>
      <c r="BG621" s="49"/>
      <c r="BH621" s="118">
        <f t="shared" si="714"/>
        <v>5750</v>
      </c>
      <c r="BI621" s="118">
        <f t="shared" si="715"/>
        <v>3450</v>
      </c>
      <c r="BJ621" s="118">
        <f t="shared" si="716"/>
        <v>2875</v>
      </c>
      <c r="BK621" s="118">
        <f t="shared" si="717"/>
        <v>2300</v>
      </c>
      <c r="BL621" s="49"/>
      <c r="BM621" s="49"/>
      <c r="BN621" s="394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</row>
    <row r="622" ht="14.25" customHeight="1">
      <c r="A622" s="103" t="s">
        <v>84</v>
      </c>
      <c r="B622" s="103" t="s">
        <v>120</v>
      </c>
      <c r="C622" s="103" t="s">
        <v>120</v>
      </c>
      <c r="D622" s="103" t="s">
        <v>1266</v>
      </c>
      <c r="E622" s="103" t="s">
        <v>1948</v>
      </c>
      <c r="F622" s="104" t="s">
        <v>2025</v>
      </c>
      <c r="G622" s="110" t="s">
        <v>1319</v>
      </c>
      <c r="H622" s="390" t="s">
        <v>2026</v>
      </c>
      <c r="I622" s="391" t="s">
        <v>2357</v>
      </c>
      <c r="J622" s="220" t="s">
        <v>2358</v>
      </c>
      <c r="K622" s="220" t="str">
        <f>_xlfn.XLOOKUP(J622,[1]Sheet1!$A:$A,[1]Sheet1!$B:$B,"")</f>
        <v>#ERROR!</v>
      </c>
      <c r="L622" s="103" t="s">
        <v>2359</v>
      </c>
      <c r="M622" s="103" t="s">
        <v>2360</v>
      </c>
      <c r="N622" s="110" t="s">
        <v>162</v>
      </c>
      <c r="O622" s="104" t="s">
        <v>147</v>
      </c>
      <c r="P622" s="110"/>
      <c r="Q622" s="104" t="s">
        <v>1989</v>
      </c>
      <c r="R622" s="110" t="s">
        <v>1955</v>
      </c>
      <c r="S622" s="110">
        <v>2.0</v>
      </c>
      <c r="T622" s="110" t="e">
        <v>#N/A</v>
      </c>
      <c r="U622" s="110">
        <v>8.5447E9</v>
      </c>
      <c r="V622" s="112">
        <v>0.0</v>
      </c>
      <c r="W622" s="113">
        <v>30.0</v>
      </c>
      <c r="X622" s="110">
        <v>45.0</v>
      </c>
      <c r="Y622" s="110">
        <v>55.0</v>
      </c>
      <c r="Z622" s="110" t="s">
        <v>1938</v>
      </c>
      <c r="AA622" s="114">
        <f t="shared" si="786"/>
        <v>2668.359375</v>
      </c>
      <c r="AB622" s="115"/>
      <c r="AC622" s="116">
        <f t="shared" si="772"/>
        <v>2475</v>
      </c>
      <c r="AD622" s="117">
        <f t="shared" si="783"/>
        <v>2605.263158</v>
      </c>
      <c r="AE622" s="116"/>
      <c r="AF622" s="116" t="str">
        <f t="shared" si="94"/>
        <v>#REF!</v>
      </c>
      <c r="AG622" s="210" t="str">
        <f t="shared" si="95"/>
        <v>#REF!</v>
      </c>
      <c r="AH622" s="120" t="str">
        <f t="shared" si="96"/>
        <v>#REF!</v>
      </c>
      <c r="AI622" s="121">
        <f t="shared" si="497"/>
        <v>0.07</v>
      </c>
      <c r="AJ622" s="121">
        <v>0.07</v>
      </c>
      <c r="AK622" s="122">
        <v>0.33999999999999997</v>
      </c>
      <c r="AL622" s="123">
        <f t="shared" si="11"/>
        <v>841.5</v>
      </c>
      <c r="AM622" s="122" t="s">
        <v>10</v>
      </c>
      <c r="AN622" s="125">
        <f t="shared" si="774"/>
        <v>2475</v>
      </c>
      <c r="AO622" s="112">
        <f t="shared" si="775"/>
        <v>0.34</v>
      </c>
      <c r="AP622" s="127"/>
      <c r="AQ622" s="128">
        <f t="shared" si="787"/>
        <v>1836.290323</v>
      </c>
      <c r="AR622" s="125">
        <f t="shared" si="776"/>
        <v>1756.451613</v>
      </c>
      <c r="AS622" s="126">
        <f t="shared" si="733"/>
        <v>0.311827957</v>
      </c>
      <c r="AT622" s="126">
        <f t="shared" si="777"/>
        <v>0.2903225806</v>
      </c>
      <c r="AU622" s="129"/>
      <c r="AV622" s="39" t="s">
        <v>2242</v>
      </c>
      <c r="AW622" s="130"/>
      <c r="AX622" s="130"/>
      <c r="AY622" s="130"/>
      <c r="AZ622" s="130"/>
      <c r="BA622" s="130"/>
      <c r="BB622" s="130"/>
      <c r="BC622" s="392">
        <v>1485.0</v>
      </c>
      <c r="BD622" s="132">
        <f t="shared" si="788"/>
        <v>1633.5</v>
      </c>
      <c r="BE622" s="393"/>
      <c r="BF622" s="134"/>
      <c r="BG622" s="49"/>
      <c r="BH622" s="118">
        <f t="shared" si="714"/>
        <v>8250</v>
      </c>
      <c r="BI622" s="118">
        <f t="shared" si="715"/>
        <v>4950</v>
      </c>
      <c r="BJ622" s="118">
        <f t="shared" si="716"/>
        <v>4125</v>
      </c>
      <c r="BK622" s="118">
        <f t="shared" si="717"/>
        <v>3300</v>
      </c>
      <c r="BL622" s="49"/>
      <c r="BM622" s="49"/>
      <c r="BN622" s="394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</row>
    <row r="623" ht="14.25" customHeight="1">
      <c r="A623" s="103" t="s">
        <v>84</v>
      </c>
      <c r="B623" s="103" t="s">
        <v>120</v>
      </c>
      <c r="C623" s="103" t="s">
        <v>120</v>
      </c>
      <c r="D623" s="103" t="s">
        <v>1266</v>
      </c>
      <c r="E623" s="103" t="s">
        <v>1948</v>
      </c>
      <c r="F623" s="104" t="s">
        <v>2025</v>
      </c>
      <c r="G623" s="110" t="s">
        <v>1319</v>
      </c>
      <c r="H623" s="390" t="s">
        <v>2333</v>
      </c>
      <c r="I623" s="391" t="s">
        <v>2361</v>
      </c>
      <c r="J623" s="220" t="s">
        <v>2362</v>
      </c>
      <c r="K623" s="220" t="str">
        <f>_xlfn.XLOOKUP(J623,[1]Sheet1!$A:$A,[1]Sheet1!$B:$B,"")</f>
        <v>#ERROR!</v>
      </c>
      <c r="L623" s="149" t="s">
        <v>2363</v>
      </c>
      <c r="M623" s="149" t="s">
        <v>2364</v>
      </c>
      <c r="N623" s="110" t="s">
        <v>162</v>
      </c>
      <c r="O623" s="104" t="s">
        <v>147</v>
      </c>
      <c r="P623" s="110"/>
      <c r="Q623" s="104" t="s">
        <v>1989</v>
      </c>
      <c r="R623" s="110" t="s">
        <v>1955</v>
      </c>
      <c r="S623" s="110">
        <v>2.0</v>
      </c>
      <c r="T623" s="155" t="e">
        <v>#N/A</v>
      </c>
      <c r="U623" s="155">
        <v>8.5447E9</v>
      </c>
      <c r="V623" s="157">
        <v>0.0</v>
      </c>
      <c r="W623" s="158">
        <v>30.0</v>
      </c>
      <c r="X623" s="155">
        <v>45.0</v>
      </c>
      <c r="Y623" s="155">
        <v>55.0</v>
      </c>
      <c r="Z623" s="155" t="s">
        <v>1938</v>
      </c>
      <c r="AA623" s="114">
        <f t="shared" si="786"/>
        <v>3971.09375</v>
      </c>
      <c r="AB623" s="395"/>
      <c r="AC623" s="159">
        <f t="shared" si="772"/>
        <v>3683.333333</v>
      </c>
      <c r="AD623" s="117">
        <f t="shared" si="783"/>
        <v>3877.192982</v>
      </c>
      <c r="AE623" s="159"/>
      <c r="AF623" s="159" t="str">
        <f t="shared" si="94"/>
        <v>#REF!</v>
      </c>
      <c r="AG623" s="396" t="str">
        <f t="shared" si="95"/>
        <v>#REF!</v>
      </c>
      <c r="AH623" s="120" t="str">
        <f t="shared" si="96"/>
        <v>#REF!</v>
      </c>
      <c r="AI623" s="157">
        <f t="shared" si="497"/>
        <v>0.07</v>
      </c>
      <c r="AJ623" s="157">
        <v>0.07</v>
      </c>
      <c r="AK623" s="157">
        <v>0.33999999999999997</v>
      </c>
      <c r="AL623" s="123">
        <f t="shared" si="11"/>
        <v>1252.333333</v>
      </c>
      <c r="AM623" s="157" t="s">
        <v>10</v>
      </c>
      <c r="AN623" s="161">
        <f t="shared" si="774"/>
        <v>3683.333333</v>
      </c>
      <c r="AO623" s="157">
        <f t="shared" si="775"/>
        <v>0.34</v>
      </c>
      <c r="AP623" s="127"/>
      <c r="AQ623" s="163">
        <f t="shared" si="787"/>
        <v>2732.795699</v>
      </c>
      <c r="AR623" s="161">
        <f t="shared" si="776"/>
        <v>2613.978495</v>
      </c>
      <c r="AS623" s="162">
        <f t="shared" si="733"/>
        <v>0.311827957</v>
      </c>
      <c r="AT623" s="162">
        <f t="shared" si="777"/>
        <v>0.2903225806</v>
      </c>
      <c r="AU623" s="129"/>
      <c r="AV623" s="39" t="s">
        <v>2242</v>
      </c>
      <c r="AW623" s="130"/>
      <c r="AX623" s="130"/>
      <c r="AY623" s="130"/>
      <c r="AZ623" s="130"/>
      <c r="BA623" s="130"/>
      <c r="BB623" s="130"/>
      <c r="BC623" s="392">
        <v>2210.0</v>
      </c>
      <c r="BD623" s="132">
        <f t="shared" si="788"/>
        <v>2431</v>
      </c>
      <c r="BE623" s="393"/>
      <c r="BF623" s="134"/>
      <c r="BG623" s="49"/>
      <c r="BH623" s="118">
        <f t="shared" si="714"/>
        <v>12277.77778</v>
      </c>
      <c r="BI623" s="118">
        <f t="shared" si="715"/>
        <v>7366.666667</v>
      </c>
      <c r="BJ623" s="118">
        <f t="shared" si="716"/>
        <v>6138.888889</v>
      </c>
      <c r="BK623" s="118">
        <f t="shared" si="717"/>
        <v>4911.111111</v>
      </c>
      <c r="BL623" s="49"/>
      <c r="BM623" s="49"/>
      <c r="BN623" s="394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</row>
    <row r="624" ht="14.25" customHeight="1">
      <c r="A624" s="103" t="s">
        <v>84</v>
      </c>
      <c r="B624" s="103" t="s">
        <v>120</v>
      </c>
      <c r="C624" s="103" t="s">
        <v>120</v>
      </c>
      <c r="D624" s="103" t="s">
        <v>1266</v>
      </c>
      <c r="E624" s="103" t="s">
        <v>1948</v>
      </c>
      <c r="F624" s="104" t="s">
        <v>2025</v>
      </c>
      <c r="G624" s="110" t="s">
        <v>1319</v>
      </c>
      <c r="H624" s="390" t="s">
        <v>2031</v>
      </c>
      <c r="I624" s="391" t="s">
        <v>2365</v>
      </c>
      <c r="J624" s="220" t="s">
        <v>2366</v>
      </c>
      <c r="K624" s="220" t="str">
        <f>_xlfn.XLOOKUP(J624,[1]Sheet1!$A:$A,[1]Sheet1!$B:$B,"")</f>
        <v>#ERROR!</v>
      </c>
      <c r="L624" s="149" t="s">
        <v>2367</v>
      </c>
      <c r="M624" s="149" t="s">
        <v>2368</v>
      </c>
      <c r="N624" s="110" t="s">
        <v>162</v>
      </c>
      <c r="O624" s="104" t="s">
        <v>147</v>
      </c>
      <c r="P624" s="110"/>
      <c r="Q624" s="104" t="s">
        <v>1989</v>
      </c>
      <c r="R624" s="110" t="s">
        <v>1955</v>
      </c>
      <c r="S624" s="110">
        <v>2.0</v>
      </c>
      <c r="T624" s="155" t="e">
        <v>#N/A</v>
      </c>
      <c r="U624" s="155">
        <v>8.5447E9</v>
      </c>
      <c r="V624" s="157">
        <v>0.0</v>
      </c>
      <c r="W624" s="158">
        <v>30.0</v>
      </c>
      <c r="X624" s="155">
        <v>45.0</v>
      </c>
      <c r="Y624" s="155">
        <v>55.0</v>
      </c>
      <c r="Z624" s="155" t="s">
        <v>1938</v>
      </c>
      <c r="AA624" s="114">
        <f t="shared" si="786"/>
        <v>5112.109375</v>
      </c>
      <c r="AB624" s="395"/>
      <c r="AC624" s="159">
        <f t="shared" si="772"/>
        <v>4741.666667</v>
      </c>
      <c r="AD624" s="117">
        <f t="shared" si="783"/>
        <v>4991.22807</v>
      </c>
      <c r="AE624" s="159"/>
      <c r="AF624" s="159" t="str">
        <f t="shared" si="94"/>
        <v>#REF!</v>
      </c>
      <c r="AG624" s="396" t="str">
        <f t="shared" si="95"/>
        <v>#REF!</v>
      </c>
      <c r="AH624" s="120" t="str">
        <f t="shared" si="96"/>
        <v>#REF!</v>
      </c>
      <c r="AI624" s="157">
        <f t="shared" si="497"/>
        <v>0.07</v>
      </c>
      <c r="AJ624" s="157">
        <v>0.07</v>
      </c>
      <c r="AK624" s="157">
        <v>0.33999999999999997</v>
      </c>
      <c r="AL624" s="123">
        <f t="shared" si="11"/>
        <v>1612.166667</v>
      </c>
      <c r="AM624" s="157" t="s">
        <v>10</v>
      </c>
      <c r="AN624" s="161">
        <f t="shared" si="774"/>
        <v>4741.666667</v>
      </c>
      <c r="AO624" s="157">
        <f t="shared" si="775"/>
        <v>0.34</v>
      </c>
      <c r="AP624" s="127"/>
      <c r="AQ624" s="163">
        <f t="shared" si="787"/>
        <v>3518.010753</v>
      </c>
      <c r="AR624" s="161">
        <f t="shared" si="776"/>
        <v>3365.053763</v>
      </c>
      <c r="AS624" s="162">
        <f t="shared" si="733"/>
        <v>0.311827957</v>
      </c>
      <c r="AT624" s="162">
        <f t="shared" si="777"/>
        <v>0.2903225806</v>
      </c>
      <c r="AU624" s="129"/>
      <c r="AV624" s="39" t="s">
        <v>2242</v>
      </c>
      <c r="AW624" s="130"/>
      <c r="AX624" s="130"/>
      <c r="AY624" s="130"/>
      <c r="AZ624" s="130"/>
      <c r="BA624" s="130"/>
      <c r="BB624" s="130"/>
      <c r="BC624" s="392">
        <v>2845.0</v>
      </c>
      <c r="BD624" s="132">
        <f t="shared" si="788"/>
        <v>3129.5</v>
      </c>
      <c r="BE624" s="393"/>
      <c r="BF624" s="134"/>
      <c r="BG624" s="49"/>
      <c r="BH624" s="118">
        <f t="shared" si="714"/>
        <v>15805.55556</v>
      </c>
      <c r="BI624" s="118">
        <f t="shared" si="715"/>
        <v>9483.333333</v>
      </c>
      <c r="BJ624" s="118">
        <f t="shared" si="716"/>
        <v>7902.777778</v>
      </c>
      <c r="BK624" s="118">
        <f t="shared" si="717"/>
        <v>6322.222222</v>
      </c>
      <c r="BL624" s="49"/>
      <c r="BM624" s="49"/>
      <c r="BN624" s="394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</row>
    <row r="625" ht="14.25" customHeight="1">
      <c r="A625" s="103" t="s">
        <v>84</v>
      </c>
      <c r="B625" s="103" t="s">
        <v>120</v>
      </c>
      <c r="C625" s="103" t="s">
        <v>120</v>
      </c>
      <c r="D625" s="103" t="s">
        <v>1266</v>
      </c>
      <c r="E625" s="103" t="s">
        <v>1948</v>
      </c>
      <c r="F625" s="104" t="s">
        <v>2025</v>
      </c>
      <c r="G625" s="110" t="s">
        <v>1319</v>
      </c>
      <c r="H625" s="390" t="s">
        <v>2339</v>
      </c>
      <c r="I625" s="391" t="s">
        <v>2369</v>
      </c>
      <c r="J625" s="220" t="s">
        <v>2370</v>
      </c>
      <c r="K625" s="220" t="str">
        <f>_xlfn.XLOOKUP(J625,[1]Sheet1!$A:$A,[1]Sheet1!$B:$B,"")</f>
        <v>#ERROR!</v>
      </c>
      <c r="L625" s="149" t="s">
        <v>2371</v>
      </c>
      <c r="M625" s="149" t="s">
        <v>2372</v>
      </c>
      <c r="N625" s="110" t="s">
        <v>162</v>
      </c>
      <c r="O625" s="104" t="s">
        <v>147</v>
      </c>
      <c r="P625" s="110"/>
      <c r="Q625" s="104" t="s">
        <v>1989</v>
      </c>
      <c r="R625" s="110" t="s">
        <v>1955</v>
      </c>
      <c r="S625" s="110">
        <v>2.0</v>
      </c>
      <c r="T625" s="155" t="e">
        <v>#N/A</v>
      </c>
      <c r="U625" s="155">
        <v>8.5447E9</v>
      </c>
      <c r="V625" s="157">
        <v>0.0</v>
      </c>
      <c r="W625" s="158">
        <v>30.0</v>
      </c>
      <c r="X625" s="155">
        <v>45.0</v>
      </c>
      <c r="Y625" s="155">
        <v>55.0</v>
      </c>
      <c r="Z625" s="155" t="s">
        <v>1938</v>
      </c>
      <c r="AA625" s="114">
        <f t="shared" si="786"/>
        <v>7367.1875</v>
      </c>
      <c r="AB625" s="395"/>
      <c r="AC625" s="159">
        <f t="shared" si="772"/>
        <v>6833.333333</v>
      </c>
      <c r="AD625" s="117">
        <f t="shared" si="783"/>
        <v>7192.982456</v>
      </c>
      <c r="AE625" s="159"/>
      <c r="AF625" s="159" t="str">
        <f t="shared" si="94"/>
        <v>#REF!</v>
      </c>
      <c r="AG625" s="396" t="str">
        <f t="shared" si="95"/>
        <v>#REF!</v>
      </c>
      <c r="AH625" s="120" t="str">
        <f t="shared" si="96"/>
        <v>#REF!</v>
      </c>
      <c r="AI625" s="157">
        <f t="shared" si="497"/>
        <v>0.07</v>
      </c>
      <c r="AJ625" s="157">
        <v>0.07</v>
      </c>
      <c r="AK625" s="157">
        <v>0.33999999999999997</v>
      </c>
      <c r="AL625" s="123">
        <f t="shared" si="11"/>
        <v>2323.333333</v>
      </c>
      <c r="AM625" s="157" t="s">
        <v>10</v>
      </c>
      <c r="AN625" s="161">
        <f t="shared" si="774"/>
        <v>6833.333333</v>
      </c>
      <c r="AO625" s="157">
        <f t="shared" si="775"/>
        <v>0.34</v>
      </c>
      <c r="AP625" s="127"/>
      <c r="AQ625" s="163">
        <f t="shared" si="787"/>
        <v>5069.892473</v>
      </c>
      <c r="AR625" s="161">
        <f t="shared" si="776"/>
        <v>4849.462366</v>
      </c>
      <c r="AS625" s="162">
        <f t="shared" si="733"/>
        <v>0.311827957</v>
      </c>
      <c r="AT625" s="162">
        <f t="shared" si="777"/>
        <v>0.2903225806</v>
      </c>
      <c r="AU625" s="129"/>
      <c r="AV625" s="39" t="s">
        <v>2242</v>
      </c>
      <c r="AW625" s="130"/>
      <c r="AX625" s="130"/>
      <c r="AY625" s="130"/>
      <c r="AZ625" s="130"/>
      <c r="BA625" s="130"/>
      <c r="BB625" s="130"/>
      <c r="BC625" s="392">
        <v>4100.0</v>
      </c>
      <c r="BD625" s="132">
        <f t="shared" si="788"/>
        <v>4510</v>
      </c>
      <c r="BE625" s="393"/>
      <c r="BF625" s="134"/>
      <c r="BG625" s="49"/>
      <c r="BH625" s="118">
        <f t="shared" si="714"/>
        <v>22777.77778</v>
      </c>
      <c r="BI625" s="118">
        <f t="shared" si="715"/>
        <v>13666.66667</v>
      </c>
      <c r="BJ625" s="118">
        <f t="shared" si="716"/>
        <v>11388.88889</v>
      </c>
      <c r="BK625" s="118">
        <f t="shared" si="717"/>
        <v>9111.111111</v>
      </c>
      <c r="BL625" s="49"/>
      <c r="BM625" s="49"/>
      <c r="BN625" s="394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</row>
    <row r="626" ht="14.25" customHeight="1">
      <c r="A626" s="103" t="s">
        <v>84</v>
      </c>
      <c r="B626" s="103" t="s">
        <v>120</v>
      </c>
      <c r="C626" s="103" t="s">
        <v>120</v>
      </c>
      <c r="D626" s="103" t="s">
        <v>1266</v>
      </c>
      <c r="E626" s="103" t="s">
        <v>1948</v>
      </c>
      <c r="F626" s="104" t="s">
        <v>2025</v>
      </c>
      <c r="G626" s="110" t="s">
        <v>1319</v>
      </c>
      <c r="H626" s="390" t="s">
        <v>2344</v>
      </c>
      <c r="I626" s="391" t="s">
        <v>2373</v>
      </c>
      <c r="J626" s="220" t="s">
        <v>2374</v>
      </c>
      <c r="K626" s="220" t="str">
        <f>_xlfn.XLOOKUP(J626,[1]Sheet1!$A:$A,[1]Sheet1!$B:$B,"")</f>
        <v>#ERROR!</v>
      </c>
      <c r="L626" s="149" t="s">
        <v>2375</v>
      </c>
      <c r="M626" s="149" t="s">
        <v>2376</v>
      </c>
      <c r="N626" s="110" t="s">
        <v>162</v>
      </c>
      <c r="O626" s="104" t="s">
        <v>147</v>
      </c>
      <c r="P626" s="110"/>
      <c r="Q626" s="104" t="s">
        <v>1989</v>
      </c>
      <c r="R626" s="110" t="s">
        <v>1955</v>
      </c>
      <c r="S626" s="110">
        <v>2.0</v>
      </c>
      <c r="T626" s="155" t="e">
        <v>#N/A</v>
      </c>
      <c r="U626" s="155">
        <v>8.5447E9</v>
      </c>
      <c r="V626" s="157">
        <v>0.0</v>
      </c>
      <c r="W626" s="158">
        <v>30.0</v>
      </c>
      <c r="X626" s="155">
        <v>45.0</v>
      </c>
      <c r="Y626" s="155">
        <v>55.0</v>
      </c>
      <c r="Z626" s="155" t="s">
        <v>1938</v>
      </c>
      <c r="AA626" s="114">
        <f t="shared" si="786"/>
        <v>13710.15625</v>
      </c>
      <c r="AB626" s="395"/>
      <c r="AC626" s="159">
        <f t="shared" si="772"/>
        <v>12716.66667</v>
      </c>
      <c r="AD626" s="117">
        <f t="shared" si="783"/>
        <v>13385.96491</v>
      </c>
      <c r="AE626" s="159"/>
      <c r="AF626" s="159" t="str">
        <f t="shared" si="94"/>
        <v>#REF!</v>
      </c>
      <c r="AG626" s="396" t="str">
        <f t="shared" si="95"/>
        <v>#REF!</v>
      </c>
      <c r="AH626" s="120" t="str">
        <f t="shared" si="96"/>
        <v>#REF!</v>
      </c>
      <c r="AI626" s="157">
        <f t="shared" si="497"/>
        <v>0.07</v>
      </c>
      <c r="AJ626" s="157">
        <v>0.07</v>
      </c>
      <c r="AK626" s="157">
        <v>0.33999999999999997</v>
      </c>
      <c r="AL626" s="123">
        <f t="shared" si="11"/>
        <v>4323.666667</v>
      </c>
      <c r="AM626" s="157" t="s">
        <v>10</v>
      </c>
      <c r="AN626" s="161">
        <f t="shared" si="774"/>
        <v>12716.66667</v>
      </c>
      <c r="AO626" s="157">
        <f t="shared" si="775"/>
        <v>0.34</v>
      </c>
      <c r="AP626" s="127"/>
      <c r="AQ626" s="163">
        <f t="shared" si="787"/>
        <v>9434.946237</v>
      </c>
      <c r="AR626" s="161">
        <f t="shared" si="776"/>
        <v>9024.731183</v>
      </c>
      <c r="AS626" s="162">
        <f t="shared" si="733"/>
        <v>0.311827957</v>
      </c>
      <c r="AT626" s="162">
        <f t="shared" si="777"/>
        <v>0.2903225806</v>
      </c>
      <c r="AU626" s="129"/>
      <c r="AV626" s="39" t="s">
        <v>2242</v>
      </c>
      <c r="AW626" s="130"/>
      <c r="AX626" s="130"/>
      <c r="AY626" s="130"/>
      <c r="AZ626" s="130"/>
      <c r="BA626" s="130"/>
      <c r="BB626" s="130"/>
      <c r="BC626" s="392">
        <v>7630.0</v>
      </c>
      <c r="BD626" s="132">
        <f t="shared" si="788"/>
        <v>8393</v>
      </c>
      <c r="BE626" s="393"/>
      <c r="BF626" s="134"/>
      <c r="BG626" s="49"/>
      <c r="BH626" s="118">
        <f t="shared" si="714"/>
        <v>42388.88889</v>
      </c>
      <c r="BI626" s="118">
        <f t="shared" si="715"/>
        <v>25433.33333</v>
      </c>
      <c r="BJ626" s="118">
        <f t="shared" si="716"/>
        <v>21194.44444</v>
      </c>
      <c r="BK626" s="118">
        <f t="shared" si="717"/>
        <v>16955.55556</v>
      </c>
      <c r="BL626" s="49"/>
      <c r="BM626" s="49"/>
      <c r="BN626" s="394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</row>
    <row r="627" ht="14.25" customHeight="1">
      <c r="A627" s="103" t="s">
        <v>84</v>
      </c>
      <c r="B627" s="103" t="s">
        <v>120</v>
      </c>
      <c r="C627" s="103" t="s">
        <v>120</v>
      </c>
      <c r="D627" s="103" t="s">
        <v>1266</v>
      </c>
      <c r="E627" s="103" t="s">
        <v>1948</v>
      </c>
      <c r="F627" s="104" t="s">
        <v>2036</v>
      </c>
      <c r="G627" s="110" t="s">
        <v>1319</v>
      </c>
      <c r="H627" s="390" t="s">
        <v>2026</v>
      </c>
      <c r="I627" s="391" t="s">
        <v>2377</v>
      </c>
      <c r="J627" s="220" t="s">
        <v>2038</v>
      </c>
      <c r="K627" s="220" t="str">
        <f>_xlfn.XLOOKUP(J627,[1]Sheet1!$A:$A,[1]Sheet1!$B:$B,"")</f>
        <v>#ERROR!</v>
      </c>
      <c r="L627" s="103" t="s">
        <v>2039</v>
      </c>
      <c r="M627" s="103" t="s">
        <v>2040</v>
      </c>
      <c r="N627" s="110" t="s">
        <v>206</v>
      </c>
      <c r="O627" s="104" t="s">
        <v>147</v>
      </c>
      <c r="P627" s="110"/>
      <c r="Q627" s="104" t="s">
        <v>1989</v>
      </c>
      <c r="R627" s="110" t="s">
        <v>1955</v>
      </c>
      <c r="S627" s="110">
        <v>2.0</v>
      </c>
      <c r="T627" s="110" t="e">
        <v>#N/A</v>
      </c>
      <c r="U627" s="110">
        <v>8.5447E9</v>
      </c>
      <c r="V627" s="112">
        <v>0.0</v>
      </c>
      <c r="W627" s="113">
        <v>30.0</v>
      </c>
      <c r="X627" s="110">
        <v>45.0</v>
      </c>
      <c r="Y627" s="110">
        <v>55.0</v>
      </c>
      <c r="Z627" s="110" t="s">
        <v>1938</v>
      </c>
      <c r="AA627" s="114">
        <f t="shared" si="786"/>
        <v>2537.1875</v>
      </c>
      <c r="AB627" s="115"/>
      <c r="AC627" s="116">
        <f t="shared" si="772"/>
        <v>2353.333333</v>
      </c>
      <c r="AD627" s="117">
        <f t="shared" si="783"/>
        <v>2477.192982</v>
      </c>
      <c r="AE627" s="116"/>
      <c r="AF627" s="116" t="str">
        <f t="shared" si="94"/>
        <v>#REF!</v>
      </c>
      <c r="AG627" s="210" t="str">
        <f t="shared" si="95"/>
        <v>#REF!</v>
      </c>
      <c r="AH627" s="120" t="str">
        <f t="shared" si="96"/>
        <v>#REF!</v>
      </c>
      <c r="AI627" s="121">
        <f t="shared" si="497"/>
        <v>0.07</v>
      </c>
      <c r="AJ627" s="121">
        <v>0.07</v>
      </c>
      <c r="AK627" s="122">
        <v>0.33999999999999997</v>
      </c>
      <c r="AL627" s="123">
        <f t="shared" si="11"/>
        <v>800.1333333</v>
      </c>
      <c r="AM627" s="122" t="s">
        <v>10</v>
      </c>
      <c r="AN627" s="125">
        <f t="shared" si="774"/>
        <v>2353.333333</v>
      </c>
      <c r="AO627" s="112">
        <f t="shared" si="775"/>
        <v>0.34</v>
      </c>
      <c r="AP627" s="127"/>
      <c r="AQ627" s="128">
        <f t="shared" si="787"/>
        <v>1746.021505</v>
      </c>
      <c r="AR627" s="125">
        <f t="shared" si="776"/>
        <v>1670.107527</v>
      </c>
      <c r="AS627" s="126">
        <f t="shared" si="733"/>
        <v>0.311827957</v>
      </c>
      <c r="AT627" s="126">
        <f t="shared" si="777"/>
        <v>0.2903225806</v>
      </c>
      <c r="AU627" s="129"/>
      <c r="AV627" s="39" t="s">
        <v>2242</v>
      </c>
      <c r="AW627" s="130"/>
      <c r="AX627" s="130"/>
      <c r="AY627" s="130"/>
      <c r="AZ627" s="130"/>
      <c r="BA627" s="130"/>
      <c r="BB627" s="130"/>
      <c r="BC627" s="392">
        <v>1412.0</v>
      </c>
      <c r="BD627" s="132">
        <f t="shared" si="788"/>
        <v>1553.2</v>
      </c>
      <c r="BE627" s="393"/>
      <c r="BF627" s="134"/>
      <c r="BG627" s="49"/>
      <c r="BH627" s="118">
        <f t="shared" si="714"/>
        <v>7844.444444</v>
      </c>
      <c r="BI627" s="118">
        <f t="shared" si="715"/>
        <v>4706.666667</v>
      </c>
      <c r="BJ627" s="118">
        <f t="shared" si="716"/>
        <v>3922.222222</v>
      </c>
      <c r="BK627" s="118">
        <f t="shared" si="717"/>
        <v>3137.777778</v>
      </c>
      <c r="BL627" s="49"/>
      <c r="BM627" s="49"/>
      <c r="BN627" s="394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</row>
    <row r="628" ht="14.25" customHeight="1">
      <c r="A628" s="103" t="s">
        <v>84</v>
      </c>
      <c r="B628" s="103" t="s">
        <v>120</v>
      </c>
      <c r="C628" s="103" t="s">
        <v>120</v>
      </c>
      <c r="D628" s="103" t="s">
        <v>1266</v>
      </c>
      <c r="E628" s="103" t="s">
        <v>1948</v>
      </c>
      <c r="F628" s="104" t="s">
        <v>2036</v>
      </c>
      <c r="G628" s="110" t="s">
        <v>1319</v>
      </c>
      <c r="H628" s="390" t="s">
        <v>2031</v>
      </c>
      <c r="I628" s="391" t="s">
        <v>2378</v>
      </c>
      <c r="J628" s="220" t="s">
        <v>2042</v>
      </c>
      <c r="K628" s="220" t="str">
        <f>_xlfn.XLOOKUP(J628,[1]Sheet1!$A:$A,[1]Sheet1!$B:$B,"")</f>
        <v>#ERROR!</v>
      </c>
      <c r="L628" s="103" t="s">
        <v>2043</v>
      </c>
      <c r="M628" s="103" t="s">
        <v>2044</v>
      </c>
      <c r="N628" s="110" t="s">
        <v>206</v>
      </c>
      <c r="O628" s="104" t="s">
        <v>147</v>
      </c>
      <c r="P628" s="110"/>
      <c r="Q628" s="104" t="s">
        <v>1989</v>
      </c>
      <c r="R628" s="110" t="s">
        <v>1955</v>
      </c>
      <c r="S628" s="110">
        <v>2.0</v>
      </c>
      <c r="T628" s="110" t="e">
        <v>#N/A</v>
      </c>
      <c r="U628" s="110">
        <v>8.5447E9</v>
      </c>
      <c r="V628" s="112">
        <v>0.0</v>
      </c>
      <c r="W628" s="113">
        <v>30.0</v>
      </c>
      <c r="X628" s="110">
        <v>45.0</v>
      </c>
      <c r="Y628" s="110">
        <v>55.0</v>
      </c>
      <c r="Z628" s="110" t="s">
        <v>1938</v>
      </c>
      <c r="AA628" s="114">
        <f t="shared" si="786"/>
        <v>4582.03125</v>
      </c>
      <c r="AB628" s="115"/>
      <c r="AC628" s="116">
        <f t="shared" si="772"/>
        <v>4250</v>
      </c>
      <c r="AD628" s="117">
        <f t="shared" si="783"/>
        <v>4473.684211</v>
      </c>
      <c r="AE628" s="116"/>
      <c r="AF628" s="116" t="str">
        <f t="shared" si="94"/>
        <v>#REF!</v>
      </c>
      <c r="AG628" s="210" t="str">
        <f t="shared" si="95"/>
        <v>#REF!</v>
      </c>
      <c r="AH628" s="120" t="str">
        <f t="shared" si="96"/>
        <v>#REF!</v>
      </c>
      <c r="AI628" s="121">
        <f t="shared" si="497"/>
        <v>0.07</v>
      </c>
      <c r="AJ628" s="121">
        <v>0.07</v>
      </c>
      <c r="AK628" s="122">
        <v>0.33999999999999997</v>
      </c>
      <c r="AL628" s="123">
        <f t="shared" si="11"/>
        <v>1445</v>
      </c>
      <c r="AM628" s="122" t="s">
        <v>10</v>
      </c>
      <c r="AN628" s="125">
        <f t="shared" si="774"/>
        <v>4250</v>
      </c>
      <c r="AO628" s="112">
        <f t="shared" si="775"/>
        <v>0.34</v>
      </c>
      <c r="AP628" s="127"/>
      <c r="AQ628" s="128">
        <f t="shared" si="787"/>
        <v>3153.225806</v>
      </c>
      <c r="AR628" s="125">
        <f t="shared" si="776"/>
        <v>3016.129032</v>
      </c>
      <c r="AS628" s="126">
        <f t="shared" si="733"/>
        <v>0.311827957</v>
      </c>
      <c r="AT628" s="126">
        <f t="shared" si="777"/>
        <v>0.2903225806</v>
      </c>
      <c r="AU628" s="129"/>
      <c r="AV628" s="39" t="s">
        <v>2242</v>
      </c>
      <c r="AW628" s="130"/>
      <c r="AX628" s="130"/>
      <c r="AY628" s="130"/>
      <c r="AZ628" s="130"/>
      <c r="BA628" s="130"/>
      <c r="BB628" s="130"/>
      <c r="BC628" s="392">
        <v>2550.0</v>
      </c>
      <c r="BD628" s="132">
        <f t="shared" si="788"/>
        <v>2805</v>
      </c>
      <c r="BE628" s="393"/>
      <c r="BF628" s="134"/>
      <c r="BG628" s="49"/>
      <c r="BH628" s="118">
        <f t="shared" si="714"/>
        <v>14166.66667</v>
      </c>
      <c r="BI628" s="118">
        <f t="shared" si="715"/>
        <v>8500</v>
      </c>
      <c r="BJ628" s="118">
        <f t="shared" si="716"/>
        <v>7083.333333</v>
      </c>
      <c r="BK628" s="118">
        <f t="shared" si="717"/>
        <v>5666.666667</v>
      </c>
      <c r="BL628" s="49"/>
      <c r="BM628" s="49"/>
      <c r="BN628" s="394"/>
      <c r="BO628" s="49"/>
      <c r="BP628" s="49"/>
      <c r="BQ628" s="49"/>
      <c r="BR628" s="49"/>
      <c r="BS628" s="49"/>
      <c r="BT628" s="49"/>
      <c r="BU628" s="49"/>
      <c r="BV628" s="49"/>
      <c r="BW628" s="49"/>
      <c r="BX628" s="49"/>
      <c r="BY628" s="49"/>
      <c r="BZ628" s="49"/>
      <c r="CA628" s="49"/>
      <c r="CB628" s="49"/>
      <c r="CC628" s="49"/>
      <c r="CD628" s="49"/>
      <c r="CE628" s="49"/>
      <c r="CF628" s="49"/>
    </row>
    <row r="629" ht="14.25" customHeight="1">
      <c r="A629" s="103" t="s">
        <v>84</v>
      </c>
      <c r="B629" s="103" t="s">
        <v>120</v>
      </c>
      <c r="C629" s="103" t="s">
        <v>120</v>
      </c>
      <c r="D629" s="103" t="s">
        <v>1266</v>
      </c>
      <c r="E629" s="103" t="s">
        <v>1948</v>
      </c>
      <c r="F629" s="104" t="s">
        <v>2045</v>
      </c>
      <c r="G629" s="110" t="s">
        <v>1319</v>
      </c>
      <c r="H629" s="390" t="s">
        <v>2026</v>
      </c>
      <c r="I629" s="391" t="s">
        <v>2379</v>
      </c>
      <c r="J629" s="220" t="s">
        <v>2047</v>
      </c>
      <c r="K629" s="220" t="str">
        <f>_xlfn.XLOOKUP(J629,[1]Sheet1!$A:$A,[1]Sheet1!$B:$B,"")</f>
        <v>#ERROR!</v>
      </c>
      <c r="L629" s="103" t="s">
        <v>2048</v>
      </c>
      <c r="M629" s="103" t="s">
        <v>2049</v>
      </c>
      <c r="N629" s="110" t="s">
        <v>206</v>
      </c>
      <c r="O629" s="104" t="s">
        <v>147</v>
      </c>
      <c r="P629" s="110"/>
      <c r="Q629" s="104" t="s">
        <v>1989</v>
      </c>
      <c r="R629" s="110" t="s">
        <v>1955</v>
      </c>
      <c r="S629" s="110">
        <v>2.0</v>
      </c>
      <c r="T629" s="110" t="e">
        <v>#N/A</v>
      </c>
      <c r="U629" s="110">
        <v>8.5447E9</v>
      </c>
      <c r="V629" s="112">
        <v>0.0</v>
      </c>
      <c r="W629" s="113">
        <v>30.0</v>
      </c>
      <c r="X629" s="110">
        <v>45.0</v>
      </c>
      <c r="Y629" s="110">
        <v>55.0</v>
      </c>
      <c r="Z629" s="110" t="s">
        <v>1938</v>
      </c>
      <c r="AA629" s="114">
        <f t="shared" si="786"/>
        <v>2665.909091</v>
      </c>
      <c r="AB629" s="115"/>
      <c r="AC629" s="116">
        <f t="shared" si="772"/>
        <v>2475</v>
      </c>
      <c r="AD629" s="117">
        <f t="shared" si="783"/>
        <v>2605.263158</v>
      </c>
      <c r="AE629" s="116"/>
      <c r="AF629" s="116" t="str">
        <f t="shared" si="94"/>
        <v>#REF!</v>
      </c>
      <c r="AG629" s="210" t="str">
        <f t="shared" si="95"/>
        <v>#REF!</v>
      </c>
      <c r="AH629" s="120" t="str">
        <f t="shared" si="96"/>
        <v>#REF!</v>
      </c>
      <c r="AI629" s="121">
        <f t="shared" si="497"/>
        <v>0.07</v>
      </c>
      <c r="AJ629" s="121">
        <v>0.07</v>
      </c>
      <c r="AK629" s="122">
        <v>0.32</v>
      </c>
      <c r="AL629" s="123">
        <f t="shared" si="11"/>
        <v>792</v>
      </c>
      <c r="AM629" s="122" t="s">
        <v>10</v>
      </c>
      <c r="AN629" s="125">
        <f t="shared" si="774"/>
        <v>2475</v>
      </c>
      <c r="AO629" s="112">
        <f t="shared" si="775"/>
        <v>0.32</v>
      </c>
      <c r="AP629" s="127"/>
      <c r="AQ629" s="128">
        <f t="shared" si="787"/>
        <v>1891.935484</v>
      </c>
      <c r="AR629" s="125">
        <f t="shared" si="776"/>
        <v>1809.677419</v>
      </c>
      <c r="AS629" s="126">
        <f t="shared" si="733"/>
        <v>0.2903225806</v>
      </c>
      <c r="AT629" s="126">
        <f t="shared" si="777"/>
        <v>0.2688172043</v>
      </c>
      <c r="AU629" s="129"/>
      <c r="AV629" s="39" t="s">
        <v>2242</v>
      </c>
      <c r="AW629" s="130"/>
      <c r="AX629" s="130"/>
      <c r="AY629" s="130"/>
      <c r="AZ629" s="130"/>
      <c r="BA629" s="130"/>
      <c r="BB629" s="130"/>
      <c r="BC629" s="392">
        <v>1530.0</v>
      </c>
      <c r="BD629" s="132">
        <f t="shared" si="788"/>
        <v>1683</v>
      </c>
      <c r="BE629" s="393"/>
      <c r="BF629" s="134"/>
      <c r="BG629" s="49"/>
      <c r="BH629" s="118">
        <f t="shared" si="714"/>
        <v>8250</v>
      </c>
      <c r="BI629" s="118">
        <f t="shared" si="715"/>
        <v>4950</v>
      </c>
      <c r="BJ629" s="118">
        <f t="shared" si="716"/>
        <v>4125</v>
      </c>
      <c r="BK629" s="118">
        <f t="shared" si="717"/>
        <v>3300</v>
      </c>
      <c r="BL629" s="49"/>
      <c r="BM629" s="49"/>
      <c r="BN629" s="394"/>
      <c r="BO629" s="49"/>
      <c r="BP629" s="49"/>
      <c r="BQ629" s="49"/>
      <c r="BR629" s="49"/>
      <c r="BS629" s="49"/>
      <c r="BT629" s="49"/>
      <c r="BU629" s="49"/>
      <c r="BV629" s="49"/>
      <c r="BW629" s="49"/>
      <c r="BX629" s="49"/>
      <c r="BY629" s="49"/>
      <c r="BZ629" s="49"/>
      <c r="CA629" s="49"/>
      <c r="CB629" s="49"/>
      <c r="CC629" s="49"/>
      <c r="CD629" s="49"/>
      <c r="CE629" s="49"/>
      <c r="CF629" s="49"/>
    </row>
    <row r="630" ht="14.25" customHeight="1">
      <c r="A630" s="103" t="s">
        <v>84</v>
      </c>
      <c r="B630" s="103" t="s">
        <v>120</v>
      </c>
      <c r="C630" s="103" t="s">
        <v>120</v>
      </c>
      <c r="D630" s="103" t="s">
        <v>1266</v>
      </c>
      <c r="E630" s="103" t="s">
        <v>1948</v>
      </c>
      <c r="F630" s="104" t="s">
        <v>2045</v>
      </c>
      <c r="G630" s="110" t="s">
        <v>1319</v>
      </c>
      <c r="H630" s="390" t="s">
        <v>2031</v>
      </c>
      <c r="I630" s="391" t="s">
        <v>2380</v>
      </c>
      <c r="J630" s="220" t="s">
        <v>2051</v>
      </c>
      <c r="K630" s="220" t="str">
        <f>_xlfn.XLOOKUP(J630,[1]Sheet1!$A:$A,[1]Sheet1!$B:$B,"")</f>
        <v>#ERROR!</v>
      </c>
      <c r="L630" s="103" t="s">
        <v>2052</v>
      </c>
      <c r="M630" s="103" t="s">
        <v>2053</v>
      </c>
      <c r="N630" s="110" t="s">
        <v>206</v>
      </c>
      <c r="O630" s="104" t="s">
        <v>147</v>
      </c>
      <c r="P630" s="110"/>
      <c r="Q630" s="104" t="s">
        <v>1989</v>
      </c>
      <c r="R630" s="110" t="s">
        <v>1955</v>
      </c>
      <c r="S630" s="110">
        <v>2.0</v>
      </c>
      <c r="T630" s="110" t="e">
        <v>#N/A</v>
      </c>
      <c r="U630" s="110">
        <v>8.5447E9</v>
      </c>
      <c r="V630" s="112">
        <v>0.0</v>
      </c>
      <c r="W630" s="113">
        <v>30.0</v>
      </c>
      <c r="X630" s="110">
        <v>45.0</v>
      </c>
      <c r="Y630" s="110">
        <v>55.0</v>
      </c>
      <c r="Z630" s="110" t="s">
        <v>1938</v>
      </c>
      <c r="AA630" s="114">
        <f t="shared" si="786"/>
        <v>4721.969697</v>
      </c>
      <c r="AB630" s="115"/>
      <c r="AC630" s="116">
        <f t="shared" si="772"/>
        <v>4383.823529</v>
      </c>
      <c r="AD630" s="117">
        <f t="shared" si="783"/>
        <v>4614.551084</v>
      </c>
      <c r="AE630" s="116"/>
      <c r="AF630" s="116" t="str">
        <f t="shared" si="94"/>
        <v>#REF!</v>
      </c>
      <c r="AG630" s="210" t="str">
        <f t="shared" si="95"/>
        <v>#REF!</v>
      </c>
      <c r="AH630" s="120" t="str">
        <f t="shared" si="96"/>
        <v>#REF!</v>
      </c>
      <c r="AI630" s="121">
        <f t="shared" si="497"/>
        <v>0.07</v>
      </c>
      <c r="AJ630" s="121">
        <v>0.07</v>
      </c>
      <c r="AK630" s="122">
        <v>0.32</v>
      </c>
      <c r="AL630" s="123">
        <f t="shared" si="11"/>
        <v>1402.823529</v>
      </c>
      <c r="AM630" s="122" t="s">
        <v>10</v>
      </c>
      <c r="AN630" s="125">
        <f t="shared" si="774"/>
        <v>4383.823529</v>
      </c>
      <c r="AO630" s="112">
        <f t="shared" si="775"/>
        <v>0.32</v>
      </c>
      <c r="AP630" s="127"/>
      <c r="AQ630" s="128">
        <f t="shared" si="787"/>
        <v>3351.075269</v>
      </c>
      <c r="AR630" s="125">
        <f t="shared" si="776"/>
        <v>3205.376344</v>
      </c>
      <c r="AS630" s="126">
        <f t="shared" si="733"/>
        <v>0.2903225806</v>
      </c>
      <c r="AT630" s="126">
        <f t="shared" si="777"/>
        <v>0.2688172043</v>
      </c>
      <c r="AU630" s="129"/>
      <c r="AV630" s="39" t="s">
        <v>2242</v>
      </c>
      <c r="AW630" s="130"/>
      <c r="AX630" s="130"/>
      <c r="AY630" s="130"/>
      <c r="AZ630" s="130"/>
      <c r="BA630" s="130"/>
      <c r="BB630" s="130"/>
      <c r="BC630" s="392">
        <v>2710.0</v>
      </c>
      <c r="BD630" s="132">
        <f t="shared" si="788"/>
        <v>2981</v>
      </c>
      <c r="BE630" s="393"/>
      <c r="BF630" s="134"/>
      <c r="BG630" s="49"/>
      <c r="BH630" s="118">
        <f t="shared" si="714"/>
        <v>14612.7451</v>
      </c>
      <c r="BI630" s="118">
        <f t="shared" si="715"/>
        <v>8767.647059</v>
      </c>
      <c r="BJ630" s="118">
        <f t="shared" si="716"/>
        <v>7306.372549</v>
      </c>
      <c r="BK630" s="118">
        <f t="shared" si="717"/>
        <v>5845.098039</v>
      </c>
      <c r="BL630" s="49"/>
      <c r="BM630" s="49"/>
      <c r="BN630" s="394"/>
      <c r="BO630" s="49"/>
      <c r="BP630" s="49"/>
      <c r="BQ630" s="49"/>
      <c r="BR630" s="49"/>
      <c r="BS630" s="49"/>
      <c r="BT630" s="49"/>
      <c r="BU630" s="49"/>
      <c r="BV630" s="49"/>
      <c r="BW630" s="49"/>
      <c r="BX630" s="49"/>
      <c r="BY630" s="49"/>
      <c r="BZ630" s="49"/>
      <c r="CA630" s="49"/>
      <c r="CB630" s="49"/>
      <c r="CC630" s="49"/>
      <c r="CD630" s="49"/>
      <c r="CE630" s="49"/>
      <c r="CF630" s="49"/>
    </row>
    <row r="631" ht="14.25" customHeight="1">
      <c r="A631" s="103" t="s">
        <v>84</v>
      </c>
      <c r="B631" s="103" t="s">
        <v>120</v>
      </c>
      <c r="C631" s="103" t="s">
        <v>120</v>
      </c>
      <c r="D631" s="103" t="s">
        <v>1266</v>
      </c>
      <c r="E631" s="103" t="s">
        <v>1948</v>
      </c>
      <c r="F631" s="104" t="s">
        <v>2381</v>
      </c>
      <c r="G631" s="110" t="s">
        <v>1319</v>
      </c>
      <c r="H631" s="390" t="s">
        <v>1962</v>
      </c>
      <c r="I631" s="391" t="s">
        <v>2382</v>
      </c>
      <c r="J631" s="220" t="s">
        <v>2383</v>
      </c>
      <c r="K631" s="220" t="str">
        <f>_xlfn.XLOOKUP(J631,[1]Sheet1!$A:$A,[1]Sheet1!$B:$B,"")</f>
        <v>#ERROR!</v>
      </c>
      <c r="L631" s="103" t="s">
        <v>2384</v>
      </c>
      <c r="M631" s="103" t="s">
        <v>2385</v>
      </c>
      <c r="N631" s="110" t="s">
        <v>201</v>
      </c>
      <c r="O631" s="104" t="s">
        <v>147</v>
      </c>
      <c r="P631" s="110"/>
      <c r="Q631" s="104" t="s">
        <v>1989</v>
      </c>
      <c r="R631" s="110" t="s">
        <v>1955</v>
      </c>
      <c r="S631" s="110">
        <v>2.0</v>
      </c>
      <c r="T631" s="110" t="e">
        <v>#N/A</v>
      </c>
      <c r="U631" s="110">
        <v>8.5447E9</v>
      </c>
      <c r="V631" s="112">
        <v>0.0</v>
      </c>
      <c r="W631" s="113">
        <v>30.0</v>
      </c>
      <c r="X631" s="110">
        <v>45.0</v>
      </c>
      <c r="Y631" s="110">
        <v>55.0</v>
      </c>
      <c r="Z631" s="110" t="s">
        <v>1938</v>
      </c>
      <c r="AA631" s="114">
        <f t="shared" si="786"/>
        <v>1519.029851</v>
      </c>
      <c r="AB631" s="115"/>
      <c r="AC631" s="116">
        <f t="shared" si="772"/>
        <v>1410.869565</v>
      </c>
      <c r="AD631" s="117">
        <f t="shared" si="783"/>
        <v>1485.125858</v>
      </c>
      <c r="AE631" s="116"/>
      <c r="AF631" s="116" t="str">
        <f t="shared" si="94"/>
        <v>#REF!</v>
      </c>
      <c r="AG631" s="210" t="str">
        <f t="shared" si="95"/>
        <v>#REF!</v>
      </c>
      <c r="AH631" s="120" t="str">
        <f t="shared" si="96"/>
        <v>#REF!</v>
      </c>
      <c r="AI631" s="121">
        <f t="shared" si="497"/>
        <v>0.07</v>
      </c>
      <c r="AJ631" s="121">
        <v>0.07</v>
      </c>
      <c r="AK631" s="122">
        <v>0.31</v>
      </c>
      <c r="AL631" s="123">
        <f t="shared" si="11"/>
        <v>437.3695652</v>
      </c>
      <c r="AM631" s="122" t="s">
        <v>10</v>
      </c>
      <c r="AN631" s="125">
        <f t="shared" si="774"/>
        <v>1410.869565</v>
      </c>
      <c r="AO631" s="112">
        <f t="shared" si="775"/>
        <v>0.31</v>
      </c>
      <c r="AP631" s="127"/>
      <c r="AQ631" s="128">
        <f t="shared" si="787"/>
        <v>1094.354839</v>
      </c>
      <c r="AR631" s="125">
        <f t="shared" si="776"/>
        <v>1046.774194</v>
      </c>
      <c r="AS631" s="126">
        <f t="shared" si="733"/>
        <v>0.2795698925</v>
      </c>
      <c r="AT631" s="126">
        <f t="shared" si="777"/>
        <v>0.2580645161</v>
      </c>
      <c r="AU631" s="129"/>
      <c r="AV631" s="39" t="s">
        <v>2242</v>
      </c>
      <c r="AW631" s="130"/>
      <c r="AX631" s="130"/>
      <c r="AY631" s="130"/>
      <c r="AZ631" s="130"/>
      <c r="BA631" s="130"/>
      <c r="BB631" s="130"/>
      <c r="BC631" s="392">
        <v>885.0</v>
      </c>
      <c r="BD631" s="132">
        <f t="shared" si="788"/>
        <v>973.5</v>
      </c>
      <c r="BE631" s="393"/>
      <c r="BF631" s="134"/>
      <c r="BG631" s="49"/>
      <c r="BH631" s="397">
        <f t="shared" si="714"/>
        <v>4702.898551</v>
      </c>
      <c r="BI631" s="397">
        <f t="shared" si="715"/>
        <v>2821.73913</v>
      </c>
      <c r="BJ631" s="397">
        <f t="shared" si="716"/>
        <v>2351.449275</v>
      </c>
      <c r="BK631" s="397">
        <f t="shared" si="717"/>
        <v>1881.15942</v>
      </c>
      <c r="BL631" s="49"/>
      <c r="BM631" s="49"/>
      <c r="BN631" s="394"/>
      <c r="BO631" s="49"/>
      <c r="BP631" s="49"/>
      <c r="BQ631" s="49"/>
      <c r="BR631" s="49"/>
      <c r="BS631" s="49"/>
      <c r="BT631" s="49"/>
      <c r="BU631" s="49"/>
      <c r="BV631" s="49"/>
      <c r="BW631" s="49"/>
      <c r="BX631" s="49"/>
      <c r="BY631" s="49"/>
      <c r="BZ631" s="49"/>
      <c r="CA631" s="49"/>
      <c r="CB631" s="49"/>
      <c r="CC631" s="49"/>
      <c r="CD631" s="49"/>
      <c r="CE631" s="49"/>
      <c r="CF631" s="49"/>
    </row>
    <row r="632" ht="14.25" customHeight="1">
      <c r="A632" s="103" t="s">
        <v>84</v>
      </c>
      <c r="B632" s="103" t="s">
        <v>120</v>
      </c>
      <c r="C632" s="103" t="s">
        <v>120</v>
      </c>
      <c r="D632" s="103" t="s">
        <v>1266</v>
      </c>
      <c r="E632" s="103" t="s">
        <v>1948</v>
      </c>
      <c r="F632" s="104" t="s">
        <v>2381</v>
      </c>
      <c r="G632" s="110" t="s">
        <v>1319</v>
      </c>
      <c r="H632" s="390" t="s">
        <v>1967</v>
      </c>
      <c r="I632" s="391" t="s">
        <v>2386</v>
      </c>
      <c r="J632" s="220" t="s">
        <v>2387</v>
      </c>
      <c r="K632" s="220" t="str">
        <f>_xlfn.XLOOKUP(J632,[1]Sheet1!$A:$A,[1]Sheet1!$B:$B,"")</f>
        <v>#ERROR!</v>
      </c>
      <c r="L632" s="103" t="s">
        <v>2388</v>
      </c>
      <c r="M632" s="103" t="s">
        <v>2389</v>
      </c>
      <c r="N632" s="110" t="s">
        <v>201</v>
      </c>
      <c r="O632" s="104" t="s">
        <v>147</v>
      </c>
      <c r="P632" s="110"/>
      <c r="Q632" s="104" t="s">
        <v>1989</v>
      </c>
      <c r="R632" s="110" t="s">
        <v>1955</v>
      </c>
      <c r="S632" s="110">
        <v>2.0</v>
      </c>
      <c r="T632" s="110" t="e">
        <v>#N/A</v>
      </c>
      <c r="U632" s="110">
        <v>8.5447E9</v>
      </c>
      <c r="V632" s="112">
        <v>0.0</v>
      </c>
      <c r="W632" s="113">
        <v>30.0</v>
      </c>
      <c r="X632" s="110">
        <v>45.0</v>
      </c>
      <c r="Y632" s="110">
        <v>55.0</v>
      </c>
      <c r="Z632" s="110" t="s">
        <v>1938</v>
      </c>
      <c r="AA632" s="114">
        <f t="shared" si="786"/>
        <v>2085.447761</v>
      </c>
      <c r="AB632" s="115"/>
      <c r="AC632" s="116">
        <f t="shared" si="772"/>
        <v>1936.956522</v>
      </c>
      <c r="AD632" s="117">
        <f t="shared" si="783"/>
        <v>2038.901602</v>
      </c>
      <c r="AE632" s="116"/>
      <c r="AF632" s="116" t="str">
        <f t="shared" si="94"/>
        <v>#REF!</v>
      </c>
      <c r="AG632" s="210" t="str">
        <f t="shared" si="95"/>
        <v>#REF!</v>
      </c>
      <c r="AH632" s="120" t="str">
        <f t="shared" si="96"/>
        <v>#REF!</v>
      </c>
      <c r="AI632" s="121">
        <f t="shared" si="497"/>
        <v>0.07</v>
      </c>
      <c r="AJ632" s="121">
        <v>0.07</v>
      </c>
      <c r="AK632" s="122">
        <v>0.31</v>
      </c>
      <c r="AL632" s="123">
        <f t="shared" si="11"/>
        <v>600.4565217</v>
      </c>
      <c r="AM632" s="122" t="s">
        <v>10</v>
      </c>
      <c r="AN632" s="125">
        <f t="shared" si="774"/>
        <v>1936.956522</v>
      </c>
      <c r="AO632" s="112">
        <f t="shared" si="775"/>
        <v>0.31</v>
      </c>
      <c r="AP632" s="127"/>
      <c r="AQ632" s="128">
        <f t="shared" si="787"/>
        <v>1502.419355</v>
      </c>
      <c r="AR632" s="125">
        <f t="shared" si="776"/>
        <v>1437.096774</v>
      </c>
      <c r="AS632" s="126">
        <f t="shared" si="733"/>
        <v>0.2795698925</v>
      </c>
      <c r="AT632" s="126">
        <f t="shared" si="777"/>
        <v>0.2580645161</v>
      </c>
      <c r="AU632" s="129"/>
      <c r="AV632" s="39" t="s">
        <v>2242</v>
      </c>
      <c r="AW632" s="130"/>
      <c r="AX632" s="130"/>
      <c r="AY632" s="130"/>
      <c r="AZ632" s="130"/>
      <c r="BA632" s="130"/>
      <c r="BB632" s="130"/>
      <c r="BC632" s="392">
        <v>1215.0</v>
      </c>
      <c r="BD632" s="132">
        <f t="shared" si="788"/>
        <v>1336.5</v>
      </c>
      <c r="BE632" s="393"/>
      <c r="BF632" s="134"/>
      <c r="BG632" s="49"/>
      <c r="BH632" s="397">
        <f t="shared" si="714"/>
        <v>6456.521739</v>
      </c>
      <c r="BI632" s="397">
        <f t="shared" si="715"/>
        <v>3873.913043</v>
      </c>
      <c r="BJ632" s="397">
        <f t="shared" si="716"/>
        <v>3228.26087</v>
      </c>
      <c r="BK632" s="397">
        <f t="shared" si="717"/>
        <v>2582.608696</v>
      </c>
      <c r="BL632" s="49"/>
      <c r="BM632" s="49"/>
      <c r="BN632" s="394"/>
      <c r="BO632" s="49"/>
      <c r="BP632" s="49"/>
      <c r="BQ632" s="49"/>
      <c r="BR632" s="49"/>
      <c r="BS632" s="49"/>
      <c r="BT632" s="49"/>
      <c r="BU632" s="49"/>
      <c r="BV632" s="49"/>
      <c r="BW632" s="49"/>
      <c r="BX632" s="49"/>
      <c r="BY632" s="49"/>
      <c r="BZ632" s="49"/>
      <c r="CA632" s="49"/>
      <c r="CB632" s="49"/>
      <c r="CC632" s="49"/>
      <c r="CD632" s="49"/>
      <c r="CE632" s="49"/>
      <c r="CF632" s="49"/>
    </row>
    <row r="633" ht="14.25" customHeight="1">
      <c r="A633" s="103" t="s">
        <v>84</v>
      </c>
      <c r="B633" s="103" t="s">
        <v>120</v>
      </c>
      <c r="C633" s="103" t="s">
        <v>120</v>
      </c>
      <c r="D633" s="103" t="s">
        <v>1266</v>
      </c>
      <c r="E633" s="103" t="s">
        <v>1948</v>
      </c>
      <c r="F633" s="104" t="s">
        <v>2381</v>
      </c>
      <c r="G633" s="110" t="s">
        <v>1319</v>
      </c>
      <c r="H633" s="390" t="s">
        <v>2026</v>
      </c>
      <c r="I633" s="391" t="s">
        <v>2390</v>
      </c>
      <c r="J633" s="220" t="s">
        <v>2391</v>
      </c>
      <c r="K633" s="220" t="str">
        <f>_xlfn.XLOOKUP(J633,[1]Sheet1!$A:$A,[1]Sheet1!$B:$B,"")</f>
        <v>#ERROR!</v>
      </c>
      <c r="L633" s="103" t="s">
        <v>2392</v>
      </c>
      <c r="M633" s="103" t="s">
        <v>2393</v>
      </c>
      <c r="N633" s="110" t="s">
        <v>201</v>
      </c>
      <c r="O633" s="104" t="s">
        <v>147</v>
      </c>
      <c r="P633" s="110"/>
      <c r="Q633" s="104" t="s">
        <v>1989</v>
      </c>
      <c r="R633" s="110" t="s">
        <v>1955</v>
      </c>
      <c r="S633" s="110">
        <v>2.0</v>
      </c>
      <c r="T633" s="110" t="e">
        <v>#N/A</v>
      </c>
      <c r="U633" s="110">
        <v>8.5447E9</v>
      </c>
      <c r="V633" s="112">
        <v>0.0</v>
      </c>
      <c r="W633" s="113">
        <v>30.0</v>
      </c>
      <c r="X633" s="110">
        <v>45.0</v>
      </c>
      <c r="Y633" s="110">
        <v>55.0</v>
      </c>
      <c r="Z633" s="110" t="s">
        <v>1938</v>
      </c>
      <c r="AA633" s="114">
        <f t="shared" si="786"/>
        <v>3106.716418</v>
      </c>
      <c r="AB633" s="115"/>
      <c r="AC633" s="116">
        <f t="shared" si="772"/>
        <v>2885.507246</v>
      </c>
      <c r="AD633" s="117">
        <f t="shared" si="783"/>
        <v>3037.376049</v>
      </c>
      <c r="AE633" s="116"/>
      <c r="AF633" s="116" t="str">
        <f t="shared" si="94"/>
        <v>#REF!</v>
      </c>
      <c r="AG633" s="210" t="str">
        <f t="shared" si="95"/>
        <v>#REF!</v>
      </c>
      <c r="AH633" s="120" t="str">
        <f t="shared" si="96"/>
        <v>#REF!</v>
      </c>
      <c r="AI633" s="121">
        <f t="shared" si="497"/>
        <v>0.07</v>
      </c>
      <c r="AJ633" s="121">
        <v>0.07</v>
      </c>
      <c r="AK633" s="122">
        <v>0.31</v>
      </c>
      <c r="AL633" s="123">
        <f t="shared" si="11"/>
        <v>894.5072464</v>
      </c>
      <c r="AM633" s="122" t="s">
        <v>10</v>
      </c>
      <c r="AN633" s="125">
        <f t="shared" si="774"/>
        <v>2885.507246</v>
      </c>
      <c r="AO633" s="112">
        <f t="shared" si="775"/>
        <v>0.31</v>
      </c>
      <c r="AP633" s="127"/>
      <c r="AQ633" s="128">
        <f t="shared" si="787"/>
        <v>2238.172043</v>
      </c>
      <c r="AR633" s="125">
        <f t="shared" si="776"/>
        <v>2140.860215</v>
      </c>
      <c r="AS633" s="126">
        <f t="shared" si="733"/>
        <v>0.2795698925</v>
      </c>
      <c r="AT633" s="126">
        <f t="shared" si="777"/>
        <v>0.2580645161</v>
      </c>
      <c r="AU633" s="129"/>
      <c r="AV633" s="39" t="s">
        <v>2242</v>
      </c>
      <c r="AW633" s="130"/>
      <c r="AX633" s="130"/>
      <c r="AY633" s="130"/>
      <c r="AZ633" s="130"/>
      <c r="BA633" s="130"/>
      <c r="BB633" s="130"/>
      <c r="BC633" s="392">
        <v>1810.0</v>
      </c>
      <c r="BD633" s="132">
        <f t="shared" si="788"/>
        <v>1991</v>
      </c>
      <c r="BE633" s="393"/>
      <c r="BF633" s="134"/>
      <c r="BG633" s="49"/>
      <c r="BH633" s="397">
        <f t="shared" si="714"/>
        <v>9618.357488</v>
      </c>
      <c r="BI633" s="397">
        <f t="shared" si="715"/>
        <v>5771.014493</v>
      </c>
      <c r="BJ633" s="397">
        <f t="shared" si="716"/>
        <v>4809.178744</v>
      </c>
      <c r="BK633" s="397">
        <f t="shared" si="717"/>
        <v>3847.342995</v>
      </c>
      <c r="BL633" s="49"/>
      <c r="BM633" s="49"/>
      <c r="BN633" s="394"/>
      <c r="BO633" s="49"/>
      <c r="BP633" s="49"/>
      <c r="BQ633" s="49"/>
      <c r="BR633" s="49"/>
      <c r="BS633" s="49"/>
      <c r="BT633" s="49"/>
      <c r="BU633" s="49"/>
      <c r="BV633" s="49"/>
      <c r="BW633" s="49"/>
      <c r="BX633" s="49"/>
      <c r="BY633" s="49"/>
      <c r="BZ633" s="49"/>
      <c r="CA633" s="49"/>
      <c r="CB633" s="49"/>
      <c r="CC633" s="49"/>
      <c r="CD633" s="49"/>
      <c r="CE633" s="49"/>
      <c r="CF633" s="49"/>
    </row>
    <row r="634" ht="14.25" customHeight="1">
      <c r="A634" s="103" t="s">
        <v>84</v>
      </c>
      <c r="B634" s="103" t="s">
        <v>120</v>
      </c>
      <c r="C634" s="103" t="s">
        <v>120</v>
      </c>
      <c r="D634" s="103" t="s">
        <v>1266</v>
      </c>
      <c r="E634" s="103" t="s">
        <v>1948</v>
      </c>
      <c r="F634" s="104" t="s">
        <v>2394</v>
      </c>
      <c r="G634" s="110" t="s">
        <v>1319</v>
      </c>
      <c r="H634" s="390" t="s">
        <v>1962</v>
      </c>
      <c r="I634" s="391" t="s">
        <v>2395</v>
      </c>
      <c r="J634" s="220" t="s">
        <v>2396</v>
      </c>
      <c r="K634" s="220" t="str">
        <f>_xlfn.XLOOKUP(J634,[1]Sheet1!$A:$A,[1]Sheet1!$B:$B,"")</f>
        <v>#ERROR!</v>
      </c>
      <c r="L634" s="103" t="s">
        <v>2397</v>
      </c>
      <c r="M634" s="103" t="s">
        <v>2398</v>
      </c>
      <c r="N634" s="110" t="s">
        <v>201</v>
      </c>
      <c r="O634" s="104" t="s">
        <v>147</v>
      </c>
      <c r="P634" s="110"/>
      <c r="Q634" s="104" t="s">
        <v>1989</v>
      </c>
      <c r="R634" s="110" t="s">
        <v>1955</v>
      </c>
      <c r="S634" s="110">
        <v>2.0</v>
      </c>
      <c r="T634" s="110" t="e">
        <v>#N/A</v>
      </c>
      <c r="U634" s="110">
        <v>8.5447E9</v>
      </c>
      <c r="V634" s="112">
        <v>0.0</v>
      </c>
      <c r="W634" s="113">
        <v>30.0</v>
      </c>
      <c r="X634" s="110">
        <v>45.0</v>
      </c>
      <c r="Y634" s="110">
        <v>55.0</v>
      </c>
      <c r="Z634" s="110" t="s">
        <v>1938</v>
      </c>
      <c r="AA634" s="114">
        <f t="shared" si="786"/>
        <v>1742.164179</v>
      </c>
      <c r="AB634" s="115"/>
      <c r="AC634" s="116">
        <f t="shared" si="772"/>
        <v>1618.115942</v>
      </c>
      <c r="AD634" s="117">
        <f t="shared" si="783"/>
        <v>1703.279939</v>
      </c>
      <c r="AE634" s="116"/>
      <c r="AF634" s="116" t="str">
        <f t="shared" si="94"/>
        <v>#REF!</v>
      </c>
      <c r="AG634" s="210" t="str">
        <f t="shared" si="95"/>
        <v>#REF!</v>
      </c>
      <c r="AH634" s="120" t="str">
        <f t="shared" si="96"/>
        <v>#REF!</v>
      </c>
      <c r="AI634" s="121">
        <f t="shared" si="497"/>
        <v>0.07</v>
      </c>
      <c r="AJ634" s="121">
        <v>0.07</v>
      </c>
      <c r="AK634" s="122">
        <v>0.31</v>
      </c>
      <c r="AL634" s="123">
        <f t="shared" si="11"/>
        <v>501.615942</v>
      </c>
      <c r="AM634" s="122" t="s">
        <v>10</v>
      </c>
      <c r="AN634" s="125">
        <f t="shared" si="774"/>
        <v>1618.115942</v>
      </c>
      <c r="AO634" s="112">
        <f t="shared" si="775"/>
        <v>0.31</v>
      </c>
      <c r="AP634" s="127"/>
      <c r="AQ634" s="128">
        <f t="shared" si="787"/>
        <v>1255.107527</v>
      </c>
      <c r="AR634" s="125">
        <f t="shared" si="776"/>
        <v>1200.537634</v>
      </c>
      <c r="AS634" s="126">
        <f t="shared" si="733"/>
        <v>0.2795698925</v>
      </c>
      <c r="AT634" s="126">
        <f t="shared" si="777"/>
        <v>0.2580645161</v>
      </c>
      <c r="AU634" s="129"/>
      <c r="AV634" s="39" t="s">
        <v>2242</v>
      </c>
      <c r="AW634" s="130"/>
      <c r="AX634" s="130"/>
      <c r="AY634" s="130"/>
      <c r="AZ634" s="130"/>
      <c r="BA634" s="130"/>
      <c r="BB634" s="130"/>
      <c r="BC634" s="392">
        <v>1015.0</v>
      </c>
      <c r="BD634" s="132">
        <f t="shared" si="788"/>
        <v>1116.5</v>
      </c>
      <c r="BE634" s="393"/>
      <c r="BF634" s="134"/>
      <c r="BG634" s="49"/>
      <c r="BH634" s="397">
        <f t="shared" si="714"/>
        <v>5393.719807</v>
      </c>
      <c r="BI634" s="397">
        <f t="shared" si="715"/>
        <v>3236.231884</v>
      </c>
      <c r="BJ634" s="397">
        <f t="shared" si="716"/>
        <v>2696.859903</v>
      </c>
      <c r="BK634" s="397">
        <f t="shared" si="717"/>
        <v>2157.487923</v>
      </c>
      <c r="BL634" s="49"/>
      <c r="BM634" s="49"/>
      <c r="BN634" s="394"/>
      <c r="BO634" s="49"/>
      <c r="BP634" s="49"/>
      <c r="BQ634" s="49"/>
      <c r="BR634" s="49"/>
      <c r="BS634" s="49"/>
      <c r="BT634" s="49"/>
      <c r="BU634" s="49"/>
      <c r="BV634" s="49"/>
      <c r="BW634" s="49"/>
      <c r="BX634" s="49"/>
      <c r="BY634" s="49"/>
      <c r="BZ634" s="49"/>
      <c r="CA634" s="49"/>
      <c r="CB634" s="49"/>
      <c r="CC634" s="49"/>
      <c r="CD634" s="49"/>
      <c r="CE634" s="49"/>
      <c r="CF634" s="49"/>
    </row>
    <row r="635" ht="14.25" customHeight="1">
      <c r="A635" s="103" t="s">
        <v>84</v>
      </c>
      <c r="B635" s="103" t="s">
        <v>120</v>
      </c>
      <c r="C635" s="103" t="s">
        <v>120</v>
      </c>
      <c r="D635" s="103" t="s">
        <v>1266</v>
      </c>
      <c r="E635" s="103" t="s">
        <v>1948</v>
      </c>
      <c r="F635" s="104" t="s">
        <v>2394</v>
      </c>
      <c r="G635" s="110" t="s">
        <v>1319</v>
      </c>
      <c r="H635" s="390" t="s">
        <v>1967</v>
      </c>
      <c r="I635" s="391" t="s">
        <v>2399</v>
      </c>
      <c r="J635" s="220" t="s">
        <v>2400</v>
      </c>
      <c r="K635" s="220" t="str">
        <f>_xlfn.XLOOKUP(J635,[1]Sheet1!$A:$A,[1]Sheet1!$B:$B,"")</f>
        <v>#ERROR!</v>
      </c>
      <c r="L635" s="103" t="s">
        <v>2401</v>
      </c>
      <c r="M635" s="103" t="s">
        <v>2402</v>
      </c>
      <c r="N635" s="110" t="s">
        <v>201</v>
      </c>
      <c r="O635" s="104" t="s">
        <v>147</v>
      </c>
      <c r="P635" s="110"/>
      <c r="Q635" s="104" t="s">
        <v>1989</v>
      </c>
      <c r="R635" s="110" t="s">
        <v>1955</v>
      </c>
      <c r="S635" s="110">
        <v>2.0</v>
      </c>
      <c r="T635" s="110" t="e">
        <v>#N/A</v>
      </c>
      <c r="U635" s="110">
        <v>8.5447E9</v>
      </c>
      <c r="V635" s="112">
        <v>0.0</v>
      </c>
      <c r="W635" s="113">
        <v>30.0</v>
      </c>
      <c r="X635" s="110">
        <v>45.0</v>
      </c>
      <c r="Y635" s="110">
        <v>55.0</v>
      </c>
      <c r="Z635" s="110" t="s">
        <v>1938</v>
      </c>
      <c r="AA635" s="114">
        <f t="shared" si="786"/>
        <v>2248.507463</v>
      </c>
      <c r="AB635" s="115"/>
      <c r="AC635" s="116">
        <f t="shared" si="772"/>
        <v>2088.405797</v>
      </c>
      <c r="AD635" s="117">
        <f t="shared" si="783"/>
        <v>2198.321892</v>
      </c>
      <c r="AE635" s="116"/>
      <c r="AF635" s="116" t="str">
        <f t="shared" si="94"/>
        <v>#REF!</v>
      </c>
      <c r="AG635" s="210" t="str">
        <f t="shared" si="95"/>
        <v>#REF!</v>
      </c>
      <c r="AH635" s="120" t="str">
        <f t="shared" si="96"/>
        <v>#REF!</v>
      </c>
      <c r="AI635" s="121">
        <f t="shared" si="497"/>
        <v>0.07</v>
      </c>
      <c r="AJ635" s="121">
        <v>0.07</v>
      </c>
      <c r="AK635" s="122">
        <v>0.31</v>
      </c>
      <c r="AL635" s="123">
        <f t="shared" si="11"/>
        <v>647.4057971</v>
      </c>
      <c r="AM635" s="122" t="s">
        <v>10</v>
      </c>
      <c r="AN635" s="125">
        <f t="shared" si="774"/>
        <v>2088.405797</v>
      </c>
      <c r="AO635" s="112">
        <f t="shared" si="775"/>
        <v>0.31</v>
      </c>
      <c r="AP635" s="127"/>
      <c r="AQ635" s="128">
        <f t="shared" si="787"/>
        <v>1619.892473</v>
      </c>
      <c r="AR635" s="125">
        <f t="shared" si="776"/>
        <v>1549.462366</v>
      </c>
      <c r="AS635" s="126">
        <f t="shared" si="733"/>
        <v>0.2795698925</v>
      </c>
      <c r="AT635" s="126">
        <f t="shared" si="777"/>
        <v>0.2580645161</v>
      </c>
      <c r="AU635" s="129"/>
      <c r="AV635" s="39" t="s">
        <v>2242</v>
      </c>
      <c r="AW635" s="130"/>
      <c r="AX635" s="130"/>
      <c r="AY635" s="130"/>
      <c r="AZ635" s="130"/>
      <c r="BA635" s="130"/>
      <c r="BB635" s="130"/>
      <c r="BC635" s="392">
        <v>1310.0</v>
      </c>
      <c r="BD635" s="132">
        <f t="shared" si="788"/>
        <v>1441</v>
      </c>
      <c r="BE635" s="393"/>
      <c r="BF635" s="134"/>
      <c r="BG635" s="49"/>
      <c r="BH635" s="397">
        <f t="shared" si="714"/>
        <v>6961.352657</v>
      </c>
      <c r="BI635" s="397">
        <f t="shared" si="715"/>
        <v>4176.811594</v>
      </c>
      <c r="BJ635" s="397">
        <f t="shared" si="716"/>
        <v>3480.676329</v>
      </c>
      <c r="BK635" s="397">
        <f t="shared" si="717"/>
        <v>2784.541063</v>
      </c>
      <c r="BL635" s="49"/>
      <c r="BM635" s="49"/>
      <c r="BN635" s="394"/>
      <c r="BO635" s="49"/>
      <c r="BP635" s="49"/>
      <c r="BQ635" s="49"/>
      <c r="BR635" s="49"/>
      <c r="BS635" s="49"/>
      <c r="BT635" s="49"/>
      <c r="BU635" s="49"/>
      <c r="BV635" s="49"/>
      <c r="BW635" s="49"/>
      <c r="BX635" s="49"/>
      <c r="BY635" s="49"/>
      <c r="BZ635" s="49"/>
      <c r="CA635" s="49"/>
      <c r="CB635" s="49"/>
      <c r="CC635" s="49"/>
      <c r="CD635" s="49"/>
      <c r="CE635" s="49"/>
      <c r="CF635" s="49"/>
    </row>
    <row r="636" ht="14.25" customHeight="1">
      <c r="A636" s="103" t="s">
        <v>84</v>
      </c>
      <c r="B636" s="103" t="s">
        <v>120</v>
      </c>
      <c r="C636" s="103" t="s">
        <v>120</v>
      </c>
      <c r="D636" s="103" t="s">
        <v>1266</v>
      </c>
      <c r="E636" s="103" t="s">
        <v>1948</v>
      </c>
      <c r="F636" s="104" t="s">
        <v>2394</v>
      </c>
      <c r="G636" s="110" t="s">
        <v>1319</v>
      </c>
      <c r="H636" s="390" t="s">
        <v>2026</v>
      </c>
      <c r="I636" s="391" t="s">
        <v>2403</v>
      </c>
      <c r="J636" s="220" t="s">
        <v>2404</v>
      </c>
      <c r="K636" s="220" t="str">
        <f>_xlfn.XLOOKUP(J636,[1]Sheet1!$A:$A,[1]Sheet1!$B:$B,"")</f>
        <v>#ERROR!</v>
      </c>
      <c r="L636" s="103" t="s">
        <v>2405</v>
      </c>
      <c r="M636" s="103" t="s">
        <v>2406</v>
      </c>
      <c r="N636" s="110" t="s">
        <v>201</v>
      </c>
      <c r="O636" s="104" t="s">
        <v>147</v>
      </c>
      <c r="P636" s="110"/>
      <c r="Q636" s="104" t="s">
        <v>1989</v>
      </c>
      <c r="R636" s="110" t="s">
        <v>1955</v>
      </c>
      <c r="S636" s="110">
        <v>2.0</v>
      </c>
      <c r="T636" s="110" t="e">
        <v>#N/A</v>
      </c>
      <c r="U636" s="110">
        <v>8.5447E9</v>
      </c>
      <c r="V636" s="112">
        <v>0.0</v>
      </c>
      <c r="W636" s="113">
        <v>30.0</v>
      </c>
      <c r="X636" s="110">
        <v>45.0</v>
      </c>
      <c r="Y636" s="110">
        <v>55.0</v>
      </c>
      <c r="Z636" s="110" t="s">
        <v>1938</v>
      </c>
      <c r="AA636" s="114">
        <f t="shared" si="786"/>
        <v>3372.761194</v>
      </c>
      <c r="AB636" s="115"/>
      <c r="AC636" s="116">
        <f t="shared" si="772"/>
        <v>3132.608696</v>
      </c>
      <c r="AD636" s="117">
        <f t="shared" si="783"/>
        <v>3297.482838</v>
      </c>
      <c r="AE636" s="116"/>
      <c r="AF636" s="116" t="str">
        <f t="shared" si="94"/>
        <v>#REF!</v>
      </c>
      <c r="AG636" s="210" t="str">
        <f t="shared" si="95"/>
        <v>#REF!</v>
      </c>
      <c r="AH636" s="120" t="str">
        <f t="shared" si="96"/>
        <v>#REF!</v>
      </c>
      <c r="AI636" s="121">
        <f t="shared" si="497"/>
        <v>0.07</v>
      </c>
      <c r="AJ636" s="121">
        <v>0.07</v>
      </c>
      <c r="AK636" s="122">
        <v>0.31</v>
      </c>
      <c r="AL636" s="123">
        <f t="shared" si="11"/>
        <v>971.1086957</v>
      </c>
      <c r="AM636" s="122" t="s">
        <v>10</v>
      </c>
      <c r="AN636" s="125">
        <f t="shared" si="774"/>
        <v>3132.608696</v>
      </c>
      <c r="AO636" s="112">
        <f t="shared" si="775"/>
        <v>0.31</v>
      </c>
      <c r="AP636" s="127"/>
      <c r="AQ636" s="128">
        <f t="shared" si="787"/>
        <v>2429.83871</v>
      </c>
      <c r="AR636" s="125">
        <f t="shared" si="776"/>
        <v>2324.193548</v>
      </c>
      <c r="AS636" s="126">
        <f t="shared" si="733"/>
        <v>0.2795698925</v>
      </c>
      <c r="AT636" s="126">
        <f t="shared" si="777"/>
        <v>0.2580645161</v>
      </c>
      <c r="AU636" s="129"/>
      <c r="AV636" s="39" t="s">
        <v>2242</v>
      </c>
      <c r="AW636" s="130"/>
      <c r="AX636" s="130"/>
      <c r="AY636" s="130"/>
      <c r="AZ636" s="130"/>
      <c r="BA636" s="130"/>
      <c r="BB636" s="130"/>
      <c r="BC636" s="392">
        <v>1965.0</v>
      </c>
      <c r="BD636" s="132">
        <f t="shared" si="788"/>
        <v>2161.5</v>
      </c>
      <c r="BE636" s="393"/>
      <c r="BF636" s="134"/>
      <c r="BG636" s="49"/>
      <c r="BH636" s="397">
        <f t="shared" si="714"/>
        <v>10442.02899</v>
      </c>
      <c r="BI636" s="397">
        <f t="shared" si="715"/>
        <v>6265.217391</v>
      </c>
      <c r="BJ636" s="397">
        <f t="shared" si="716"/>
        <v>5221.014493</v>
      </c>
      <c r="BK636" s="397">
        <f t="shared" si="717"/>
        <v>4176.811594</v>
      </c>
      <c r="BL636" s="49"/>
      <c r="BM636" s="49"/>
      <c r="BN636" s="394"/>
      <c r="BO636" s="49"/>
      <c r="BP636" s="49"/>
      <c r="BQ636" s="49"/>
      <c r="BR636" s="49"/>
      <c r="BS636" s="49"/>
      <c r="BT636" s="49"/>
      <c r="BU636" s="49"/>
      <c r="BV636" s="49"/>
      <c r="BW636" s="49"/>
      <c r="BX636" s="49"/>
      <c r="BY636" s="49"/>
      <c r="BZ636" s="49"/>
      <c r="CA636" s="49"/>
      <c r="CB636" s="49"/>
      <c r="CC636" s="49"/>
      <c r="CD636" s="49"/>
      <c r="CE636" s="49"/>
      <c r="CF636" s="49"/>
    </row>
    <row r="637" ht="14.25" customHeight="1">
      <c r="A637" s="103" t="s">
        <v>84</v>
      </c>
      <c r="B637" s="103" t="s">
        <v>120</v>
      </c>
      <c r="C637" s="103" t="s">
        <v>120</v>
      </c>
      <c r="D637" s="103" t="s">
        <v>1266</v>
      </c>
      <c r="E637" s="103" t="s">
        <v>1948</v>
      </c>
      <c r="F637" s="104" t="s">
        <v>2008</v>
      </c>
      <c r="G637" s="110" t="s">
        <v>1395</v>
      </c>
      <c r="H637" s="390">
        <v>2.0</v>
      </c>
      <c r="I637" s="391" t="s">
        <v>2407</v>
      </c>
      <c r="J637" s="220" t="s">
        <v>2408</v>
      </c>
      <c r="K637" s="220" t="str">
        <f>_xlfn.XLOOKUP(J637,[1]Sheet1!$A:$A,[1]Sheet1!$B:$B,"")</f>
        <v>#ERROR!</v>
      </c>
      <c r="L637" s="103" t="s">
        <v>2409</v>
      </c>
      <c r="M637" s="103" t="s">
        <v>2410</v>
      </c>
      <c r="N637" s="110" t="s">
        <v>206</v>
      </c>
      <c r="O637" s="104" t="s">
        <v>147</v>
      </c>
      <c r="P637" s="110"/>
      <c r="Q637" s="104" t="s">
        <v>1989</v>
      </c>
      <c r="R637" s="110" t="s">
        <v>1955</v>
      </c>
      <c r="S637" s="110">
        <v>2.0</v>
      </c>
      <c r="T637" s="110" t="e">
        <v>#N/A</v>
      </c>
      <c r="U637" s="110">
        <v>8.5447E9</v>
      </c>
      <c r="V637" s="112">
        <v>0.0</v>
      </c>
      <c r="W637" s="113">
        <v>30.0</v>
      </c>
      <c r="X637" s="110">
        <v>45.0</v>
      </c>
      <c r="Y637" s="110">
        <v>55.0</v>
      </c>
      <c r="Z637" s="110" t="s">
        <v>1938</v>
      </c>
      <c r="AA637" s="114">
        <f t="shared" si="786"/>
        <v>506.6405828</v>
      </c>
      <c r="AB637" s="115"/>
      <c r="AC637" s="116">
        <f t="shared" si="772"/>
        <v>469.9274971</v>
      </c>
      <c r="AD637" s="117">
        <f t="shared" si="783"/>
        <v>494.6605233</v>
      </c>
      <c r="AE637" s="116"/>
      <c r="AF637" s="116" t="str">
        <f t="shared" si="94"/>
        <v>#REF!</v>
      </c>
      <c r="AG637" s="210" t="str">
        <f t="shared" si="95"/>
        <v>#REF!</v>
      </c>
      <c r="AH637" s="120" t="str">
        <f t="shared" si="96"/>
        <v>#REF!</v>
      </c>
      <c r="AI637" s="121">
        <f t="shared" si="497"/>
        <v>0.07</v>
      </c>
      <c r="AJ637" s="121">
        <v>0.07</v>
      </c>
      <c r="AK637" s="122">
        <v>0.33999999999999997</v>
      </c>
      <c r="AL637" s="123">
        <f t="shared" si="11"/>
        <v>159.775349</v>
      </c>
      <c r="AM637" s="122" t="s">
        <v>10</v>
      </c>
      <c r="AN637" s="125">
        <f t="shared" si="774"/>
        <v>469.9274971</v>
      </c>
      <c r="AO637" s="112">
        <f t="shared" si="775"/>
        <v>0.34</v>
      </c>
      <c r="AP637" s="127"/>
      <c r="AQ637" s="128">
        <f t="shared" si="787"/>
        <v>348.6558849</v>
      </c>
      <c r="AR637" s="125">
        <f t="shared" si="776"/>
        <v>333.4969334</v>
      </c>
      <c r="AS637" s="126">
        <f t="shared" si="733"/>
        <v>0.311827957</v>
      </c>
      <c r="AT637" s="126">
        <f t="shared" si="777"/>
        <v>0.2903225806</v>
      </c>
      <c r="AU637" s="129"/>
      <c r="AV637" s="39" t="s">
        <v>2242</v>
      </c>
      <c r="AW637" s="130"/>
      <c r="AX637" s="130"/>
      <c r="AY637" s="130"/>
      <c r="AZ637" s="130"/>
      <c r="BA637" s="130"/>
      <c r="BB637" s="130"/>
      <c r="BC637" s="392">
        <v>281.9564982562491</v>
      </c>
      <c r="BD637" s="132">
        <f t="shared" si="788"/>
        <v>310.1521481</v>
      </c>
      <c r="BE637" s="393"/>
      <c r="BF637" s="134"/>
      <c r="BG637" s="49"/>
      <c r="BH637" s="118">
        <f t="shared" si="714"/>
        <v>1566.42499</v>
      </c>
      <c r="BI637" s="118">
        <f t="shared" si="715"/>
        <v>939.8549942</v>
      </c>
      <c r="BJ637" s="118">
        <f t="shared" si="716"/>
        <v>783.2124952</v>
      </c>
      <c r="BK637" s="118">
        <f t="shared" si="717"/>
        <v>626.5699961</v>
      </c>
      <c r="BL637" s="49"/>
      <c r="BM637" s="49"/>
      <c r="BN637" s="394"/>
      <c r="BO637" s="49"/>
      <c r="BP637" s="49"/>
      <c r="BQ637" s="49"/>
      <c r="BR637" s="49"/>
      <c r="BS637" s="49"/>
      <c r="BT637" s="49"/>
      <c r="BU637" s="49"/>
      <c r="BV637" s="49"/>
      <c r="BW637" s="49"/>
      <c r="BX637" s="49"/>
      <c r="BY637" s="49"/>
      <c r="BZ637" s="49"/>
      <c r="CA637" s="49"/>
      <c r="CB637" s="49"/>
      <c r="CC637" s="49"/>
      <c r="CD637" s="49"/>
      <c r="CE637" s="49"/>
      <c r="CF637" s="49"/>
    </row>
    <row r="638" ht="14.25" customHeight="1">
      <c r="A638" s="103" t="s">
        <v>84</v>
      </c>
      <c r="B638" s="103" t="s">
        <v>120</v>
      </c>
      <c r="C638" s="103" t="s">
        <v>120</v>
      </c>
      <c r="D638" s="103" t="s">
        <v>1266</v>
      </c>
      <c r="E638" s="103" t="s">
        <v>1948</v>
      </c>
      <c r="F638" s="104" t="s">
        <v>2008</v>
      </c>
      <c r="G638" s="110" t="s">
        <v>1395</v>
      </c>
      <c r="H638" s="390">
        <v>4.0</v>
      </c>
      <c r="I638" s="391" t="s">
        <v>2411</v>
      </c>
      <c r="J638" s="220" t="s">
        <v>2412</v>
      </c>
      <c r="K638" s="220" t="str">
        <f>_xlfn.XLOOKUP(J638,[1]Sheet1!$A:$A,[1]Sheet1!$B:$B,"")</f>
        <v>#ERROR!</v>
      </c>
      <c r="L638" s="103" t="s">
        <v>2413</v>
      </c>
      <c r="M638" s="103" t="s">
        <v>2414</v>
      </c>
      <c r="N638" s="110" t="s">
        <v>206</v>
      </c>
      <c r="O638" s="104" t="s">
        <v>147</v>
      </c>
      <c r="P638" s="110"/>
      <c r="Q638" s="104" t="s">
        <v>1989</v>
      </c>
      <c r="R638" s="110" t="s">
        <v>1955</v>
      </c>
      <c r="S638" s="110">
        <v>2.0</v>
      </c>
      <c r="T638" s="110" t="e">
        <v>#N/A</v>
      </c>
      <c r="U638" s="110">
        <v>8.5447E9</v>
      </c>
      <c r="V638" s="112">
        <v>0.0</v>
      </c>
      <c r="W638" s="113">
        <v>30.0</v>
      </c>
      <c r="X638" s="110">
        <v>45.0</v>
      </c>
      <c r="Y638" s="110">
        <v>55.0</v>
      </c>
      <c r="Z638" s="110" t="s">
        <v>1938</v>
      </c>
      <c r="AA638" s="114">
        <f t="shared" si="786"/>
        <v>690.9046157</v>
      </c>
      <c r="AB638" s="115"/>
      <c r="AC638" s="116">
        <f t="shared" si="772"/>
        <v>640.8390638</v>
      </c>
      <c r="AD638" s="117">
        <f t="shared" si="783"/>
        <v>674.5674356</v>
      </c>
      <c r="AE638" s="116"/>
      <c r="AF638" s="116" t="str">
        <f t="shared" si="94"/>
        <v>#REF!</v>
      </c>
      <c r="AG638" s="210" t="str">
        <f t="shared" si="95"/>
        <v>#REF!</v>
      </c>
      <c r="AH638" s="120" t="str">
        <f t="shared" si="96"/>
        <v>#REF!</v>
      </c>
      <c r="AI638" s="121">
        <f t="shared" si="497"/>
        <v>0.07</v>
      </c>
      <c r="AJ638" s="121">
        <v>0.07</v>
      </c>
      <c r="AK638" s="122">
        <v>0.33999999999999997</v>
      </c>
      <c r="AL638" s="123">
        <f t="shared" si="11"/>
        <v>217.8852817</v>
      </c>
      <c r="AM638" s="122" t="s">
        <v>10</v>
      </c>
      <c r="AN638" s="125">
        <f t="shared" si="774"/>
        <v>640.8390638</v>
      </c>
      <c r="AO638" s="112">
        <f t="shared" si="775"/>
        <v>0.34</v>
      </c>
      <c r="AP638" s="127"/>
      <c r="AQ638" s="128">
        <f t="shared" si="787"/>
        <v>475.4612409</v>
      </c>
      <c r="AR638" s="125">
        <f t="shared" si="776"/>
        <v>454.789013</v>
      </c>
      <c r="AS638" s="126">
        <f t="shared" si="733"/>
        <v>0.311827957</v>
      </c>
      <c r="AT638" s="126">
        <f t="shared" si="777"/>
        <v>0.2903225806</v>
      </c>
      <c r="AU638" s="129"/>
      <c r="AV638" s="39" t="s">
        <v>2242</v>
      </c>
      <c r="AW638" s="130"/>
      <c r="AX638" s="130"/>
      <c r="AY638" s="130"/>
      <c r="AZ638" s="130"/>
      <c r="BA638" s="130"/>
      <c r="BB638" s="130"/>
      <c r="BC638" s="392">
        <v>384.50343829493386</v>
      </c>
      <c r="BD638" s="132">
        <f t="shared" si="788"/>
        <v>422.9537821</v>
      </c>
      <c r="BE638" s="393"/>
      <c r="BF638" s="134"/>
      <c r="BG638" s="49"/>
      <c r="BH638" s="118">
        <f t="shared" si="714"/>
        <v>2136.130213</v>
      </c>
      <c r="BI638" s="118">
        <f t="shared" si="715"/>
        <v>1281.678128</v>
      </c>
      <c r="BJ638" s="118">
        <f t="shared" si="716"/>
        <v>1068.065106</v>
      </c>
      <c r="BK638" s="118">
        <f t="shared" si="717"/>
        <v>854.4520851</v>
      </c>
      <c r="BL638" s="49"/>
      <c r="BM638" s="49"/>
      <c r="BN638" s="394"/>
      <c r="BO638" s="49"/>
      <c r="BP638" s="49"/>
      <c r="BQ638" s="49"/>
      <c r="BR638" s="49"/>
      <c r="BS638" s="49"/>
      <c r="BT638" s="49"/>
      <c r="BU638" s="49"/>
      <c r="BV638" s="49"/>
      <c r="BW638" s="49"/>
      <c r="BX638" s="49"/>
      <c r="BY638" s="49"/>
      <c r="BZ638" s="49"/>
      <c r="CA638" s="49"/>
      <c r="CB638" s="49"/>
      <c r="CC638" s="49"/>
      <c r="CD638" s="49"/>
      <c r="CE638" s="49"/>
      <c r="CF638" s="49"/>
    </row>
    <row r="639" ht="14.25" customHeight="1">
      <c r="A639" s="103" t="s">
        <v>84</v>
      </c>
      <c r="B639" s="103" t="s">
        <v>120</v>
      </c>
      <c r="C639" s="103" t="s">
        <v>120</v>
      </c>
      <c r="D639" s="103" t="s">
        <v>1266</v>
      </c>
      <c r="E639" s="103" t="s">
        <v>1948</v>
      </c>
      <c r="F639" s="104" t="s">
        <v>2008</v>
      </c>
      <c r="G639" s="110" t="s">
        <v>1395</v>
      </c>
      <c r="H639" s="390" t="s">
        <v>1950</v>
      </c>
      <c r="I639" s="391" t="s">
        <v>2415</v>
      </c>
      <c r="J639" s="220" t="s">
        <v>2416</v>
      </c>
      <c r="K639" s="220" t="str">
        <f>_xlfn.XLOOKUP(J639,[1]Sheet1!$A:$A,[1]Sheet1!$B:$B,"")</f>
        <v>#ERROR!</v>
      </c>
      <c r="L639" s="103" t="s">
        <v>2417</v>
      </c>
      <c r="M639" s="103" t="s">
        <v>2418</v>
      </c>
      <c r="N639" s="110" t="s">
        <v>206</v>
      </c>
      <c r="O639" s="104" t="s">
        <v>147</v>
      </c>
      <c r="P639" s="110"/>
      <c r="Q639" s="104" t="s">
        <v>1989</v>
      </c>
      <c r="R639" s="110" t="s">
        <v>1955</v>
      </c>
      <c r="S639" s="110">
        <v>2.0</v>
      </c>
      <c r="T639" s="110" t="e">
        <v>#N/A</v>
      </c>
      <c r="U639" s="110">
        <v>8.5447E9</v>
      </c>
      <c r="V639" s="112">
        <v>0.0</v>
      </c>
      <c r="W639" s="113">
        <v>30.0</v>
      </c>
      <c r="X639" s="110">
        <v>45.0</v>
      </c>
      <c r="Y639" s="110">
        <v>55.0</v>
      </c>
      <c r="Z639" s="110" t="s">
        <v>1938</v>
      </c>
      <c r="AA639" s="114">
        <f t="shared" si="786"/>
        <v>875.1686486</v>
      </c>
      <c r="AB639" s="115"/>
      <c r="AC639" s="116">
        <f t="shared" si="772"/>
        <v>811.7506306</v>
      </c>
      <c r="AD639" s="117">
        <f t="shared" si="783"/>
        <v>854.474348</v>
      </c>
      <c r="AE639" s="116"/>
      <c r="AF639" s="116" t="str">
        <f t="shared" si="94"/>
        <v>#REF!</v>
      </c>
      <c r="AG639" s="210" t="str">
        <f t="shared" si="95"/>
        <v>#REF!</v>
      </c>
      <c r="AH639" s="120" t="str">
        <f t="shared" si="96"/>
        <v>#REF!</v>
      </c>
      <c r="AI639" s="121">
        <f t="shared" si="497"/>
        <v>0.07</v>
      </c>
      <c r="AJ639" s="121">
        <v>0.07</v>
      </c>
      <c r="AK639" s="122">
        <v>0.33999999999999997</v>
      </c>
      <c r="AL639" s="123">
        <f t="shared" si="11"/>
        <v>275.9952144</v>
      </c>
      <c r="AM639" s="122" t="s">
        <v>10</v>
      </c>
      <c r="AN639" s="125">
        <f t="shared" si="774"/>
        <v>811.7506306</v>
      </c>
      <c r="AO639" s="112">
        <f t="shared" si="775"/>
        <v>0.34</v>
      </c>
      <c r="AP639" s="127"/>
      <c r="AQ639" s="128">
        <f t="shared" si="787"/>
        <v>602.2665969</v>
      </c>
      <c r="AR639" s="125">
        <f t="shared" si="776"/>
        <v>576.0810927</v>
      </c>
      <c r="AS639" s="126">
        <f t="shared" si="733"/>
        <v>0.311827957</v>
      </c>
      <c r="AT639" s="126">
        <f t="shared" si="777"/>
        <v>0.2903225806</v>
      </c>
      <c r="AU639" s="129"/>
      <c r="AV639" s="39" t="s">
        <v>2242</v>
      </c>
      <c r="AW639" s="130"/>
      <c r="AX639" s="130"/>
      <c r="AY639" s="130"/>
      <c r="AZ639" s="130"/>
      <c r="BA639" s="130"/>
      <c r="BB639" s="130"/>
      <c r="BC639" s="392">
        <v>487.0503783336186</v>
      </c>
      <c r="BD639" s="132">
        <f t="shared" si="788"/>
        <v>535.7554162</v>
      </c>
      <c r="BE639" s="393"/>
      <c r="BF639" s="134"/>
      <c r="BG639" s="49"/>
      <c r="BH639" s="118">
        <f t="shared" si="714"/>
        <v>2705.835435</v>
      </c>
      <c r="BI639" s="118">
        <f t="shared" si="715"/>
        <v>1623.501261</v>
      </c>
      <c r="BJ639" s="118">
        <f t="shared" si="716"/>
        <v>1352.917718</v>
      </c>
      <c r="BK639" s="118">
        <f t="shared" si="717"/>
        <v>1082.334174</v>
      </c>
      <c r="BL639" s="49"/>
      <c r="BM639" s="49"/>
      <c r="BN639" s="394"/>
      <c r="BO639" s="49"/>
      <c r="BP639" s="49"/>
      <c r="BQ639" s="49"/>
      <c r="BR639" s="49"/>
      <c r="BS639" s="49"/>
      <c r="BT639" s="49"/>
      <c r="BU639" s="49"/>
      <c r="BV639" s="49"/>
      <c r="BW639" s="49"/>
      <c r="BX639" s="49"/>
      <c r="BY639" s="49"/>
      <c r="BZ639" s="49"/>
      <c r="CA639" s="49"/>
      <c r="CB639" s="49"/>
      <c r="CC639" s="49"/>
      <c r="CD639" s="49"/>
      <c r="CE639" s="49"/>
      <c r="CF639" s="49"/>
    </row>
    <row r="640" ht="14.25" customHeight="1">
      <c r="A640" s="103" t="s">
        <v>84</v>
      </c>
      <c r="B640" s="103" t="s">
        <v>120</v>
      </c>
      <c r="C640" s="103" t="s">
        <v>120</v>
      </c>
      <c r="D640" s="103" t="s">
        <v>1266</v>
      </c>
      <c r="E640" s="103" t="s">
        <v>1948</v>
      </c>
      <c r="F640" s="104" t="s">
        <v>2008</v>
      </c>
      <c r="G640" s="110" t="s">
        <v>1395</v>
      </c>
      <c r="H640" s="390" t="s">
        <v>1957</v>
      </c>
      <c r="I640" s="391" t="s">
        <v>2419</v>
      </c>
      <c r="J640" s="220" t="s">
        <v>2420</v>
      </c>
      <c r="K640" s="220" t="str">
        <f>_xlfn.XLOOKUP(J640,[1]Sheet1!$A:$A,[1]Sheet1!$B:$B,"")</f>
        <v>#ERROR!</v>
      </c>
      <c r="L640" s="103" t="s">
        <v>2421</v>
      </c>
      <c r="M640" s="103" t="s">
        <v>2422</v>
      </c>
      <c r="N640" s="110" t="s">
        <v>206</v>
      </c>
      <c r="O640" s="104" t="s">
        <v>147</v>
      </c>
      <c r="P640" s="110"/>
      <c r="Q640" s="104" t="s">
        <v>1989</v>
      </c>
      <c r="R640" s="110" t="s">
        <v>1955</v>
      </c>
      <c r="S640" s="110">
        <v>2.0</v>
      </c>
      <c r="T640" s="110" t="e">
        <v>#N/A</v>
      </c>
      <c r="U640" s="110">
        <v>8.5447E9</v>
      </c>
      <c r="V640" s="112">
        <v>0.0</v>
      </c>
      <c r="W640" s="113">
        <v>30.0</v>
      </c>
      <c r="X640" s="110">
        <v>45.0</v>
      </c>
      <c r="Y640" s="110">
        <v>55.0</v>
      </c>
      <c r="Z640" s="110" t="s">
        <v>1938</v>
      </c>
      <c r="AA640" s="114">
        <f t="shared" si="786"/>
        <v>1059.432681</v>
      </c>
      <c r="AB640" s="115"/>
      <c r="AC640" s="116">
        <f t="shared" si="772"/>
        <v>982.6621973</v>
      </c>
      <c r="AD640" s="117">
        <f t="shared" si="783"/>
        <v>1034.38126</v>
      </c>
      <c r="AE640" s="116"/>
      <c r="AF640" s="116" t="str">
        <f t="shared" si="94"/>
        <v>#REF!</v>
      </c>
      <c r="AG640" s="210" t="str">
        <f t="shared" si="95"/>
        <v>#REF!</v>
      </c>
      <c r="AH640" s="120" t="str">
        <f t="shared" si="96"/>
        <v>#REF!</v>
      </c>
      <c r="AI640" s="121">
        <f t="shared" si="497"/>
        <v>0.07</v>
      </c>
      <c r="AJ640" s="121">
        <v>0.07</v>
      </c>
      <c r="AK640" s="122">
        <v>0.33999999999999997</v>
      </c>
      <c r="AL640" s="123">
        <f t="shared" si="11"/>
        <v>334.1051471</v>
      </c>
      <c r="AM640" s="122" t="s">
        <v>10</v>
      </c>
      <c r="AN640" s="125">
        <f t="shared" si="774"/>
        <v>982.6621973</v>
      </c>
      <c r="AO640" s="112">
        <f t="shared" si="775"/>
        <v>0.34</v>
      </c>
      <c r="AP640" s="127"/>
      <c r="AQ640" s="128">
        <f t="shared" si="787"/>
        <v>729.0719528</v>
      </c>
      <c r="AR640" s="125">
        <f t="shared" si="776"/>
        <v>697.3731723</v>
      </c>
      <c r="AS640" s="126">
        <f t="shared" si="733"/>
        <v>0.311827957</v>
      </c>
      <c r="AT640" s="126">
        <f t="shared" si="777"/>
        <v>0.2903225806</v>
      </c>
      <c r="AU640" s="129"/>
      <c r="AV640" s="39" t="s">
        <v>2242</v>
      </c>
      <c r="AW640" s="130"/>
      <c r="AX640" s="130"/>
      <c r="AY640" s="130"/>
      <c r="AZ640" s="130"/>
      <c r="BA640" s="130"/>
      <c r="BB640" s="130"/>
      <c r="BC640" s="392">
        <v>589.5973183723032</v>
      </c>
      <c r="BD640" s="132">
        <f t="shared" si="788"/>
        <v>648.5570502</v>
      </c>
      <c r="BE640" s="393"/>
      <c r="BF640" s="134"/>
      <c r="BG640" s="49"/>
      <c r="BH640" s="118">
        <f t="shared" si="714"/>
        <v>3275.540658</v>
      </c>
      <c r="BI640" s="118">
        <f t="shared" si="715"/>
        <v>1965.324395</v>
      </c>
      <c r="BJ640" s="118">
        <f t="shared" si="716"/>
        <v>1637.770329</v>
      </c>
      <c r="BK640" s="118">
        <f t="shared" si="717"/>
        <v>1310.216263</v>
      </c>
      <c r="BL640" s="49"/>
      <c r="BM640" s="49"/>
      <c r="BN640" s="394"/>
      <c r="BO640" s="49"/>
      <c r="BP640" s="49"/>
      <c r="BQ640" s="49"/>
      <c r="BR640" s="49"/>
      <c r="BS640" s="49"/>
      <c r="BT640" s="49"/>
      <c r="BU640" s="49"/>
      <c r="BV640" s="49"/>
      <c r="BW640" s="49"/>
      <c r="BX640" s="49"/>
      <c r="BY640" s="49"/>
      <c r="BZ640" s="49"/>
      <c r="CA640" s="49"/>
      <c r="CB640" s="49"/>
      <c r="CC640" s="49"/>
      <c r="CD640" s="49"/>
      <c r="CE640" s="49"/>
      <c r="CF640" s="49"/>
    </row>
    <row r="641" ht="14.25" customHeight="1">
      <c r="A641" s="103" t="s">
        <v>84</v>
      </c>
      <c r="B641" s="103" t="s">
        <v>120</v>
      </c>
      <c r="C641" s="103" t="s">
        <v>120</v>
      </c>
      <c r="D641" s="103" t="s">
        <v>1266</v>
      </c>
      <c r="E641" s="103" t="s">
        <v>1948</v>
      </c>
      <c r="F641" s="104" t="s">
        <v>2008</v>
      </c>
      <c r="G641" s="110" t="s">
        <v>1395</v>
      </c>
      <c r="H641" s="390">
        <v>10.0</v>
      </c>
      <c r="I641" s="391" t="s">
        <v>2423</v>
      </c>
      <c r="J641" s="220" t="s">
        <v>2424</v>
      </c>
      <c r="K641" s="220" t="str">
        <f>_xlfn.XLOOKUP(J641,[1]Sheet1!$A:$A,[1]Sheet1!$B:$B,"")</f>
        <v>#ERROR!</v>
      </c>
      <c r="L641" s="103" t="s">
        <v>2425</v>
      </c>
      <c r="M641" s="103" t="s">
        <v>2426</v>
      </c>
      <c r="N641" s="110" t="s">
        <v>206</v>
      </c>
      <c r="O641" s="104" t="s">
        <v>147</v>
      </c>
      <c r="P641" s="110"/>
      <c r="Q641" s="104" t="s">
        <v>1989</v>
      </c>
      <c r="R641" s="110" t="s">
        <v>1955</v>
      </c>
      <c r="S641" s="110">
        <v>2.0</v>
      </c>
      <c r="T641" s="110" t="e">
        <v>#N/A</v>
      </c>
      <c r="U641" s="110">
        <v>8.5447E9</v>
      </c>
      <c r="V641" s="112">
        <v>0.0</v>
      </c>
      <c r="W641" s="113">
        <v>30.0</v>
      </c>
      <c r="X641" s="110">
        <v>45.0</v>
      </c>
      <c r="Y641" s="110">
        <v>55.0</v>
      </c>
      <c r="Z641" s="110" t="s">
        <v>1938</v>
      </c>
      <c r="AA641" s="114">
        <f t="shared" si="786"/>
        <v>1243.696714</v>
      </c>
      <c r="AB641" s="115"/>
      <c r="AC641" s="116">
        <f t="shared" si="772"/>
        <v>1153.573764</v>
      </c>
      <c r="AD641" s="117">
        <f t="shared" si="783"/>
        <v>1214.288173</v>
      </c>
      <c r="AE641" s="116"/>
      <c r="AF641" s="116" t="str">
        <f t="shared" si="94"/>
        <v>#REF!</v>
      </c>
      <c r="AG641" s="210" t="str">
        <f t="shared" si="95"/>
        <v>#REF!</v>
      </c>
      <c r="AH641" s="120" t="str">
        <f t="shared" si="96"/>
        <v>#REF!</v>
      </c>
      <c r="AI641" s="121">
        <f t="shared" si="497"/>
        <v>0.07</v>
      </c>
      <c r="AJ641" s="121">
        <v>0.07</v>
      </c>
      <c r="AK641" s="122">
        <v>0.33999999999999997</v>
      </c>
      <c r="AL641" s="123">
        <f t="shared" si="11"/>
        <v>392.2150798</v>
      </c>
      <c r="AM641" s="122" t="s">
        <v>10</v>
      </c>
      <c r="AN641" s="125">
        <f t="shared" si="774"/>
        <v>1153.573764</v>
      </c>
      <c r="AO641" s="112">
        <f t="shared" si="775"/>
        <v>0.34</v>
      </c>
      <c r="AP641" s="127"/>
      <c r="AQ641" s="128">
        <f t="shared" si="787"/>
        <v>855.8773088</v>
      </c>
      <c r="AR641" s="125">
        <f t="shared" si="776"/>
        <v>818.6652519</v>
      </c>
      <c r="AS641" s="126">
        <f t="shared" si="733"/>
        <v>0.311827957</v>
      </c>
      <c r="AT641" s="126">
        <f t="shared" si="777"/>
        <v>0.2903225806</v>
      </c>
      <c r="AU641" s="129"/>
      <c r="AV641" s="39" t="s">
        <v>2242</v>
      </c>
      <c r="AW641" s="130"/>
      <c r="AX641" s="130"/>
      <c r="AY641" s="130"/>
      <c r="AZ641" s="130"/>
      <c r="BA641" s="130"/>
      <c r="BB641" s="130"/>
      <c r="BC641" s="392">
        <v>692.144258410988</v>
      </c>
      <c r="BD641" s="132">
        <f t="shared" si="788"/>
        <v>761.3586843</v>
      </c>
      <c r="BE641" s="393"/>
      <c r="BF641" s="134"/>
      <c r="BG641" s="49"/>
      <c r="BH641" s="118">
        <f t="shared" si="714"/>
        <v>3845.24588</v>
      </c>
      <c r="BI641" s="118">
        <f t="shared" si="715"/>
        <v>2307.147528</v>
      </c>
      <c r="BJ641" s="118">
        <f t="shared" si="716"/>
        <v>1922.62294</v>
      </c>
      <c r="BK641" s="118">
        <f t="shared" si="717"/>
        <v>1538.098352</v>
      </c>
      <c r="BL641" s="49"/>
      <c r="BM641" s="49"/>
      <c r="BN641" s="394"/>
      <c r="BO641" s="49"/>
      <c r="BP641" s="49"/>
      <c r="BQ641" s="49"/>
      <c r="BR641" s="49"/>
      <c r="BS641" s="49"/>
      <c r="BT641" s="49"/>
      <c r="BU641" s="49"/>
      <c r="BV641" s="49"/>
      <c r="BW641" s="49"/>
      <c r="BX641" s="49"/>
      <c r="BY641" s="49"/>
      <c r="BZ641" s="49"/>
      <c r="CA641" s="49"/>
      <c r="CB641" s="49"/>
      <c r="CC641" s="49"/>
      <c r="CD641" s="49"/>
      <c r="CE641" s="49"/>
      <c r="CF641" s="49"/>
    </row>
    <row r="642" ht="14.25" customHeight="1">
      <c r="A642" s="103" t="s">
        <v>84</v>
      </c>
      <c r="B642" s="103" t="s">
        <v>120</v>
      </c>
      <c r="C642" s="103" t="s">
        <v>120</v>
      </c>
      <c r="D642" s="103" t="s">
        <v>1266</v>
      </c>
      <c r="E642" s="103" t="s">
        <v>1948</v>
      </c>
      <c r="F642" s="104" t="s">
        <v>2008</v>
      </c>
      <c r="G642" s="110" t="s">
        <v>1395</v>
      </c>
      <c r="H642" s="390" t="s">
        <v>1962</v>
      </c>
      <c r="I642" s="391" t="s">
        <v>2427</v>
      </c>
      <c r="J642" s="220" t="s">
        <v>2428</v>
      </c>
      <c r="K642" s="220" t="str">
        <f>_xlfn.XLOOKUP(J642,[1]Sheet1!$A:$A,[1]Sheet1!$B:$B,"")</f>
        <v>#ERROR!</v>
      </c>
      <c r="L642" s="103" t="s">
        <v>2429</v>
      </c>
      <c r="M642" s="103" t="s">
        <v>2430</v>
      </c>
      <c r="N642" s="110" t="s">
        <v>206</v>
      </c>
      <c r="O642" s="104" t="s">
        <v>147</v>
      </c>
      <c r="P642" s="110"/>
      <c r="Q642" s="104" t="s">
        <v>1989</v>
      </c>
      <c r="R642" s="110" t="s">
        <v>1955</v>
      </c>
      <c r="S642" s="110">
        <v>2.0</v>
      </c>
      <c r="T642" s="110" t="e">
        <v>#N/A</v>
      </c>
      <c r="U642" s="110">
        <v>8.5447E9</v>
      </c>
      <c r="V642" s="112">
        <v>0.0</v>
      </c>
      <c r="W642" s="113">
        <v>30.0</v>
      </c>
      <c r="X642" s="110">
        <v>45.0</v>
      </c>
      <c r="Y642" s="110">
        <v>55.0</v>
      </c>
      <c r="Z642" s="110" t="s">
        <v>1938</v>
      </c>
      <c r="AA642" s="114">
        <f t="shared" si="786"/>
        <v>1427.960747</v>
      </c>
      <c r="AB642" s="115"/>
      <c r="AC642" s="116">
        <f t="shared" si="772"/>
        <v>1324.485331</v>
      </c>
      <c r="AD642" s="117">
        <f t="shared" si="783"/>
        <v>1394.195085</v>
      </c>
      <c r="AE642" s="116"/>
      <c r="AF642" s="116" t="str">
        <f t="shared" si="94"/>
        <v>#REF!</v>
      </c>
      <c r="AG642" s="210" t="str">
        <f t="shared" si="95"/>
        <v>#REF!</v>
      </c>
      <c r="AH642" s="120" t="str">
        <f t="shared" si="96"/>
        <v>#REF!</v>
      </c>
      <c r="AI642" s="121">
        <f t="shared" si="497"/>
        <v>0.07</v>
      </c>
      <c r="AJ642" s="121">
        <v>0.07</v>
      </c>
      <c r="AK642" s="122">
        <v>0.33999999999999997</v>
      </c>
      <c r="AL642" s="123">
        <f t="shared" si="11"/>
        <v>450.3250125</v>
      </c>
      <c r="AM642" s="122" t="s">
        <v>10</v>
      </c>
      <c r="AN642" s="125">
        <f t="shared" si="774"/>
        <v>1324.485331</v>
      </c>
      <c r="AO642" s="112">
        <f t="shared" si="775"/>
        <v>0.34</v>
      </c>
      <c r="AP642" s="127"/>
      <c r="AQ642" s="128">
        <f t="shared" si="787"/>
        <v>982.6826647</v>
      </c>
      <c r="AR642" s="125">
        <f t="shared" si="776"/>
        <v>939.9573315</v>
      </c>
      <c r="AS642" s="126">
        <f t="shared" si="733"/>
        <v>0.311827957</v>
      </c>
      <c r="AT642" s="126">
        <f t="shared" si="777"/>
        <v>0.2903225806</v>
      </c>
      <c r="AU642" s="129"/>
      <c r="AV642" s="39" t="s">
        <v>2242</v>
      </c>
      <c r="AW642" s="130"/>
      <c r="AX642" s="130"/>
      <c r="AY642" s="130"/>
      <c r="AZ642" s="130"/>
      <c r="BA642" s="130"/>
      <c r="BB642" s="130"/>
      <c r="BC642" s="392">
        <v>794.6911984496728</v>
      </c>
      <c r="BD642" s="132">
        <f t="shared" si="788"/>
        <v>874.1603183</v>
      </c>
      <c r="BE642" s="393"/>
      <c r="BF642" s="134"/>
      <c r="BG642" s="49"/>
      <c r="BH642" s="118">
        <f t="shared" si="714"/>
        <v>4414.951102</v>
      </c>
      <c r="BI642" s="118">
        <f t="shared" si="715"/>
        <v>2648.970661</v>
      </c>
      <c r="BJ642" s="118">
        <f t="shared" si="716"/>
        <v>2207.475551</v>
      </c>
      <c r="BK642" s="118">
        <f t="shared" si="717"/>
        <v>1765.980441</v>
      </c>
      <c r="BL642" s="49"/>
      <c r="BM642" s="49"/>
      <c r="BN642" s="394"/>
      <c r="BO642" s="49"/>
      <c r="BP642" s="49"/>
      <c r="BQ642" s="49"/>
      <c r="BR642" s="49"/>
      <c r="BS642" s="49"/>
      <c r="BT642" s="49"/>
      <c r="BU642" s="49"/>
      <c r="BV642" s="49"/>
      <c r="BW642" s="49"/>
      <c r="BX642" s="49"/>
      <c r="BY642" s="49"/>
      <c r="BZ642" s="49"/>
      <c r="CA642" s="49"/>
      <c r="CB642" s="49"/>
      <c r="CC642" s="49"/>
      <c r="CD642" s="49"/>
      <c r="CE642" s="49"/>
      <c r="CF642" s="49"/>
    </row>
    <row r="643" ht="14.25" customHeight="1">
      <c r="A643" s="103" t="s">
        <v>84</v>
      </c>
      <c r="B643" s="103" t="s">
        <v>120</v>
      </c>
      <c r="C643" s="103" t="s">
        <v>120</v>
      </c>
      <c r="D643" s="103" t="s">
        <v>1266</v>
      </c>
      <c r="E643" s="103" t="s">
        <v>1948</v>
      </c>
      <c r="F643" s="104" t="s">
        <v>2008</v>
      </c>
      <c r="G643" s="110" t="s">
        <v>1395</v>
      </c>
      <c r="H643" s="390">
        <v>16.0</v>
      </c>
      <c r="I643" s="391" t="s">
        <v>2431</v>
      </c>
      <c r="J643" s="220" t="s">
        <v>2432</v>
      </c>
      <c r="K643" s="220" t="str">
        <f>_xlfn.XLOOKUP(J643,[1]Sheet1!$A:$A,[1]Sheet1!$B:$B,"")</f>
        <v>#ERROR!</v>
      </c>
      <c r="L643" s="103" t="s">
        <v>2433</v>
      </c>
      <c r="M643" s="103" t="s">
        <v>2434</v>
      </c>
      <c r="N643" s="110" t="s">
        <v>206</v>
      </c>
      <c r="O643" s="104" t="s">
        <v>147</v>
      </c>
      <c r="P643" s="110"/>
      <c r="Q643" s="104" t="s">
        <v>1989</v>
      </c>
      <c r="R643" s="110" t="s">
        <v>1955</v>
      </c>
      <c r="S643" s="110">
        <v>2.0</v>
      </c>
      <c r="T643" s="110" t="e">
        <v>#N/A</v>
      </c>
      <c r="U643" s="110">
        <v>8.5447E9</v>
      </c>
      <c r="V643" s="112">
        <v>0.0</v>
      </c>
      <c r="W643" s="113">
        <v>30.0</v>
      </c>
      <c r="X643" s="110">
        <v>45.0</v>
      </c>
      <c r="Y643" s="110">
        <v>55.0</v>
      </c>
      <c r="Z643" s="110" t="s">
        <v>1938</v>
      </c>
      <c r="AA643" s="114">
        <f t="shared" si="786"/>
        <v>1809.306692</v>
      </c>
      <c r="AB643" s="115"/>
      <c r="AC643" s="116">
        <f t="shared" si="772"/>
        <v>1678.197511</v>
      </c>
      <c r="AD643" s="117">
        <f t="shared" si="783"/>
        <v>1766.523696</v>
      </c>
      <c r="AE643" s="116"/>
      <c r="AF643" s="116" t="str">
        <f t="shared" si="94"/>
        <v>#REF!</v>
      </c>
      <c r="AG643" s="210" t="str">
        <f t="shared" si="95"/>
        <v>#REF!</v>
      </c>
      <c r="AH643" s="120" t="str">
        <f t="shared" si="96"/>
        <v>#REF!</v>
      </c>
      <c r="AI643" s="121">
        <f t="shared" si="497"/>
        <v>0.07</v>
      </c>
      <c r="AJ643" s="121">
        <v>0.07</v>
      </c>
      <c r="AK643" s="122">
        <v>0.33999999999999997</v>
      </c>
      <c r="AL643" s="123">
        <f t="shared" si="11"/>
        <v>570.5871538</v>
      </c>
      <c r="AM643" s="122" t="s">
        <v>10</v>
      </c>
      <c r="AN643" s="125">
        <f t="shared" si="774"/>
        <v>1678.197511</v>
      </c>
      <c r="AO643" s="112">
        <f t="shared" si="775"/>
        <v>0.34</v>
      </c>
      <c r="AP643" s="127"/>
      <c r="AQ643" s="128">
        <f t="shared" si="787"/>
        <v>1245.114283</v>
      </c>
      <c r="AR643" s="125">
        <f t="shared" si="776"/>
        <v>1190.978879</v>
      </c>
      <c r="AS643" s="126">
        <f t="shared" si="733"/>
        <v>0.311827957</v>
      </c>
      <c r="AT643" s="126">
        <f t="shared" si="777"/>
        <v>0.2903225806</v>
      </c>
      <c r="AU643" s="129"/>
      <c r="AV643" s="39" t="s">
        <v>2242</v>
      </c>
      <c r="AW643" s="130"/>
      <c r="AX643" s="130"/>
      <c r="AY643" s="130"/>
      <c r="AZ643" s="130"/>
      <c r="BA643" s="130"/>
      <c r="BB643" s="130"/>
      <c r="BC643" s="392">
        <v>1006.9185067247489</v>
      </c>
      <c r="BD643" s="132">
        <f t="shared" si="788"/>
        <v>1107.610357</v>
      </c>
      <c r="BE643" s="393"/>
      <c r="BF643" s="134"/>
      <c r="BG643" s="49"/>
      <c r="BH643" s="118">
        <f t="shared" si="714"/>
        <v>5593.991704</v>
      </c>
      <c r="BI643" s="118">
        <f t="shared" si="715"/>
        <v>3356.395022</v>
      </c>
      <c r="BJ643" s="118">
        <f t="shared" si="716"/>
        <v>2796.995852</v>
      </c>
      <c r="BK643" s="118">
        <f t="shared" si="717"/>
        <v>2237.596682</v>
      </c>
      <c r="BL643" s="49"/>
      <c r="BM643" s="49"/>
      <c r="BN643" s="394"/>
      <c r="BO643" s="49"/>
      <c r="BP643" s="49"/>
      <c r="BQ643" s="49"/>
      <c r="BR643" s="49"/>
      <c r="BS643" s="49"/>
      <c r="BT643" s="49"/>
      <c r="BU643" s="49"/>
      <c r="BV643" s="49"/>
      <c r="BW643" s="49"/>
      <c r="BX643" s="49"/>
      <c r="BY643" s="49"/>
      <c r="BZ643" s="49"/>
      <c r="CA643" s="49"/>
      <c r="CB643" s="49"/>
      <c r="CC643" s="49"/>
      <c r="CD643" s="49"/>
      <c r="CE643" s="49"/>
      <c r="CF643" s="49"/>
    </row>
    <row r="644" ht="14.25" customHeight="1">
      <c r="A644" s="103" t="s">
        <v>84</v>
      </c>
      <c r="B644" s="103" t="s">
        <v>120</v>
      </c>
      <c r="C644" s="103" t="s">
        <v>120</v>
      </c>
      <c r="D644" s="103" t="s">
        <v>1266</v>
      </c>
      <c r="E644" s="103" t="s">
        <v>1948</v>
      </c>
      <c r="F644" s="104" t="s">
        <v>2008</v>
      </c>
      <c r="G644" s="110" t="s">
        <v>1395</v>
      </c>
      <c r="H644" s="390">
        <v>20.0</v>
      </c>
      <c r="I644" s="391" t="s">
        <v>2435</v>
      </c>
      <c r="J644" s="220" t="s">
        <v>2436</v>
      </c>
      <c r="K644" s="220" t="str">
        <f>_xlfn.XLOOKUP(J644,[1]Sheet1!$A:$A,[1]Sheet1!$B:$B,"")</f>
        <v>#ERROR!</v>
      </c>
      <c r="L644" s="103" t="s">
        <v>2437</v>
      </c>
      <c r="M644" s="103" t="s">
        <v>2438</v>
      </c>
      <c r="N644" s="110" t="s">
        <v>206</v>
      </c>
      <c r="O644" s="104" t="s">
        <v>147</v>
      </c>
      <c r="P644" s="110"/>
      <c r="Q644" s="104" t="s">
        <v>1989</v>
      </c>
      <c r="R644" s="110" t="s">
        <v>1955</v>
      </c>
      <c r="S644" s="110">
        <v>2.0</v>
      </c>
      <c r="T644" s="110" t="e">
        <v>#N/A</v>
      </c>
      <c r="U644" s="110">
        <v>8.5447E9</v>
      </c>
      <c r="V644" s="112">
        <v>0.0</v>
      </c>
      <c r="W644" s="113">
        <v>30.0</v>
      </c>
      <c r="X644" s="110">
        <v>45.0</v>
      </c>
      <c r="Y644" s="110">
        <v>55.0</v>
      </c>
      <c r="Z644" s="110" t="s">
        <v>1938</v>
      </c>
      <c r="AA644" s="114">
        <f t="shared" si="786"/>
        <v>2191.076873</v>
      </c>
      <c r="AB644" s="115"/>
      <c r="AC644" s="116">
        <f t="shared" si="772"/>
        <v>2032.303186</v>
      </c>
      <c r="AD644" s="117">
        <f t="shared" si="783"/>
        <v>2139.266512</v>
      </c>
      <c r="AE644" s="116"/>
      <c r="AF644" s="116" t="str">
        <f t="shared" si="94"/>
        <v>#REF!</v>
      </c>
      <c r="AG644" s="210" t="str">
        <f t="shared" si="95"/>
        <v>#REF!</v>
      </c>
      <c r="AH644" s="120" t="str">
        <f t="shared" si="96"/>
        <v>#REF!</v>
      </c>
      <c r="AI644" s="121">
        <f t="shared" si="497"/>
        <v>0.07</v>
      </c>
      <c r="AJ644" s="121">
        <v>0.07</v>
      </c>
      <c r="AK644" s="122">
        <v>0.33999999999999997</v>
      </c>
      <c r="AL644" s="123">
        <f t="shared" si="11"/>
        <v>690.9830834</v>
      </c>
      <c r="AM644" s="122" t="s">
        <v>10</v>
      </c>
      <c r="AN644" s="125">
        <f t="shared" si="774"/>
        <v>2032.303186</v>
      </c>
      <c r="AO644" s="112">
        <f t="shared" si="775"/>
        <v>0.34</v>
      </c>
      <c r="AP644" s="127"/>
      <c r="AQ644" s="128">
        <f t="shared" si="787"/>
        <v>1507.837848</v>
      </c>
      <c r="AR644" s="125">
        <f t="shared" si="776"/>
        <v>1442.279681</v>
      </c>
      <c r="AS644" s="126">
        <f t="shared" si="733"/>
        <v>0.311827957</v>
      </c>
      <c r="AT644" s="126">
        <f t="shared" si="777"/>
        <v>0.2903225806</v>
      </c>
      <c r="AU644" s="129"/>
      <c r="AV644" s="39" t="s">
        <v>2242</v>
      </c>
      <c r="AW644" s="130"/>
      <c r="AX644" s="130"/>
      <c r="AY644" s="130"/>
      <c r="AZ644" s="130"/>
      <c r="BA644" s="130"/>
      <c r="BB644" s="130"/>
      <c r="BC644" s="392">
        <v>1219.381911851025</v>
      </c>
      <c r="BD644" s="132">
        <f t="shared" si="788"/>
        <v>1341.320103</v>
      </c>
      <c r="BE644" s="393"/>
      <c r="BF644" s="134"/>
      <c r="BG644" s="49"/>
      <c r="BH644" s="118">
        <f t="shared" si="714"/>
        <v>6774.343955</v>
      </c>
      <c r="BI644" s="118">
        <f t="shared" si="715"/>
        <v>4064.606373</v>
      </c>
      <c r="BJ644" s="118">
        <f t="shared" si="716"/>
        <v>3387.171977</v>
      </c>
      <c r="BK644" s="118">
        <f t="shared" si="717"/>
        <v>2709.737582</v>
      </c>
      <c r="BL644" s="49"/>
      <c r="BM644" s="49"/>
      <c r="BN644" s="394"/>
      <c r="BO644" s="49"/>
      <c r="BP644" s="49"/>
      <c r="BQ644" s="49"/>
      <c r="BR644" s="49"/>
      <c r="BS644" s="49"/>
      <c r="BT644" s="49"/>
      <c r="BU644" s="49"/>
      <c r="BV644" s="49"/>
      <c r="BW644" s="49"/>
      <c r="BX644" s="49"/>
      <c r="BY644" s="49"/>
      <c r="BZ644" s="49"/>
      <c r="CA644" s="49"/>
      <c r="CB644" s="49"/>
      <c r="CC644" s="49"/>
      <c r="CD644" s="49"/>
      <c r="CE644" s="49"/>
      <c r="CF644" s="49"/>
    </row>
    <row r="645" ht="14.25" customHeight="1">
      <c r="A645" s="103" t="s">
        <v>84</v>
      </c>
      <c r="B645" s="103" t="s">
        <v>120</v>
      </c>
      <c r="C645" s="103" t="s">
        <v>120</v>
      </c>
      <c r="D645" s="103" t="s">
        <v>1266</v>
      </c>
      <c r="E645" s="103" t="s">
        <v>1948</v>
      </c>
      <c r="F645" s="104" t="s">
        <v>2008</v>
      </c>
      <c r="G645" s="110" t="s">
        <v>1395</v>
      </c>
      <c r="H645" s="390" t="s">
        <v>1967</v>
      </c>
      <c r="I645" s="391" t="s">
        <v>2439</v>
      </c>
      <c r="J645" s="220" t="s">
        <v>2440</v>
      </c>
      <c r="K645" s="220" t="str">
        <f>_xlfn.XLOOKUP(J645,[1]Sheet1!$A:$A,[1]Sheet1!$B:$B,"")</f>
        <v>#ERROR!</v>
      </c>
      <c r="L645" s="103" t="s">
        <v>2441</v>
      </c>
      <c r="M645" s="103" t="s">
        <v>2442</v>
      </c>
      <c r="N645" s="110" t="s">
        <v>206</v>
      </c>
      <c r="O645" s="104" t="s">
        <v>147</v>
      </c>
      <c r="P645" s="110"/>
      <c r="Q645" s="104" t="s">
        <v>1989</v>
      </c>
      <c r="R645" s="110" t="s">
        <v>1955</v>
      </c>
      <c r="S645" s="110">
        <v>2.0</v>
      </c>
      <c r="T645" s="110" t="e">
        <v>#N/A</v>
      </c>
      <c r="U645" s="110">
        <v>8.5447E9</v>
      </c>
      <c r="V645" s="112">
        <v>0.0</v>
      </c>
      <c r="W645" s="113">
        <v>30.0</v>
      </c>
      <c r="X645" s="110">
        <v>45.0</v>
      </c>
      <c r="Y645" s="110">
        <v>55.0</v>
      </c>
      <c r="Z645" s="110" t="s">
        <v>1938</v>
      </c>
      <c r="AA645" s="114">
        <f t="shared" si="786"/>
        <v>2559.604939</v>
      </c>
      <c r="AB645" s="115"/>
      <c r="AC645" s="116">
        <f t="shared" si="772"/>
        <v>2374.12632</v>
      </c>
      <c r="AD645" s="117">
        <f t="shared" si="783"/>
        <v>2499.080337</v>
      </c>
      <c r="AE645" s="116"/>
      <c r="AF645" s="116" t="str">
        <f t="shared" si="94"/>
        <v>#REF!</v>
      </c>
      <c r="AG645" s="210" t="str">
        <f t="shared" si="95"/>
        <v>#REF!</v>
      </c>
      <c r="AH645" s="120" t="str">
        <f t="shared" si="96"/>
        <v>#REF!</v>
      </c>
      <c r="AI645" s="121">
        <f t="shared" si="497"/>
        <v>0.07</v>
      </c>
      <c r="AJ645" s="121">
        <v>0.07</v>
      </c>
      <c r="AK645" s="122">
        <v>0.33999999999999997</v>
      </c>
      <c r="AL645" s="123">
        <f t="shared" si="11"/>
        <v>807.2029488</v>
      </c>
      <c r="AM645" s="122" t="s">
        <v>10</v>
      </c>
      <c r="AN645" s="125">
        <f t="shared" si="774"/>
        <v>2374.12632</v>
      </c>
      <c r="AO645" s="112">
        <f t="shared" si="775"/>
        <v>0.34</v>
      </c>
      <c r="AP645" s="127"/>
      <c r="AQ645" s="128">
        <f t="shared" si="787"/>
        <v>1761.44856</v>
      </c>
      <c r="AR645" s="125">
        <f t="shared" si="776"/>
        <v>1684.86384</v>
      </c>
      <c r="AS645" s="126">
        <f t="shared" si="733"/>
        <v>0.311827957</v>
      </c>
      <c r="AT645" s="126">
        <f t="shared" si="777"/>
        <v>0.2903225806</v>
      </c>
      <c r="AU645" s="129"/>
      <c r="AV645" s="39" t="s">
        <v>2242</v>
      </c>
      <c r="AW645" s="130"/>
      <c r="AX645" s="130"/>
      <c r="AY645" s="130"/>
      <c r="AZ645" s="130"/>
      <c r="BA645" s="130"/>
      <c r="BB645" s="130"/>
      <c r="BC645" s="392">
        <v>1424.475791928395</v>
      </c>
      <c r="BD645" s="132">
        <f t="shared" si="788"/>
        <v>1566.923371</v>
      </c>
      <c r="BE645" s="393"/>
      <c r="BF645" s="134"/>
      <c r="BG645" s="49"/>
      <c r="BH645" s="118">
        <f t="shared" si="714"/>
        <v>7913.7544</v>
      </c>
      <c r="BI645" s="118">
        <f t="shared" si="715"/>
        <v>4748.25264</v>
      </c>
      <c r="BJ645" s="118">
        <f t="shared" si="716"/>
        <v>3956.8772</v>
      </c>
      <c r="BK645" s="118">
        <f t="shared" si="717"/>
        <v>3165.50176</v>
      </c>
      <c r="BL645" s="49"/>
      <c r="BM645" s="49"/>
      <c r="BN645" s="394"/>
      <c r="BO645" s="49"/>
      <c r="BP645" s="49"/>
      <c r="BQ645" s="49"/>
      <c r="BR645" s="49"/>
      <c r="BS645" s="49"/>
      <c r="BT645" s="49"/>
      <c r="BU645" s="49"/>
      <c r="BV645" s="49"/>
      <c r="BW645" s="49"/>
      <c r="BX645" s="49"/>
      <c r="BY645" s="49"/>
      <c r="BZ645" s="49"/>
      <c r="CA645" s="49"/>
      <c r="CB645" s="49"/>
      <c r="CC645" s="49"/>
      <c r="CD645" s="49"/>
      <c r="CE645" s="49"/>
      <c r="CF645" s="49"/>
    </row>
    <row r="646" ht="14.25" customHeight="1">
      <c r="A646" s="103" t="s">
        <v>84</v>
      </c>
      <c r="B646" s="103" t="s">
        <v>85</v>
      </c>
      <c r="C646" s="103" t="s">
        <v>85</v>
      </c>
      <c r="D646" s="103" t="s">
        <v>1266</v>
      </c>
      <c r="E646" s="103" t="s">
        <v>1948</v>
      </c>
      <c r="F646" s="104" t="s">
        <v>1949</v>
      </c>
      <c r="G646" s="110" t="s">
        <v>1395</v>
      </c>
      <c r="H646" s="390" t="s">
        <v>1950</v>
      </c>
      <c r="I646" s="391" t="s">
        <v>2443</v>
      </c>
      <c r="J646" s="220" t="s">
        <v>2055</v>
      </c>
      <c r="K646" s="220" t="str">
        <f>_xlfn.XLOOKUP(J646,[1]Sheet1!$A:$A,[1]Sheet1!$B:$B,"")</f>
        <v>#ERROR!</v>
      </c>
      <c r="L646" s="103" t="s">
        <v>2056</v>
      </c>
      <c r="M646" s="103" t="s">
        <v>2057</v>
      </c>
      <c r="N646" s="110" t="s">
        <v>106</v>
      </c>
      <c r="O646" s="104" t="s">
        <v>147</v>
      </c>
      <c r="P646" s="110"/>
      <c r="Q646" s="104" t="s">
        <v>1989</v>
      </c>
      <c r="R646" s="110" t="s">
        <v>1955</v>
      </c>
      <c r="S646" s="110">
        <v>2.0</v>
      </c>
      <c r="T646" s="110" t="e">
        <v>#N/A</v>
      </c>
      <c r="U646" s="110">
        <v>8.5447E9</v>
      </c>
      <c r="V646" s="112">
        <v>0.0</v>
      </c>
      <c r="W646" s="113">
        <v>30.0</v>
      </c>
      <c r="X646" s="110">
        <v>45.0</v>
      </c>
      <c r="Y646" s="110">
        <v>55.0</v>
      </c>
      <c r="Z646" s="110" t="s">
        <v>1938</v>
      </c>
      <c r="AA646" s="114">
        <f t="shared" si="786"/>
        <v>751.9230769</v>
      </c>
      <c r="AB646" s="115"/>
      <c r="AC646" s="116">
        <f t="shared" si="772"/>
        <v>697.761194</v>
      </c>
      <c r="AD646" s="117">
        <f t="shared" si="783"/>
        <v>734.4854674</v>
      </c>
      <c r="AE646" s="116"/>
      <c r="AF646" s="116" t="str">
        <f t="shared" si="94"/>
        <v>#REF!</v>
      </c>
      <c r="AG646" s="210" t="str">
        <f t="shared" si="95"/>
        <v>#REF!</v>
      </c>
      <c r="AH646" s="120" t="str">
        <f t="shared" si="96"/>
        <v>#REF!</v>
      </c>
      <c r="AI646" s="121">
        <f t="shared" si="497"/>
        <v>0.07</v>
      </c>
      <c r="AJ646" s="121">
        <v>0.07</v>
      </c>
      <c r="AK646" s="122">
        <v>0.33</v>
      </c>
      <c r="AL646" s="123">
        <f t="shared" si="11"/>
        <v>230.261194</v>
      </c>
      <c r="AM646" s="122" t="s">
        <v>10</v>
      </c>
      <c r="AN646" s="125">
        <f t="shared" si="774"/>
        <v>697.761194</v>
      </c>
      <c r="AO646" s="112">
        <f t="shared" si="775"/>
        <v>0.33</v>
      </c>
      <c r="AP646" s="127"/>
      <c r="AQ646" s="128">
        <f t="shared" si="787"/>
        <v>525.5376344</v>
      </c>
      <c r="AR646" s="125">
        <f t="shared" si="776"/>
        <v>502.688172</v>
      </c>
      <c r="AS646" s="126">
        <f t="shared" si="733"/>
        <v>0.3010752688</v>
      </c>
      <c r="AT646" s="126">
        <f t="shared" si="777"/>
        <v>0.2795698925</v>
      </c>
      <c r="AU646" s="129"/>
      <c r="AV646" s="39" t="s">
        <v>2242</v>
      </c>
      <c r="AW646" s="130"/>
      <c r="AX646" s="130"/>
      <c r="AY646" s="130"/>
      <c r="AZ646" s="130"/>
      <c r="BA646" s="130"/>
      <c r="BB646" s="130"/>
      <c r="BC646" s="392">
        <v>425.0</v>
      </c>
      <c r="BD646" s="132">
        <f t="shared" si="788"/>
        <v>467.5</v>
      </c>
      <c r="BE646" s="393"/>
      <c r="BF646" s="134"/>
      <c r="BG646" s="49"/>
      <c r="BH646" s="118">
        <f t="shared" si="714"/>
        <v>2325.870647</v>
      </c>
      <c r="BI646" s="118">
        <f t="shared" si="715"/>
        <v>1395.522388</v>
      </c>
      <c r="BJ646" s="118">
        <f t="shared" si="716"/>
        <v>1162.935323</v>
      </c>
      <c r="BK646" s="118">
        <f t="shared" si="717"/>
        <v>930.3482587</v>
      </c>
      <c r="BL646" s="49"/>
      <c r="BM646" s="49"/>
      <c r="BN646" s="394"/>
      <c r="BO646" s="49"/>
      <c r="BP646" s="49"/>
      <c r="BQ646" s="49"/>
      <c r="BR646" s="49"/>
      <c r="BS646" s="49"/>
      <c r="BT646" s="49"/>
      <c r="BU646" s="49"/>
      <c r="BV646" s="49"/>
      <c r="BW646" s="49"/>
      <c r="BX646" s="49"/>
      <c r="BY646" s="49"/>
      <c r="BZ646" s="49"/>
      <c r="CA646" s="49"/>
      <c r="CB646" s="49"/>
      <c r="CC646" s="49"/>
      <c r="CD646" s="49"/>
      <c r="CE646" s="49"/>
      <c r="CF646" s="49"/>
    </row>
    <row r="647" ht="14.25" customHeight="1">
      <c r="A647" s="103" t="s">
        <v>84</v>
      </c>
      <c r="B647" s="103" t="s">
        <v>85</v>
      </c>
      <c r="C647" s="103" t="s">
        <v>85</v>
      </c>
      <c r="D647" s="103" t="s">
        <v>1266</v>
      </c>
      <c r="E647" s="103" t="s">
        <v>1948</v>
      </c>
      <c r="F647" s="104" t="s">
        <v>1949</v>
      </c>
      <c r="G647" s="110" t="s">
        <v>1395</v>
      </c>
      <c r="H647" s="390" t="s">
        <v>1957</v>
      </c>
      <c r="I647" s="391" t="s">
        <v>2444</v>
      </c>
      <c r="J647" s="220" t="s">
        <v>2445</v>
      </c>
      <c r="K647" s="220" t="str">
        <f>_xlfn.XLOOKUP(J647,[1]Sheet1!$A:$A,[1]Sheet1!$B:$B,"")</f>
        <v>#ERROR!</v>
      </c>
      <c r="L647" s="103" t="s">
        <v>2060</v>
      </c>
      <c r="M647" s="103" t="s">
        <v>2061</v>
      </c>
      <c r="N647" s="110" t="s">
        <v>106</v>
      </c>
      <c r="O647" s="104" t="s">
        <v>147</v>
      </c>
      <c r="P647" s="110"/>
      <c r="Q647" s="104" t="s">
        <v>1989</v>
      </c>
      <c r="R647" s="110" t="s">
        <v>1955</v>
      </c>
      <c r="S647" s="110">
        <v>2.0</v>
      </c>
      <c r="T647" s="110" t="e">
        <v>#N/A</v>
      </c>
      <c r="U647" s="110">
        <v>8.5447E9</v>
      </c>
      <c r="V647" s="112">
        <v>0.0</v>
      </c>
      <c r="W647" s="113">
        <v>30.0</v>
      </c>
      <c r="X647" s="110">
        <v>45.0</v>
      </c>
      <c r="Y647" s="110">
        <v>55.0</v>
      </c>
      <c r="Z647" s="110" t="s">
        <v>1938</v>
      </c>
      <c r="AA647" s="114">
        <f t="shared" si="786"/>
        <v>928.8461538</v>
      </c>
      <c r="AB647" s="115"/>
      <c r="AC647" s="116">
        <f t="shared" si="772"/>
        <v>861.9402985</v>
      </c>
      <c r="AD647" s="117">
        <f t="shared" si="783"/>
        <v>907.3055774</v>
      </c>
      <c r="AE647" s="116"/>
      <c r="AF647" s="116" t="str">
        <f t="shared" si="94"/>
        <v>#REF!</v>
      </c>
      <c r="AG647" s="210" t="str">
        <f t="shared" si="95"/>
        <v>#REF!</v>
      </c>
      <c r="AH647" s="120" t="str">
        <f t="shared" si="96"/>
        <v>#REF!</v>
      </c>
      <c r="AI647" s="121">
        <f t="shared" si="497"/>
        <v>0.07</v>
      </c>
      <c r="AJ647" s="121">
        <v>0.07</v>
      </c>
      <c r="AK647" s="122">
        <v>0.33</v>
      </c>
      <c r="AL647" s="123">
        <f t="shared" si="11"/>
        <v>284.4402985</v>
      </c>
      <c r="AM647" s="122" t="s">
        <v>10</v>
      </c>
      <c r="AN647" s="125">
        <f t="shared" si="774"/>
        <v>861.9402985</v>
      </c>
      <c r="AO647" s="112">
        <f t="shared" si="775"/>
        <v>0.33</v>
      </c>
      <c r="AP647" s="127"/>
      <c r="AQ647" s="128">
        <f t="shared" si="787"/>
        <v>649.1935484</v>
      </c>
      <c r="AR647" s="125">
        <f t="shared" si="776"/>
        <v>620.9677419</v>
      </c>
      <c r="AS647" s="126">
        <f t="shared" si="733"/>
        <v>0.3010752688</v>
      </c>
      <c r="AT647" s="126">
        <f t="shared" si="777"/>
        <v>0.2795698925</v>
      </c>
      <c r="AU647" s="129"/>
      <c r="AV647" s="39" t="s">
        <v>2242</v>
      </c>
      <c r="AW647" s="130"/>
      <c r="AX647" s="130"/>
      <c r="AY647" s="130"/>
      <c r="AZ647" s="130"/>
      <c r="BA647" s="130"/>
      <c r="BB647" s="130"/>
      <c r="BC647" s="392">
        <v>525.0</v>
      </c>
      <c r="BD647" s="132">
        <f t="shared" si="788"/>
        <v>577.5</v>
      </c>
      <c r="BE647" s="393"/>
      <c r="BF647" s="134"/>
      <c r="BG647" s="49"/>
      <c r="BH647" s="118">
        <f t="shared" si="714"/>
        <v>2873.134328</v>
      </c>
      <c r="BI647" s="118">
        <f t="shared" si="715"/>
        <v>1723.880597</v>
      </c>
      <c r="BJ647" s="118">
        <f t="shared" si="716"/>
        <v>1436.567164</v>
      </c>
      <c r="BK647" s="118">
        <f t="shared" si="717"/>
        <v>1149.253731</v>
      </c>
      <c r="BL647" s="49"/>
      <c r="BM647" s="49"/>
      <c r="BN647" s="394"/>
      <c r="BO647" s="49"/>
      <c r="BP647" s="49"/>
      <c r="BQ647" s="49"/>
      <c r="BR647" s="49"/>
      <c r="BS647" s="49"/>
      <c r="BT647" s="49"/>
      <c r="BU647" s="49"/>
      <c r="BV647" s="49"/>
      <c r="BW647" s="49"/>
      <c r="BX647" s="49"/>
      <c r="BY647" s="49"/>
      <c r="BZ647" s="49"/>
      <c r="CA647" s="49"/>
      <c r="CB647" s="49"/>
      <c r="CC647" s="49"/>
      <c r="CD647" s="49"/>
      <c r="CE647" s="49"/>
      <c r="CF647" s="49"/>
    </row>
    <row r="648" ht="14.25" customHeight="1">
      <c r="A648" s="103" t="s">
        <v>84</v>
      </c>
      <c r="B648" s="103" t="s">
        <v>85</v>
      </c>
      <c r="C648" s="103" t="s">
        <v>85</v>
      </c>
      <c r="D648" s="103" t="s">
        <v>1266</v>
      </c>
      <c r="E648" s="103" t="s">
        <v>1948</v>
      </c>
      <c r="F648" s="104" t="s">
        <v>1949</v>
      </c>
      <c r="G648" s="110" t="s">
        <v>1395</v>
      </c>
      <c r="H648" s="390" t="s">
        <v>1962</v>
      </c>
      <c r="I648" s="391" t="s">
        <v>2446</v>
      </c>
      <c r="J648" s="220" t="s">
        <v>2447</v>
      </c>
      <c r="K648" s="220" t="str">
        <f>_xlfn.XLOOKUP(J648,[1]Sheet1!$A:$A,[1]Sheet1!$B:$B,"")</f>
        <v>#ERROR!</v>
      </c>
      <c r="L648" s="103" t="s">
        <v>2064</v>
      </c>
      <c r="M648" s="103" t="s">
        <v>2065</v>
      </c>
      <c r="N648" s="110" t="s">
        <v>106</v>
      </c>
      <c r="O648" s="104" t="s">
        <v>147</v>
      </c>
      <c r="P648" s="110"/>
      <c r="Q648" s="104" t="s">
        <v>1989</v>
      </c>
      <c r="R648" s="110" t="s">
        <v>1955</v>
      </c>
      <c r="S648" s="110">
        <v>2.0</v>
      </c>
      <c r="T648" s="110" t="e">
        <v>#N/A</v>
      </c>
      <c r="U648" s="110">
        <v>8.5447E9</v>
      </c>
      <c r="V648" s="112">
        <v>0.0</v>
      </c>
      <c r="W648" s="113">
        <v>30.0</v>
      </c>
      <c r="X648" s="110">
        <v>45.0</v>
      </c>
      <c r="Y648" s="110">
        <v>55.0</v>
      </c>
      <c r="Z648" s="110" t="s">
        <v>1938</v>
      </c>
      <c r="AA648" s="114">
        <f t="shared" si="786"/>
        <v>1268.538462</v>
      </c>
      <c r="AB648" s="115"/>
      <c r="AC648" s="116">
        <f t="shared" si="772"/>
        <v>1177.164179</v>
      </c>
      <c r="AD648" s="117">
        <f t="shared" si="783"/>
        <v>1239.120189</v>
      </c>
      <c r="AE648" s="116"/>
      <c r="AF648" s="116" t="str">
        <f t="shared" si="94"/>
        <v>#REF!</v>
      </c>
      <c r="AG648" s="210" t="str">
        <f t="shared" si="95"/>
        <v>#REF!</v>
      </c>
      <c r="AH648" s="120" t="str">
        <f t="shared" si="96"/>
        <v>#REF!</v>
      </c>
      <c r="AI648" s="121">
        <f t="shared" si="497"/>
        <v>0.07</v>
      </c>
      <c r="AJ648" s="121">
        <v>0.07</v>
      </c>
      <c r="AK648" s="122">
        <v>0.33</v>
      </c>
      <c r="AL648" s="123">
        <f t="shared" si="11"/>
        <v>388.4641791</v>
      </c>
      <c r="AM648" s="122" t="s">
        <v>10</v>
      </c>
      <c r="AN648" s="125">
        <f t="shared" si="774"/>
        <v>1177.164179</v>
      </c>
      <c r="AO648" s="112">
        <f t="shared" si="775"/>
        <v>0.33</v>
      </c>
      <c r="AP648" s="127"/>
      <c r="AQ648" s="128">
        <f t="shared" si="787"/>
        <v>886.6129032</v>
      </c>
      <c r="AR648" s="125">
        <f t="shared" si="776"/>
        <v>848.0645161</v>
      </c>
      <c r="AS648" s="126">
        <f t="shared" si="733"/>
        <v>0.3010752688</v>
      </c>
      <c r="AT648" s="126">
        <f t="shared" si="777"/>
        <v>0.2795698925</v>
      </c>
      <c r="AU648" s="129"/>
      <c r="AV648" s="39" t="s">
        <v>2242</v>
      </c>
      <c r="AW648" s="130"/>
      <c r="AX648" s="130"/>
      <c r="AY648" s="130"/>
      <c r="AZ648" s="130"/>
      <c r="BA648" s="130"/>
      <c r="BB648" s="130"/>
      <c r="BC648" s="392">
        <v>717.0</v>
      </c>
      <c r="BD648" s="132">
        <f t="shared" si="788"/>
        <v>788.7</v>
      </c>
      <c r="BE648" s="393"/>
      <c r="BF648" s="134"/>
      <c r="BG648" s="49"/>
      <c r="BH648" s="118">
        <f t="shared" si="714"/>
        <v>3923.880597</v>
      </c>
      <c r="BI648" s="118">
        <f t="shared" si="715"/>
        <v>2354.328358</v>
      </c>
      <c r="BJ648" s="118">
        <f t="shared" si="716"/>
        <v>1961.940299</v>
      </c>
      <c r="BK648" s="118">
        <f t="shared" si="717"/>
        <v>1569.552239</v>
      </c>
      <c r="BL648" s="49"/>
      <c r="BM648" s="49"/>
      <c r="BN648" s="394"/>
      <c r="BO648" s="49"/>
      <c r="BP648" s="49"/>
      <c r="BQ648" s="49"/>
      <c r="BR648" s="49"/>
      <c r="BS648" s="49"/>
      <c r="BT648" s="49"/>
      <c r="BU648" s="49"/>
      <c r="BV648" s="49"/>
      <c r="BW648" s="49"/>
      <c r="BX648" s="49"/>
      <c r="BY648" s="49"/>
      <c r="BZ648" s="49"/>
      <c r="CA648" s="49"/>
      <c r="CB648" s="49"/>
      <c r="CC648" s="49"/>
      <c r="CD648" s="49"/>
      <c r="CE648" s="49"/>
      <c r="CF648" s="49"/>
    </row>
    <row r="649" ht="14.25" customHeight="1">
      <c r="A649" s="103" t="s">
        <v>84</v>
      </c>
      <c r="B649" s="103" t="s">
        <v>85</v>
      </c>
      <c r="C649" s="103" t="s">
        <v>85</v>
      </c>
      <c r="D649" s="103" t="s">
        <v>1266</v>
      </c>
      <c r="E649" s="103" t="s">
        <v>1948</v>
      </c>
      <c r="F649" s="104" t="s">
        <v>1949</v>
      </c>
      <c r="G649" s="110" t="s">
        <v>1395</v>
      </c>
      <c r="H649" s="390" t="s">
        <v>1967</v>
      </c>
      <c r="I649" s="391" t="s">
        <v>2448</v>
      </c>
      <c r="J649" s="220" t="s">
        <v>2449</v>
      </c>
      <c r="K649" s="220" t="str">
        <f>_xlfn.XLOOKUP(J649,[1]Sheet1!$A:$A,[1]Sheet1!$B:$B,"")</f>
        <v>#ERROR!</v>
      </c>
      <c r="L649" s="103" t="s">
        <v>2068</v>
      </c>
      <c r="M649" s="103" t="s">
        <v>2069</v>
      </c>
      <c r="N649" s="110" t="s">
        <v>106</v>
      </c>
      <c r="O649" s="104" t="s">
        <v>147</v>
      </c>
      <c r="P649" s="110"/>
      <c r="Q649" s="104" t="s">
        <v>1989</v>
      </c>
      <c r="R649" s="110" t="s">
        <v>1955</v>
      </c>
      <c r="S649" s="110">
        <v>2.0</v>
      </c>
      <c r="T649" s="110" t="e">
        <v>#N/A</v>
      </c>
      <c r="U649" s="110">
        <v>8.5447E9</v>
      </c>
      <c r="V649" s="112">
        <v>0.0</v>
      </c>
      <c r="W649" s="113">
        <v>30.0</v>
      </c>
      <c r="X649" s="110">
        <v>45.0</v>
      </c>
      <c r="Y649" s="110">
        <v>55.0</v>
      </c>
      <c r="Z649" s="110" t="s">
        <v>1938</v>
      </c>
      <c r="AA649" s="114">
        <f t="shared" si="786"/>
        <v>2494.615385</v>
      </c>
      <c r="AB649" s="115"/>
      <c r="AC649" s="116">
        <f t="shared" si="772"/>
        <v>2314.925373</v>
      </c>
      <c r="AD649" s="117">
        <f t="shared" si="783"/>
        <v>2436.763551</v>
      </c>
      <c r="AE649" s="116"/>
      <c r="AF649" s="116" t="str">
        <f t="shared" si="94"/>
        <v>#REF!</v>
      </c>
      <c r="AG649" s="210" t="str">
        <f t="shared" si="95"/>
        <v>#REF!</v>
      </c>
      <c r="AH649" s="120" t="str">
        <f t="shared" si="96"/>
        <v>#REF!</v>
      </c>
      <c r="AI649" s="121">
        <f t="shared" si="497"/>
        <v>0.07</v>
      </c>
      <c r="AJ649" s="121">
        <v>0.07</v>
      </c>
      <c r="AK649" s="122">
        <v>0.33</v>
      </c>
      <c r="AL649" s="123">
        <f t="shared" si="11"/>
        <v>763.9253731</v>
      </c>
      <c r="AM649" s="122" t="s">
        <v>10</v>
      </c>
      <c r="AN649" s="125">
        <f t="shared" si="774"/>
        <v>2314.925373</v>
      </c>
      <c r="AO649" s="112">
        <f t="shared" si="775"/>
        <v>0.33</v>
      </c>
      <c r="AP649" s="127"/>
      <c r="AQ649" s="128">
        <f t="shared" si="787"/>
        <v>1743.548387</v>
      </c>
      <c r="AR649" s="125">
        <f t="shared" si="776"/>
        <v>1667.741935</v>
      </c>
      <c r="AS649" s="126">
        <f t="shared" si="733"/>
        <v>0.3010752688</v>
      </c>
      <c r="AT649" s="126">
        <f t="shared" si="777"/>
        <v>0.2795698925</v>
      </c>
      <c r="AU649" s="129"/>
      <c r="AV649" s="39" t="s">
        <v>2242</v>
      </c>
      <c r="AW649" s="130"/>
      <c r="AX649" s="130"/>
      <c r="AY649" s="130"/>
      <c r="AZ649" s="130"/>
      <c r="BA649" s="130"/>
      <c r="BB649" s="130"/>
      <c r="BC649" s="392">
        <v>1410.0</v>
      </c>
      <c r="BD649" s="132">
        <f t="shared" si="788"/>
        <v>1551</v>
      </c>
      <c r="BE649" s="393"/>
      <c r="BF649" s="134"/>
      <c r="BG649" s="49"/>
      <c r="BH649" s="118">
        <f t="shared" si="714"/>
        <v>7716.41791</v>
      </c>
      <c r="BI649" s="118">
        <f t="shared" si="715"/>
        <v>4629.850746</v>
      </c>
      <c r="BJ649" s="118">
        <f t="shared" si="716"/>
        <v>3858.208955</v>
      </c>
      <c r="BK649" s="118">
        <f t="shared" si="717"/>
        <v>3086.567164</v>
      </c>
      <c r="BL649" s="49"/>
      <c r="BM649" s="49"/>
      <c r="BN649" s="394"/>
      <c r="BO649" s="49"/>
      <c r="BP649" s="49"/>
      <c r="BQ649" s="49"/>
      <c r="BR649" s="49"/>
      <c r="BS649" s="49"/>
      <c r="BT649" s="49"/>
      <c r="BU649" s="49"/>
      <c r="BV649" s="49"/>
      <c r="BW649" s="49"/>
      <c r="BX649" s="49"/>
      <c r="BY649" s="49"/>
      <c r="BZ649" s="49"/>
      <c r="CA649" s="49"/>
      <c r="CB649" s="49"/>
      <c r="CC649" s="49"/>
      <c r="CD649" s="49"/>
      <c r="CE649" s="49"/>
      <c r="CF649" s="49"/>
    </row>
    <row r="650" ht="14.25" customHeight="1">
      <c r="A650" s="103" t="s">
        <v>84</v>
      </c>
      <c r="B650" s="103" t="s">
        <v>120</v>
      </c>
      <c r="C650" s="103" t="s">
        <v>120</v>
      </c>
      <c r="D650" s="103" t="s">
        <v>1266</v>
      </c>
      <c r="E650" s="103" t="s">
        <v>1948</v>
      </c>
      <c r="F650" s="104" t="s">
        <v>2008</v>
      </c>
      <c r="G650" s="110" t="s">
        <v>1395</v>
      </c>
      <c r="H650" s="390">
        <v>4.0</v>
      </c>
      <c r="I650" s="391" t="s">
        <v>2450</v>
      </c>
      <c r="J650" s="220" t="s">
        <v>2451</v>
      </c>
      <c r="K650" s="220" t="str">
        <f>_xlfn.XLOOKUP(J650,[1]Sheet1!$A:$A,[1]Sheet1!$B:$B,"")</f>
        <v>#ERROR!</v>
      </c>
      <c r="L650" s="103" t="s">
        <v>2452</v>
      </c>
      <c r="M650" s="103" t="s">
        <v>2453</v>
      </c>
      <c r="N650" s="110" t="s">
        <v>201</v>
      </c>
      <c r="O650" s="104" t="s">
        <v>147</v>
      </c>
      <c r="P650" s="110"/>
      <c r="Q650" s="104" t="s">
        <v>1989</v>
      </c>
      <c r="R650" s="110" t="s">
        <v>1955</v>
      </c>
      <c r="S650" s="110">
        <v>2.0</v>
      </c>
      <c r="T650" s="110" t="e">
        <v>#N/A</v>
      </c>
      <c r="U650" s="110">
        <v>8.5447E9</v>
      </c>
      <c r="V650" s="112">
        <v>0.0</v>
      </c>
      <c r="W650" s="113">
        <v>30.0</v>
      </c>
      <c r="X650" s="110">
        <v>45.0</v>
      </c>
      <c r="Y650" s="110">
        <v>55.0</v>
      </c>
      <c r="Z650" s="110" t="s">
        <v>1938</v>
      </c>
      <c r="AA650" s="114">
        <f t="shared" si="786"/>
        <v>825.4032258</v>
      </c>
      <c r="AB650" s="115"/>
      <c r="AC650" s="116">
        <f t="shared" si="772"/>
        <v>764.84375</v>
      </c>
      <c r="AD650" s="117">
        <f t="shared" si="783"/>
        <v>805.0986842</v>
      </c>
      <c r="AE650" s="116"/>
      <c r="AF650" s="116" t="str">
        <f t="shared" si="94"/>
        <v>#REF!</v>
      </c>
      <c r="AG650" s="210" t="str">
        <f t="shared" si="95"/>
        <v>#REF!</v>
      </c>
      <c r="AH650" s="120" t="str">
        <f t="shared" si="96"/>
        <v>#REF!</v>
      </c>
      <c r="AI650" s="121">
        <f t="shared" si="497"/>
        <v>0.07</v>
      </c>
      <c r="AJ650" s="121">
        <v>0.07</v>
      </c>
      <c r="AK650" s="122">
        <v>0.36</v>
      </c>
      <c r="AL650" s="123">
        <f t="shared" si="11"/>
        <v>275.34375</v>
      </c>
      <c r="AM650" s="122" t="s">
        <v>10</v>
      </c>
      <c r="AN650" s="125">
        <f t="shared" si="774"/>
        <v>764.84375</v>
      </c>
      <c r="AO650" s="112">
        <f t="shared" si="775"/>
        <v>0.36</v>
      </c>
      <c r="AP650" s="127"/>
      <c r="AQ650" s="128">
        <f t="shared" si="787"/>
        <v>550.2688172</v>
      </c>
      <c r="AR650" s="125">
        <f t="shared" si="776"/>
        <v>526.344086</v>
      </c>
      <c r="AS650" s="126">
        <f t="shared" si="733"/>
        <v>0.3333333333</v>
      </c>
      <c r="AT650" s="126">
        <f t="shared" si="777"/>
        <v>0.311827957</v>
      </c>
      <c r="AU650" s="129"/>
      <c r="AV650" s="39" t="s">
        <v>2242</v>
      </c>
      <c r="AW650" s="130"/>
      <c r="AX650" s="130"/>
      <c r="AY650" s="130"/>
      <c r="AZ650" s="130"/>
      <c r="BA650" s="130"/>
      <c r="BB650" s="130"/>
      <c r="BC650" s="392">
        <v>445.0</v>
      </c>
      <c r="BD650" s="132">
        <f t="shared" si="788"/>
        <v>489.5</v>
      </c>
      <c r="BE650" s="49"/>
      <c r="BF650" s="49"/>
      <c r="BG650" s="49"/>
      <c r="BH650" s="118">
        <f t="shared" si="714"/>
        <v>2549.479167</v>
      </c>
      <c r="BI650" s="118">
        <f t="shared" si="715"/>
        <v>1529.6875</v>
      </c>
      <c r="BJ650" s="118">
        <f t="shared" si="716"/>
        <v>1274.739583</v>
      </c>
      <c r="BK650" s="118">
        <f t="shared" si="717"/>
        <v>1019.791667</v>
      </c>
      <c r="BL650" s="49"/>
      <c r="BM650" s="49"/>
      <c r="BN650" s="394"/>
      <c r="BO650" s="49"/>
      <c r="BP650" s="49"/>
      <c r="BQ650" s="49"/>
      <c r="BR650" s="49"/>
      <c r="BS650" s="49"/>
      <c r="BT650" s="49"/>
      <c r="BU650" s="49"/>
      <c r="BV650" s="49"/>
      <c r="BW650" s="49"/>
      <c r="BX650" s="49"/>
      <c r="BY650" s="49"/>
      <c r="BZ650" s="49"/>
      <c r="CA650" s="49"/>
      <c r="CB650" s="49"/>
      <c r="CC650" s="49"/>
      <c r="CD650" s="49"/>
      <c r="CE650" s="49"/>
      <c r="CF650" s="49"/>
    </row>
    <row r="651" ht="14.25" customHeight="1">
      <c r="A651" s="103" t="s">
        <v>84</v>
      </c>
      <c r="B651" s="103" t="s">
        <v>120</v>
      </c>
      <c r="C651" s="103" t="s">
        <v>120</v>
      </c>
      <c r="D651" s="103" t="s">
        <v>1266</v>
      </c>
      <c r="E651" s="103" t="s">
        <v>1948</v>
      </c>
      <c r="F651" s="104" t="s">
        <v>2008</v>
      </c>
      <c r="G651" s="110" t="s">
        <v>1395</v>
      </c>
      <c r="H651" s="390">
        <v>8.0</v>
      </c>
      <c r="I651" s="391" t="s">
        <v>2454</v>
      </c>
      <c r="J651" s="220" t="s">
        <v>2455</v>
      </c>
      <c r="K651" s="220" t="str">
        <f>_xlfn.XLOOKUP(J651,[1]Sheet1!$A:$A,[1]Sheet1!$B:$B,"")</f>
        <v>#ERROR!</v>
      </c>
      <c r="L651" s="103" t="s">
        <v>2456</v>
      </c>
      <c r="M651" s="103" t="s">
        <v>2457</v>
      </c>
      <c r="N651" s="110" t="s">
        <v>201</v>
      </c>
      <c r="O651" s="104" t="s">
        <v>147</v>
      </c>
      <c r="P651" s="110"/>
      <c r="Q651" s="104" t="s">
        <v>1989</v>
      </c>
      <c r="R651" s="110" t="s">
        <v>1955</v>
      </c>
      <c r="S651" s="110">
        <v>2.0</v>
      </c>
      <c r="T651" s="110" t="e">
        <v>#N/A</v>
      </c>
      <c r="U651" s="110">
        <v>8.5447E9</v>
      </c>
      <c r="V651" s="112">
        <v>0.0</v>
      </c>
      <c r="W651" s="113">
        <v>30.0</v>
      </c>
      <c r="X651" s="110">
        <v>45.0</v>
      </c>
      <c r="Y651" s="110">
        <v>55.0</v>
      </c>
      <c r="Z651" s="110" t="s">
        <v>1938</v>
      </c>
      <c r="AA651" s="114">
        <f t="shared" si="786"/>
        <v>1196.370968</v>
      </c>
      <c r="AB651" s="115"/>
      <c r="AC651" s="116">
        <f t="shared" si="772"/>
        <v>1108.59375</v>
      </c>
      <c r="AD651" s="117">
        <f t="shared" si="783"/>
        <v>1166.940789</v>
      </c>
      <c r="AE651" s="116"/>
      <c r="AF651" s="116" t="str">
        <f t="shared" si="94"/>
        <v>#REF!</v>
      </c>
      <c r="AG651" s="210" t="str">
        <f t="shared" si="95"/>
        <v>#REF!</v>
      </c>
      <c r="AH651" s="120" t="str">
        <f t="shared" si="96"/>
        <v>#REF!</v>
      </c>
      <c r="AI651" s="121">
        <f t="shared" si="497"/>
        <v>0.07</v>
      </c>
      <c r="AJ651" s="121">
        <v>0.07</v>
      </c>
      <c r="AK651" s="122">
        <v>0.36</v>
      </c>
      <c r="AL651" s="123">
        <f t="shared" si="11"/>
        <v>399.09375</v>
      </c>
      <c r="AM651" s="122" t="s">
        <v>10</v>
      </c>
      <c r="AN651" s="125">
        <f t="shared" si="774"/>
        <v>1108.59375</v>
      </c>
      <c r="AO651" s="112">
        <f t="shared" si="775"/>
        <v>0.36</v>
      </c>
      <c r="AP651" s="127"/>
      <c r="AQ651" s="128">
        <f t="shared" si="787"/>
        <v>797.5806452</v>
      </c>
      <c r="AR651" s="125">
        <f t="shared" si="776"/>
        <v>762.9032258</v>
      </c>
      <c r="AS651" s="126">
        <f t="shared" si="733"/>
        <v>0.3333333333</v>
      </c>
      <c r="AT651" s="126">
        <f t="shared" si="777"/>
        <v>0.311827957</v>
      </c>
      <c r="AU651" s="129"/>
      <c r="AV651" s="39" t="s">
        <v>2242</v>
      </c>
      <c r="AW651" s="130"/>
      <c r="AX651" s="130"/>
      <c r="AY651" s="130"/>
      <c r="AZ651" s="130"/>
      <c r="BA651" s="130"/>
      <c r="BB651" s="130"/>
      <c r="BC651" s="392">
        <v>645.0</v>
      </c>
      <c r="BD651" s="132">
        <f t="shared" si="788"/>
        <v>709.5</v>
      </c>
      <c r="BE651" s="49"/>
      <c r="BF651" s="49"/>
      <c r="BG651" s="49"/>
      <c r="BH651" s="118">
        <f t="shared" si="714"/>
        <v>3695.3125</v>
      </c>
      <c r="BI651" s="118">
        <f t="shared" si="715"/>
        <v>2217.1875</v>
      </c>
      <c r="BJ651" s="118">
        <f t="shared" si="716"/>
        <v>1847.65625</v>
      </c>
      <c r="BK651" s="118">
        <f t="shared" si="717"/>
        <v>1478.125</v>
      </c>
      <c r="BL651" s="49"/>
      <c r="BM651" s="49"/>
      <c r="BN651" s="394"/>
      <c r="BO651" s="49"/>
      <c r="BP651" s="49"/>
      <c r="BQ651" s="49"/>
      <c r="BR651" s="49"/>
      <c r="BS651" s="49"/>
      <c r="BT651" s="49"/>
      <c r="BU651" s="49"/>
      <c r="BV651" s="49"/>
      <c r="BW651" s="49"/>
      <c r="BX651" s="49"/>
      <c r="BY651" s="49"/>
      <c r="BZ651" s="49"/>
      <c r="CA651" s="49"/>
      <c r="CB651" s="49"/>
      <c r="CC651" s="49"/>
      <c r="CD651" s="49"/>
      <c r="CE651" s="49"/>
      <c r="CF651" s="49"/>
    </row>
    <row r="652" ht="14.25" customHeight="1">
      <c r="A652" s="103" t="s">
        <v>84</v>
      </c>
      <c r="B652" s="103" t="s">
        <v>120</v>
      </c>
      <c r="C652" s="103" t="s">
        <v>120</v>
      </c>
      <c r="D652" s="103" t="s">
        <v>1266</v>
      </c>
      <c r="E652" s="103" t="s">
        <v>1948</v>
      </c>
      <c r="F652" s="104" t="s">
        <v>2008</v>
      </c>
      <c r="G652" s="110" t="s">
        <v>1395</v>
      </c>
      <c r="H652" s="390" t="s">
        <v>1962</v>
      </c>
      <c r="I652" s="391" t="s">
        <v>2458</v>
      </c>
      <c r="J652" s="220" t="s">
        <v>2459</v>
      </c>
      <c r="K652" s="220" t="str">
        <f>_xlfn.XLOOKUP(J652,[1]Sheet1!$A:$A,[1]Sheet1!$B:$B,"")</f>
        <v>#ERROR!</v>
      </c>
      <c r="L652" s="103" t="s">
        <v>2460</v>
      </c>
      <c r="M652" s="103" t="s">
        <v>2461</v>
      </c>
      <c r="N652" s="110" t="s">
        <v>201</v>
      </c>
      <c r="O652" s="104" t="s">
        <v>147</v>
      </c>
      <c r="P652" s="110"/>
      <c r="Q652" s="104" t="s">
        <v>1989</v>
      </c>
      <c r="R652" s="110" t="s">
        <v>1955</v>
      </c>
      <c r="S652" s="110">
        <v>2.0</v>
      </c>
      <c r="T652" s="110" t="e">
        <v>#N/A</v>
      </c>
      <c r="U652" s="110">
        <v>8.5447E9</v>
      </c>
      <c r="V652" s="112">
        <v>0.0</v>
      </c>
      <c r="W652" s="113">
        <v>30.0</v>
      </c>
      <c r="X652" s="110">
        <v>45.0</v>
      </c>
      <c r="Y652" s="110">
        <v>55.0</v>
      </c>
      <c r="Z652" s="110" t="s">
        <v>1938</v>
      </c>
      <c r="AA652" s="114">
        <f t="shared" si="786"/>
        <v>1595.16129</v>
      </c>
      <c r="AB652" s="115"/>
      <c r="AC652" s="116">
        <f t="shared" si="772"/>
        <v>1478.125</v>
      </c>
      <c r="AD652" s="117">
        <f t="shared" si="783"/>
        <v>1555.921053</v>
      </c>
      <c r="AE652" s="116"/>
      <c r="AF652" s="116" t="str">
        <f t="shared" si="94"/>
        <v>#REF!</v>
      </c>
      <c r="AG652" s="210" t="str">
        <f t="shared" si="95"/>
        <v>#REF!</v>
      </c>
      <c r="AH652" s="120" t="str">
        <f t="shared" si="96"/>
        <v>#REF!</v>
      </c>
      <c r="AI652" s="121">
        <f t="shared" si="497"/>
        <v>0.07</v>
      </c>
      <c r="AJ652" s="121">
        <v>0.07</v>
      </c>
      <c r="AK652" s="122">
        <v>0.36</v>
      </c>
      <c r="AL652" s="123">
        <f t="shared" si="11"/>
        <v>532.125</v>
      </c>
      <c r="AM652" s="122" t="s">
        <v>10</v>
      </c>
      <c r="AN652" s="125">
        <f t="shared" si="774"/>
        <v>1478.125</v>
      </c>
      <c r="AO652" s="112">
        <f t="shared" si="775"/>
        <v>0.36</v>
      </c>
      <c r="AP652" s="127"/>
      <c r="AQ652" s="128">
        <f t="shared" si="787"/>
        <v>1063.44086</v>
      </c>
      <c r="AR652" s="125">
        <f t="shared" si="776"/>
        <v>1017.204301</v>
      </c>
      <c r="AS652" s="126">
        <f t="shared" si="733"/>
        <v>0.3333333333</v>
      </c>
      <c r="AT652" s="126">
        <f t="shared" si="777"/>
        <v>0.311827957</v>
      </c>
      <c r="AU652" s="129"/>
      <c r="AV652" s="39" t="s">
        <v>2242</v>
      </c>
      <c r="AW652" s="130"/>
      <c r="AX652" s="130"/>
      <c r="AY652" s="130"/>
      <c r="AZ652" s="130"/>
      <c r="BA652" s="130"/>
      <c r="BB652" s="130"/>
      <c r="BC652" s="392">
        <v>860.0</v>
      </c>
      <c r="BD652" s="132">
        <f t="shared" si="788"/>
        <v>946</v>
      </c>
      <c r="BE652" s="49"/>
      <c r="BF652" s="49"/>
      <c r="BG652" s="49"/>
      <c r="BH652" s="118">
        <f t="shared" si="714"/>
        <v>4927.083333</v>
      </c>
      <c r="BI652" s="118">
        <f t="shared" si="715"/>
        <v>2956.25</v>
      </c>
      <c r="BJ652" s="118">
        <f t="shared" si="716"/>
        <v>2463.541667</v>
      </c>
      <c r="BK652" s="118">
        <f t="shared" si="717"/>
        <v>1970.833333</v>
      </c>
      <c r="BL652" s="49"/>
      <c r="BM652" s="49"/>
      <c r="BN652" s="394"/>
      <c r="BO652" s="49"/>
      <c r="BP652" s="49"/>
      <c r="BQ652" s="49"/>
      <c r="BR652" s="49"/>
      <c r="BS652" s="49"/>
      <c r="BT652" s="49"/>
      <c r="BU652" s="49"/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</row>
    <row r="653" ht="14.25" customHeight="1">
      <c r="A653" s="103" t="s">
        <v>84</v>
      </c>
      <c r="B653" s="103" t="s">
        <v>120</v>
      </c>
      <c r="C653" s="103" t="s">
        <v>120</v>
      </c>
      <c r="D653" s="103" t="s">
        <v>1266</v>
      </c>
      <c r="E653" s="103" t="s">
        <v>1948</v>
      </c>
      <c r="F653" s="104" t="s">
        <v>2008</v>
      </c>
      <c r="G653" s="110" t="s">
        <v>1395</v>
      </c>
      <c r="H653" s="390" t="s">
        <v>1967</v>
      </c>
      <c r="I653" s="391" t="s">
        <v>2462</v>
      </c>
      <c r="J653" s="220" t="s">
        <v>2463</v>
      </c>
      <c r="K653" s="220" t="str">
        <f>_xlfn.XLOOKUP(J653,[1]Sheet1!$A:$A,[1]Sheet1!$B:$B,"")</f>
        <v>#ERROR!</v>
      </c>
      <c r="L653" s="103" t="s">
        <v>2464</v>
      </c>
      <c r="M653" s="103" t="s">
        <v>2465</v>
      </c>
      <c r="N653" s="110" t="s">
        <v>201</v>
      </c>
      <c r="O653" s="104" t="s">
        <v>147</v>
      </c>
      <c r="P653" s="110"/>
      <c r="Q653" s="104" t="s">
        <v>1989</v>
      </c>
      <c r="R653" s="110" t="s">
        <v>1955</v>
      </c>
      <c r="S653" s="110">
        <v>2.0</v>
      </c>
      <c r="T653" s="110" t="e">
        <v>#N/A</v>
      </c>
      <c r="U653" s="110">
        <v>8.5447E9</v>
      </c>
      <c r="V653" s="112">
        <v>0.0</v>
      </c>
      <c r="W653" s="113">
        <v>30.0</v>
      </c>
      <c r="X653" s="110">
        <v>45.0</v>
      </c>
      <c r="Y653" s="110">
        <v>55.0</v>
      </c>
      <c r="Z653" s="110" t="s">
        <v>1938</v>
      </c>
      <c r="AA653" s="114">
        <f t="shared" si="786"/>
        <v>2921.370968</v>
      </c>
      <c r="AB653" s="115"/>
      <c r="AC653" s="116">
        <f t="shared" si="772"/>
        <v>2707.03125</v>
      </c>
      <c r="AD653" s="117">
        <f t="shared" si="783"/>
        <v>2849.506579</v>
      </c>
      <c r="AE653" s="116"/>
      <c r="AF653" s="116" t="str">
        <f t="shared" si="94"/>
        <v>#REF!</v>
      </c>
      <c r="AG653" s="210" t="str">
        <f t="shared" si="95"/>
        <v>#REF!</v>
      </c>
      <c r="AH653" s="120" t="str">
        <f t="shared" si="96"/>
        <v>#REF!</v>
      </c>
      <c r="AI653" s="121">
        <f t="shared" si="497"/>
        <v>0.07</v>
      </c>
      <c r="AJ653" s="121">
        <v>0.07</v>
      </c>
      <c r="AK653" s="122">
        <v>0.36</v>
      </c>
      <c r="AL653" s="123">
        <f t="shared" si="11"/>
        <v>974.53125</v>
      </c>
      <c r="AM653" s="122" t="s">
        <v>10</v>
      </c>
      <c r="AN653" s="125">
        <f t="shared" si="774"/>
        <v>2707.03125</v>
      </c>
      <c r="AO653" s="112">
        <f t="shared" si="775"/>
        <v>0.36</v>
      </c>
      <c r="AP653" s="127"/>
      <c r="AQ653" s="128">
        <f t="shared" si="787"/>
        <v>1947.580645</v>
      </c>
      <c r="AR653" s="125">
        <f t="shared" si="776"/>
        <v>1862.903226</v>
      </c>
      <c r="AS653" s="126">
        <f t="shared" si="733"/>
        <v>0.3333333333</v>
      </c>
      <c r="AT653" s="126">
        <f t="shared" si="777"/>
        <v>0.311827957</v>
      </c>
      <c r="AU653" s="129"/>
      <c r="AV653" s="39" t="s">
        <v>2242</v>
      </c>
      <c r="AW653" s="130"/>
      <c r="AX653" s="130"/>
      <c r="AY653" s="130"/>
      <c r="AZ653" s="130"/>
      <c r="BA653" s="130"/>
      <c r="BB653" s="130"/>
      <c r="BC653" s="392">
        <v>1575.0</v>
      </c>
      <c r="BD653" s="132">
        <f t="shared" si="788"/>
        <v>1732.5</v>
      </c>
      <c r="BE653" s="393"/>
      <c r="BF653" s="134"/>
      <c r="BG653" s="49"/>
      <c r="BH653" s="118">
        <f t="shared" si="714"/>
        <v>9023.4375</v>
      </c>
      <c r="BI653" s="118">
        <f t="shared" si="715"/>
        <v>5414.0625</v>
      </c>
      <c r="BJ653" s="118">
        <f t="shared" si="716"/>
        <v>4511.71875</v>
      </c>
      <c r="BK653" s="118">
        <f t="shared" si="717"/>
        <v>3609.375</v>
      </c>
      <c r="BL653" s="49"/>
      <c r="BM653" s="49"/>
      <c r="BN653" s="394"/>
      <c r="BO653" s="49"/>
      <c r="BP653" s="49"/>
      <c r="BQ653" s="49"/>
      <c r="BR653" s="49"/>
      <c r="BS653" s="49"/>
      <c r="BT653" s="49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</row>
    <row r="654" ht="14.25" customHeight="1">
      <c r="A654" s="103" t="s">
        <v>84</v>
      </c>
      <c r="B654" s="103" t="s">
        <v>85</v>
      </c>
      <c r="C654" s="103" t="s">
        <v>85</v>
      </c>
      <c r="D654" s="103" t="s">
        <v>1266</v>
      </c>
      <c r="E654" s="103" t="s">
        <v>1948</v>
      </c>
      <c r="F654" s="104" t="s">
        <v>2025</v>
      </c>
      <c r="G654" s="110" t="s">
        <v>1395</v>
      </c>
      <c r="H654" s="390" t="s">
        <v>1962</v>
      </c>
      <c r="I654" s="391" t="s">
        <v>2466</v>
      </c>
      <c r="J654" s="220" t="s">
        <v>2467</v>
      </c>
      <c r="K654" s="220" t="str">
        <f>_xlfn.XLOOKUP(J654,[1]Sheet1!$A:$A,[1]Sheet1!$B:$B,"")</f>
        <v>#ERROR!</v>
      </c>
      <c r="L654" s="149" t="s">
        <v>2468</v>
      </c>
      <c r="M654" s="149" t="s">
        <v>2469</v>
      </c>
      <c r="N654" s="110" t="s">
        <v>106</v>
      </c>
      <c r="O654" s="104" t="s">
        <v>147</v>
      </c>
      <c r="P654" s="110"/>
      <c r="Q654" s="104" t="s">
        <v>1989</v>
      </c>
      <c r="R654" s="110" t="s">
        <v>1955</v>
      </c>
      <c r="S654" s="110">
        <v>2.0</v>
      </c>
      <c r="T654" s="155" t="e">
        <v>#N/A</v>
      </c>
      <c r="U654" s="155">
        <v>8.5447E9</v>
      </c>
      <c r="V654" s="157">
        <v>0.0</v>
      </c>
      <c r="W654" s="158">
        <v>30.0</v>
      </c>
      <c r="X654" s="155">
        <v>45.0</v>
      </c>
      <c r="Y654" s="155">
        <v>55.0</v>
      </c>
      <c r="Z654" s="155" t="s">
        <v>1938</v>
      </c>
      <c r="AA654" s="114">
        <f t="shared" si="786"/>
        <v>2095.967742</v>
      </c>
      <c r="AB654" s="395"/>
      <c r="AC654" s="159">
        <f t="shared" si="772"/>
        <v>1942.1875</v>
      </c>
      <c r="AD654" s="117">
        <f t="shared" si="783"/>
        <v>2044.407895</v>
      </c>
      <c r="AE654" s="159"/>
      <c r="AF654" s="159" t="str">
        <f t="shared" si="94"/>
        <v>#REF!</v>
      </c>
      <c r="AG654" s="396" t="str">
        <f t="shared" si="95"/>
        <v>#REF!</v>
      </c>
      <c r="AH654" s="120" t="str">
        <f t="shared" si="96"/>
        <v>#REF!</v>
      </c>
      <c r="AI654" s="157">
        <f t="shared" si="497"/>
        <v>0.07</v>
      </c>
      <c r="AJ654" s="157">
        <v>0.07</v>
      </c>
      <c r="AK654" s="157">
        <v>0.36</v>
      </c>
      <c r="AL654" s="123">
        <f t="shared" si="11"/>
        <v>699.1875</v>
      </c>
      <c r="AM654" s="157" t="s">
        <v>10</v>
      </c>
      <c r="AN654" s="161">
        <f t="shared" si="774"/>
        <v>1942.1875</v>
      </c>
      <c r="AO654" s="157">
        <f t="shared" si="775"/>
        <v>0.36</v>
      </c>
      <c r="AP654" s="127"/>
      <c r="AQ654" s="163">
        <f t="shared" si="787"/>
        <v>1397.311828</v>
      </c>
      <c r="AR654" s="161">
        <f t="shared" si="776"/>
        <v>1336.55914</v>
      </c>
      <c r="AS654" s="162">
        <f t="shared" si="733"/>
        <v>0.3333333333</v>
      </c>
      <c r="AT654" s="162">
        <f t="shared" si="777"/>
        <v>0.311827957</v>
      </c>
      <c r="AU654" s="129"/>
      <c r="AV654" s="39" t="s">
        <v>2242</v>
      </c>
      <c r="AW654" s="130"/>
      <c r="AX654" s="130"/>
      <c r="AY654" s="130"/>
      <c r="AZ654" s="130"/>
      <c r="BA654" s="130"/>
      <c r="BB654" s="130"/>
      <c r="BC654" s="392">
        <v>1130.0</v>
      </c>
      <c r="BD654" s="132">
        <f t="shared" si="788"/>
        <v>1243</v>
      </c>
      <c r="BE654" s="393"/>
      <c r="BF654" s="134"/>
      <c r="BG654" s="49"/>
      <c r="BH654" s="118">
        <f t="shared" si="714"/>
        <v>6473.958333</v>
      </c>
      <c r="BI654" s="118">
        <f t="shared" si="715"/>
        <v>3884.375</v>
      </c>
      <c r="BJ654" s="118">
        <f t="shared" si="716"/>
        <v>3236.979167</v>
      </c>
      <c r="BK654" s="118">
        <f t="shared" si="717"/>
        <v>2589.583333</v>
      </c>
      <c r="BL654" s="49"/>
      <c r="BM654" s="49"/>
      <c r="BN654" s="394"/>
      <c r="BO654" s="49"/>
      <c r="BP654" s="49"/>
      <c r="BQ654" s="49"/>
      <c r="BR654" s="49"/>
      <c r="BS654" s="49"/>
      <c r="BT654" s="49"/>
      <c r="BU654" s="49"/>
      <c r="BV654" s="49"/>
      <c r="BW654" s="49"/>
      <c r="BX654" s="49"/>
      <c r="BY654" s="49"/>
      <c r="BZ654" s="49"/>
      <c r="CA654" s="49"/>
      <c r="CB654" s="49"/>
      <c r="CC654" s="49"/>
      <c r="CD654" s="49"/>
      <c r="CE654" s="49"/>
      <c r="CF654" s="49"/>
    </row>
    <row r="655" ht="14.25" customHeight="1">
      <c r="A655" s="103" t="s">
        <v>84</v>
      </c>
      <c r="B655" s="103" t="s">
        <v>85</v>
      </c>
      <c r="C655" s="103" t="s">
        <v>85</v>
      </c>
      <c r="D655" s="103" t="s">
        <v>1266</v>
      </c>
      <c r="E655" s="103" t="s">
        <v>1948</v>
      </c>
      <c r="F655" s="104" t="s">
        <v>2025</v>
      </c>
      <c r="G655" s="110" t="s">
        <v>1395</v>
      </c>
      <c r="H655" s="390" t="s">
        <v>1967</v>
      </c>
      <c r="I655" s="391" t="s">
        <v>2470</v>
      </c>
      <c r="J655" s="220" t="s">
        <v>2471</v>
      </c>
      <c r="K655" s="220" t="str">
        <f>_xlfn.XLOOKUP(J655,[1]Sheet1!$A:$A,[1]Sheet1!$B:$B,"")</f>
        <v>#ERROR!</v>
      </c>
      <c r="L655" s="149" t="s">
        <v>2472</v>
      </c>
      <c r="M655" s="149" t="s">
        <v>2473</v>
      </c>
      <c r="N655" s="110" t="s">
        <v>106</v>
      </c>
      <c r="O655" s="104" t="s">
        <v>147</v>
      </c>
      <c r="P655" s="110"/>
      <c r="Q655" s="104" t="s">
        <v>1989</v>
      </c>
      <c r="R655" s="110" t="s">
        <v>1955</v>
      </c>
      <c r="S655" s="110">
        <v>2.0</v>
      </c>
      <c r="T655" s="155" t="e">
        <v>#N/A</v>
      </c>
      <c r="U655" s="155">
        <v>8.5447E9</v>
      </c>
      <c r="V655" s="157">
        <v>0.0</v>
      </c>
      <c r="W655" s="158">
        <v>30.0</v>
      </c>
      <c r="X655" s="155">
        <v>45.0</v>
      </c>
      <c r="Y655" s="155">
        <v>55.0</v>
      </c>
      <c r="Z655" s="155" t="s">
        <v>1938</v>
      </c>
      <c r="AA655" s="114">
        <f t="shared" si="786"/>
        <v>3422.177419</v>
      </c>
      <c r="AB655" s="395"/>
      <c r="AC655" s="159">
        <f t="shared" si="772"/>
        <v>3171.09375</v>
      </c>
      <c r="AD655" s="117">
        <f t="shared" si="783"/>
        <v>3337.993421</v>
      </c>
      <c r="AE655" s="159"/>
      <c r="AF655" s="159" t="str">
        <f t="shared" si="94"/>
        <v>#REF!</v>
      </c>
      <c r="AG655" s="396" t="str">
        <f t="shared" si="95"/>
        <v>#REF!</v>
      </c>
      <c r="AH655" s="120" t="str">
        <f t="shared" si="96"/>
        <v>#REF!</v>
      </c>
      <c r="AI655" s="157">
        <f t="shared" si="497"/>
        <v>0.07</v>
      </c>
      <c r="AJ655" s="157">
        <v>0.07</v>
      </c>
      <c r="AK655" s="157">
        <v>0.36</v>
      </c>
      <c r="AL655" s="123">
        <f t="shared" si="11"/>
        <v>1141.59375</v>
      </c>
      <c r="AM655" s="157" t="s">
        <v>10</v>
      </c>
      <c r="AN655" s="161">
        <f t="shared" si="774"/>
        <v>3171.09375</v>
      </c>
      <c r="AO655" s="157">
        <f t="shared" si="775"/>
        <v>0.36</v>
      </c>
      <c r="AP655" s="127"/>
      <c r="AQ655" s="163">
        <f t="shared" si="787"/>
        <v>2281.451613</v>
      </c>
      <c r="AR655" s="161">
        <f t="shared" si="776"/>
        <v>2182.258065</v>
      </c>
      <c r="AS655" s="162">
        <f t="shared" si="733"/>
        <v>0.3333333333</v>
      </c>
      <c r="AT655" s="162">
        <f t="shared" si="777"/>
        <v>0.311827957</v>
      </c>
      <c r="AU655" s="129"/>
      <c r="AV655" s="39" t="s">
        <v>2242</v>
      </c>
      <c r="AW655" s="130"/>
      <c r="AX655" s="130"/>
      <c r="AY655" s="130"/>
      <c r="AZ655" s="130"/>
      <c r="BA655" s="130"/>
      <c r="BB655" s="130"/>
      <c r="BC655" s="392">
        <v>1845.0</v>
      </c>
      <c r="BD655" s="132">
        <f t="shared" si="788"/>
        <v>2029.5</v>
      </c>
      <c r="BE655" s="393"/>
      <c r="BF655" s="134"/>
      <c r="BG655" s="49"/>
      <c r="BH655" s="118">
        <f t="shared" si="714"/>
        <v>10570.3125</v>
      </c>
      <c r="BI655" s="118">
        <f t="shared" si="715"/>
        <v>6342.1875</v>
      </c>
      <c r="BJ655" s="118">
        <f t="shared" si="716"/>
        <v>5285.15625</v>
      </c>
      <c r="BK655" s="118">
        <f t="shared" si="717"/>
        <v>4228.125</v>
      </c>
      <c r="BL655" s="49"/>
      <c r="BM655" s="49"/>
      <c r="BN655" s="394"/>
      <c r="BO655" s="49"/>
      <c r="BP655" s="49"/>
      <c r="BQ655" s="49"/>
      <c r="BR655" s="49"/>
      <c r="BS655" s="49"/>
      <c r="BT655" s="49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</row>
    <row r="656" ht="14.25" customHeight="1">
      <c r="A656" s="103" t="s">
        <v>84</v>
      </c>
      <c r="B656" s="103" t="s">
        <v>85</v>
      </c>
      <c r="C656" s="103" t="s">
        <v>85</v>
      </c>
      <c r="D656" s="103" t="s">
        <v>1266</v>
      </c>
      <c r="E656" s="103" t="s">
        <v>1948</v>
      </c>
      <c r="F656" s="104" t="s">
        <v>2025</v>
      </c>
      <c r="G656" s="110" t="s">
        <v>1395</v>
      </c>
      <c r="H656" s="390" t="s">
        <v>2026</v>
      </c>
      <c r="I656" s="391" t="s">
        <v>2474</v>
      </c>
      <c r="J656" s="220" t="s">
        <v>2071</v>
      </c>
      <c r="K656" s="220" t="str">
        <f>_xlfn.XLOOKUP(J656,[1]Sheet1!$A:$A,[1]Sheet1!$B:$B,"")</f>
        <v>#ERROR!</v>
      </c>
      <c r="L656" s="103" t="s">
        <v>2072</v>
      </c>
      <c r="M656" s="103" t="s">
        <v>2073</v>
      </c>
      <c r="N656" s="110" t="s">
        <v>106</v>
      </c>
      <c r="O656" s="104" t="s">
        <v>147</v>
      </c>
      <c r="P656" s="110"/>
      <c r="Q656" s="104" t="s">
        <v>1989</v>
      </c>
      <c r="R656" s="110" t="s">
        <v>1955</v>
      </c>
      <c r="S656" s="110">
        <v>2.0</v>
      </c>
      <c r="T656" s="110" t="e">
        <v>#N/A</v>
      </c>
      <c r="U656" s="110">
        <v>8.5447E9</v>
      </c>
      <c r="V656" s="112">
        <v>0.0</v>
      </c>
      <c r="W656" s="113">
        <v>30.0</v>
      </c>
      <c r="X656" s="110">
        <v>45.0</v>
      </c>
      <c r="Y656" s="110">
        <v>55.0</v>
      </c>
      <c r="Z656" s="110" t="s">
        <v>1938</v>
      </c>
      <c r="AA656" s="114">
        <f t="shared" si="786"/>
        <v>5536.693548</v>
      </c>
      <c r="AB656" s="115"/>
      <c r="AC656" s="116">
        <f t="shared" si="772"/>
        <v>5130.46875</v>
      </c>
      <c r="AD656" s="117">
        <f t="shared" si="783"/>
        <v>5400.493421</v>
      </c>
      <c r="AE656" s="116"/>
      <c r="AF656" s="116" t="str">
        <f t="shared" si="94"/>
        <v>#REF!</v>
      </c>
      <c r="AG656" s="210" t="str">
        <f t="shared" si="95"/>
        <v>#REF!</v>
      </c>
      <c r="AH656" s="120" t="str">
        <f t="shared" si="96"/>
        <v>#REF!</v>
      </c>
      <c r="AI656" s="121">
        <f t="shared" si="497"/>
        <v>0.07</v>
      </c>
      <c r="AJ656" s="121">
        <v>0.07</v>
      </c>
      <c r="AK656" s="122">
        <v>0.36</v>
      </c>
      <c r="AL656" s="123">
        <f t="shared" si="11"/>
        <v>1846.96875</v>
      </c>
      <c r="AM656" s="122" t="s">
        <v>10</v>
      </c>
      <c r="AN656" s="125">
        <f t="shared" si="774"/>
        <v>5130.46875</v>
      </c>
      <c r="AO656" s="112">
        <f t="shared" si="775"/>
        <v>0.36</v>
      </c>
      <c r="AP656" s="127"/>
      <c r="AQ656" s="128">
        <f t="shared" si="787"/>
        <v>3691.129032</v>
      </c>
      <c r="AR656" s="125">
        <f t="shared" si="776"/>
        <v>3530.645161</v>
      </c>
      <c r="AS656" s="126">
        <f t="shared" si="733"/>
        <v>0.3333333333</v>
      </c>
      <c r="AT656" s="126">
        <f t="shared" si="777"/>
        <v>0.311827957</v>
      </c>
      <c r="AU656" s="129"/>
      <c r="AV656" s="39" t="s">
        <v>2242</v>
      </c>
      <c r="AW656" s="130"/>
      <c r="AX656" s="130"/>
      <c r="AY656" s="130"/>
      <c r="AZ656" s="130"/>
      <c r="BA656" s="130"/>
      <c r="BB656" s="130"/>
      <c r="BC656" s="392">
        <v>2985.0</v>
      </c>
      <c r="BD656" s="132">
        <f t="shared" si="788"/>
        <v>3283.5</v>
      </c>
      <c r="BE656" s="393"/>
      <c r="BF656" s="134"/>
      <c r="BG656" s="49"/>
      <c r="BH656" s="118">
        <f t="shared" si="714"/>
        <v>17101.5625</v>
      </c>
      <c r="BI656" s="118">
        <f t="shared" si="715"/>
        <v>10260.9375</v>
      </c>
      <c r="BJ656" s="118">
        <f t="shared" si="716"/>
        <v>8550.78125</v>
      </c>
      <c r="BK656" s="118">
        <f t="shared" si="717"/>
        <v>6840.625</v>
      </c>
      <c r="BL656" s="49"/>
      <c r="BM656" s="49"/>
      <c r="BN656" s="394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</row>
    <row r="657" ht="14.25" customHeight="1">
      <c r="A657" s="103" t="s">
        <v>84</v>
      </c>
      <c r="B657" s="103" t="s">
        <v>85</v>
      </c>
      <c r="C657" s="103" t="s">
        <v>85</v>
      </c>
      <c r="D657" s="103" t="s">
        <v>1266</v>
      </c>
      <c r="E657" s="103" t="s">
        <v>1948</v>
      </c>
      <c r="F657" s="104" t="s">
        <v>2025</v>
      </c>
      <c r="G657" s="110" t="s">
        <v>1395</v>
      </c>
      <c r="H657" s="390" t="s">
        <v>2333</v>
      </c>
      <c r="I657" s="391" t="s">
        <v>2475</v>
      </c>
      <c r="J657" s="220" t="s">
        <v>2476</v>
      </c>
      <c r="K657" s="220" t="str">
        <f>_xlfn.XLOOKUP(J657,[1]Sheet1!$A:$A,[1]Sheet1!$B:$B,"")</f>
        <v>#ERROR!</v>
      </c>
      <c r="L657" s="149" t="s">
        <v>2477</v>
      </c>
      <c r="M657" s="149" t="s">
        <v>2478</v>
      </c>
      <c r="N657" s="110" t="s">
        <v>106</v>
      </c>
      <c r="O657" s="104" t="s">
        <v>147</v>
      </c>
      <c r="P657" s="110"/>
      <c r="Q657" s="104" t="s">
        <v>1989</v>
      </c>
      <c r="R657" s="110" t="s">
        <v>1955</v>
      </c>
      <c r="S657" s="110">
        <v>2.0</v>
      </c>
      <c r="T657" s="155" t="e">
        <v>#N/A</v>
      </c>
      <c r="U657" s="155">
        <v>8.5447E9</v>
      </c>
      <c r="V657" s="157">
        <v>0.0</v>
      </c>
      <c r="W657" s="158">
        <v>30.0</v>
      </c>
      <c r="X657" s="155">
        <v>45.0</v>
      </c>
      <c r="Y657" s="155">
        <v>55.0</v>
      </c>
      <c r="Z657" s="155" t="s">
        <v>1938</v>
      </c>
      <c r="AA657" s="114">
        <f t="shared" si="786"/>
        <v>7938.709677</v>
      </c>
      <c r="AB657" s="395"/>
      <c r="AC657" s="159">
        <f t="shared" si="772"/>
        <v>7356.25</v>
      </c>
      <c r="AD657" s="117">
        <f t="shared" si="783"/>
        <v>7743.421053</v>
      </c>
      <c r="AE657" s="159"/>
      <c r="AF657" s="159" t="str">
        <f t="shared" si="94"/>
        <v>#REF!</v>
      </c>
      <c r="AG657" s="396" t="str">
        <f t="shared" si="95"/>
        <v>#REF!</v>
      </c>
      <c r="AH657" s="120" t="str">
        <f t="shared" si="96"/>
        <v>#REF!</v>
      </c>
      <c r="AI657" s="157">
        <f t="shared" si="497"/>
        <v>0.07</v>
      </c>
      <c r="AJ657" s="157">
        <v>0.07</v>
      </c>
      <c r="AK657" s="157">
        <v>0.36</v>
      </c>
      <c r="AL657" s="123">
        <f t="shared" si="11"/>
        <v>2648.25</v>
      </c>
      <c r="AM657" s="157" t="s">
        <v>10</v>
      </c>
      <c r="AN657" s="161">
        <f t="shared" si="774"/>
        <v>7356.25</v>
      </c>
      <c r="AO657" s="157">
        <f t="shared" si="775"/>
        <v>0.36</v>
      </c>
      <c r="AP657" s="127"/>
      <c r="AQ657" s="163">
        <f t="shared" si="787"/>
        <v>5292.473118</v>
      </c>
      <c r="AR657" s="161">
        <f t="shared" si="776"/>
        <v>5062.365591</v>
      </c>
      <c r="AS657" s="162">
        <f t="shared" si="733"/>
        <v>0.3333333333</v>
      </c>
      <c r="AT657" s="162">
        <f t="shared" si="777"/>
        <v>0.311827957</v>
      </c>
      <c r="AU657" s="129"/>
      <c r="AV657" s="39" t="s">
        <v>2242</v>
      </c>
      <c r="AW657" s="130"/>
      <c r="AX657" s="130"/>
      <c r="AY657" s="130"/>
      <c r="AZ657" s="130"/>
      <c r="BA657" s="130"/>
      <c r="BB657" s="130"/>
      <c r="BC657" s="392">
        <v>4280.0</v>
      </c>
      <c r="BD657" s="132">
        <f t="shared" si="788"/>
        <v>4708</v>
      </c>
      <c r="BE657" s="393"/>
      <c r="BF657" s="134"/>
      <c r="BG657" s="49"/>
      <c r="BH657" s="118">
        <f t="shared" si="714"/>
        <v>24520.83333</v>
      </c>
      <c r="BI657" s="118">
        <f t="shared" si="715"/>
        <v>14712.5</v>
      </c>
      <c r="BJ657" s="118">
        <f t="shared" si="716"/>
        <v>12260.41667</v>
      </c>
      <c r="BK657" s="118">
        <f t="shared" si="717"/>
        <v>9808.333333</v>
      </c>
      <c r="BL657" s="49"/>
      <c r="BM657" s="49"/>
      <c r="BN657" s="394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</row>
    <row r="658" ht="14.25" customHeight="1">
      <c r="A658" s="103" t="s">
        <v>84</v>
      </c>
      <c r="B658" s="103" t="s">
        <v>85</v>
      </c>
      <c r="C658" s="103" t="s">
        <v>85</v>
      </c>
      <c r="D658" s="103" t="s">
        <v>1266</v>
      </c>
      <c r="E658" s="103" t="s">
        <v>1948</v>
      </c>
      <c r="F658" s="104" t="s">
        <v>2025</v>
      </c>
      <c r="G658" s="110" t="s">
        <v>1395</v>
      </c>
      <c r="H658" s="390" t="s">
        <v>2031</v>
      </c>
      <c r="I658" s="391" t="s">
        <v>2479</v>
      </c>
      <c r="J658" s="220" t="s">
        <v>2075</v>
      </c>
      <c r="K658" s="220" t="str">
        <f>_xlfn.XLOOKUP(J658,[1]Sheet1!$A:$A,[1]Sheet1!$B:$B,"")</f>
        <v>#ERROR!</v>
      </c>
      <c r="L658" s="103" t="s">
        <v>2076</v>
      </c>
      <c r="M658" s="103" t="s">
        <v>2077</v>
      </c>
      <c r="N658" s="110" t="s">
        <v>106</v>
      </c>
      <c r="O658" s="104" t="s">
        <v>147</v>
      </c>
      <c r="P658" s="110"/>
      <c r="Q658" s="104" t="s">
        <v>1989</v>
      </c>
      <c r="R658" s="110" t="s">
        <v>1955</v>
      </c>
      <c r="S658" s="110">
        <v>2.0</v>
      </c>
      <c r="T658" s="110" t="e">
        <v>#N/A</v>
      </c>
      <c r="U658" s="110">
        <v>8.5447E9</v>
      </c>
      <c r="V658" s="112">
        <v>0.0</v>
      </c>
      <c r="W658" s="113">
        <v>30.0</v>
      </c>
      <c r="X658" s="110">
        <v>45.0</v>
      </c>
      <c r="Y658" s="110">
        <v>55.0</v>
      </c>
      <c r="Z658" s="110" t="s">
        <v>1938</v>
      </c>
      <c r="AA658" s="114">
        <f t="shared" si="786"/>
        <v>11091.93548</v>
      </c>
      <c r="AB658" s="115"/>
      <c r="AC658" s="116">
        <f t="shared" si="772"/>
        <v>10278.125</v>
      </c>
      <c r="AD658" s="117">
        <f t="shared" si="783"/>
        <v>10819.07895</v>
      </c>
      <c r="AE658" s="116"/>
      <c r="AF658" s="116" t="str">
        <f t="shared" si="94"/>
        <v>#REF!</v>
      </c>
      <c r="AG658" s="210" t="str">
        <f t="shared" si="95"/>
        <v>#REF!</v>
      </c>
      <c r="AH658" s="120" t="str">
        <f t="shared" si="96"/>
        <v>#REF!</v>
      </c>
      <c r="AI658" s="121">
        <f t="shared" si="497"/>
        <v>0.07</v>
      </c>
      <c r="AJ658" s="121">
        <v>0.07</v>
      </c>
      <c r="AK658" s="122">
        <v>0.36</v>
      </c>
      <c r="AL658" s="123">
        <f t="shared" si="11"/>
        <v>3700.125</v>
      </c>
      <c r="AM658" s="122" t="s">
        <v>10</v>
      </c>
      <c r="AN658" s="125">
        <f t="shared" si="774"/>
        <v>10278.125</v>
      </c>
      <c r="AO658" s="112">
        <f t="shared" si="775"/>
        <v>0.36</v>
      </c>
      <c r="AP658" s="127"/>
      <c r="AQ658" s="128">
        <f t="shared" si="787"/>
        <v>7394.623656</v>
      </c>
      <c r="AR658" s="125">
        <f t="shared" si="776"/>
        <v>7073.11828</v>
      </c>
      <c r="AS658" s="126">
        <f t="shared" si="733"/>
        <v>0.3333333333</v>
      </c>
      <c r="AT658" s="126">
        <f t="shared" si="777"/>
        <v>0.311827957</v>
      </c>
      <c r="AU658" s="129"/>
      <c r="AV658" s="39" t="s">
        <v>2242</v>
      </c>
      <c r="AW658" s="130"/>
      <c r="AX658" s="130"/>
      <c r="AY658" s="130"/>
      <c r="AZ658" s="130"/>
      <c r="BA658" s="130"/>
      <c r="BB658" s="130"/>
      <c r="BC658" s="392">
        <v>5980.0</v>
      </c>
      <c r="BD658" s="132">
        <f t="shared" si="788"/>
        <v>6578</v>
      </c>
      <c r="BE658" s="393"/>
      <c r="BF658" s="134"/>
      <c r="BG658" s="49"/>
      <c r="BH658" s="118">
        <f t="shared" si="714"/>
        <v>34260.41667</v>
      </c>
      <c r="BI658" s="118">
        <f t="shared" si="715"/>
        <v>20556.25</v>
      </c>
      <c r="BJ658" s="118">
        <f t="shared" si="716"/>
        <v>17130.20833</v>
      </c>
      <c r="BK658" s="118">
        <f t="shared" si="717"/>
        <v>13704.16667</v>
      </c>
      <c r="BL658" s="49"/>
      <c r="BM658" s="49"/>
      <c r="BN658" s="394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</row>
    <row r="659" ht="14.25" customHeight="1">
      <c r="A659" s="103" t="s">
        <v>84</v>
      </c>
      <c r="B659" s="103" t="s">
        <v>85</v>
      </c>
      <c r="C659" s="103" t="s">
        <v>85</v>
      </c>
      <c r="D659" s="103" t="s">
        <v>1266</v>
      </c>
      <c r="E659" s="103" t="s">
        <v>1948</v>
      </c>
      <c r="F659" s="104" t="s">
        <v>2025</v>
      </c>
      <c r="G659" s="110" t="s">
        <v>1395</v>
      </c>
      <c r="H659" s="390" t="s">
        <v>2339</v>
      </c>
      <c r="I659" s="391" t="s">
        <v>2480</v>
      </c>
      <c r="J659" s="220" t="s">
        <v>2481</v>
      </c>
      <c r="K659" s="220" t="str">
        <f>_xlfn.XLOOKUP(J659,[1]Sheet1!$A:$A,[1]Sheet1!$B:$B,"")</f>
        <v>#ERROR!</v>
      </c>
      <c r="L659" s="149" t="s">
        <v>2482</v>
      </c>
      <c r="M659" s="149" t="s">
        <v>2483</v>
      </c>
      <c r="N659" s="110" t="s">
        <v>106</v>
      </c>
      <c r="O659" s="104" t="s">
        <v>147</v>
      </c>
      <c r="P659" s="110"/>
      <c r="Q659" s="104" t="s">
        <v>1989</v>
      </c>
      <c r="R659" s="110" t="s">
        <v>1955</v>
      </c>
      <c r="S659" s="110">
        <v>2.0</v>
      </c>
      <c r="T659" s="155" t="e">
        <v>#N/A</v>
      </c>
      <c r="U659" s="155">
        <v>8.5447E9</v>
      </c>
      <c r="V659" s="157">
        <v>0.0</v>
      </c>
      <c r="W659" s="158">
        <v>30.0</v>
      </c>
      <c r="X659" s="155">
        <v>45.0</v>
      </c>
      <c r="Y659" s="155">
        <v>55.0</v>
      </c>
      <c r="Z659" s="155" t="s">
        <v>1938</v>
      </c>
      <c r="AA659" s="114">
        <f t="shared" si="786"/>
        <v>16285.48387</v>
      </c>
      <c r="AB659" s="395"/>
      <c r="AC659" s="159">
        <f t="shared" si="772"/>
        <v>15090.625</v>
      </c>
      <c r="AD659" s="117">
        <f t="shared" si="783"/>
        <v>15884.86842</v>
      </c>
      <c r="AE659" s="159"/>
      <c r="AF659" s="159" t="str">
        <f t="shared" si="94"/>
        <v>#REF!</v>
      </c>
      <c r="AG659" s="396" t="str">
        <f t="shared" si="95"/>
        <v>#REF!</v>
      </c>
      <c r="AH659" s="120" t="str">
        <f t="shared" si="96"/>
        <v>#REF!</v>
      </c>
      <c r="AI659" s="157">
        <f t="shared" si="497"/>
        <v>0.07</v>
      </c>
      <c r="AJ659" s="157">
        <v>0.07</v>
      </c>
      <c r="AK659" s="157">
        <v>0.36</v>
      </c>
      <c r="AL659" s="123">
        <f t="shared" si="11"/>
        <v>5432.625</v>
      </c>
      <c r="AM659" s="157" t="s">
        <v>10</v>
      </c>
      <c r="AN659" s="161">
        <f t="shared" si="774"/>
        <v>15090.625</v>
      </c>
      <c r="AO659" s="157">
        <f t="shared" si="775"/>
        <v>0.36</v>
      </c>
      <c r="AP659" s="127"/>
      <c r="AQ659" s="163">
        <f t="shared" si="787"/>
        <v>10856.98925</v>
      </c>
      <c r="AR659" s="161">
        <f t="shared" si="776"/>
        <v>10384.94624</v>
      </c>
      <c r="AS659" s="162">
        <f t="shared" si="733"/>
        <v>0.3333333333</v>
      </c>
      <c r="AT659" s="162">
        <f t="shared" si="777"/>
        <v>0.311827957</v>
      </c>
      <c r="AU659" s="129"/>
      <c r="AV659" s="39" t="s">
        <v>2242</v>
      </c>
      <c r="AW659" s="130"/>
      <c r="AX659" s="130"/>
      <c r="AY659" s="130"/>
      <c r="AZ659" s="130"/>
      <c r="BA659" s="130"/>
      <c r="BB659" s="130"/>
      <c r="BC659" s="392">
        <v>8780.0</v>
      </c>
      <c r="BD659" s="132">
        <f t="shared" si="788"/>
        <v>9658</v>
      </c>
      <c r="BE659" s="393"/>
      <c r="BF659" s="134"/>
      <c r="BG659" s="49"/>
      <c r="BH659" s="118">
        <f t="shared" si="714"/>
        <v>50302.08333</v>
      </c>
      <c r="BI659" s="118">
        <f t="shared" si="715"/>
        <v>30181.25</v>
      </c>
      <c r="BJ659" s="118">
        <f t="shared" si="716"/>
        <v>25151.04167</v>
      </c>
      <c r="BK659" s="118">
        <f t="shared" si="717"/>
        <v>20120.83333</v>
      </c>
      <c r="BL659" s="49"/>
      <c r="BM659" s="49"/>
      <c r="BN659" s="394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</row>
    <row r="660" ht="14.25" customHeight="1">
      <c r="A660" s="103" t="s">
        <v>84</v>
      </c>
      <c r="B660" s="103" t="s">
        <v>85</v>
      </c>
      <c r="C660" s="103" t="s">
        <v>85</v>
      </c>
      <c r="D660" s="103" t="s">
        <v>1266</v>
      </c>
      <c r="E660" s="103" t="s">
        <v>1948</v>
      </c>
      <c r="F660" s="104" t="s">
        <v>2025</v>
      </c>
      <c r="G660" s="110" t="s">
        <v>1395</v>
      </c>
      <c r="H660" s="390" t="s">
        <v>2344</v>
      </c>
      <c r="I660" s="391" t="s">
        <v>2484</v>
      </c>
      <c r="J660" s="220" t="s">
        <v>2485</v>
      </c>
      <c r="K660" s="220" t="str">
        <f>_xlfn.XLOOKUP(J660,[1]Sheet1!$A:$A,[1]Sheet1!$B:$B,"")</f>
        <v>#ERROR!</v>
      </c>
      <c r="L660" s="149" t="s">
        <v>2486</v>
      </c>
      <c r="M660" s="149" t="s">
        <v>2487</v>
      </c>
      <c r="N660" s="110" t="s">
        <v>106</v>
      </c>
      <c r="O660" s="104" t="s">
        <v>147</v>
      </c>
      <c r="P660" s="110"/>
      <c r="Q660" s="104" t="s">
        <v>1989</v>
      </c>
      <c r="R660" s="110" t="s">
        <v>1955</v>
      </c>
      <c r="S660" s="110">
        <v>2.0</v>
      </c>
      <c r="T660" s="155" t="e">
        <v>#N/A</v>
      </c>
      <c r="U660" s="155">
        <v>8.5447E9</v>
      </c>
      <c r="V660" s="157">
        <v>0.0</v>
      </c>
      <c r="W660" s="158">
        <v>30.0</v>
      </c>
      <c r="X660" s="155">
        <v>45.0</v>
      </c>
      <c r="Y660" s="155">
        <v>55.0</v>
      </c>
      <c r="Z660" s="155" t="s">
        <v>1938</v>
      </c>
      <c r="AA660" s="114">
        <f t="shared" si="786"/>
        <v>31717.74194</v>
      </c>
      <c r="AB660" s="395"/>
      <c r="AC660" s="159">
        <f t="shared" si="772"/>
        <v>29390.625</v>
      </c>
      <c r="AD660" s="117">
        <f t="shared" si="783"/>
        <v>30937.5</v>
      </c>
      <c r="AE660" s="159"/>
      <c r="AF660" s="159" t="str">
        <f t="shared" si="94"/>
        <v>#REF!</v>
      </c>
      <c r="AG660" s="396" t="str">
        <f t="shared" si="95"/>
        <v>#REF!</v>
      </c>
      <c r="AH660" s="120" t="str">
        <f t="shared" si="96"/>
        <v>#REF!</v>
      </c>
      <c r="AI660" s="157">
        <f t="shared" si="497"/>
        <v>0.07</v>
      </c>
      <c r="AJ660" s="157">
        <v>0.07</v>
      </c>
      <c r="AK660" s="157">
        <v>0.36</v>
      </c>
      <c r="AL660" s="123">
        <f t="shared" si="11"/>
        <v>10580.625</v>
      </c>
      <c r="AM660" s="157" t="s">
        <v>10</v>
      </c>
      <c r="AN660" s="161">
        <f t="shared" si="774"/>
        <v>29390.625</v>
      </c>
      <c r="AO660" s="157">
        <f t="shared" si="775"/>
        <v>0.36</v>
      </c>
      <c r="AP660" s="127"/>
      <c r="AQ660" s="163">
        <f t="shared" si="787"/>
        <v>21145.16129</v>
      </c>
      <c r="AR660" s="161">
        <f t="shared" si="776"/>
        <v>20225.80645</v>
      </c>
      <c r="AS660" s="162">
        <f t="shared" si="733"/>
        <v>0.3333333333</v>
      </c>
      <c r="AT660" s="162">
        <f t="shared" si="777"/>
        <v>0.311827957</v>
      </c>
      <c r="AU660" s="129"/>
      <c r="AV660" s="39" t="s">
        <v>2242</v>
      </c>
      <c r="AW660" s="130"/>
      <c r="AX660" s="130"/>
      <c r="AY660" s="130"/>
      <c r="AZ660" s="130"/>
      <c r="BA660" s="130"/>
      <c r="BB660" s="130"/>
      <c r="BC660" s="392">
        <v>17100.0</v>
      </c>
      <c r="BD660" s="132">
        <f t="shared" si="788"/>
        <v>18810</v>
      </c>
      <c r="BE660" s="393"/>
      <c r="BF660" s="134"/>
      <c r="BG660" s="49"/>
      <c r="BH660" s="118">
        <f t="shared" si="714"/>
        <v>97968.75</v>
      </c>
      <c r="BI660" s="118">
        <f t="shared" si="715"/>
        <v>58781.25</v>
      </c>
      <c r="BJ660" s="118">
        <f t="shared" si="716"/>
        <v>48984.375</v>
      </c>
      <c r="BK660" s="118">
        <f t="shared" si="717"/>
        <v>39187.5</v>
      </c>
      <c r="BL660" s="49"/>
      <c r="BM660" s="49"/>
      <c r="BN660" s="394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</row>
    <row r="661" ht="14.25" customHeight="1">
      <c r="A661" s="103" t="s">
        <v>84</v>
      </c>
      <c r="B661" s="103" t="s">
        <v>120</v>
      </c>
      <c r="C661" s="103" t="s">
        <v>120</v>
      </c>
      <c r="D661" s="103" t="s">
        <v>1266</v>
      </c>
      <c r="E661" s="103" t="s">
        <v>1948</v>
      </c>
      <c r="F661" s="104" t="s">
        <v>1949</v>
      </c>
      <c r="G661" s="110" t="s">
        <v>1395</v>
      </c>
      <c r="H661" s="390" t="s">
        <v>1950</v>
      </c>
      <c r="I661" s="391" t="s">
        <v>2488</v>
      </c>
      <c r="J661" s="220" t="s">
        <v>2489</v>
      </c>
      <c r="K661" s="220" t="str">
        <f>_xlfn.XLOOKUP(J661,[1]Sheet1!$A:$A,[1]Sheet1!$B:$B,"")</f>
        <v>#ERROR!</v>
      </c>
      <c r="L661" s="103" t="s">
        <v>2490</v>
      </c>
      <c r="M661" s="103" t="s">
        <v>2491</v>
      </c>
      <c r="N661" s="110" t="s">
        <v>162</v>
      </c>
      <c r="O661" s="104" t="s">
        <v>147</v>
      </c>
      <c r="P661" s="110"/>
      <c r="Q661" s="104" t="s">
        <v>1989</v>
      </c>
      <c r="R661" s="110" t="s">
        <v>1955</v>
      </c>
      <c r="S661" s="110">
        <v>2.0</v>
      </c>
      <c r="T661" s="110" t="e">
        <v>#N/A</v>
      </c>
      <c r="U661" s="110">
        <v>8.5447E9</v>
      </c>
      <c r="V661" s="112">
        <v>0.0</v>
      </c>
      <c r="W661" s="113">
        <v>30.0</v>
      </c>
      <c r="X661" s="110">
        <v>45.0</v>
      </c>
      <c r="Y661" s="110">
        <v>55.0</v>
      </c>
      <c r="Z661" s="110" t="s">
        <v>1938</v>
      </c>
      <c r="AA661" s="114">
        <f t="shared" si="786"/>
        <v>907.6153846</v>
      </c>
      <c r="AB661" s="115"/>
      <c r="AC661" s="116">
        <f t="shared" si="772"/>
        <v>842.238806</v>
      </c>
      <c r="AD661" s="117">
        <f t="shared" si="783"/>
        <v>886.5671642</v>
      </c>
      <c r="AE661" s="116"/>
      <c r="AF661" s="116" t="str">
        <f t="shared" si="94"/>
        <v>#REF!</v>
      </c>
      <c r="AG661" s="210" t="str">
        <f t="shared" si="95"/>
        <v>#REF!</v>
      </c>
      <c r="AH661" s="120" t="str">
        <f t="shared" si="96"/>
        <v>#REF!</v>
      </c>
      <c r="AI661" s="121">
        <f t="shared" si="497"/>
        <v>0.07</v>
      </c>
      <c r="AJ661" s="121">
        <v>0.07</v>
      </c>
      <c r="AK661" s="122">
        <v>0.33</v>
      </c>
      <c r="AL661" s="123">
        <f t="shared" si="11"/>
        <v>277.938806</v>
      </c>
      <c r="AM661" s="122" t="s">
        <v>10</v>
      </c>
      <c r="AN661" s="125">
        <f t="shared" si="774"/>
        <v>842.238806</v>
      </c>
      <c r="AO661" s="112">
        <f t="shared" si="775"/>
        <v>0.33</v>
      </c>
      <c r="AP661" s="127"/>
      <c r="AQ661" s="128">
        <f t="shared" si="787"/>
        <v>634.3548387</v>
      </c>
      <c r="AR661" s="125">
        <f t="shared" si="776"/>
        <v>606.7741935</v>
      </c>
      <c r="AS661" s="126">
        <f t="shared" si="733"/>
        <v>0.3010752688</v>
      </c>
      <c r="AT661" s="126">
        <f t="shared" si="777"/>
        <v>0.2795698925</v>
      </c>
      <c r="AU661" s="129"/>
      <c r="AV661" s="39" t="s">
        <v>2242</v>
      </c>
      <c r="AW661" s="130"/>
      <c r="AX661" s="130"/>
      <c r="AY661" s="130"/>
      <c r="AZ661" s="130"/>
      <c r="BA661" s="130"/>
      <c r="BB661" s="130"/>
      <c r="BC661" s="392">
        <v>513.0</v>
      </c>
      <c r="BD661" s="132">
        <f t="shared" si="788"/>
        <v>564.3</v>
      </c>
      <c r="BE661" s="393"/>
      <c r="BF661" s="134"/>
      <c r="BG661" s="49"/>
      <c r="BH661" s="118">
        <f t="shared" si="714"/>
        <v>2807.462687</v>
      </c>
      <c r="BI661" s="118">
        <f t="shared" si="715"/>
        <v>1684.477612</v>
      </c>
      <c r="BJ661" s="118">
        <f t="shared" si="716"/>
        <v>1403.731343</v>
      </c>
      <c r="BK661" s="118">
        <f t="shared" si="717"/>
        <v>1122.985075</v>
      </c>
      <c r="BL661" s="216"/>
      <c r="BM661" s="49"/>
      <c r="BN661" s="394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</row>
    <row r="662" ht="14.25" customHeight="1">
      <c r="A662" s="103" t="s">
        <v>84</v>
      </c>
      <c r="B662" s="103" t="s">
        <v>120</v>
      </c>
      <c r="C662" s="103" t="s">
        <v>120</v>
      </c>
      <c r="D662" s="103" t="s">
        <v>1266</v>
      </c>
      <c r="E662" s="103" t="s">
        <v>1948</v>
      </c>
      <c r="F662" s="104" t="s">
        <v>1949</v>
      </c>
      <c r="G662" s="110" t="s">
        <v>1395</v>
      </c>
      <c r="H662" s="390" t="s">
        <v>1957</v>
      </c>
      <c r="I662" s="391" t="s">
        <v>2492</v>
      </c>
      <c r="J662" s="220" t="s">
        <v>2493</v>
      </c>
      <c r="K662" s="220" t="str">
        <f>_xlfn.XLOOKUP(J662,[1]Sheet1!$A:$A,[1]Sheet1!$B:$B,"")</f>
        <v>#ERROR!</v>
      </c>
      <c r="L662" s="103" t="s">
        <v>2494</v>
      </c>
      <c r="M662" s="103" t="s">
        <v>2495</v>
      </c>
      <c r="N662" s="110" t="s">
        <v>162</v>
      </c>
      <c r="O662" s="104" t="s">
        <v>147</v>
      </c>
      <c r="P662" s="110"/>
      <c r="Q662" s="104" t="s">
        <v>1989</v>
      </c>
      <c r="R662" s="110" t="s">
        <v>1955</v>
      </c>
      <c r="S662" s="110">
        <v>2.0</v>
      </c>
      <c r="T662" s="110" t="e">
        <v>#N/A</v>
      </c>
      <c r="U662" s="110">
        <v>8.5447E9</v>
      </c>
      <c r="V662" s="112">
        <v>0.0</v>
      </c>
      <c r="W662" s="113">
        <v>30.0</v>
      </c>
      <c r="X662" s="110">
        <v>45.0</v>
      </c>
      <c r="Y662" s="110">
        <v>55.0</v>
      </c>
      <c r="Z662" s="110" t="s">
        <v>1938</v>
      </c>
      <c r="AA662" s="114">
        <f t="shared" si="786"/>
        <v>1105.769231</v>
      </c>
      <c r="AB662" s="115"/>
      <c r="AC662" s="116">
        <f t="shared" si="772"/>
        <v>1026.119403</v>
      </c>
      <c r="AD662" s="117">
        <f t="shared" si="783"/>
        <v>1080.125687</v>
      </c>
      <c r="AE662" s="116"/>
      <c r="AF662" s="116" t="str">
        <f t="shared" si="94"/>
        <v>#REF!</v>
      </c>
      <c r="AG662" s="210" t="str">
        <f t="shared" si="95"/>
        <v>#REF!</v>
      </c>
      <c r="AH662" s="120" t="str">
        <f t="shared" si="96"/>
        <v>#REF!</v>
      </c>
      <c r="AI662" s="121">
        <f t="shared" si="497"/>
        <v>0.07</v>
      </c>
      <c r="AJ662" s="121">
        <v>0.07</v>
      </c>
      <c r="AK662" s="122">
        <v>0.33</v>
      </c>
      <c r="AL662" s="123">
        <f t="shared" si="11"/>
        <v>338.619403</v>
      </c>
      <c r="AM662" s="122" t="s">
        <v>10</v>
      </c>
      <c r="AN662" s="125">
        <f t="shared" si="774"/>
        <v>1026.119403</v>
      </c>
      <c r="AO662" s="112">
        <f t="shared" si="775"/>
        <v>0.33</v>
      </c>
      <c r="AP662" s="127"/>
      <c r="AQ662" s="128">
        <f t="shared" si="787"/>
        <v>772.8494624</v>
      </c>
      <c r="AR662" s="125">
        <f t="shared" si="776"/>
        <v>739.2473118</v>
      </c>
      <c r="AS662" s="126">
        <f t="shared" si="733"/>
        <v>0.3010752688</v>
      </c>
      <c r="AT662" s="126">
        <f t="shared" si="777"/>
        <v>0.2795698925</v>
      </c>
      <c r="AU662" s="129"/>
      <c r="AV662" s="39" t="s">
        <v>2242</v>
      </c>
      <c r="AW662" s="130"/>
      <c r="AX662" s="130"/>
      <c r="AY662" s="130"/>
      <c r="AZ662" s="130"/>
      <c r="BA662" s="130"/>
      <c r="BB662" s="130"/>
      <c r="BC662" s="392">
        <v>625.0</v>
      </c>
      <c r="BD662" s="132">
        <f t="shared" si="788"/>
        <v>687.5</v>
      </c>
      <c r="BE662" s="393"/>
      <c r="BF662" s="134"/>
      <c r="BG662" s="49"/>
      <c r="BH662" s="118">
        <f t="shared" si="714"/>
        <v>3420.39801</v>
      </c>
      <c r="BI662" s="118">
        <f t="shared" si="715"/>
        <v>2052.238806</v>
      </c>
      <c r="BJ662" s="118">
        <f t="shared" si="716"/>
        <v>1710.199005</v>
      </c>
      <c r="BK662" s="118">
        <f t="shared" si="717"/>
        <v>1368.159204</v>
      </c>
      <c r="BL662" s="49"/>
      <c r="BM662" s="49"/>
      <c r="BN662" s="394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</row>
    <row r="663" ht="14.25" customHeight="1">
      <c r="A663" s="103" t="s">
        <v>84</v>
      </c>
      <c r="B663" s="103" t="s">
        <v>120</v>
      </c>
      <c r="C663" s="103" t="s">
        <v>120</v>
      </c>
      <c r="D663" s="103" t="s">
        <v>1266</v>
      </c>
      <c r="E663" s="103" t="s">
        <v>1948</v>
      </c>
      <c r="F663" s="104" t="s">
        <v>1949</v>
      </c>
      <c r="G663" s="110" t="s">
        <v>1395</v>
      </c>
      <c r="H663" s="390" t="s">
        <v>1962</v>
      </c>
      <c r="I663" s="391" t="s">
        <v>2496</v>
      </c>
      <c r="J663" s="220" t="s">
        <v>2497</v>
      </c>
      <c r="K663" s="220" t="str">
        <f>_xlfn.XLOOKUP(J663,[1]Sheet1!$A:$A,[1]Sheet1!$B:$B,"")</f>
        <v>#ERROR!</v>
      </c>
      <c r="L663" s="103" t="s">
        <v>2498</v>
      </c>
      <c r="M663" s="103" t="s">
        <v>2499</v>
      </c>
      <c r="N663" s="110" t="s">
        <v>162</v>
      </c>
      <c r="O663" s="104" t="s">
        <v>147</v>
      </c>
      <c r="P663" s="110"/>
      <c r="Q663" s="104" t="s">
        <v>1989</v>
      </c>
      <c r="R663" s="110" t="s">
        <v>1955</v>
      </c>
      <c r="S663" s="110">
        <v>2.0</v>
      </c>
      <c r="T663" s="110" t="e">
        <v>#N/A</v>
      </c>
      <c r="U663" s="110">
        <v>8.5447E9</v>
      </c>
      <c r="V663" s="112">
        <v>0.0</v>
      </c>
      <c r="W663" s="113">
        <v>30.0</v>
      </c>
      <c r="X663" s="110">
        <v>45.0</v>
      </c>
      <c r="Y663" s="110">
        <v>55.0</v>
      </c>
      <c r="Z663" s="110" t="s">
        <v>1938</v>
      </c>
      <c r="AA663" s="114">
        <f t="shared" si="786"/>
        <v>1496.769231</v>
      </c>
      <c r="AB663" s="115"/>
      <c r="AC663" s="116">
        <f t="shared" si="772"/>
        <v>1388.955224</v>
      </c>
      <c r="AD663" s="117">
        <f t="shared" si="783"/>
        <v>1462.05813</v>
      </c>
      <c r="AE663" s="116"/>
      <c r="AF663" s="116" t="str">
        <f t="shared" si="94"/>
        <v>#REF!</v>
      </c>
      <c r="AG663" s="210" t="str">
        <f t="shared" si="95"/>
        <v>#REF!</v>
      </c>
      <c r="AH663" s="120" t="str">
        <f t="shared" si="96"/>
        <v>#REF!</v>
      </c>
      <c r="AI663" s="121">
        <f t="shared" si="497"/>
        <v>0.07</v>
      </c>
      <c r="AJ663" s="121">
        <v>0.07</v>
      </c>
      <c r="AK663" s="122">
        <v>0.33</v>
      </c>
      <c r="AL663" s="123">
        <f t="shared" si="11"/>
        <v>458.3552239</v>
      </c>
      <c r="AM663" s="122" t="s">
        <v>10</v>
      </c>
      <c r="AN663" s="125">
        <f t="shared" si="774"/>
        <v>1388.955224</v>
      </c>
      <c r="AO663" s="112">
        <f t="shared" si="775"/>
        <v>0.33</v>
      </c>
      <c r="AP663" s="127"/>
      <c r="AQ663" s="128">
        <f t="shared" si="787"/>
        <v>1046.129032</v>
      </c>
      <c r="AR663" s="125">
        <f t="shared" si="776"/>
        <v>1000.645161</v>
      </c>
      <c r="AS663" s="126">
        <f t="shared" si="733"/>
        <v>0.3010752688</v>
      </c>
      <c r="AT663" s="126">
        <f t="shared" si="777"/>
        <v>0.2795698925</v>
      </c>
      <c r="AU663" s="129"/>
      <c r="AV663" s="39" t="s">
        <v>2242</v>
      </c>
      <c r="AW663" s="130"/>
      <c r="AX663" s="130"/>
      <c r="AY663" s="130"/>
      <c r="AZ663" s="130"/>
      <c r="BA663" s="130"/>
      <c r="BB663" s="130"/>
      <c r="BC663" s="392">
        <v>846.0</v>
      </c>
      <c r="BD663" s="132">
        <f t="shared" si="788"/>
        <v>930.6</v>
      </c>
      <c r="BE663" s="393"/>
      <c r="BF663" s="134"/>
      <c r="BG663" s="49"/>
      <c r="BH663" s="118">
        <f t="shared" si="714"/>
        <v>4629.850746</v>
      </c>
      <c r="BI663" s="118">
        <f t="shared" si="715"/>
        <v>2777.910448</v>
      </c>
      <c r="BJ663" s="118">
        <f t="shared" si="716"/>
        <v>2314.925373</v>
      </c>
      <c r="BK663" s="118">
        <f t="shared" si="717"/>
        <v>1851.940299</v>
      </c>
      <c r="BL663" s="49"/>
      <c r="BM663" s="49"/>
      <c r="BN663" s="394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</row>
    <row r="664" ht="14.25" customHeight="1">
      <c r="A664" s="103" t="s">
        <v>84</v>
      </c>
      <c r="B664" s="103" t="s">
        <v>120</v>
      </c>
      <c r="C664" s="103" t="s">
        <v>120</v>
      </c>
      <c r="D664" s="103" t="s">
        <v>1266</v>
      </c>
      <c r="E664" s="103" t="s">
        <v>1948</v>
      </c>
      <c r="F664" s="104" t="s">
        <v>1949</v>
      </c>
      <c r="G664" s="110" t="s">
        <v>1395</v>
      </c>
      <c r="H664" s="390" t="s">
        <v>1967</v>
      </c>
      <c r="I664" s="391" t="s">
        <v>2500</v>
      </c>
      <c r="J664" s="220" t="s">
        <v>2501</v>
      </c>
      <c r="K664" s="220" t="s">
        <v>2502</v>
      </c>
      <c r="L664" s="103" t="s">
        <v>2503</v>
      </c>
      <c r="M664" s="103" t="s">
        <v>2504</v>
      </c>
      <c r="N664" s="110" t="s">
        <v>162</v>
      </c>
      <c r="O664" s="104" t="s">
        <v>147</v>
      </c>
      <c r="P664" s="110"/>
      <c r="Q664" s="104" t="s">
        <v>1989</v>
      </c>
      <c r="R664" s="110" t="s">
        <v>1955</v>
      </c>
      <c r="S664" s="110">
        <v>2.0</v>
      </c>
      <c r="T664" s="110" t="e">
        <v>#N/A</v>
      </c>
      <c r="U664" s="110">
        <v>8.5447E9</v>
      </c>
      <c r="V664" s="112">
        <v>0.0</v>
      </c>
      <c r="W664" s="113">
        <v>30.0</v>
      </c>
      <c r="X664" s="110">
        <v>45.0</v>
      </c>
      <c r="Y664" s="110">
        <v>55.0</v>
      </c>
      <c r="Z664" s="110" t="s">
        <v>1938</v>
      </c>
      <c r="AA664" s="114">
        <f t="shared" si="786"/>
        <v>2715.769231</v>
      </c>
      <c r="AB664" s="115"/>
      <c r="AC664" s="116">
        <f t="shared" si="772"/>
        <v>2520.149254</v>
      </c>
      <c r="AD664" s="117">
        <f t="shared" si="783"/>
        <v>2652.788688</v>
      </c>
      <c r="AE664" s="116"/>
      <c r="AF664" s="116" t="str">
        <f t="shared" si="94"/>
        <v>#REF!</v>
      </c>
      <c r="AG664" s="210" t="str">
        <f t="shared" si="95"/>
        <v>#REF!</v>
      </c>
      <c r="AH664" s="120" t="str">
        <f t="shared" si="96"/>
        <v>#REF!</v>
      </c>
      <c r="AI664" s="121">
        <f t="shared" si="497"/>
        <v>0.07</v>
      </c>
      <c r="AJ664" s="121">
        <v>0.07</v>
      </c>
      <c r="AK664" s="122">
        <v>0.33</v>
      </c>
      <c r="AL664" s="123">
        <f t="shared" si="11"/>
        <v>831.6492537</v>
      </c>
      <c r="AM664" s="122" t="s">
        <v>10</v>
      </c>
      <c r="AN664" s="125">
        <f t="shared" si="774"/>
        <v>2520.149254</v>
      </c>
      <c r="AO664" s="112">
        <f t="shared" si="775"/>
        <v>0.33</v>
      </c>
      <c r="AP664" s="127"/>
      <c r="AQ664" s="128">
        <f t="shared" si="787"/>
        <v>1898.11828</v>
      </c>
      <c r="AR664" s="125">
        <f t="shared" si="776"/>
        <v>1815.591398</v>
      </c>
      <c r="AS664" s="126">
        <f t="shared" si="733"/>
        <v>0.3010752688</v>
      </c>
      <c r="AT664" s="126">
        <f t="shared" si="777"/>
        <v>0.2795698925</v>
      </c>
      <c r="AU664" s="129"/>
      <c r="AV664" s="39" t="s">
        <v>2242</v>
      </c>
      <c r="AW664" s="130"/>
      <c r="AX664" s="130"/>
      <c r="AY664" s="130"/>
      <c r="AZ664" s="130"/>
      <c r="BA664" s="130"/>
      <c r="BB664" s="130"/>
      <c r="BC664" s="392">
        <v>1535.0</v>
      </c>
      <c r="BD664" s="132">
        <f t="shared" si="788"/>
        <v>1688.5</v>
      </c>
      <c r="BE664" s="393"/>
      <c r="BF664" s="134"/>
      <c r="BG664" s="49"/>
      <c r="BH664" s="118">
        <f t="shared" si="714"/>
        <v>8400.497512</v>
      </c>
      <c r="BI664" s="118">
        <f t="shared" si="715"/>
        <v>5040.298507</v>
      </c>
      <c r="BJ664" s="118">
        <f t="shared" si="716"/>
        <v>4200.248756</v>
      </c>
      <c r="BK664" s="118">
        <f t="shared" si="717"/>
        <v>3360.199005</v>
      </c>
      <c r="BL664" s="49"/>
      <c r="BM664" s="49"/>
      <c r="BN664" s="394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</row>
    <row r="665" ht="14.25" customHeight="1">
      <c r="A665" s="103" t="s">
        <v>84</v>
      </c>
      <c r="B665" s="103" t="s">
        <v>120</v>
      </c>
      <c r="C665" s="103" t="s">
        <v>120</v>
      </c>
      <c r="D665" s="103" t="s">
        <v>1266</v>
      </c>
      <c r="E665" s="103" t="s">
        <v>1948</v>
      </c>
      <c r="F665" s="104" t="s">
        <v>2025</v>
      </c>
      <c r="G665" s="110" t="s">
        <v>1395</v>
      </c>
      <c r="H665" s="390" t="s">
        <v>1962</v>
      </c>
      <c r="I665" s="391" t="s">
        <v>2505</v>
      </c>
      <c r="J665" s="220" t="s">
        <v>2506</v>
      </c>
      <c r="K665" s="220" t="str">
        <f>_xlfn.XLOOKUP(J665,[1]Sheet1!$A:$A,[1]Sheet1!$B:$B,"")</f>
        <v>#ERROR!</v>
      </c>
      <c r="L665" s="149" t="s">
        <v>2507</v>
      </c>
      <c r="M665" s="149" t="s">
        <v>2508</v>
      </c>
      <c r="N665" s="110" t="s">
        <v>162</v>
      </c>
      <c r="O665" s="104" t="s">
        <v>147</v>
      </c>
      <c r="P665" s="110"/>
      <c r="Q665" s="104" t="s">
        <v>1989</v>
      </c>
      <c r="R665" s="110" t="s">
        <v>1955</v>
      </c>
      <c r="S665" s="110">
        <v>2.0</v>
      </c>
      <c r="T665" s="155" t="e">
        <v>#N/A</v>
      </c>
      <c r="U665" s="155">
        <v>8.5447E9</v>
      </c>
      <c r="V665" s="157">
        <v>0.0</v>
      </c>
      <c r="W665" s="158">
        <v>30.0</v>
      </c>
      <c r="X665" s="155">
        <v>45.0</v>
      </c>
      <c r="Y665" s="155">
        <v>55.0</v>
      </c>
      <c r="Z665" s="155" t="s">
        <v>1938</v>
      </c>
      <c r="AA665" s="114">
        <f t="shared" si="786"/>
        <v>2052.307692</v>
      </c>
      <c r="AB665" s="395"/>
      <c r="AC665" s="159">
        <f t="shared" si="772"/>
        <v>1904.477612</v>
      </c>
      <c r="AD665" s="117">
        <f t="shared" si="783"/>
        <v>2004.713276</v>
      </c>
      <c r="AE665" s="159"/>
      <c r="AF665" s="159" t="str">
        <f t="shared" si="94"/>
        <v>#REF!</v>
      </c>
      <c r="AG665" s="396" t="str">
        <f t="shared" si="95"/>
        <v>#REF!</v>
      </c>
      <c r="AH665" s="120" t="str">
        <f t="shared" si="96"/>
        <v>#REF!</v>
      </c>
      <c r="AI665" s="157">
        <f t="shared" si="497"/>
        <v>0.07</v>
      </c>
      <c r="AJ665" s="157">
        <v>0.07</v>
      </c>
      <c r="AK665" s="157">
        <v>0.33</v>
      </c>
      <c r="AL665" s="123">
        <f t="shared" si="11"/>
        <v>628.4776119</v>
      </c>
      <c r="AM665" s="157" t="s">
        <v>10</v>
      </c>
      <c r="AN665" s="161">
        <f t="shared" si="774"/>
        <v>1904.477612</v>
      </c>
      <c r="AO665" s="157">
        <f t="shared" si="775"/>
        <v>0.33</v>
      </c>
      <c r="AP665" s="127"/>
      <c r="AQ665" s="163">
        <f t="shared" si="787"/>
        <v>1434.408602</v>
      </c>
      <c r="AR665" s="161">
        <f t="shared" si="776"/>
        <v>1372.043011</v>
      </c>
      <c r="AS665" s="162">
        <f t="shared" si="733"/>
        <v>0.3010752688</v>
      </c>
      <c r="AT665" s="162">
        <f t="shared" si="777"/>
        <v>0.2795698925</v>
      </c>
      <c r="AU665" s="129"/>
      <c r="AV665" s="39" t="s">
        <v>2242</v>
      </c>
      <c r="AW665" s="130"/>
      <c r="AX665" s="130"/>
      <c r="AY665" s="130"/>
      <c r="AZ665" s="130"/>
      <c r="BA665" s="130"/>
      <c r="BB665" s="130"/>
      <c r="BC665" s="392">
        <v>1160.0</v>
      </c>
      <c r="BD665" s="132">
        <f t="shared" si="788"/>
        <v>1276</v>
      </c>
      <c r="BE665" s="393"/>
      <c r="BF665" s="134"/>
      <c r="BG665" s="49"/>
      <c r="BH665" s="118">
        <f t="shared" si="714"/>
        <v>6348.258706</v>
      </c>
      <c r="BI665" s="118">
        <f t="shared" si="715"/>
        <v>3808.955224</v>
      </c>
      <c r="BJ665" s="118">
        <f t="shared" si="716"/>
        <v>3174.129353</v>
      </c>
      <c r="BK665" s="118">
        <f t="shared" si="717"/>
        <v>2539.303483</v>
      </c>
      <c r="BL665" s="49"/>
      <c r="BM665" s="49"/>
      <c r="BN665" s="394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</row>
    <row r="666" ht="14.25" customHeight="1">
      <c r="A666" s="103" t="s">
        <v>84</v>
      </c>
      <c r="B666" s="103" t="s">
        <v>120</v>
      </c>
      <c r="C666" s="103" t="s">
        <v>120</v>
      </c>
      <c r="D666" s="103" t="s">
        <v>1266</v>
      </c>
      <c r="E666" s="103" t="s">
        <v>1948</v>
      </c>
      <c r="F666" s="104" t="s">
        <v>2025</v>
      </c>
      <c r="G666" s="110" t="s">
        <v>1395</v>
      </c>
      <c r="H666" s="390" t="s">
        <v>1967</v>
      </c>
      <c r="I666" s="391" t="s">
        <v>2509</v>
      </c>
      <c r="J666" s="220" t="s">
        <v>2510</v>
      </c>
      <c r="K666" s="220" t="str">
        <f>_xlfn.XLOOKUP(J666,[1]Sheet1!$A:$A,[1]Sheet1!$B:$B,"")</f>
        <v>#ERROR!</v>
      </c>
      <c r="L666" s="149" t="s">
        <v>2511</v>
      </c>
      <c r="M666" s="149" t="s">
        <v>2512</v>
      </c>
      <c r="N666" s="110" t="s">
        <v>162</v>
      </c>
      <c r="O666" s="104" t="s">
        <v>147</v>
      </c>
      <c r="P666" s="110"/>
      <c r="Q666" s="104" t="s">
        <v>1989</v>
      </c>
      <c r="R666" s="110" t="s">
        <v>1955</v>
      </c>
      <c r="S666" s="110">
        <v>2.0</v>
      </c>
      <c r="T666" s="155" t="e">
        <v>#N/A</v>
      </c>
      <c r="U666" s="155">
        <v>8.5447E9</v>
      </c>
      <c r="V666" s="157">
        <v>0.0</v>
      </c>
      <c r="W666" s="158">
        <v>30.0</v>
      </c>
      <c r="X666" s="155">
        <v>45.0</v>
      </c>
      <c r="Y666" s="155">
        <v>55.0</v>
      </c>
      <c r="Z666" s="155" t="s">
        <v>1938</v>
      </c>
      <c r="AA666" s="114">
        <f t="shared" si="786"/>
        <v>3211.153846</v>
      </c>
      <c r="AB666" s="395"/>
      <c r="AC666" s="159">
        <f t="shared" si="772"/>
        <v>2979.850746</v>
      </c>
      <c r="AD666" s="117">
        <f t="shared" si="783"/>
        <v>3136.684996</v>
      </c>
      <c r="AE666" s="159"/>
      <c r="AF666" s="159" t="str">
        <f t="shared" si="94"/>
        <v>#REF!</v>
      </c>
      <c r="AG666" s="396" t="str">
        <f t="shared" si="95"/>
        <v>#REF!</v>
      </c>
      <c r="AH666" s="120" t="str">
        <f t="shared" si="96"/>
        <v>#REF!</v>
      </c>
      <c r="AI666" s="157">
        <f t="shared" si="497"/>
        <v>0.07</v>
      </c>
      <c r="AJ666" s="157">
        <v>0.07</v>
      </c>
      <c r="AK666" s="157">
        <v>0.33</v>
      </c>
      <c r="AL666" s="123">
        <f t="shared" si="11"/>
        <v>983.3507463</v>
      </c>
      <c r="AM666" s="157" t="s">
        <v>10</v>
      </c>
      <c r="AN666" s="161">
        <f t="shared" si="774"/>
        <v>2979.850746</v>
      </c>
      <c r="AO666" s="157">
        <f t="shared" si="775"/>
        <v>0.33</v>
      </c>
      <c r="AP666" s="127"/>
      <c r="AQ666" s="163">
        <f t="shared" si="787"/>
        <v>2244.354839</v>
      </c>
      <c r="AR666" s="161">
        <f t="shared" si="776"/>
        <v>2146.774194</v>
      </c>
      <c r="AS666" s="162">
        <f t="shared" si="733"/>
        <v>0.3010752688</v>
      </c>
      <c r="AT666" s="162">
        <f t="shared" si="777"/>
        <v>0.2795698925</v>
      </c>
      <c r="AU666" s="129"/>
      <c r="AV666" s="39" t="s">
        <v>2242</v>
      </c>
      <c r="AW666" s="130"/>
      <c r="AX666" s="130"/>
      <c r="AY666" s="130"/>
      <c r="AZ666" s="130"/>
      <c r="BA666" s="130"/>
      <c r="BB666" s="130"/>
      <c r="BC666" s="392">
        <v>1815.0</v>
      </c>
      <c r="BD666" s="132">
        <f t="shared" si="788"/>
        <v>1996.5</v>
      </c>
      <c r="BE666" s="393"/>
      <c r="BF666" s="134"/>
      <c r="BG666" s="49"/>
      <c r="BH666" s="118">
        <f t="shared" si="714"/>
        <v>9932.835821</v>
      </c>
      <c r="BI666" s="118">
        <f t="shared" si="715"/>
        <v>5959.701493</v>
      </c>
      <c r="BJ666" s="118">
        <f t="shared" si="716"/>
        <v>4966.41791</v>
      </c>
      <c r="BK666" s="118">
        <f t="shared" si="717"/>
        <v>3973.134328</v>
      </c>
      <c r="BL666" s="49"/>
      <c r="BM666" s="49"/>
      <c r="BN666" s="394"/>
      <c r="BO666" s="49"/>
      <c r="BP666" s="49"/>
      <c r="BQ666" s="49"/>
      <c r="BR666" s="49"/>
      <c r="BS666" s="49"/>
      <c r="BT666" s="49"/>
      <c r="BU666" s="49"/>
      <c r="BV666" s="49"/>
      <c r="BW666" s="49"/>
      <c r="BX666" s="49"/>
      <c r="BY666" s="49"/>
      <c r="BZ666" s="49"/>
      <c r="CA666" s="49"/>
      <c r="CB666" s="49"/>
      <c r="CC666" s="49"/>
      <c r="CD666" s="49"/>
      <c r="CE666" s="49"/>
      <c r="CF666" s="49"/>
    </row>
    <row r="667" ht="14.25" customHeight="1">
      <c r="A667" s="103" t="s">
        <v>84</v>
      </c>
      <c r="B667" s="103" t="s">
        <v>120</v>
      </c>
      <c r="C667" s="103" t="s">
        <v>120</v>
      </c>
      <c r="D667" s="103" t="s">
        <v>1266</v>
      </c>
      <c r="E667" s="103" t="s">
        <v>1948</v>
      </c>
      <c r="F667" s="104" t="s">
        <v>2025</v>
      </c>
      <c r="G667" s="110" t="s">
        <v>1395</v>
      </c>
      <c r="H667" s="390" t="s">
        <v>2026</v>
      </c>
      <c r="I667" s="391" t="s">
        <v>2513</v>
      </c>
      <c r="J667" s="220" t="s">
        <v>2514</v>
      </c>
      <c r="K667" s="220" t="str">
        <f>_xlfn.XLOOKUP(J667,[1]Sheet1!$A:$A,[1]Sheet1!$B:$B,"")</f>
        <v>#ERROR!</v>
      </c>
      <c r="L667" s="103" t="s">
        <v>2515</v>
      </c>
      <c r="M667" s="103" t="s">
        <v>2516</v>
      </c>
      <c r="N667" s="110" t="s">
        <v>162</v>
      </c>
      <c r="O667" s="104" t="s">
        <v>147</v>
      </c>
      <c r="P667" s="110"/>
      <c r="Q667" s="104" t="s">
        <v>1989</v>
      </c>
      <c r="R667" s="110" t="s">
        <v>1955</v>
      </c>
      <c r="S667" s="110">
        <v>2.0</v>
      </c>
      <c r="T667" s="110" t="e">
        <v>#N/A</v>
      </c>
      <c r="U667" s="110">
        <v>8.5447E9</v>
      </c>
      <c r="V667" s="112">
        <v>0.0</v>
      </c>
      <c r="W667" s="113">
        <v>30.0</v>
      </c>
      <c r="X667" s="110">
        <v>45.0</v>
      </c>
      <c r="Y667" s="110">
        <v>55.0</v>
      </c>
      <c r="Z667" s="110" t="s">
        <v>1938</v>
      </c>
      <c r="AA667" s="114">
        <f t="shared" si="786"/>
        <v>5787.096774</v>
      </c>
      <c r="AB667" s="115"/>
      <c r="AC667" s="116">
        <f t="shared" si="772"/>
        <v>5362.5</v>
      </c>
      <c r="AD667" s="117">
        <f t="shared" si="783"/>
        <v>5644.736842</v>
      </c>
      <c r="AE667" s="116"/>
      <c r="AF667" s="116" t="str">
        <f t="shared" si="94"/>
        <v>#REF!</v>
      </c>
      <c r="AG667" s="210" t="str">
        <f t="shared" si="95"/>
        <v>#REF!</v>
      </c>
      <c r="AH667" s="120" t="str">
        <f t="shared" si="96"/>
        <v>#REF!</v>
      </c>
      <c r="AI667" s="121">
        <f t="shared" si="497"/>
        <v>0.07</v>
      </c>
      <c r="AJ667" s="121">
        <v>0.07</v>
      </c>
      <c r="AK667" s="122">
        <v>0.36</v>
      </c>
      <c r="AL667" s="123">
        <f t="shared" si="11"/>
        <v>1930.5</v>
      </c>
      <c r="AM667" s="122" t="s">
        <v>10</v>
      </c>
      <c r="AN667" s="125">
        <f t="shared" si="774"/>
        <v>5362.5</v>
      </c>
      <c r="AO667" s="112">
        <f t="shared" si="775"/>
        <v>0.36</v>
      </c>
      <c r="AP667" s="127"/>
      <c r="AQ667" s="128">
        <f t="shared" si="787"/>
        <v>3858.064516</v>
      </c>
      <c r="AR667" s="125">
        <f t="shared" si="776"/>
        <v>3690.322581</v>
      </c>
      <c r="AS667" s="126">
        <f t="shared" si="733"/>
        <v>0.3333333333</v>
      </c>
      <c r="AT667" s="126">
        <f t="shared" si="777"/>
        <v>0.311827957</v>
      </c>
      <c r="AU667" s="129"/>
      <c r="AV667" s="39" t="s">
        <v>2242</v>
      </c>
      <c r="AW667" s="130"/>
      <c r="AX667" s="130"/>
      <c r="AY667" s="130"/>
      <c r="AZ667" s="130"/>
      <c r="BA667" s="130"/>
      <c r="BB667" s="130"/>
      <c r="BC667" s="392">
        <v>3120.0</v>
      </c>
      <c r="BD667" s="132">
        <f t="shared" si="788"/>
        <v>3432</v>
      </c>
      <c r="BE667" s="393"/>
      <c r="BF667" s="134"/>
      <c r="BG667" s="49"/>
      <c r="BH667" s="118">
        <f t="shared" si="714"/>
        <v>17875</v>
      </c>
      <c r="BI667" s="118">
        <f t="shared" si="715"/>
        <v>10725</v>
      </c>
      <c r="BJ667" s="118">
        <f t="shared" si="716"/>
        <v>8937.5</v>
      </c>
      <c r="BK667" s="118">
        <f t="shared" si="717"/>
        <v>7150</v>
      </c>
      <c r="BL667" s="49"/>
      <c r="BM667" s="49"/>
      <c r="BN667" s="394"/>
      <c r="BO667" s="49"/>
      <c r="BP667" s="49"/>
      <c r="BQ667" s="49"/>
      <c r="BR667" s="49"/>
      <c r="BS667" s="49"/>
      <c r="BT667" s="49"/>
      <c r="BU667" s="49"/>
      <c r="BV667" s="49"/>
      <c r="BW667" s="49"/>
      <c r="BX667" s="49"/>
      <c r="BY667" s="49"/>
      <c r="BZ667" s="49"/>
      <c r="CA667" s="49"/>
      <c r="CB667" s="49"/>
      <c r="CC667" s="49"/>
      <c r="CD667" s="49"/>
      <c r="CE667" s="49"/>
      <c r="CF667" s="49"/>
    </row>
    <row r="668" ht="14.25" customHeight="1">
      <c r="A668" s="103" t="s">
        <v>84</v>
      </c>
      <c r="B668" s="103" t="s">
        <v>120</v>
      </c>
      <c r="C668" s="103" t="s">
        <v>120</v>
      </c>
      <c r="D668" s="103" t="s">
        <v>1266</v>
      </c>
      <c r="E668" s="103" t="s">
        <v>1948</v>
      </c>
      <c r="F668" s="104" t="s">
        <v>2025</v>
      </c>
      <c r="G668" s="110" t="s">
        <v>1395</v>
      </c>
      <c r="H668" s="390" t="s">
        <v>2333</v>
      </c>
      <c r="I668" s="391" t="s">
        <v>2517</v>
      </c>
      <c r="J668" s="220" t="s">
        <v>2518</v>
      </c>
      <c r="K668" s="220" t="str">
        <f>_xlfn.XLOOKUP(J668,[1]Sheet1!$A:$A,[1]Sheet1!$B:$B,"")</f>
        <v>#ERROR!</v>
      </c>
      <c r="L668" s="149" t="s">
        <v>2519</v>
      </c>
      <c r="M668" s="149" t="s">
        <v>2520</v>
      </c>
      <c r="N668" s="110" t="s">
        <v>162</v>
      </c>
      <c r="O668" s="104" t="s">
        <v>147</v>
      </c>
      <c r="P668" s="110"/>
      <c r="Q668" s="104" t="s">
        <v>1989</v>
      </c>
      <c r="R668" s="110" t="s">
        <v>1955</v>
      </c>
      <c r="S668" s="110">
        <v>2.0</v>
      </c>
      <c r="T668" s="155" t="e">
        <v>#N/A</v>
      </c>
      <c r="U668" s="155">
        <v>8.5447E9</v>
      </c>
      <c r="V668" s="157">
        <v>0.0</v>
      </c>
      <c r="W668" s="158">
        <v>30.0</v>
      </c>
      <c r="X668" s="155">
        <v>45.0</v>
      </c>
      <c r="Y668" s="155">
        <v>55.0</v>
      </c>
      <c r="Z668" s="155" t="s">
        <v>1938</v>
      </c>
      <c r="AA668" s="114">
        <f t="shared" si="786"/>
        <v>8439.230769</v>
      </c>
      <c r="AB668" s="395"/>
      <c r="AC668" s="159">
        <f t="shared" si="772"/>
        <v>7831.343284</v>
      </c>
      <c r="AD668" s="117">
        <f t="shared" si="783"/>
        <v>8243.519246</v>
      </c>
      <c r="AE668" s="159"/>
      <c r="AF668" s="159" t="str">
        <f t="shared" si="94"/>
        <v>#REF!</v>
      </c>
      <c r="AG668" s="396" t="str">
        <f t="shared" si="95"/>
        <v>#REF!</v>
      </c>
      <c r="AH668" s="120" t="str">
        <f t="shared" si="96"/>
        <v>#REF!</v>
      </c>
      <c r="AI668" s="157">
        <f t="shared" si="497"/>
        <v>0.07</v>
      </c>
      <c r="AJ668" s="157">
        <v>0.07</v>
      </c>
      <c r="AK668" s="157">
        <v>0.33</v>
      </c>
      <c r="AL668" s="123">
        <f t="shared" si="11"/>
        <v>2584.343284</v>
      </c>
      <c r="AM668" s="157" t="s">
        <v>10</v>
      </c>
      <c r="AN668" s="161">
        <f t="shared" si="774"/>
        <v>7831.343284</v>
      </c>
      <c r="AO668" s="157">
        <f t="shared" si="775"/>
        <v>0.33</v>
      </c>
      <c r="AP668" s="127"/>
      <c r="AQ668" s="163">
        <f t="shared" si="787"/>
        <v>5898.387097</v>
      </c>
      <c r="AR668" s="161">
        <f t="shared" si="776"/>
        <v>5641.935484</v>
      </c>
      <c r="AS668" s="162">
        <f t="shared" si="733"/>
        <v>0.3010752688</v>
      </c>
      <c r="AT668" s="162">
        <f t="shared" si="777"/>
        <v>0.2795698925</v>
      </c>
      <c r="AU668" s="129"/>
      <c r="AV668" s="39" t="s">
        <v>2242</v>
      </c>
      <c r="AW668" s="130"/>
      <c r="AX668" s="130"/>
      <c r="AY668" s="130"/>
      <c r="AZ668" s="130"/>
      <c r="BA668" s="130"/>
      <c r="BB668" s="130"/>
      <c r="BC668" s="392">
        <v>4770.0</v>
      </c>
      <c r="BD668" s="132">
        <f t="shared" si="788"/>
        <v>5247</v>
      </c>
      <c r="BE668" s="393"/>
      <c r="BF668" s="134"/>
      <c r="BG668" s="49"/>
      <c r="BH668" s="118">
        <f t="shared" si="714"/>
        <v>26104.47761</v>
      </c>
      <c r="BI668" s="118">
        <f t="shared" si="715"/>
        <v>15662.68657</v>
      </c>
      <c r="BJ668" s="118">
        <f t="shared" si="716"/>
        <v>13052.23881</v>
      </c>
      <c r="BK668" s="118">
        <f t="shared" si="717"/>
        <v>10441.79104</v>
      </c>
      <c r="BL668" s="49"/>
      <c r="BM668" s="49"/>
      <c r="BN668" s="394"/>
      <c r="BO668" s="49"/>
      <c r="BP668" s="49"/>
      <c r="BQ668" s="49"/>
      <c r="BR668" s="49"/>
      <c r="BS668" s="49"/>
      <c r="BT668" s="49"/>
      <c r="BU668" s="49"/>
      <c r="BV668" s="49"/>
      <c r="BW668" s="49"/>
      <c r="BX668" s="49"/>
      <c r="BY668" s="49"/>
      <c r="BZ668" s="49"/>
      <c r="CA668" s="49"/>
      <c r="CB668" s="49"/>
      <c r="CC668" s="49"/>
      <c r="CD668" s="49"/>
      <c r="CE668" s="49"/>
      <c r="CF668" s="49"/>
    </row>
    <row r="669" ht="14.25" customHeight="1">
      <c r="A669" s="103" t="s">
        <v>84</v>
      </c>
      <c r="B669" s="103" t="s">
        <v>120</v>
      </c>
      <c r="C669" s="103" t="s">
        <v>120</v>
      </c>
      <c r="D669" s="103" t="s">
        <v>1266</v>
      </c>
      <c r="E669" s="103" t="s">
        <v>1948</v>
      </c>
      <c r="F669" s="104" t="s">
        <v>2025</v>
      </c>
      <c r="G669" s="110" t="s">
        <v>1395</v>
      </c>
      <c r="H669" s="390" t="s">
        <v>2031</v>
      </c>
      <c r="I669" s="391" t="s">
        <v>2521</v>
      </c>
      <c r="J669" s="220" t="s">
        <v>2522</v>
      </c>
      <c r="K669" s="220" t="str">
        <f>_xlfn.XLOOKUP(J669,[1]Sheet1!$A:$A,[1]Sheet1!$B:$B,"")</f>
        <v>#ERROR!</v>
      </c>
      <c r="L669" s="149" t="s">
        <v>2523</v>
      </c>
      <c r="M669" s="149" t="s">
        <v>2524</v>
      </c>
      <c r="N669" s="110" t="s">
        <v>162</v>
      </c>
      <c r="O669" s="104" t="s">
        <v>147</v>
      </c>
      <c r="P669" s="110"/>
      <c r="Q669" s="104" t="s">
        <v>1989</v>
      </c>
      <c r="R669" s="110" t="s">
        <v>1955</v>
      </c>
      <c r="S669" s="110">
        <v>2.0</v>
      </c>
      <c r="T669" s="155" t="e">
        <v>#N/A</v>
      </c>
      <c r="U669" s="155">
        <v>8.5447E9</v>
      </c>
      <c r="V669" s="157">
        <v>0.0</v>
      </c>
      <c r="W669" s="158">
        <v>30.0</v>
      </c>
      <c r="X669" s="155">
        <v>45.0</v>
      </c>
      <c r="Y669" s="155">
        <v>55.0</v>
      </c>
      <c r="Z669" s="155" t="s">
        <v>1938</v>
      </c>
      <c r="AA669" s="114">
        <f t="shared" si="786"/>
        <v>11181.53846</v>
      </c>
      <c r="AB669" s="395"/>
      <c r="AC669" s="159">
        <f t="shared" si="772"/>
        <v>10376.1194</v>
      </c>
      <c r="AD669" s="117">
        <f t="shared" si="783"/>
        <v>10922.23095</v>
      </c>
      <c r="AE669" s="159"/>
      <c r="AF669" s="159" t="str">
        <f t="shared" si="94"/>
        <v>#REF!</v>
      </c>
      <c r="AG669" s="396" t="str">
        <f t="shared" si="95"/>
        <v>#REF!</v>
      </c>
      <c r="AH669" s="120" t="str">
        <f t="shared" si="96"/>
        <v>#REF!</v>
      </c>
      <c r="AI669" s="157">
        <f t="shared" si="497"/>
        <v>0.07</v>
      </c>
      <c r="AJ669" s="157">
        <v>0.07</v>
      </c>
      <c r="AK669" s="157">
        <v>0.33</v>
      </c>
      <c r="AL669" s="123">
        <f t="shared" si="11"/>
        <v>3424.119403</v>
      </c>
      <c r="AM669" s="157" t="s">
        <v>10</v>
      </c>
      <c r="AN669" s="161">
        <f t="shared" si="774"/>
        <v>10376.1194</v>
      </c>
      <c r="AO669" s="157">
        <f t="shared" si="775"/>
        <v>0.33</v>
      </c>
      <c r="AP669" s="127"/>
      <c r="AQ669" s="163">
        <f t="shared" si="787"/>
        <v>7815.053763</v>
      </c>
      <c r="AR669" s="161">
        <f t="shared" si="776"/>
        <v>7475.268817</v>
      </c>
      <c r="AS669" s="162">
        <f t="shared" si="733"/>
        <v>0.3010752688</v>
      </c>
      <c r="AT669" s="162">
        <f t="shared" si="777"/>
        <v>0.2795698925</v>
      </c>
      <c r="AU669" s="129"/>
      <c r="AV669" s="39" t="s">
        <v>2242</v>
      </c>
      <c r="AW669" s="130"/>
      <c r="AX669" s="130"/>
      <c r="AY669" s="130"/>
      <c r="AZ669" s="130"/>
      <c r="BA669" s="130"/>
      <c r="BB669" s="130"/>
      <c r="BC669" s="392">
        <v>6320.0</v>
      </c>
      <c r="BD669" s="132">
        <f t="shared" si="788"/>
        <v>6952</v>
      </c>
      <c r="BE669" s="393"/>
      <c r="BF669" s="134"/>
      <c r="BG669" s="49"/>
      <c r="BH669" s="118">
        <f t="shared" si="714"/>
        <v>34587.06468</v>
      </c>
      <c r="BI669" s="118">
        <f t="shared" si="715"/>
        <v>20752.23881</v>
      </c>
      <c r="BJ669" s="118">
        <f t="shared" si="716"/>
        <v>17293.53234</v>
      </c>
      <c r="BK669" s="118">
        <f t="shared" si="717"/>
        <v>13834.82587</v>
      </c>
      <c r="BL669" s="49"/>
      <c r="BM669" s="49"/>
      <c r="BN669" s="394"/>
      <c r="BO669" s="49"/>
      <c r="BP669" s="49"/>
      <c r="BQ669" s="49"/>
      <c r="BR669" s="49"/>
      <c r="BS669" s="49"/>
      <c r="BT669" s="49"/>
      <c r="BU669" s="49"/>
      <c r="BV669" s="49"/>
      <c r="BW669" s="49"/>
      <c r="BX669" s="49"/>
      <c r="BY669" s="49"/>
      <c r="BZ669" s="49"/>
      <c r="CA669" s="49"/>
      <c r="CB669" s="49"/>
      <c r="CC669" s="49"/>
      <c r="CD669" s="49"/>
      <c r="CE669" s="49"/>
      <c r="CF669" s="49"/>
    </row>
    <row r="670" ht="14.25" customHeight="1">
      <c r="A670" s="103" t="s">
        <v>84</v>
      </c>
      <c r="B670" s="103" t="s">
        <v>120</v>
      </c>
      <c r="C670" s="103" t="s">
        <v>120</v>
      </c>
      <c r="D670" s="103" t="s">
        <v>1266</v>
      </c>
      <c r="E670" s="103" t="s">
        <v>1948</v>
      </c>
      <c r="F670" s="104" t="s">
        <v>2025</v>
      </c>
      <c r="G670" s="110" t="s">
        <v>1395</v>
      </c>
      <c r="H670" s="390" t="s">
        <v>2339</v>
      </c>
      <c r="I670" s="391" t="s">
        <v>2525</v>
      </c>
      <c r="J670" s="220" t="s">
        <v>2526</v>
      </c>
      <c r="K670" s="220" t="str">
        <f>_xlfn.XLOOKUP(J670,[1]Sheet1!$A:$A,[1]Sheet1!$B:$B,"")</f>
        <v>#ERROR!</v>
      </c>
      <c r="L670" s="149" t="s">
        <v>2527</v>
      </c>
      <c r="M670" s="149" t="s">
        <v>2528</v>
      </c>
      <c r="N670" s="110" t="s">
        <v>162</v>
      </c>
      <c r="O670" s="104" t="s">
        <v>147</v>
      </c>
      <c r="P670" s="110"/>
      <c r="Q670" s="104" t="s">
        <v>1989</v>
      </c>
      <c r="R670" s="110" t="s">
        <v>1955</v>
      </c>
      <c r="S670" s="110">
        <v>2.0</v>
      </c>
      <c r="T670" s="155" t="e">
        <v>#N/A</v>
      </c>
      <c r="U670" s="155">
        <v>8.5447E9</v>
      </c>
      <c r="V670" s="157">
        <v>0.0</v>
      </c>
      <c r="W670" s="158">
        <v>30.0</v>
      </c>
      <c r="X670" s="155">
        <v>45.0</v>
      </c>
      <c r="Y670" s="155">
        <v>55.0</v>
      </c>
      <c r="Z670" s="155" t="s">
        <v>1938</v>
      </c>
      <c r="AA670" s="114">
        <f t="shared" si="786"/>
        <v>16365.38462</v>
      </c>
      <c r="AB670" s="395"/>
      <c r="AC670" s="159">
        <f t="shared" si="772"/>
        <v>15186.56716</v>
      </c>
      <c r="AD670" s="117">
        <f t="shared" si="783"/>
        <v>15985.86017</v>
      </c>
      <c r="AE670" s="159"/>
      <c r="AF670" s="159" t="str">
        <f t="shared" si="94"/>
        <v>#REF!</v>
      </c>
      <c r="AG670" s="396" t="str">
        <f t="shared" si="95"/>
        <v>#REF!</v>
      </c>
      <c r="AH670" s="120" t="str">
        <f t="shared" si="96"/>
        <v>#REF!</v>
      </c>
      <c r="AI670" s="157">
        <f t="shared" si="497"/>
        <v>0.07</v>
      </c>
      <c r="AJ670" s="157">
        <v>0.07</v>
      </c>
      <c r="AK670" s="157">
        <v>0.33</v>
      </c>
      <c r="AL670" s="123">
        <f t="shared" si="11"/>
        <v>5011.567164</v>
      </c>
      <c r="AM670" s="157" t="s">
        <v>10</v>
      </c>
      <c r="AN670" s="161">
        <f t="shared" si="774"/>
        <v>15186.56716</v>
      </c>
      <c r="AO670" s="157">
        <f t="shared" si="775"/>
        <v>0.33</v>
      </c>
      <c r="AP670" s="127"/>
      <c r="AQ670" s="163">
        <f t="shared" si="787"/>
        <v>11438.17204</v>
      </c>
      <c r="AR670" s="161">
        <f t="shared" si="776"/>
        <v>10940.86022</v>
      </c>
      <c r="AS670" s="162">
        <f t="shared" si="733"/>
        <v>0.3010752688</v>
      </c>
      <c r="AT670" s="162">
        <f t="shared" si="777"/>
        <v>0.2795698925</v>
      </c>
      <c r="AU670" s="129"/>
      <c r="AV670" s="39" t="s">
        <v>2242</v>
      </c>
      <c r="AW670" s="130"/>
      <c r="AX670" s="130"/>
      <c r="AY670" s="130"/>
      <c r="AZ670" s="130"/>
      <c r="BA670" s="130"/>
      <c r="BB670" s="130"/>
      <c r="BC670" s="392">
        <v>9250.0</v>
      </c>
      <c r="BD670" s="132">
        <f t="shared" si="788"/>
        <v>10175</v>
      </c>
      <c r="BE670" s="393"/>
      <c r="BF670" s="134"/>
      <c r="BG670" s="49"/>
      <c r="BH670" s="118">
        <f t="shared" si="714"/>
        <v>50621.89055</v>
      </c>
      <c r="BI670" s="118">
        <f t="shared" si="715"/>
        <v>30373.13433</v>
      </c>
      <c r="BJ670" s="118">
        <f t="shared" si="716"/>
        <v>25310.94527</v>
      </c>
      <c r="BK670" s="118">
        <f t="shared" si="717"/>
        <v>20248.75622</v>
      </c>
      <c r="BL670" s="49"/>
      <c r="BM670" s="49"/>
      <c r="BN670" s="394"/>
      <c r="BO670" s="49"/>
      <c r="BP670" s="49"/>
      <c r="BQ670" s="49"/>
      <c r="BR670" s="49"/>
      <c r="BS670" s="49"/>
      <c r="BT670" s="49"/>
      <c r="BU670" s="49"/>
      <c r="BV670" s="49"/>
      <c r="BW670" s="49"/>
      <c r="BX670" s="49"/>
      <c r="BY670" s="49"/>
      <c r="BZ670" s="49"/>
      <c r="CA670" s="49"/>
      <c r="CB670" s="49"/>
      <c r="CC670" s="49"/>
      <c r="CD670" s="49"/>
      <c r="CE670" s="49"/>
      <c r="CF670" s="49"/>
    </row>
    <row r="671" ht="14.25" customHeight="1">
      <c r="A671" s="103" t="s">
        <v>84</v>
      </c>
      <c r="B671" s="103" t="s">
        <v>120</v>
      </c>
      <c r="C671" s="103" t="s">
        <v>120</v>
      </c>
      <c r="D671" s="103" t="s">
        <v>1266</v>
      </c>
      <c r="E671" s="103" t="s">
        <v>1948</v>
      </c>
      <c r="F671" s="104" t="s">
        <v>2025</v>
      </c>
      <c r="G671" s="110" t="s">
        <v>1395</v>
      </c>
      <c r="H671" s="390" t="s">
        <v>2344</v>
      </c>
      <c r="I671" s="391" t="s">
        <v>2529</v>
      </c>
      <c r="J671" s="220" t="s">
        <v>2530</v>
      </c>
      <c r="K671" s="220" t="str">
        <f>_xlfn.XLOOKUP(J671,[1]Sheet1!$A:$A,[1]Sheet1!$B:$B,"")</f>
        <v>#ERROR!</v>
      </c>
      <c r="L671" s="149" t="s">
        <v>2531</v>
      </c>
      <c r="M671" s="149" t="s">
        <v>2532</v>
      </c>
      <c r="N671" s="110" t="s">
        <v>162</v>
      </c>
      <c r="O671" s="104" t="s">
        <v>147</v>
      </c>
      <c r="P671" s="110"/>
      <c r="Q671" s="104" t="s">
        <v>1989</v>
      </c>
      <c r="R671" s="110" t="s">
        <v>1955</v>
      </c>
      <c r="S671" s="110">
        <v>2.0</v>
      </c>
      <c r="T671" s="155" t="e">
        <v>#N/A</v>
      </c>
      <c r="U671" s="155">
        <v>8.5447E9</v>
      </c>
      <c r="V671" s="157">
        <v>0.0</v>
      </c>
      <c r="W671" s="158">
        <v>30.0</v>
      </c>
      <c r="X671" s="155">
        <v>45.0</v>
      </c>
      <c r="Y671" s="155">
        <v>55.0</v>
      </c>
      <c r="Z671" s="155" t="s">
        <v>1938</v>
      </c>
      <c r="AA671" s="114">
        <f t="shared" si="786"/>
        <v>31846.15385</v>
      </c>
      <c r="AB671" s="395"/>
      <c r="AC671" s="159">
        <f t="shared" si="772"/>
        <v>29552.23881</v>
      </c>
      <c r="AD671" s="117">
        <f t="shared" si="783"/>
        <v>31107.6198</v>
      </c>
      <c r="AE671" s="159"/>
      <c r="AF671" s="159" t="str">
        <f t="shared" si="94"/>
        <v>#REF!</v>
      </c>
      <c r="AG671" s="396" t="str">
        <f t="shared" si="95"/>
        <v>#REF!</v>
      </c>
      <c r="AH671" s="120" t="str">
        <f t="shared" si="96"/>
        <v>#REF!</v>
      </c>
      <c r="AI671" s="157">
        <f t="shared" si="497"/>
        <v>0.07</v>
      </c>
      <c r="AJ671" s="157">
        <v>0.07</v>
      </c>
      <c r="AK671" s="157">
        <v>0.33</v>
      </c>
      <c r="AL671" s="123">
        <f t="shared" si="11"/>
        <v>9752.238806</v>
      </c>
      <c r="AM671" s="157" t="s">
        <v>10</v>
      </c>
      <c r="AN671" s="161">
        <f t="shared" si="774"/>
        <v>29552.23881</v>
      </c>
      <c r="AO671" s="157">
        <f t="shared" si="775"/>
        <v>0.33</v>
      </c>
      <c r="AP671" s="127"/>
      <c r="AQ671" s="163">
        <f t="shared" si="787"/>
        <v>22258.06452</v>
      </c>
      <c r="AR671" s="161">
        <f t="shared" si="776"/>
        <v>21290.32258</v>
      </c>
      <c r="AS671" s="162">
        <f t="shared" si="733"/>
        <v>0.3010752688</v>
      </c>
      <c r="AT671" s="162">
        <f t="shared" si="777"/>
        <v>0.2795698925</v>
      </c>
      <c r="AU671" s="129"/>
      <c r="AV671" s="39" t="s">
        <v>2242</v>
      </c>
      <c r="AW671" s="130"/>
      <c r="AX671" s="130"/>
      <c r="AY671" s="130"/>
      <c r="AZ671" s="130"/>
      <c r="BA671" s="130"/>
      <c r="BB671" s="130"/>
      <c r="BC671" s="392">
        <v>18000.0</v>
      </c>
      <c r="BD671" s="132">
        <f t="shared" si="788"/>
        <v>19800</v>
      </c>
      <c r="BE671" s="393"/>
      <c r="BF671" s="134"/>
      <c r="BG671" s="49"/>
      <c r="BH671" s="118">
        <f t="shared" si="714"/>
        <v>98507.46269</v>
      </c>
      <c r="BI671" s="118">
        <f t="shared" si="715"/>
        <v>59104.47761</v>
      </c>
      <c r="BJ671" s="118">
        <f t="shared" si="716"/>
        <v>49253.73134</v>
      </c>
      <c r="BK671" s="118">
        <f t="shared" si="717"/>
        <v>39402.98507</v>
      </c>
      <c r="BL671" s="49"/>
      <c r="BM671" s="49"/>
      <c r="BN671" s="394"/>
      <c r="BO671" s="49"/>
      <c r="BP671" s="49"/>
      <c r="BQ671" s="49"/>
      <c r="BR671" s="49"/>
      <c r="BS671" s="49"/>
      <c r="BT671" s="49"/>
      <c r="BU671" s="49"/>
      <c r="BV671" s="49"/>
      <c r="BW671" s="49"/>
      <c r="BX671" s="49"/>
      <c r="BY671" s="49"/>
      <c r="BZ671" s="49"/>
      <c r="CA671" s="49"/>
      <c r="CB671" s="49"/>
      <c r="CC671" s="49"/>
      <c r="CD671" s="49"/>
      <c r="CE671" s="49"/>
      <c r="CF671" s="49"/>
    </row>
    <row r="672" ht="14.25" customHeight="1">
      <c r="A672" s="103" t="s">
        <v>84</v>
      </c>
      <c r="B672" s="103" t="s">
        <v>120</v>
      </c>
      <c r="C672" s="103" t="s">
        <v>120</v>
      </c>
      <c r="D672" s="103" t="s">
        <v>1266</v>
      </c>
      <c r="E672" s="103" t="s">
        <v>1948</v>
      </c>
      <c r="F672" s="104" t="s">
        <v>1972</v>
      </c>
      <c r="G672" s="110" t="s">
        <v>1395</v>
      </c>
      <c r="H672" s="390" t="s">
        <v>1950</v>
      </c>
      <c r="I672" s="391" t="s">
        <v>2533</v>
      </c>
      <c r="J672" s="220" t="s">
        <v>2079</v>
      </c>
      <c r="K672" s="220" t="str">
        <f>_xlfn.XLOOKUP(J672,[1]Sheet1!$A:$A,[1]Sheet1!$B:$B,"")</f>
        <v>#ERROR!</v>
      </c>
      <c r="L672" s="103" t="s">
        <v>2080</v>
      </c>
      <c r="M672" s="103" t="s">
        <v>2081</v>
      </c>
      <c r="N672" s="110" t="s">
        <v>162</v>
      </c>
      <c r="O672" s="104" t="s">
        <v>147</v>
      </c>
      <c r="P672" s="110"/>
      <c r="Q672" s="104" t="s">
        <v>1989</v>
      </c>
      <c r="R672" s="110" t="s">
        <v>1955</v>
      </c>
      <c r="S672" s="110">
        <v>2.0</v>
      </c>
      <c r="T672" s="110" t="e">
        <v>#N/A</v>
      </c>
      <c r="U672" s="110">
        <v>8.5447E9</v>
      </c>
      <c r="V672" s="112">
        <v>0.0</v>
      </c>
      <c r="W672" s="113">
        <v>30.0</v>
      </c>
      <c r="X672" s="110">
        <v>45.0</v>
      </c>
      <c r="Y672" s="110">
        <v>55.0</v>
      </c>
      <c r="Z672" s="110" t="s">
        <v>1938</v>
      </c>
      <c r="AA672" s="114">
        <f t="shared" si="786"/>
        <v>890.3225806</v>
      </c>
      <c r="AB672" s="115"/>
      <c r="AC672" s="116">
        <f t="shared" si="772"/>
        <v>825</v>
      </c>
      <c r="AD672" s="117">
        <f t="shared" si="783"/>
        <v>868.4210526</v>
      </c>
      <c r="AE672" s="116"/>
      <c r="AF672" s="116" t="str">
        <f t="shared" si="94"/>
        <v>#REF!</v>
      </c>
      <c r="AG672" s="210" t="str">
        <f t="shared" si="95"/>
        <v>#REF!</v>
      </c>
      <c r="AH672" s="120" t="str">
        <f t="shared" si="96"/>
        <v>#REF!</v>
      </c>
      <c r="AI672" s="121">
        <f t="shared" si="497"/>
        <v>0.07</v>
      </c>
      <c r="AJ672" s="121">
        <v>0.07</v>
      </c>
      <c r="AK672" s="122">
        <v>0.36</v>
      </c>
      <c r="AL672" s="123">
        <f t="shared" si="11"/>
        <v>297</v>
      </c>
      <c r="AM672" s="122" t="s">
        <v>10</v>
      </c>
      <c r="AN672" s="125">
        <f t="shared" si="774"/>
        <v>825</v>
      </c>
      <c r="AO672" s="112">
        <f t="shared" si="775"/>
        <v>0.36</v>
      </c>
      <c r="AP672" s="127"/>
      <c r="AQ672" s="128">
        <f t="shared" si="787"/>
        <v>593.5483871</v>
      </c>
      <c r="AR672" s="125">
        <f t="shared" si="776"/>
        <v>567.7419355</v>
      </c>
      <c r="AS672" s="126">
        <f t="shared" si="733"/>
        <v>0.3333333333</v>
      </c>
      <c r="AT672" s="126">
        <f t="shared" si="777"/>
        <v>0.311827957</v>
      </c>
      <c r="AU672" s="129"/>
      <c r="AV672" s="39" t="s">
        <v>2242</v>
      </c>
      <c r="AW672" s="130"/>
      <c r="AX672" s="130"/>
      <c r="AY672" s="130"/>
      <c r="AZ672" s="130"/>
      <c r="BA672" s="130"/>
      <c r="BB672" s="130"/>
      <c r="BC672" s="392">
        <v>480.0</v>
      </c>
      <c r="BD672" s="132">
        <f t="shared" si="788"/>
        <v>528</v>
      </c>
      <c r="BE672" s="393"/>
      <c r="BF672" s="134"/>
      <c r="BG672" s="49"/>
      <c r="BH672" s="118">
        <f t="shared" si="714"/>
        <v>2750</v>
      </c>
      <c r="BI672" s="118">
        <f t="shared" si="715"/>
        <v>1650</v>
      </c>
      <c r="BJ672" s="118">
        <f t="shared" si="716"/>
        <v>1375</v>
      </c>
      <c r="BK672" s="118">
        <f t="shared" si="717"/>
        <v>1100</v>
      </c>
      <c r="BL672" s="49"/>
      <c r="BM672" s="49"/>
      <c r="BN672" s="394"/>
      <c r="BO672" s="49"/>
      <c r="BP672" s="49"/>
      <c r="BQ672" s="49"/>
      <c r="BR672" s="49"/>
      <c r="BS672" s="49"/>
      <c r="BT672" s="49"/>
      <c r="BU672" s="49"/>
      <c r="BV672" s="49"/>
      <c r="BW672" s="49"/>
      <c r="BX672" s="49"/>
      <c r="BY672" s="49"/>
      <c r="BZ672" s="49"/>
      <c r="CA672" s="49"/>
      <c r="CB672" s="49"/>
      <c r="CC672" s="49"/>
      <c r="CD672" s="49"/>
      <c r="CE672" s="49"/>
      <c r="CF672" s="49"/>
    </row>
    <row r="673" ht="14.25" customHeight="1">
      <c r="A673" s="103" t="s">
        <v>84</v>
      </c>
      <c r="B673" s="103" t="s">
        <v>120</v>
      </c>
      <c r="C673" s="103" t="s">
        <v>120</v>
      </c>
      <c r="D673" s="103" t="s">
        <v>1266</v>
      </c>
      <c r="E673" s="103" t="s">
        <v>1948</v>
      </c>
      <c r="F673" s="104" t="s">
        <v>1972</v>
      </c>
      <c r="G673" s="110" t="s">
        <v>1395</v>
      </c>
      <c r="H673" s="390" t="s">
        <v>1957</v>
      </c>
      <c r="I673" s="391" t="s">
        <v>2534</v>
      </c>
      <c r="J673" s="220" t="s">
        <v>2083</v>
      </c>
      <c r="K673" s="220" t="str">
        <f>_xlfn.XLOOKUP(J673,[1]Sheet1!$A:$A,[1]Sheet1!$B:$B,"")</f>
        <v>#ERROR!</v>
      </c>
      <c r="L673" s="103" t="s">
        <v>2084</v>
      </c>
      <c r="M673" s="103" t="s">
        <v>2085</v>
      </c>
      <c r="N673" s="110" t="s">
        <v>162</v>
      </c>
      <c r="O673" s="104" t="s">
        <v>147</v>
      </c>
      <c r="P673" s="110"/>
      <c r="Q673" s="104" t="s">
        <v>1989</v>
      </c>
      <c r="R673" s="110" t="s">
        <v>1955</v>
      </c>
      <c r="S673" s="110">
        <v>2.0</v>
      </c>
      <c r="T673" s="110" t="e">
        <v>#N/A</v>
      </c>
      <c r="U673" s="110">
        <v>8.5447E9</v>
      </c>
      <c r="V673" s="112">
        <v>0.0</v>
      </c>
      <c r="W673" s="113">
        <v>30.0</v>
      </c>
      <c r="X673" s="110">
        <v>45.0</v>
      </c>
      <c r="Y673" s="110">
        <v>55.0</v>
      </c>
      <c r="Z673" s="110" t="s">
        <v>1938</v>
      </c>
      <c r="AA673" s="114">
        <f t="shared" si="786"/>
        <v>1103.629032</v>
      </c>
      <c r="AB673" s="115"/>
      <c r="AC673" s="116">
        <f t="shared" si="772"/>
        <v>1022.65625</v>
      </c>
      <c r="AD673" s="117">
        <f t="shared" si="783"/>
        <v>1076.480263</v>
      </c>
      <c r="AE673" s="116"/>
      <c r="AF673" s="116" t="str">
        <f t="shared" si="94"/>
        <v>#REF!</v>
      </c>
      <c r="AG673" s="210" t="str">
        <f t="shared" si="95"/>
        <v>#REF!</v>
      </c>
      <c r="AH673" s="120" t="str">
        <f t="shared" si="96"/>
        <v>#REF!</v>
      </c>
      <c r="AI673" s="121">
        <f t="shared" si="497"/>
        <v>0.07</v>
      </c>
      <c r="AJ673" s="121">
        <v>0.07</v>
      </c>
      <c r="AK673" s="122">
        <v>0.36</v>
      </c>
      <c r="AL673" s="123">
        <f t="shared" si="11"/>
        <v>368.15625</v>
      </c>
      <c r="AM673" s="122" t="s">
        <v>10</v>
      </c>
      <c r="AN673" s="125">
        <f t="shared" si="774"/>
        <v>1022.65625</v>
      </c>
      <c r="AO673" s="112">
        <f t="shared" si="775"/>
        <v>0.36</v>
      </c>
      <c r="AP673" s="127"/>
      <c r="AQ673" s="128">
        <f t="shared" si="787"/>
        <v>735.7526882</v>
      </c>
      <c r="AR673" s="125">
        <f t="shared" si="776"/>
        <v>703.7634409</v>
      </c>
      <c r="AS673" s="126">
        <f t="shared" si="733"/>
        <v>0.3333333333</v>
      </c>
      <c r="AT673" s="126">
        <f t="shared" si="777"/>
        <v>0.311827957</v>
      </c>
      <c r="AU673" s="129"/>
      <c r="AV673" s="39" t="s">
        <v>2242</v>
      </c>
      <c r="AW673" s="130"/>
      <c r="AX673" s="130"/>
      <c r="AY673" s="130"/>
      <c r="AZ673" s="130"/>
      <c r="BA673" s="130"/>
      <c r="BB673" s="130"/>
      <c r="BC673" s="392">
        <v>595.0</v>
      </c>
      <c r="BD673" s="132">
        <f t="shared" si="788"/>
        <v>654.5</v>
      </c>
      <c r="BE673" s="393"/>
      <c r="BF673" s="134"/>
      <c r="BG673" s="49"/>
      <c r="BH673" s="118">
        <f t="shared" si="714"/>
        <v>3408.854167</v>
      </c>
      <c r="BI673" s="118">
        <f t="shared" si="715"/>
        <v>2045.3125</v>
      </c>
      <c r="BJ673" s="118">
        <f t="shared" si="716"/>
        <v>1704.427083</v>
      </c>
      <c r="BK673" s="118">
        <f t="shared" si="717"/>
        <v>1363.541667</v>
      </c>
      <c r="BL673" s="49"/>
      <c r="BM673" s="49"/>
      <c r="BN673" s="394"/>
      <c r="BO673" s="49"/>
      <c r="BP673" s="49"/>
      <c r="BQ673" s="49"/>
      <c r="BR673" s="49"/>
      <c r="BS673" s="49"/>
      <c r="BT673" s="49"/>
      <c r="BU673" s="49"/>
      <c r="BV673" s="49"/>
      <c r="BW673" s="49"/>
      <c r="BX673" s="49"/>
      <c r="BY673" s="49"/>
      <c r="BZ673" s="49"/>
      <c r="CA673" s="49"/>
      <c r="CB673" s="49"/>
      <c r="CC673" s="49"/>
      <c r="CD673" s="49"/>
      <c r="CE673" s="49"/>
      <c r="CF673" s="49"/>
    </row>
    <row r="674" ht="14.25" customHeight="1">
      <c r="A674" s="103" t="s">
        <v>84</v>
      </c>
      <c r="B674" s="103" t="s">
        <v>120</v>
      </c>
      <c r="C674" s="103" t="s">
        <v>120</v>
      </c>
      <c r="D674" s="103" t="s">
        <v>1266</v>
      </c>
      <c r="E674" s="103" t="s">
        <v>1948</v>
      </c>
      <c r="F674" s="104" t="s">
        <v>1972</v>
      </c>
      <c r="G674" s="110" t="s">
        <v>1395</v>
      </c>
      <c r="H674" s="390" t="s">
        <v>1962</v>
      </c>
      <c r="I674" s="391" t="s">
        <v>2535</v>
      </c>
      <c r="J674" s="220" t="s">
        <v>2087</v>
      </c>
      <c r="K674" s="220" t="str">
        <f>_xlfn.XLOOKUP(J674,[1]Sheet1!$A:$A,[1]Sheet1!$B:$B,"")</f>
        <v>#ERROR!</v>
      </c>
      <c r="L674" s="103" t="s">
        <v>2088</v>
      </c>
      <c r="M674" s="103" t="s">
        <v>2089</v>
      </c>
      <c r="N674" s="110" t="s">
        <v>162</v>
      </c>
      <c r="O674" s="104" t="s">
        <v>147</v>
      </c>
      <c r="P674" s="110"/>
      <c r="Q674" s="104" t="s">
        <v>1989</v>
      </c>
      <c r="R674" s="110" t="s">
        <v>1955</v>
      </c>
      <c r="S674" s="110">
        <v>2.0</v>
      </c>
      <c r="T674" s="110" t="e">
        <v>#N/A</v>
      </c>
      <c r="U674" s="110">
        <v>8.5447E9</v>
      </c>
      <c r="V674" s="112">
        <v>0.0</v>
      </c>
      <c r="W674" s="113">
        <v>30.0</v>
      </c>
      <c r="X674" s="110">
        <v>45.0</v>
      </c>
      <c r="Y674" s="110">
        <v>55.0</v>
      </c>
      <c r="Z674" s="110" t="s">
        <v>1938</v>
      </c>
      <c r="AA674" s="114">
        <f t="shared" si="786"/>
        <v>1526.532258</v>
      </c>
      <c r="AB674" s="115"/>
      <c r="AC674" s="116">
        <f t="shared" si="772"/>
        <v>1414.53125</v>
      </c>
      <c r="AD674" s="117">
        <f t="shared" si="783"/>
        <v>1488.980263</v>
      </c>
      <c r="AE674" s="116"/>
      <c r="AF674" s="116" t="str">
        <f t="shared" si="94"/>
        <v>#REF!</v>
      </c>
      <c r="AG674" s="210" t="str">
        <f t="shared" si="95"/>
        <v>#REF!</v>
      </c>
      <c r="AH674" s="120" t="str">
        <f t="shared" si="96"/>
        <v>#REF!</v>
      </c>
      <c r="AI674" s="121">
        <f t="shared" si="497"/>
        <v>0.07</v>
      </c>
      <c r="AJ674" s="121">
        <v>0.07</v>
      </c>
      <c r="AK674" s="122">
        <v>0.36</v>
      </c>
      <c r="AL674" s="123">
        <f t="shared" si="11"/>
        <v>509.23125</v>
      </c>
      <c r="AM674" s="122" t="s">
        <v>10</v>
      </c>
      <c r="AN674" s="125">
        <f t="shared" si="774"/>
        <v>1414.53125</v>
      </c>
      <c r="AO674" s="112">
        <f t="shared" si="775"/>
        <v>0.36</v>
      </c>
      <c r="AP674" s="127"/>
      <c r="AQ674" s="128">
        <f t="shared" si="787"/>
        <v>1017.688172</v>
      </c>
      <c r="AR674" s="125">
        <f t="shared" si="776"/>
        <v>973.4408602</v>
      </c>
      <c r="AS674" s="126">
        <f t="shared" si="733"/>
        <v>0.3333333333</v>
      </c>
      <c r="AT674" s="126">
        <f t="shared" si="777"/>
        <v>0.311827957</v>
      </c>
      <c r="AU674" s="129"/>
      <c r="AV674" s="39" t="s">
        <v>2242</v>
      </c>
      <c r="AW674" s="130"/>
      <c r="AX674" s="130"/>
      <c r="AY674" s="130"/>
      <c r="AZ674" s="130"/>
      <c r="BA674" s="130"/>
      <c r="BB674" s="130"/>
      <c r="BC674" s="392">
        <v>823.0</v>
      </c>
      <c r="BD674" s="132">
        <f t="shared" si="788"/>
        <v>905.3</v>
      </c>
      <c r="BE674" s="393"/>
      <c r="BF674" s="134"/>
      <c r="BG674" s="49"/>
      <c r="BH674" s="118">
        <f t="shared" si="714"/>
        <v>4715.104167</v>
      </c>
      <c r="BI674" s="118">
        <f t="shared" si="715"/>
        <v>2829.0625</v>
      </c>
      <c r="BJ674" s="118">
        <f t="shared" si="716"/>
        <v>2357.552083</v>
      </c>
      <c r="BK674" s="118">
        <f t="shared" si="717"/>
        <v>1886.041667</v>
      </c>
      <c r="BL674" s="49"/>
      <c r="BM674" s="49"/>
      <c r="BN674" s="394"/>
      <c r="BO674" s="49"/>
      <c r="BP674" s="49"/>
      <c r="BQ674" s="49"/>
      <c r="BR674" s="49"/>
      <c r="BS674" s="49"/>
      <c r="BT674" s="49"/>
      <c r="BU674" s="49"/>
      <c r="BV674" s="49"/>
      <c r="BW674" s="49"/>
      <c r="BX674" s="49"/>
      <c r="BY674" s="49"/>
      <c r="BZ674" s="49"/>
      <c r="CA674" s="49"/>
      <c r="CB674" s="49"/>
      <c r="CC674" s="49"/>
      <c r="CD674" s="49"/>
      <c r="CE674" s="49"/>
      <c r="CF674" s="49"/>
    </row>
    <row r="675" ht="14.25" customHeight="1">
      <c r="A675" s="103" t="s">
        <v>84</v>
      </c>
      <c r="B675" s="103" t="s">
        <v>120</v>
      </c>
      <c r="C675" s="103" t="s">
        <v>120</v>
      </c>
      <c r="D675" s="103" t="s">
        <v>1266</v>
      </c>
      <c r="E675" s="103" t="s">
        <v>1948</v>
      </c>
      <c r="F675" s="104" t="s">
        <v>1972</v>
      </c>
      <c r="G675" s="110" t="s">
        <v>1395</v>
      </c>
      <c r="H675" s="390" t="s">
        <v>1967</v>
      </c>
      <c r="I675" s="391" t="s">
        <v>2536</v>
      </c>
      <c r="J675" s="220" t="s">
        <v>2091</v>
      </c>
      <c r="K675" s="220" t="str">
        <f>_xlfn.XLOOKUP(J675,[1]Sheet1!$A:$A,[1]Sheet1!$B:$B,"")</f>
        <v>#ERROR!</v>
      </c>
      <c r="L675" s="103" t="s">
        <v>2092</v>
      </c>
      <c r="M675" s="103" t="s">
        <v>2093</v>
      </c>
      <c r="N675" s="110" t="s">
        <v>162</v>
      </c>
      <c r="O675" s="104" t="s">
        <v>147</v>
      </c>
      <c r="P675" s="110"/>
      <c r="Q675" s="104" t="s">
        <v>1989</v>
      </c>
      <c r="R675" s="110" t="s">
        <v>1955</v>
      </c>
      <c r="S675" s="110">
        <v>2.0</v>
      </c>
      <c r="T675" s="110" t="e">
        <v>#N/A</v>
      </c>
      <c r="U675" s="110">
        <v>8.5447E9</v>
      </c>
      <c r="V675" s="112">
        <v>0.0</v>
      </c>
      <c r="W675" s="113">
        <v>30.0</v>
      </c>
      <c r="X675" s="110">
        <v>45.0</v>
      </c>
      <c r="Y675" s="110">
        <v>55.0</v>
      </c>
      <c r="Z675" s="110" t="s">
        <v>1938</v>
      </c>
      <c r="AA675" s="114">
        <f t="shared" si="786"/>
        <v>2800.806452</v>
      </c>
      <c r="AB675" s="115"/>
      <c r="AC675" s="116">
        <f t="shared" si="772"/>
        <v>2595.3125</v>
      </c>
      <c r="AD675" s="117">
        <f t="shared" si="783"/>
        <v>2731.907895</v>
      </c>
      <c r="AE675" s="116"/>
      <c r="AF675" s="116" t="str">
        <f t="shared" si="94"/>
        <v>#REF!</v>
      </c>
      <c r="AG675" s="210" t="str">
        <f t="shared" si="95"/>
        <v>#REF!</v>
      </c>
      <c r="AH675" s="120" t="str">
        <f t="shared" si="96"/>
        <v>#REF!</v>
      </c>
      <c r="AI675" s="121">
        <f t="shared" si="497"/>
        <v>0.07</v>
      </c>
      <c r="AJ675" s="121">
        <v>0.07</v>
      </c>
      <c r="AK675" s="122">
        <v>0.36</v>
      </c>
      <c r="AL675" s="123">
        <f t="shared" si="11"/>
        <v>934.3125</v>
      </c>
      <c r="AM675" s="122" t="s">
        <v>10</v>
      </c>
      <c r="AN675" s="125">
        <f t="shared" si="774"/>
        <v>2595.3125</v>
      </c>
      <c r="AO675" s="112">
        <f t="shared" si="775"/>
        <v>0.36</v>
      </c>
      <c r="AP675" s="127"/>
      <c r="AQ675" s="128">
        <f t="shared" si="787"/>
        <v>1867.204301</v>
      </c>
      <c r="AR675" s="125">
        <f t="shared" si="776"/>
        <v>1786.021505</v>
      </c>
      <c r="AS675" s="126">
        <f t="shared" si="733"/>
        <v>0.3333333333</v>
      </c>
      <c r="AT675" s="126">
        <f t="shared" si="777"/>
        <v>0.311827957</v>
      </c>
      <c r="AU675" s="129"/>
      <c r="AV675" s="39" t="s">
        <v>2242</v>
      </c>
      <c r="AW675" s="130"/>
      <c r="AX675" s="130"/>
      <c r="AY675" s="130"/>
      <c r="AZ675" s="130"/>
      <c r="BA675" s="130"/>
      <c r="BB675" s="130"/>
      <c r="BC675" s="392">
        <v>1510.0</v>
      </c>
      <c r="BD675" s="132">
        <f t="shared" si="788"/>
        <v>1661</v>
      </c>
      <c r="BE675" s="393"/>
      <c r="BF675" s="134"/>
      <c r="BG675" s="40"/>
      <c r="BH675" s="118">
        <f t="shared" si="714"/>
        <v>8651.041667</v>
      </c>
      <c r="BI675" s="118">
        <f t="shared" si="715"/>
        <v>5190.625</v>
      </c>
      <c r="BJ675" s="118">
        <f t="shared" si="716"/>
        <v>4325.520833</v>
      </c>
      <c r="BK675" s="118">
        <f t="shared" si="717"/>
        <v>3460.416667</v>
      </c>
      <c r="BL675" s="49"/>
      <c r="BM675" s="49"/>
      <c r="BN675" s="394"/>
      <c r="BO675" s="40"/>
      <c r="BP675" s="40"/>
      <c r="BQ675" s="40"/>
      <c r="BR675" s="40"/>
      <c r="BS675" s="40"/>
      <c r="BT675" s="40"/>
      <c r="BU675" s="40"/>
      <c r="BV675" s="40"/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</row>
    <row r="676" ht="14.25" customHeight="1">
      <c r="A676" s="103" t="s">
        <v>84</v>
      </c>
      <c r="B676" s="103" t="s">
        <v>120</v>
      </c>
      <c r="C676" s="103" t="s">
        <v>120</v>
      </c>
      <c r="D676" s="103" t="s">
        <v>1266</v>
      </c>
      <c r="E676" s="103" t="s">
        <v>1948</v>
      </c>
      <c r="F676" s="104" t="s">
        <v>1972</v>
      </c>
      <c r="G676" s="110" t="s">
        <v>1465</v>
      </c>
      <c r="H676" s="390" t="s">
        <v>1950</v>
      </c>
      <c r="I676" s="391" t="s">
        <v>2537</v>
      </c>
      <c r="J676" s="220" t="s">
        <v>2095</v>
      </c>
      <c r="K676" s="220" t="str">
        <f>_xlfn.XLOOKUP(J676,[1]Sheet1!$A:$A,[1]Sheet1!$B:$B,"")</f>
        <v>#ERROR!</v>
      </c>
      <c r="L676" s="103" t="s">
        <v>2096</v>
      </c>
      <c r="M676" s="103" t="s">
        <v>2097</v>
      </c>
      <c r="N676" s="110" t="s">
        <v>162</v>
      </c>
      <c r="O676" s="104" t="s">
        <v>147</v>
      </c>
      <c r="P676" s="110"/>
      <c r="Q676" s="104" t="s">
        <v>1989</v>
      </c>
      <c r="R676" s="110" t="s">
        <v>1955</v>
      </c>
      <c r="S676" s="110">
        <v>2.0</v>
      </c>
      <c r="T676" s="110" t="e">
        <v>#N/A</v>
      </c>
      <c r="U676" s="110">
        <v>8.5447E9</v>
      </c>
      <c r="V676" s="112">
        <v>0.0</v>
      </c>
      <c r="W676" s="113">
        <v>30.0</v>
      </c>
      <c r="X676" s="110">
        <v>45.0</v>
      </c>
      <c r="Y676" s="110">
        <v>55.0</v>
      </c>
      <c r="Z676" s="110" t="s">
        <v>1938</v>
      </c>
      <c r="AA676" s="114">
        <f t="shared" si="786"/>
        <v>1632.258065</v>
      </c>
      <c r="AB676" s="115"/>
      <c r="AC676" s="116">
        <f t="shared" si="772"/>
        <v>1512.5</v>
      </c>
      <c r="AD676" s="117">
        <f t="shared" si="783"/>
        <v>1592.105263</v>
      </c>
      <c r="AE676" s="116"/>
      <c r="AF676" s="116" t="str">
        <f t="shared" si="94"/>
        <v>#REF!</v>
      </c>
      <c r="AG676" s="210" t="str">
        <f t="shared" si="95"/>
        <v>#REF!</v>
      </c>
      <c r="AH676" s="120" t="str">
        <f t="shared" si="96"/>
        <v>#REF!</v>
      </c>
      <c r="AI676" s="121">
        <f t="shared" si="497"/>
        <v>0.07</v>
      </c>
      <c r="AJ676" s="121">
        <v>0.07</v>
      </c>
      <c r="AK676" s="122">
        <v>0.36</v>
      </c>
      <c r="AL676" s="123">
        <f t="shared" si="11"/>
        <v>544.5</v>
      </c>
      <c r="AM676" s="122" t="s">
        <v>10</v>
      </c>
      <c r="AN676" s="125">
        <f t="shared" si="774"/>
        <v>1512.5</v>
      </c>
      <c r="AO676" s="112">
        <f t="shared" si="775"/>
        <v>0.36</v>
      </c>
      <c r="AP676" s="127"/>
      <c r="AQ676" s="128">
        <f t="shared" si="787"/>
        <v>1088.172043</v>
      </c>
      <c r="AR676" s="125">
        <f t="shared" si="776"/>
        <v>1040.860215</v>
      </c>
      <c r="AS676" s="126">
        <f t="shared" si="733"/>
        <v>0.3333333333</v>
      </c>
      <c r="AT676" s="126">
        <f t="shared" si="777"/>
        <v>0.311827957</v>
      </c>
      <c r="AU676" s="129"/>
      <c r="AV676" s="39" t="s">
        <v>2242</v>
      </c>
      <c r="AW676" s="130"/>
      <c r="AX676" s="130"/>
      <c r="AY676" s="130"/>
      <c r="AZ676" s="130"/>
      <c r="BA676" s="130"/>
      <c r="BB676" s="130"/>
      <c r="BC676" s="392">
        <v>880.0</v>
      </c>
      <c r="BD676" s="132">
        <f t="shared" si="788"/>
        <v>968</v>
      </c>
      <c r="BE676" s="393"/>
      <c r="BF676" s="134"/>
      <c r="BG676" s="49"/>
      <c r="BH676" s="118">
        <f t="shared" si="714"/>
        <v>5041.666667</v>
      </c>
      <c r="BI676" s="118">
        <f t="shared" si="715"/>
        <v>3025</v>
      </c>
      <c r="BJ676" s="118">
        <f t="shared" si="716"/>
        <v>2520.833333</v>
      </c>
      <c r="BK676" s="118">
        <f t="shared" si="717"/>
        <v>2016.666667</v>
      </c>
      <c r="BL676" s="49"/>
      <c r="BM676" s="49"/>
      <c r="BN676" s="394"/>
      <c r="BO676" s="49"/>
      <c r="BP676" s="49"/>
      <c r="BQ676" s="49"/>
      <c r="BR676" s="49"/>
      <c r="BS676" s="49"/>
      <c r="BT676" s="49"/>
      <c r="BU676" s="49"/>
      <c r="BV676" s="49"/>
      <c r="BW676" s="49"/>
      <c r="BX676" s="49"/>
      <c r="BY676" s="49"/>
      <c r="BZ676" s="49"/>
      <c r="CA676" s="49"/>
      <c r="CB676" s="49"/>
      <c r="CC676" s="49"/>
      <c r="CD676" s="49"/>
      <c r="CE676" s="49"/>
      <c r="CF676" s="49"/>
    </row>
    <row r="677" ht="14.25" customHeight="1">
      <c r="A677" s="103" t="s">
        <v>84</v>
      </c>
      <c r="B677" s="103" t="s">
        <v>120</v>
      </c>
      <c r="C677" s="103" t="s">
        <v>120</v>
      </c>
      <c r="D677" s="103" t="s">
        <v>1266</v>
      </c>
      <c r="E677" s="103" t="s">
        <v>1948</v>
      </c>
      <c r="F677" s="104" t="s">
        <v>1972</v>
      </c>
      <c r="G677" s="110" t="s">
        <v>1465</v>
      </c>
      <c r="H677" s="390" t="s">
        <v>1957</v>
      </c>
      <c r="I677" s="391" t="s">
        <v>2538</v>
      </c>
      <c r="J677" s="220" t="s">
        <v>2099</v>
      </c>
      <c r="K677" s="220" t="str">
        <f>_xlfn.XLOOKUP(J677,[1]Sheet1!$A:$A,[1]Sheet1!$B:$B,"")</f>
        <v>#ERROR!</v>
      </c>
      <c r="L677" s="103" t="s">
        <v>2100</v>
      </c>
      <c r="M677" s="103" t="s">
        <v>2101</v>
      </c>
      <c r="N677" s="110" t="s">
        <v>162</v>
      </c>
      <c r="O677" s="104" t="s">
        <v>147</v>
      </c>
      <c r="P677" s="110"/>
      <c r="Q677" s="104" t="s">
        <v>1989</v>
      </c>
      <c r="R677" s="110" t="s">
        <v>1955</v>
      </c>
      <c r="S677" s="110">
        <v>2.0</v>
      </c>
      <c r="T677" s="110" t="e">
        <v>#N/A</v>
      </c>
      <c r="U677" s="110">
        <v>8.5447E9</v>
      </c>
      <c r="V677" s="112">
        <v>0.0</v>
      </c>
      <c r="W677" s="113">
        <v>30.0</v>
      </c>
      <c r="X677" s="110">
        <v>45.0</v>
      </c>
      <c r="Y677" s="110">
        <v>55.0</v>
      </c>
      <c r="Z677" s="110" t="s">
        <v>1938</v>
      </c>
      <c r="AA677" s="114">
        <f t="shared" si="786"/>
        <v>2140.483871</v>
      </c>
      <c r="AB677" s="115"/>
      <c r="AC677" s="116">
        <f t="shared" si="772"/>
        <v>1983.4375</v>
      </c>
      <c r="AD677" s="117">
        <f t="shared" si="783"/>
        <v>2087.828947</v>
      </c>
      <c r="AE677" s="116"/>
      <c r="AF677" s="116" t="str">
        <f t="shared" si="94"/>
        <v>#REF!</v>
      </c>
      <c r="AG677" s="210" t="str">
        <f t="shared" si="95"/>
        <v>#REF!</v>
      </c>
      <c r="AH677" s="120" t="str">
        <f t="shared" si="96"/>
        <v>#REF!</v>
      </c>
      <c r="AI677" s="121">
        <f t="shared" si="497"/>
        <v>0.07</v>
      </c>
      <c r="AJ677" s="121">
        <v>0.07</v>
      </c>
      <c r="AK677" s="122">
        <v>0.36</v>
      </c>
      <c r="AL677" s="123">
        <f t="shared" si="11"/>
        <v>714.0375</v>
      </c>
      <c r="AM677" s="122" t="s">
        <v>10</v>
      </c>
      <c r="AN677" s="125">
        <f t="shared" si="774"/>
        <v>1983.4375</v>
      </c>
      <c r="AO677" s="112">
        <f t="shared" si="775"/>
        <v>0.36</v>
      </c>
      <c r="AP677" s="127"/>
      <c r="AQ677" s="128">
        <f t="shared" si="787"/>
        <v>1426.989247</v>
      </c>
      <c r="AR677" s="125">
        <f t="shared" si="776"/>
        <v>1364.946237</v>
      </c>
      <c r="AS677" s="126">
        <f t="shared" si="733"/>
        <v>0.3333333333</v>
      </c>
      <c r="AT677" s="126">
        <f t="shared" si="777"/>
        <v>0.311827957</v>
      </c>
      <c r="AU677" s="129"/>
      <c r="AV677" s="39" t="s">
        <v>2242</v>
      </c>
      <c r="AW677" s="130"/>
      <c r="AX677" s="130"/>
      <c r="AY677" s="130"/>
      <c r="AZ677" s="130"/>
      <c r="BA677" s="130"/>
      <c r="BB677" s="130"/>
      <c r="BC677" s="392">
        <v>1154.0</v>
      </c>
      <c r="BD677" s="132">
        <f t="shared" si="788"/>
        <v>1269.4</v>
      </c>
      <c r="BE677" s="393"/>
      <c r="BF677" s="134"/>
      <c r="BG677" s="49"/>
      <c r="BH677" s="118">
        <f t="shared" si="714"/>
        <v>6611.458333</v>
      </c>
      <c r="BI677" s="118">
        <f t="shared" si="715"/>
        <v>3966.875</v>
      </c>
      <c r="BJ677" s="118">
        <f t="shared" si="716"/>
        <v>3305.729167</v>
      </c>
      <c r="BK677" s="118">
        <f t="shared" si="717"/>
        <v>2644.583333</v>
      </c>
      <c r="BL677" s="49"/>
      <c r="BM677" s="49"/>
      <c r="BN677" s="394"/>
      <c r="BO677" s="49"/>
      <c r="BP677" s="49"/>
      <c r="BQ677" s="49"/>
      <c r="BR677" s="49"/>
      <c r="BS677" s="49"/>
      <c r="BT677" s="49"/>
      <c r="BU677" s="49"/>
      <c r="BV677" s="49"/>
      <c r="BW677" s="49"/>
      <c r="BX677" s="49"/>
      <c r="BY677" s="49"/>
      <c r="BZ677" s="49"/>
      <c r="CA677" s="49"/>
      <c r="CB677" s="49"/>
      <c r="CC677" s="49"/>
      <c r="CD677" s="49"/>
      <c r="CE677" s="49"/>
      <c r="CF677" s="49"/>
    </row>
    <row r="678" ht="14.25" customHeight="1">
      <c r="A678" s="103" t="s">
        <v>84</v>
      </c>
      <c r="B678" s="103" t="s">
        <v>120</v>
      </c>
      <c r="C678" s="103" t="s">
        <v>120</v>
      </c>
      <c r="D678" s="103" t="s">
        <v>1266</v>
      </c>
      <c r="E678" s="103" t="s">
        <v>1948</v>
      </c>
      <c r="F678" s="104" t="s">
        <v>1972</v>
      </c>
      <c r="G678" s="110" t="s">
        <v>1465</v>
      </c>
      <c r="H678" s="390" t="s">
        <v>1962</v>
      </c>
      <c r="I678" s="391" t="s">
        <v>2539</v>
      </c>
      <c r="J678" s="220" t="s">
        <v>2103</v>
      </c>
      <c r="K678" s="220" t="str">
        <f>_xlfn.XLOOKUP(J678,[1]Sheet1!$A:$A,[1]Sheet1!$B:$B,"")</f>
        <v>#ERROR!</v>
      </c>
      <c r="L678" s="103" t="s">
        <v>2104</v>
      </c>
      <c r="M678" s="103" t="s">
        <v>2105</v>
      </c>
      <c r="N678" s="110" t="s">
        <v>162</v>
      </c>
      <c r="O678" s="104" t="s">
        <v>147</v>
      </c>
      <c r="P678" s="110"/>
      <c r="Q678" s="104" t="s">
        <v>1989</v>
      </c>
      <c r="R678" s="110" t="s">
        <v>1955</v>
      </c>
      <c r="S678" s="110">
        <v>2.0</v>
      </c>
      <c r="T678" s="110" t="e">
        <v>#N/A</v>
      </c>
      <c r="U678" s="110">
        <v>8.5447E9</v>
      </c>
      <c r="V678" s="112">
        <v>0.0</v>
      </c>
      <c r="W678" s="113">
        <v>30.0</v>
      </c>
      <c r="X678" s="110">
        <v>45.0</v>
      </c>
      <c r="Y678" s="110">
        <v>55.0</v>
      </c>
      <c r="Z678" s="110" t="s">
        <v>1938</v>
      </c>
      <c r="AA678" s="114">
        <f t="shared" si="786"/>
        <v>3153.225806</v>
      </c>
      <c r="AB678" s="115"/>
      <c r="AC678" s="116">
        <f t="shared" si="772"/>
        <v>2921.875</v>
      </c>
      <c r="AD678" s="117">
        <f t="shared" si="783"/>
        <v>3075.657895</v>
      </c>
      <c r="AE678" s="116"/>
      <c r="AF678" s="116" t="str">
        <f t="shared" si="94"/>
        <v>#REF!</v>
      </c>
      <c r="AG678" s="210" t="str">
        <f t="shared" si="95"/>
        <v>#REF!</v>
      </c>
      <c r="AH678" s="120" t="str">
        <f t="shared" si="96"/>
        <v>#REF!</v>
      </c>
      <c r="AI678" s="121">
        <f t="shared" si="497"/>
        <v>0.07</v>
      </c>
      <c r="AJ678" s="121">
        <v>0.07</v>
      </c>
      <c r="AK678" s="122">
        <v>0.36</v>
      </c>
      <c r="AL678" s="123">
        <f t="shared" si="11"/>
        <v>1051.875</v>
      </c>
      <c r="AM678" s="122" t="s">
        <v>10</v>
      </c>
      <c r="AN678" s="125">
        <f t="shared" si="774"/>
        <v>2921.875</v>
      </c>
      <c r="AO678" s="112">
        <f t="shared" si="775"/>
        <v>0.36</v>
      </c>
      <c r="AP678" s="127"/>
      <c r="AQ678" s="128">
        <f t="shared" si="787"/>
        <v>2102.150538</v>
      </c>
      <c r="AR678" s="125">
        <f t="shared" si="776"/>
        <v>2010.752688</v>
      </c>
      <c r="AS678" s="126">
        <f t="shared" si="733"/>
        <v>0.3333333333</v>
      </c>
      <c r="AT678" s="126">
        <f t="shared" si="777"/>
        <v>0.311827957</v>
      </c>
      <c r="AU678" s="129"/>
      <c r="AV678" s="39" t="s">
        <v>2242</v>
      </c>
      <c r="AW678" s="130"/>
      <c r="AX678" s="130"/>
      <c r="AY678" s="130"/>
      <c r="AZ678" s="130"/>
      <c r="BA678" s="130"/>
      <c r="BB678" s="130"/>
      <c r="BC678" s="392">
        <v>1700.0</v>
      </c>
      <c r="BD678" s="132">
        <f t="shared" si="788"/>
        <v>1870</v>
      </c>
      <c r="BE678" s="393"/>
      <c r="BF678" s="134"/>
      <c r="BG678" s="49"/>
      <c r="BH678" s="118">
        <f t="shared" si="714"/>
        <v>9739.583333</v>
      </c>
      <c r="BI678" s="118">
        <f t="shared" si="715"/>
        <v>5843.75</v>
      </c>
      <c r="BJ678" s="118">
        <f t="shared" si="716"/>
        <v>4869.791667</v>
      </c>
      <c r="BK678" s="118">
        <f t="shared" si="717"/>
        <v>3895.833333</v>
      </c>
      <c r="BL678" s="49"/>
      <c r="BM678" s="49"/>
      <c r="BN678" s="394"/>
      <c r="BO678" s="49"/>
      <c r="BP678" s="49"/>
      <c r="BQ678" s="49"/>
      <c r="BR678" s="49"/>
      <c r="BS678" s="49"/>
      <c r="BT678" s="49"/>
      <c r="BU678" s="49"/>
      <c r="BV678" s="49"/>
      <c r="BW678" s="49"/>
      <c r="BX678" s="49"/>
      <c r="BY678" s="49"/>
      <c r="BZ678" s="49"/>
      <c r="CA678" s="49"/>
      <c r="CB678" s="49"/>
      <c r="CC678" s="49"/>
      <c r="CD678" s="49"/>
      <c r="CE678" s="49"/>
      <c r="CF678" s="49"/>
    </row>
    <row r="679" ht="14.25" customHeight="1">
      <c r="A679" s="103" t="s">
        <v>84</v>
      </c>
      <c r="B679" s="103" t="s">
        <v>120</v>
      </c>
      <c r="C679" s="103" t="s">
        <v>120</v>
      </c>
      <c r="D679" s="103" t="s">
        <v>1266</v>
      </c>
      <c r="E679" s="103" t="s">
        <v>1948</v>
      </c>
      <c r="F679" s="104" t="s">
        <v>1972</v>
      </c>
      <c r="G679" s="110" t="s">
        <v>1465</v>
      </c>
      <c r="H679" s="390" t="s">
        <v>1967</v>
      </c>
      <c r="I679" s="391" t="s">
        <v>2540</v>
      </c>
      <c r="J679" s="220" t="s">
        <v>2107</v>
      </c>
      <c r="K679" s="220" t="str">
        <f>_xlfn.XLOOKUP(J679,[1]Sheet1!$A:$A,[1]Sheet1!$B:$B,"")</f>
        <v>#ERROR!</v>
      </c>
      <c r="L679" s="103" t="s">
        <v>2108</v>
      </c>
      <c r="M679" s="103" t="s">
        <v>2109</v>
      </c>
      <c r="N679" s="110" t="s">
        <v>162</v>
      </c>
      <c r="O679" s="104" t="s">
        <v>147</v>
      </c>
      <c r="P679" s="110"/>
      <c r="Q679" s="104" t="s">
        <v>1989</v>
      </c>
      <c r="R679" s="110" t="s">
        <v>1955</v>
      </c>
      <c r="S679" s="110">
        <v>2.0</v>
      </c>
      <c r="T679" s="110" t="e">
        <v>#N/A</v>
      </c>
      <c r="U679" s="110">
        <v>8.5447E9</v>
      </c>
      <c r="V679" s="112">
        <v>0.0</v>
      </c>
      <c r="W679" s="113">
        <v>30.0</v>
      </c>
      <c r="X679" s="110">
        <v>45.0</v>
      </c>
      <c r="Y679" s="110">
        <v>55.0</v>
      </c>
      <c r="Z679" s="110" t="s">
        <v>1938</v>
      </c>
      <c r="AA679" s="114">
        <f t="shared" si="786"/>
        <v>6009.677419</v>
      </c>
      <c r="AB679" s="115"/>
      <c r="AC679" s="116">
        <f t="shared" si="772"/>
        <v>5568.75</v>
      </c>
      <c r="AD679" s="117">
        <f t="shared" si="783"/>
        <v>5861.842105</v>
      </c>
      <c r="AE679" s="116"/>
      <c r="AF679" s="116" t="str">
        <f t="shared" si="94"/>
        <v>#REF!</v>
      </c>
      <c r="AG679" s="210" t="str">
        <f t="shared" si="95"/>
        <v>#REF!</v>
      </c>
      <c r="AH679" s="120" t="str">
        <f t="shared" si="96"/>
        <v>#REF!</v>
      </c>
      <c r="AI679" s="121">
        <f t="shared" si="497"/>
        <v>0.07</v>
      </c>
      <c r="AJ679" s="121">
        <v>0.07</v>
      </c>
      <c r="AK679" s="122">
        <v>0.36</v>
      </c>
      <c r="AL679" s="123">
        <f t="shared" si="11"/>
        <v>2004.75</v>
      </c>
      <c r="AM679" s="122" t="s">
        <v>10</v>
      </c>
      <c r="AN679" s="125">
        <f t="shared" si="774"/>
        <v>5568.75</v>
      </c>
      <c r="AO679" s="112">
        <f t="shared" si="775"/>
        <v>0.36</v>
      </c>
      <c r="AP679" s="127"/>
      <c r="AQ679" s="128">
        <f t="shared" si="787"/>
        <v>4006.451613</v>
      </c>
      <c r="AR679" s="125">
        <f t="shared" si="776"/>
        <v>3832.258065</v>
      </c>
      <c r="AS679" s="126">
        <f t="shared" si="733"/>
        <v>0.3333333333</v>
      </c>
      <c r="AT679" s="126">
        <f t="shared" si="777"/>
        <v>0.311827957</v>
      </c>
      <c r="AU679" s="129"/>
      <c r="AV679" s="39" t="s">
        <v>2242</v>
      </c>
      <c r="AW679" s="130"/>
      <c r="AX679" s="130"/>
      <c r="AY679" s="130"/>
      <c r="AZ679" s="130"/>
      <c r="BA679" s="130"/>
      <c r="BB679" s="130"/>
      <c r="BC679" s="392">
        <v>3240.0</v>
      </c>
      <c r="BD679" s="132">
        <f t="shared" si="788"/>
        <v>3564</v>
      </c>
      <c r="BE679" s="393"/>
      <c r="BF679" s="134"/>
      <c r="BG679" s="49"/>
      <c r="BH679" s="118">
        <f t="shared" si="714"/>
        <v>18562.5</v>
      </c>
      <c r="BI679" s="118">
        <f t="shared" si="715"/>
        <v>11137.5</v>
      </c>
      <c r="BJ679" s="118">
        <f t="shared" si="716"/>
        <v>9281.25</v>
      </c>
      <c r="BK679" s="118">
        <f t="shared" si="717"/>
        <v>7425</v>
      </c>
      <c r="BL679" s="49"/>
      <c r="BM679" s="49"/>
      <c r="BN679" s="394"/>
      <c r="BO679" s="49"/>
      <c r="BP679" s="49"/>
      <c r="BQ679" s="49"/>
      <c r="BR679" s="49"/>
      <c r="BS679" s="49"/>
      <c r="BT679" s="49"/>
      <c r="BU679" s="49"/>
      <c r="BV679" s="49"/>
      <c r="BW679" s="49"/>
      <c r="BX679" s="49"/>
      <c r="BY679" s="49"/>
      <c r="BZ679" s="49"/>
      <c r="CA679" s="49"/>
      <c r="CB679" s="49"/>
      <c r="CC679" s="49"/>
      <c r="CD679" s="49"/>
      <c r="CE679" s="49"/>
      <c r="CF679" s="49"/>
    </row>
    <row r="680" ht="14.25" customHeight="1">
      <c r="A680" s="103" t="s">
        <v>84</v>
      </c>
      <c r="B680" s="103" t="s">
        <v>120</v>
      </c>
      <c r="C680" s="103" t="s">
        <v>120</v>
      </c>
      <c r="D680" s="103" t="s">
        <v>1266</v>
      </c>
      <c r="E680" s="103" t="s">
        <v>1948</v>
      </c>
      <c r="F680" s="104" t="s">
        <v>2036</v>
      </c>
      <c r="G680" s="110" t="s">
        <v>1395</v>
      </c>
      <c r="H680" s="390" t="s">
        <v>2026</v>
      </c>
      <c r="I680" s="391" t="s">
        <v>2541</v>
      </c>
      <c r="J680" s="220" t="s">
        <v>2111</v>
      </c>
      <c r="K680" s="220" t="str">
        <f>_xlfn.XLOOKUP(J680,[1]Sheet1!$A:$A,[1]Sheet1!$B:$B,"")</f>
        <v>#ERROR!</v>
      </c>
      <c r="L680" s="103" t="s">
        <v>2112</v>
      </c>
      <c r="M680" s="103" t="s">
        <v>2113</v>
      </c>
      <c r="N680" s="110" t="s">
        <v>206</v>
      </c>
      <c r="O680" s="104" t="s">
        <v>147</v>
      </c>
      <c r="P680" s="110"/>
      <c r="Q680" s="104" t="s">
        <v>1989</v>
      </c>
      <c r="R680" s="110" t="s">
        <v>1955</v>
      </c>
      <c r="S680" s="110">
        <v>2.0</v>
      </c>
      <c r="T680" s="110" t="e">
        <v>#N/A</v>
      </c>
      <c r="U680" s="110">
        <v>8.5447E9</v>
      </c>
      <c r="V680" s="112">
        <v>0.0</v>
      </c>
      <c r="W680" s="113">
        <v>30.0</v>
      </c>
      <c r="X680" s="110">
        <v>45.0</v>
      </c>
      <c r="Y680" s="110">
        <v>55.0</v>
      </c>
      <c r="Z680" s="110" t="s">
        <v>1938</v>
      </c>
      <c r="AA680" s="114">
        <f t="shared" si="786"/>
        <v>5341.935484</v>
      </c>
      <c r="AB680" s="115"/>
      <c r="AC680" s="116">
        <f t="shared" si="772"/>
        <v>4950</v>
      </c>
      <c r="AD680" s="117">
        <f t="shared" si="783"/>
        <v>5210.526316</v>
      </c>
      <c r="AE680" s="116"/>
      <c r="AF680" s="116" t="str">
        <f t="shared" si="94"/>
        <v>#REF!</v>
      </c>
      <c r="AG680" s="210" t="str">
        <f t="shared" si="95"/>
        <v>#REF!</v>
      </c>
      <c r="AH680" s="120" t="str">
        <f t="shared" si="96"/>
        <v>#REF!</v>
      </c>
      <c r="AI680" s="121">
        <f t="shared" si="497"/>
        <v>0.07</v>
      </c>
      <c r="AJ680" s="121">
        <v>0.07</v>
      </c>
      <c r="AK680" s="122">
        <v>0.36</v>
      </c>
      <c r="AL680" s="123">
        <f t="shared" si="11"/>
        <v>1782</v>
      </c>
      <c r="AM680" s="122" t="s">
        <v>10</v>
      </c>
      <c r="AN680" s="125">
        <f t="shared" si="774"/>
        <v>4950</v>
      </c>
      <c r="AO680" s="112">
        <f t="shared" si="775"/>
        <v>0.36</v>
      </c>
      <c r="AP680" s="127"/>
      <c r="AQ680" s="128">
        <f t="shared" si="787"/>
        <v>3561.290323</v>
      </c>
      <c r="AR680" s="125">
        <f t="shared" si="776"/>
        <v>3406.451613</v>
      </c>
      <c r="AS680" s="126">
        <f t="shared" si="733"/>
        <v>0.3333333333</v>
      </c>
      <c r="AT680" s="126">
        <f t="shared" si="777"/>
        <v>0.311827957</v>
      </c>
      <c r="AU680" s="129"/>
      <c r="AV680" s="39" t="s">
        <v>2242</v>
      </c>
      <c r="AW680" s="130"/>
      <c r="AX680" s="130"/>
      <c r="AY680" s="130"/>
      <c r="AZ680" s="130"/>
      <c r="BA680" s="130"/>
      <c r="BB680" s="130"/>
      <c r="BC680" s="392">
        <v>2880.0</v>
      </c>
      <c r="BD680" s="132">
        <f t="shared" si="788"/>
        <v>3168</v>
      </c>
      <c r="BE680" s="393"/>
      <c r="BF680" s="134"/>
      <c r="BG680" s="49"/>
      <c r="BH680" s="118">
        <f t="shared" si="714"/>
        <v>16500</v>
      </c>
      <c r="BI680" s="118">
        <f t="shared" si="715"/>
        <v>9900</v>
      </c>
      <c r="BJ680" s="118">
        <f t="shared" si="716"/>
        <v>8250</v>
      </c>
      <c r="BK680" s="118">
        <f t="shared" si="717"/>
        <v>6600</v>
      </c>
      <c r="BL680" s="49"/>
      <c r="BM680" s="49"/>
      <c r="BN680" s="394"/>
      <c r="BO680" s="49"/>
      <c r="BP680" s="49"/>
      <c r="BQ680" s="49"/>
      <c r="BR680" s="49"/>
      <c r="BS680" s="49"/>
      <c r="BT680" s="49"/>
      <c r="BU680" s="49"/>
      <c r="BV680" s="49"/>
      <c r="BW680" s="49"/>
      <c r="BX680" s="49"/>
      <c r="BY680" s="49"/>
      <c r="BZ680" s="49"/>
      <c r="CA680" s="49"/>
      <c r="CB680" s="49"/>
      <c r="CC680" s="49"/>
      <c r="CD680" s="49"/>
      <c r="CE680" s="49"/>
      <c r="CF680" s="49"/>
    </row>
    <row r="681" ht="14.25" customHeight="1">
      <c r="A681" s="103" t="s">
        <v>84</v>
      </c>
      <c r="B681" s="103" t="s">
        <v>120</v>
      </c>
      <c r="C681" s="103" t="s">
        <v>120</v>
      </c>
      <c r="D681" s="103" t="s">
        <v>1266</v>
      </c>
      <c r="E681" s="103" t="s">
        <v>1948</v>
      </c>
      <c r="F681" s="104" t="s">
        <v>2036</v>
      </c>
      <c r="G681" s="110" t="s">
        <v>1395</v>
      </c>
      <c r="H681" s="390" t="s">
        <v>2031</v>
      </c>
      <c r="I681" s="391" t="s">
        <v>2542</v>
      </c>
      <c r="J681" s="220" t="s">
        <v>2115</v>
      </c>
      <c r="K681" s="220" t="str">
        <f>_xlfn.XLOOKUP(J681,[1]Sheet1!$A:$A,[1]Sheet1!$B:$B,"")</f>
        <v>#ERROR!</v>
      </c>
      <c r="L681" s="103" t="s">
        <v>2116</v>
      </c>
      <c r="M681" s="103" t="s">
        <v>2117</v>
      </c>
      <c r="N681" s="110" t="s">
        <v>206</v>
      </c>
      <c r="O681" s="104" t="s">
        <v>147</v>
      </c>
      <c r="P681" s="110"/>
      <c r="Q681" s="104" t="s">
        <v>1989</v>
      </c>
      <c r="R681" s="110" t="s">
        <v>1955</v>
      </c>
      <c r="S681" s="110">
        <v>2.0</v>
      </c>
      <c r="T681" s="110" t="e">
        <v>#N/A</v>
      </c>
      <c r="U681" s="110">
        <v>8.5447E9</v>
      </c>
      <c r="V681" s="112">
        <v>0.0</v>
      </c>
      <c r="W681" s="113">
        <v>30.0</v>
      </c>
      <c r="X681" s="110">
        <v>45.0</v>
      </c>
      <c r="Y681" s="110">
        <v>55.0</v>
      </c>
      <c r="Z681" s="110" t="s">
        <v>1938</v>
      </c>
      <c r="AA681" s="114">
        <f t="shared" si="786"/>
        <v>10173.79032</v>
      </c>
      <c r="AB681" s="115"/>
      <c r="AC681" s="116">
        <f t="shared" si="772"/>
        <v>9427.34375</v>
      </c>
      <c r="AD681" s="117">
        <f t="shared" si="783"/>
        <v>9923.519737</v>
      </c>
      <c r="AE681" s="116"/>
      <c r="AF681" s="116" t="str">
        <f t="shared" si="94"/>
        <v>#REF!</v>
      </c>
      <c r="AG681" s="210" t="str">
        <f t="shared" si="95"/>
        <v>#REF!</v>
      </c>
      <c r="AH681" s="120" t="str">
        <f t="shared" si="96"/>
        <v>#REF!</v>
      </c>
      <c r="AI681" s="121">
        <f t="shared" si="497"/>
        <v>0.07</v>
      </c>
      <c r="AJ681" s="121">
        <v>0.07</v>
      </c>
      <c r="AK681" s="122">
        <v>0.36</v>
      </c>
      <c r="AL681" s="123">
        <f t="shared" si="11"/>
        <v>3393.84375</v>
      </c>
      <c r="AM681" s="122" t="s">
        <v>10</v>
      </c>
      <c r="AN681" s="125">
        <f t="shared" si="774"/>
        <v>9427.34375</v>
      </c>
      <c r="AO681" s="112">
        <f t="shared" si="775"/>
        <v>0.36</v>
      </c>
      <c r="AP681" s="127"/>
      <c r="AQ681" s="128">
        <f t="shared" si="787"/>
        <v>6782.526882</v>
      </c>
      <c r="AR681" s="125">
        <f t="shared" si="776"/>
        <v>6487.634409</v>
      </c>
      <c r="AS681" s="126">
        <f t="shared" si="733"/>
        <v>0.3333333333</v>
      </c>
      <c r="AT681" s="126">
        <f t="shared" si="777"/>
        <v>0.311827957</v>
      </c>
      <c r="AU681" s="129"/>
      <c r="AV681" s="39" t="s">
        <v>2242</v>
      </c>
      <c r="AW681" s="130"/>
      <c r="AX681" s="130"/>
      <c r="AY681" s="130"/>
      <c r="AZ681" s="130"/>
      <c r="BA681" s="130"/>
      <c r="BB681" s="130"/>
      <c r="BC681" s="392">
        <v>5485.0</v>
      </c>
      <c r="BD681" s="132">
        <f t="shared" si="788"/>
        <v>6033.5</v>
      </c>
      <c r="BE681" s="393"/>
      <c r="BF681" s="134"/>
      <c r="BG681" s="49"/>
      <c r="BH681" s="118">
        <f t="shared" si="714"/>
        <v>31424.47917</v>
      </c>
      <c r="BI681" s="118">
        <f t="shared" si="715"/>
        <v>18854.6875</v>
      </c>
      <c r="BJ681" s="118">
        <f t="shared" si="716"/>
        <v>15712.23958</v>
      </c>
      <c r="BK681" s="118">
        <f t="shared" si="717"/>
        <v>12569.79167</v>
      </c>
      <c r="BL681" s="49"/>
      <c r="BM681" s="49"/>
      <c r="BN681" s="394"/>
      <c r="BO681" s="49"/>
      <c r="BP681" s="49"/>
      <c r="BQ681" s="49"/>
      <c r="BR681" s="49"/>
      <c r="BS681" s="49"/>
      <c r="BT681" s="49"/>
      <c r="BU681" s="49"/>
      <c r="BV681" s="49"/>
      <c r="BW681" s="49"/>
      <c r="BX681" s="49"/>
      <c r="BY681" s="49"/>
      <c r="BZ681" s="49"/>
      <c r="CA681" s="49"/>
      <c r="CB681" s="49"/>
      <c r="CC681" s="49"/>
      <c r="CD681" s="49"/>
      <c r="CE681" s="49"/>
      <c r="CF681" s="49"/>
    </row>
    <row r="682" ht="14.25" customHeight="1">
      <c r="A682" s="103" t="s">
        <v>84</v>
      </c>
      <c r="B682" s="103" t="s">
        <v>120</v>
      </c>
      <c r="C682" s="103" t="s">
        <v>120</v>
      </c>
      <c r="D682" s="103" t="s">
        <v>1266</v>
      </c>
      <c r="E682" s="103" t="s">
        <v>1948</v>
      </c>
      <c r="F682" s="104" t="s">
        <v>2045</v>
      </c>
      <c r="G682" s="110" t="s">
        <v>1395</v>
      </c>
      <c r="H682" s="390" t="s">
        <v>2026</v>
      </c>
      <c r="I682" s="391" t="s">
        <v>2543</v>
      </c>
      <c r="J682" s="220" t="s">
        <v>2119</v>
      </c>
      <c r="K682" s="220" t="str">
        <f>_xlfn.XLOOKUP(J682,[1]Sheet1!$A:$A,[1]Sheet1!$B:$B,"")</f>
        <v>#ERROR!</v>
      </c>
      <c r="L682" s="103" t="s">
        <v>2120</v>
      </c>
      <c r="M682" s="103" t="s">
        <v>2121</v>
      </c>
      <c r="N682" s="110" t="s">
        <v>206</v>
      </c>
      <c r="O682" s="104" t="s">
        <v>147</v>
      </c>
      <c r="P682" s="110"/>
      <c r="Q682" s="104" t="s">
        <v>1989</v>
      </c>
      <c r="R682" s="110" t="s">
        <v>1955</v>
      </c>
      <c r="S682" s="110">
        <v>2.0</v>
      </c>
      <c r="T682" s="110" t="e">
        <v>#N/A</v>
      </c>
      <c r="U682" s="110">
        <v>8.5447E9</v>
      </c>
      <c r="V682" s="112">
        <v>0.0</v>
      </c>
      <c r="W682" s="113">
        <v>30.0</v>
      </c>
      <c r="X682" s="110">
        <v>45.0</v>
      </c>
      <c r="Y682" s="110">
        <v>55.0</v>
      </c>
      <c r="Z682" s="110" t="s">
        <v>1938</v>
      </c>
      <c r="AA682" s="114">
        <f t="shared" si="786"/>
        <v>5408.59375</v>
      </c>
      <c r="AB682" s="115"/>
      <c r="AC682" s="116">
        <f t="shared" si="772"/>
        <v>5016.666667</v>
      </c>
      <c r="AD682" s="117">
        <f t="shared" si="783"/>
        <v>5280.701754</v>
      </c>
      <c r="AE682" s="116"/>
      <c r="AF682" s="116" t="str">
        <f t="shared" si="94"/>
        <v>#REF!</v>
      </c>
      <c r="AG682" s="210" t="str">
        <f t="shared" si="95"/>
        <v>#REF!</v>
      </c>
      <c r="AH682" s="120" t="str">
        <f t="shared" si="96"/>
        <v>#REF!</v>
      </c>
      <c r="AI682" s="121">
        <f t="shared" si="497"/>
        <v>0.07</v>
      </c>
      <c r="AJ682" s="121">
        <v>0.07</v>
      </c>
      <c r="AK682" s="122">
        <v>0.33999999999999997</v>
      </c>
      <c r="AL682" s="123">
        <f t="shared" si="11"/>
        <v>1705.666667</v>
      </c>
      <c r="AM682" s="122" t="s">
        <v>10</v>
      </c>
      <c r="AN682" s="125">
        <f t="shared" si="774"/>
        <v>5016.666667</v>
      </c>
      <c r="AO682" s="112">
        <f t="shared" si="775"/>
        <v>0.34</v>
      </c>
      <c r="AP682" s="127"/>
      <c r="AQ682" s="128">
        <f t="shared" si="787"/>
        <v>3722.043011</v>
      </c>
      <c r="AR682" s="125">
        <f t="shared" si="776"/>
        <v>3560.215054</v>
      </c>
      <c r="AS682" s="126">
        <f t="shared" si="733"/>
        <v>0.311827957</v>
      </c>
      <c r="AT682" s="126">
        <f t="shared" si="777"/>
        <v>0.2903225806</v>
      </c>
      <c r="AU682" s="129"/>
      <c r="AV682" s="39" t="s">
        <v>2242</v>
      </c>
      <c r="AW682" s="130"/>
      <c r="AX682" s="130"/>
      <c r="AY682" s="130"/>
      <c r="AZ682" s="130"/>
      <c r="BA682" s="130"/>
      <c r="BB682" s="130"/>
      <c r="BC682" s="392">
        <v>3010.0</v>
      </c>
      <c r="BD682" s="132">
        <f t="shared" si="788"/>
        <v>3311</v>
      </c>
      <c r="BE682" s="393"/>
      <c r="BF682" s="134"/>
      <c r="BG682" s="49"/>
      <c r="BH682" s="118">
        <f t="shared" si="714"/>
        <v>16722.22222</v>
      </c>
      <c r="BI682" s="118">
        <f t="shared" si="715"/>
        <v>10033.33333</v>
      </c>
      <c r="BJ682" s="118">
        <f t="shared" si="716"/>
        <v>8361.111111</v>
      </c>
      <c r="BK682" s="118">
        <f t="shared" si="717"/>
        <v>6688.888889</v>
      </c>
      <c r="BL682" s="49"/>
      <c r="BM682" s="49"/>
      <c r="BN682" s="394"/>
      <c r="BO682" s="49"/>
      <c r="BP682" s="49"/>
      <c r="BQ682" s="49"/>
      <c r="BR682" s="49"/>
      <c r="BS682" s="49"/>
      <c r="BT682" s="49"/>
      <c r="BU682" s="49"/>
      <c r="BV682" s="49"/>
      <c r="BW682" s="49"/>
      <c r="BX682" s="49"/>
      <c r="BY682" s="49"/>
      <c r="BZ682" s="49"/>
      <c r="CA682" s="49"/>
      <c r="CB682" s="49"/>
      <c r="CC682" s="49"/>
      <c r="CD682" s="49"/>
      <c r="CE682" s="49"/>
      <c r="CF682" s="49"/>
    </row>
    <row r="683" ht="14.25" customHeight="1">
      <c r="A683" s="103" t="s">
        <v>84</v>
      </c>
      <c r="B683" s="103" t="s">
        <v>120</v>
      </c>
      <c r="C683" s="103" t="s">
        <v>120</v>
      </c>
      <c r="D683" s="103" t="s">
        <v>1266</v>
      </c>
      <c r="E683" s="103" t="s">
        <v>1948</v>
      </c>
      <c r="F683" s="104" t="s">
        <v>2045</v>
      </c>
      <c r="G683" s="110" t="s">
        <v>1395</v>
      </c>
      <c r="H683" s="390" t="s">
        <v>2031</v>
      </c>
      <c r="I683" s="391" t="s">
        <v>2544</v>
      </c>
      <c r="J683" s="220" t="s">
        <v>2123</v>
      </c>
      <c r="K683" s="220" t="str">
        <f>_xlfn.XLOOKUP(J683,[1]Sheet1!$A:$A,[1]Sheet1!$B:$B,"")</f>
        <v>#ERROR!</v>
      </c>
      <c r="L683" s="103" t="s">
        <v>2124</v>
      </c>
      <c r="M683" s="103" t="s">
        <v>2125</v>
      </c>
      <c r="N683" s="110" t="s">
        <v>206</v>
      </c>
      <c r="O683" s="104" t="s">
        <v>147</v>
      </c>
      <c r="P683" s="110"/>
      <c r="Q683" s="104" t="s">
        <v>1989</v>
      </c>
      <c r="R683" s="110" t="s">
        <v>1955</v>
      </c>
      <c r="S683" s="110">
        <v>2.0</v>
      </c>
      <c r="T683" s="110" t="e">
        <v>#N/A</v>
      </c>
      <c r="U683" s="110">
        <v>8.5447E9</v>
      </c>
      <c r="V683" s="112">
        <v>0.0</v>
      </c>
      <c r="W683" s="113">
        <v>30.0</v>
      </c>
      <c r="X683" s="110">
        <v>45.0</v>
      </c>
      <c r="Y683" s="110">
        <v>55.0</v>
      </c>
      <c r="Z683" s="110" t="s">
        <v>1938</v>
      </c>
      <c r="AA683" s="114">
        <f t="shared" si="786"/>
        <v>10215.23438</v>
      </c>
      <c r="AB683" s="115"/>
      <c r="AC683" s="116">
        <f t="shared" si="772"/>
        <v>9475</v>
      </c>
      <c r="AD683" s="117">
        <f t="shared" si="783"/>
        <v>9973.684211</v>
      </c>
      <c r="AE683" s="116"/>
      <c r="AF683" s="116" t="str">
        <f t="shared" si="94"/>
        <v>#REF!</v>
      </c>
      <c r="AG683" s="210" t="str">
        <f t="shared" si="95"/>
        <v>#REF!</v>
      </c>
      <c r="AH683" s="120" t="str">
        <f t="shared" si="96"/>
        <v>#REF!</v>
      </c>
      <c r="AI683" s="121">
        <f t="shared" si="497"/>
        <v>0.07</v>
      </c>
      <c r="AJ683" s="121">
        <v>0.07</v>
      </c>
      <c r="AK683" s="122">
        <v>0.33999999999999997</v>
      </c>
      <c r="AL683" s="123">
        <f t="shared" si="11"/>
        <v>3221.5</v>
      </c>
      <c r="AM683" s="122" t="s">
        <v>10</v>
      </c>
      <c r="AN683" s="125">
        <f t="shared" si="774"/>
        <v>9475</v>
      </c>
      <c r="AO683" s="112">
        <f t="shared" si="775"/>
        <v>0.34</v>
      </c>
      <c r="AP683" s="127"/>
      <c r="AQ683" s="128">
        <f t="shared" si="787"/>
        <v>7029.83871</v>
      </c>
      <c r="AR683" s="125">
        <f t="shared" si="776"/>
        <v>6724.193548</v>
      </c>
      <c r="AS683" s="126">
        <f t="shared" si="733"/>
        <v>0.311827957</v>
      </c>
      <c r="AT683" s="126">
        <f t="shared" si="777"/>
        <v>0.2903225806</v>
      </c>
      <c r="AU683" s="129"/>
      <c r="AV683" s="39" t="s">
        <v>2242</v>
      </c>
      <c r="AW683" s="130"/>
      <c r="AX683" s="130"/>
      <c r="AY683" s="130"/>
      <c r="AZ683" s="130"/>
      <c r="BA683" s="130"/>
      <c r="BB683" s="130"/>
      <c r="BC683" s="392">
        <v>5685.0</v>
      </c>
      <c r="BD683" s="132">
        <f t="shared" si="788"/>
        <v>6253.5</v>
      </c>
      <c r="BE683" s="393"/>
      <c r="BF683" s="134"/>
      <c r="BG683" s="49"/>
      <c r="BH683" s="118">
        <f t="shared" si="714"/>
        <v>31583.33333</v>
      </c>
      <c r="BI683" s="118">
        <f t="shared" si="715"/>
        <v>18950</v>
      </c>
      <c r="BJ683" s="118">
        <f t="shared" si="716"/>
        <v>15791.66667</v>
      </c>
      <c r="BK683" s="118">
        <f t="shared" si="717"/>
        <v>12633.33333</v>
      </c>
      <c r="BL683" s="49"/>
      <c r="BM683" s="49"/>
      <c r="BN683" s="394"/>
      <c r="BO683" s="49"/>
      <c r="BP683" s="49"/>
      <c r="BQ683" s="49"/>
      <c r="BR683" s="49"/>
      <c r="BS683" s="49"/>
      <c r="BT683" s="49"/>
      <c r="BU683" s="49"/>
      <c r="BV683" s="49"/>
      <c r="BW683" s="49"/>
      <c r="BX683" s="49"/>
      <c r="BY683" s="49"/>
      <c r="BZ683" s="49"/>
      <c r="CA683" s="49"/>
      <c r="CB683" s="49"/>
      <c r="CC683" s="49"/>
      <c r="CD683" s="49"/>
      <c r="CE683" s="49"/>
      <c r="CF683" s="49"/>
    </row>
    <row r="684" ht="14.25" customHeight="1">
      <c r="A684" s="103" t="s">
        <v>84</v>
      </c>
      <c r="B684" s="103" t="s">
        <v>120</v>
      </c>
      <c r="C684" s="103" t="s">
        <v>120</v>
      </c>
      <c r="D684" s="103" t="s">
        <v>1266</v>
      </c>
      <c r="E684" s="103" t="s">
        <v>1948</v>
      </c>
      <c r="F684" s="104" t="s">
        <v>2545</v>
      </c>
      <c r="G684" s="110" t="s">
        <v>1395</v>
      </c>
      <c r="H684" s="390" t="s">
        <v>1962</v>
      </c>
      <c r="I684" s="391" t="s">
        <v>2546</v>
      </c>
      <c r="J684" s="220" t="s">
        <v>2547</v>
      </c>
      <c r="K684" s="220" t="str">
        <f>_xlfn.XLOOKUP(J684,[1]Sheet1!$A:$A,[1]Sheet1!$B:$B,"")</f>
        <v>#ERROR!</v>
      </c>
      <c r="L684" s="103" t="s">
        <v>2548</v>
      </c>
      <c r="M684" s="103" t="s">
        <v>2549</v>
      </c>
      <c r="N684" s="110" t="s">
        <v>201</v>
      </c>
      <c r="O684" s="104" t="s">
        <v>147</v>
      </c>
      <c r="P684" s="110"/>
      <c r="Q684" s="104" t="s">
        <v>1989</v>
      </c>
      <c r="R684" s="110" t="s">
        <v>1955</v>
      </c>
      <c r="S684" s="110">
        <v>2.0</v>
      </c>
      <c r="T684" s="110" t="e">
        <v>#N/A</v>
      </c>
      <c r="U684" s="110">
        <v>8.5447E9</v>
      </c>
      <c r="V684" s="112">
        <v>0.0</v>
      </c>
      <c r="W684" s="113">
        <v>30.0</v>
      </c>
      <c r="X684" s="110">
        <v>45.0</v>
      </c>
      <c r="Y684" s="110">
        <v>55.0</v>
      </c>
      <c r="Z684" s="110" t="s">
        <v>1938</v>
      </c>
      <c r="AA684" s="114">
        <f t="shared" si="786"/>
        <v>2008.208955</v>
      </c>
      <c r="AB684" s="115"/>
      <c r="AC684" s="116">
        <f t="shared" si="772"/>
        <v>1865.217391</v>
      </c>
      <c r="AD684" s="117">
        <f t="shared" si="783"/>
        <v>1963.386728</v>
      </c>
      <c r="AE684" s="116"/>
      <c r="AF684" s="116" t="str">
        <f t="shared" si="94"/>
        <v>#REF!</v>
      </c>
      <c r="AG684" s="210" t="str">
        <f t="shared" si="95"/>
        <v>#REF!</v>
      </c>
      <c r="AH684" s="120" t="str">
        <f t="shared" si="96"/>
        <v>#REF!</v>
      </c>
      <c r="AI684" s="121">
        <f t="shared" si="497"/>
        <v>0.07</v>
      </c>
      <c r="AJ684" s="121">
        <v>0.07</v>
      </c>
      <c r="AK684" s="122">
        <v>0.31</v>
      </c>
      <c r="AL684" s="123">
        <f t="shared" si="11"/>
        <v>578.2173913</v>
      </c>
      <c r="AM684" s="122" t="s">
        <v>10</v>
      </c>
      <c r="AN684" s="125">
        <f t="shared" si="774"/>
        <v>1865.217391</v>
      </c>
      <c r="AO684" s="112">
        <f t="shared" si="775"/>
        <v>0.31</v>
      </c>
      <c r="AP684" s="127"/>
      <c r="AQ684" s="128">
        <f t="shared" si="787"/>
        <v>1446.774194</v>
      </c>
      <c r="AR684" s="125">
        <f t="shared" si="776"/>
        <v>1383.870968</v>
      </c>
      <c r="AS684" s="126">
        <f t="shared" si="733"/>
        <v>0.2795698925</v>
      </c>
      <c r="AT684" s="126">
        <f t="shared" si="777"/>
        <v>0.2580645161</v>
      </c>
      <c r="AU684" s="129"/>
      <c r="AV684" s="39" t="s">
        <v>2242</v>
      </c>
      <c r="AW684" s="130"/>
      <c r="AX684" s="130"/>
      <c r="AY684" s="130"/>
      <c r="AZ684" s="130"/>
      <c r="BA684" s="130"/>
      <c r="BB684" s="130"/>
      <c r="BC684" s="392">
        <v>1170.0</v>
      </c>
      <c r="BD684" s="132">
        <f t="shared" si="788"/>
        <v>1287</v>
      </c>
      <c r="BE684" s="393"/>
      <c r="BF684" s="134"/>
      <c r="BG684" s="49"/>
      <c r="BH684" s="118">
        <f t="shared" si="714"/>
        <v>6217.391304</v>
      </c>
      <c r="BI684" s="118">
        <f t="shared" si="715"/>
        <v>3730.434783</v>
      </c>
      <c r="BJ684" s="118">
        <f t="shared" si="716"/>
        <v>3108.695652</v>
      </c>
      <c r="BK684" s="118">
        <f t="shared" si="717"/>
        <v>2486.956522</v>
      </c>
      <c r="BL684" s="49"/>
      <c r="BM684" s="49"/>
      <c r="BN684" s="394"/>
      <c r="BO684" s="49"/>
      <c r="BP684" s="49"/>
      <c r="BQ684" s="49"/>
      <c r="BR684" s="49"/>
      <c r="BS684" s="49"/>
      <c r="BT684" s="49"/>
      <c r="BU684" s="49"/>
      <c r="BV684" s="49"/>
      <c r="BW684" s="49"/>
      <c r="BX684" s="49"/>
      <c r="BY684" s="49"/>
      <c r="BZ684" s="49"/>
      <c r="CA684" s="49"/>
      <c r="CB684" s="49"/>
      <c r="CC684" s="49"/>
      <c r="CD684" s="49"/>
      <c r="CE684" s="49"/>
      <c r="CF684" s="49"/>
    </row>
    <row r="685" ht="14.25" customHeight="1">
      <c r="A685" s="103" t="s">
        <v>84</v>
      </c>
      <c r="B685" s="103" t="s">
        <v>120</v>
      </c>
      <c r="C685" s="103" t="s">
        <v>120</v>
      </c>
      <c r="D685" s="103" t="s">
        <v>1266</v>
      </c>
      <c r="E685" s="103" t="s">
        <v>1948</v>
      </c>
      <c r="F685" s="104" t="s">
        <v>2545</v>
      </c>
      <c r="G685" s="110" t="s">
        <v>1395</v>
      </c>
      <c r="H685" s="390" t="s">
        <v>1967</v>
      </c>
      <c r="I685" s="391" t="s">
        <v>2550</v>
      </c>
      <c r="J685" s="220" t="s">
        <v>2551</v>
      </c>
      <c r="K685" s="220" t="str">
        <f>_xlfn.XLOOKUP(J685,[1]Sheet1!$A:$A,[1]Sheet1!$B:$B,"")</f>
        <v>#ERROR!</v>
      </c>
      <c r="L685" s="103" t="s">
        <v>2552</v>
      </c>
      <c r="M685" s="103" t="s">
        <v>2553</v>
      </c>
      <c r="N685" s="110" t="s">
        <v>201</v>
      </c>
      <c r="O685" s="104" t="s">
        <v>147</v>
      </c>
      <c r="P685" s="110"/>
      <c r="Q685" s="104" t="s">
        <v>1989</v>
      </c>
      <c r="R685" s="110" t="s">
        <v>1955</v>
      </c>
      <c r="S685" s="110">
        <v>2.0</v>
      </c>
      <c r="T685" s="110" t="e">
        <v>#N/A</v>
      </c>
      <c r="U685" s="110">
        <v>8.5447E9</v>
      </c>
      <c r="V685" s="112">
        <v>0.0</v>
      </c>
      <c r="W685" s="113">
        <v>30.0</v>
      </c>
      <c r="X685" s="110">
        <v>45.0</v>
      </c>
      <c r="Y685" s="110">
        <v>55.0</v>
      </c>
      <c r="Z685" s="110" t="s">
        <v>1938</v>
      </c>
      <c r="AA685" s="114">
        <f t="shared" si="786"/>
        <v>3183.955224</v>
      </c>
      <c r="AB685" s="115"/>
      <c r="AC685" s="116">
        <f t="shared" si="772"/>
        <v>2957.246377</v>
      </c>
      <c r="AD685" s="117">
        <f t="shared" si="783"/>
        <v>3112.890923</v>
      </c>
      <c r="AE685" s="116"/>
      <c r="AF685" s="116" t="str">
        <f t="shared" si="94"/>
        <v>#REF!</v>
      </c>
      <c r="AG685" s="210" t="str">
        <f t="shared" si="95"/>
        <v>#REF!</v>
      </c>
      <c r="AH685" s="120" t="str">
        <f t="shared" si="96"/>
        <v>#REF!</v>
      </c>
      <c r="AI685" s="121">
        <f t="shared" si="497"/>
        <v>0.07</v>
      </c>
      <c r="AJ685" s="121">
        <v>0.07</v>
      </c>
      <c r="AK685" s="122">
        <v>0.31</v>
      </c>
      <c r="AL685" s="123">
        <f t="shared" si="11"/>
        <v>916.7463768</v>
      </c>
      <c r="AM685" s="122" t="s">
        <v>10</v>
      </c>
      <c r="AN685" s="125">
        <f t="shared" si="774"/>
        <v>2957.246377</v>
      </c>
      <c r="AO685" s="112">
        <f t="shared" si="775"/>
        <v>0.31</v>
      </c>
      <c r="AP685" s="127"/>
      <c r="AQ685" s="128">
        <f t="shared" si="787"/>
        <v>2293.817204</v>
      </c>
      <c r="AR685" s="125">
        <f t="shared" si="776"/>
        <v>2194.086022</v>
      </c>
      <c r="AS685" s="126">
        <f t="shared" si="733"/>
        <v>0.2795698925</v>
      </c>
      <c r="AT685" s="126">
        <f t="shared" si="777"/>
        <v>0.2580645161</v>
      </c>
      <c r="AU685" s="129"/>
      <c r="AV685" s="39" t="s">
        <v>2242</v>
      </c>
      <c r="AW685" s="130"/>
      <c r="AX685" s="130"/>
      <c r="AY685" s="130"/>
      <c r="AZ685" s="130"/>
      <c r="BA685" s="130"/>
      <c r="BB685" s="130"/>
      <c r="BC685" s="392">
        <v>1855.0</v>
      </c>
      <c r="BD685" s="132">
        <f t="shared" si="788"/>
        <v>2040.5</v>
      </c>
      <c r="BE685" s="393"/>
      <c r="BF685" s="134"/>
      <c r="BG685" s="49"/>
      <c r="BH685" s="118">
        <f t="shared" si="714"/>
        <v>9857.487923</v>
      </c>
      <c r="BI685" s="118">
        <f t="shared" si="715"/>
        <v>5914.492754</v>
      </c>
      <c r="BJ685" s="118">
        <f t="shared" si="716"/>
        <v>4928.743961</v>
      </c>
      <c r="BK685" s="118">
        <f t="shared" si="717"/>
        <v>3942.995169</v>
      </c>
      <c r="BL685" s="49"/>
      <c r="BM685" s="49"/>
      <c r="BN685" s="394"/>
      <c r="BO685" s="49"/>
      <c r="BP685" s="49"/>
      <c r="BQ685" s="49"/>
      <c r="BR685" s="49"/>
      <c r="BS685" s="49"/>
      <c r="BT685" s="49"/>
      <c r="BU685" s="49"/>
      <c r="BV685" s="49"/>
      <c r="BW685" s="49"/>
      <c r="BX685" s="49"/>
      <c r="BY685" s="49"/>
      <c r="BZ685" s="49"/>
      <c r="CA685" s="49"/>
      <c r="CB685" s="49"/>
      <c r="CC685" s="49"/>
      <c r="CD685" s="49"/>
      <c r="CE685" s="49"/>
      <c r="CF685" s="49"/>
    </row>
    <row r="686" ht="14.25" customHeight="1">
      <c r="A686" s="103" t="s">
        <v>84</v>
      </c>
      <c r="B686" s="103" t="s">
        <v>120</v>
      </c>
      <c r="C686" s="103" t="s">
        <v>120</v>
      </c>
      <c r="D686" s="103" t="s">
        <v>1266</v>
      </c>
      <c r="E686" s="103" t="s">
        <v>1948</v>
      </c>
      <c r="F686" s="104" t="s">
        <v>2545</v>
      </c>
      <c r="G686" s="110" t="s">
        <v>1395</v>
      </c>
      <c r="H686" s="390" t="s">
        <v>2026</v>
      </c>
      <c r="I686" s="391" t="s">
        <v>2554</v>
      </c>
      <c r="J686" s="220" t="s">
        <v>2555</v>
      </c>
      <c r="K686" s="220" t="str">
        <f>_xlfn.XLOOKUP(J686,[1]Sheet1!$A:$A,[1]Sheet1!$B:$B,"")</f>
        <v>#ERROR!</v>
      </c>
      <c r="L686" s="103" t="s">
        <v>2556</v>
      </c>
      <c r="M686" s="103" t="s">
        <v>2557</v>
      </c>
      <c r="N686" s="110" t="s">
        <v>201</v>
      </c>
      <c r="O686" s="104" t="s">
        <v>147</v>
      </c>
      <c r="P686" s="110"/>
      <c r="Q686" s="104" t="s">
        <v>1989</v>
      </c>
      <c r="R686" s="110" t="s">
        <v>1955</v>
      </c>
      <c r="S686" s="110">
        <v>2.0</v>
      </c>
      <c r="T686" s="110" t="e">
        <v>#N/A</v>
      </c>
      <c r="U686" s="110">
        <v>8.5447E9</v>
      </c>
      <c r="V686" s="112">
        <v>0.0</v>
      </c>
      <c r="W686" s="113">
        <v>30.0</v>
      </c>
      <c r="X686" s="110">
        <v>45.0</v>
      </c>
      <c r="Y686" s="110">
        <v>55.0</v>
      </c>
      <c r="Z686" s="110" t="s">
        <v>1938</v>
      </c>
      <c r="AA686" s="114">
        <f t="shared" si="786"/>
        <v>5492.537313</v>
      </c>
      <c r="AB686" s="115"/>
      <c r="AC686" s="116">
        <f t="shared" si="772"/>
        <v>5101.449275</v>
      </c>
      <c r="AD686" s="117">
        <f t="shared" si="783"/>
        <v>5369.946606</v>
      </c>
      <c r="AE686" s="116"/>
      <c r="AF686" s="116" t="str">
        <f t="shared" si="94"/>
        <v>#REF!</v>
      </c>
      <c r="AG686" s="210" t="str">
        <f t="shared" si="95"/>
        <v>#REF!</v>
      </c>
      <c r="AH686" s="120" t="str">
        <f t="shared" si="96"/>
        <v>#REF!</v>
      </c>
      <c r="AI686" s="121">
        <f t="shared" si="497"/>
        <v>0.07</v>
      </c>
      <c r="AJ686" s="121">
        <v>0.07</v>
      </c>
      <c r="AK686" s="122">
        <v>0.31</v>
      </c>
      <c r="AL686" s="123">
        <f t="shared" si="11"/>
        <v>1581.449275</v>
      </c>
      <c r="AM686" s="122" t="s">
        <v>10</v>
      </c>
      <c r="AN686" s="125">
        <f t="shared" si="774"/>
        <v>5101.449275</v>
      </c>
      <c r="AO686" s="112">
        <f t="shared" si="775"/>
        <v>0.31</v>
      </c>
      <c r="AP686" s="127"/>
      <c r="AQ686" s="128">
        <f t="shared" si="787"/>
        <v>3956.989247</v>
      </c>
      <c r="AR686" s="125">
        <f t="shared" si="776"/>
        <v>3784.946237</v>
      </c>
      <c r="AS686" s="126">
        <f t="shared" si="733"/>
        <v>0.2795698925</v>
      </c>
      <c r="AT686" s="126">
        <f t="shared" si="777"/>
        <v>0.2580645161</v>
      </c>
      <c r="AU686" s="129"/>
      <c r="AV686" s="39" t="s">
        <v>2242</v>
      </c>
      <c r="AW686" s="130"/>
      <c r="AX686" s="130"/>
      <c r="AY686" s="130"/>
      <c r="AZ686" s="130"/>
      <c r="BA686" s="130"/>
      <c r="BB686" s="130"/>
      <c r="BC686" s="392">
        <v>3200.0</v>
      </c>
      <c r="BD686" s="132">
        <f t="shared" si="788"/>
        <v>3520</v>
      </c>
      <c r="BE686" s="393"/>
      <c r="BF686" s="134"/>
      <c r="BG686" s="49"/>
      <c r="BH686" s="118">
        <f t="shared" si="714"/>
        <v>17004.83092</v>
      </c>
      <c r="BI686" s="118">
        <f t="shared" si="715"/>
        <v>10202.89855</v>
      </c>
      <c r="BJ686" s="118">
        <f t="shared" si="716"/>
        <v>8502.415459</v>
      </c>
      <c r="BK686" s="118">
        <f t="shared" si="717"/>
        <v>6801.932367</v>
      </c>
      <c r="BL686" s="49"/>
      <c r="BM686" s="49"/>
      <c r="BN686" s="394"/>
      <c r="BO686" s="49"/>
      <c r="BP686" s="49"/>
      <c r="BQ686" s="49"/>
      <c r="BR686" s="49"/>
      <c r="BS686" s="49"/>
      <c r="BT686" s="49"/>
      <c r="BU686" s="49"/>
      <c r="BV686" s="49"/>
      <c r="BW686" s="49"/>
      <c r="BX686" s="49"/>
      <c r="BY686" s="49"/>
      <c r="BZ686" s="49"/>
      <c r="CA686" s="49"/>
      <c r="CB686" s="49"/>
      <c r="CC686" s="49"/>
      <c r="CD686" s="49"/>
      <c r="CE686" s="49"/>
      <c r="CF686" s="49"/>
    </row>
    <row r="687" ht="14.25" customHeight="1">
      <c r="A687" s="103" t="s">
        <v>84</v>
      </c>
      <c r="B687" s="103" t="s">
        <v>120</v>
      </c>
      <c r="C687" s="103" t="s">
        <v>120</v>
      </c>
      <c r="D687" s="103" t="s">
        <v>1266</v>
      </c>
      <c r="E687" s="103" t="s">
        <v>1948</v>
      </c>
      <c r="F687" s="104" t="s">
        <v>2394</v>
      </c>
      <c r="G687" s="110" t="s">
        <v>1395</v>
      </c>
      <c r="H687" s="390" t="s">
        <v>1962</v>
      </c>
      <c r="I687" s="391" t="s">
        <v>2558</v>
      </c>
      <c r="J687" s="220" t="s">
        <v>2559</v>
      </c>
      <c r="K687" s="220" t="str">
        <f>_xlfn.XLOOKUP(J687,[1]Sheet1!$A:$A,[1]Sheet1!$B:$B,"")</f>
        <v>#ERROR!</v>
      </c>
      <c r="L687" s="103" t="s">
        <v>2560</v>
      </c>
      <c r="M687" s="103" t="s">
        <v>2561</v>
      </c>
      <c r="N687" s="110" t="s">
        <v>201</v>
      </c>
      <c r="O687" s="104" t="s">
        <v>147</v>
      </c>
      <c r="P687" s="110"/>
      <c r="Q687" s="104" t="s">
        <v>1989</v>
      </c>
      <c r="R687" s="110" t="s">
        <v>1955</v>
      </c>
      <c r="S687" s="110">
        <v>2.0</v>
      </c>
      <c r="T687" s="110" t="e">
        <v>#N/A</v>
      </c>
      <c r="U687" s="110">
        <v>8.5447E9</v>
      </c>
      <c r="V687" s="112">
        <v>0.0</v>
      </c>
      <c r="W687" s="113">
        <v>30.0</v>
      </c>
      <c r="X687" s="110">
        <v>45.0</v>
      </c>
      <c r="Y687" s="110">
        <v>55.0</v>
      </c>
      <c r="Z687" s="110" t="s">
        <v>1938</v>
      </c>
      <c r="AA687" s="114">
        <f t="shared" si="786"/>
        <v>2365.223881</v>
      </c>
      <c r="AB687" s="115"/>
      <c r="AC687" s="116">
        <f t="shared" si="772"/>
        <v>2196.811594</v>
      </c>
      <c r="AD687" s="117">
        <f t="shared" si="783"/>
        <v>2312.433257</v>
      </c>
      <c r="AE687" s="116"/>
      <c r="AF687" s="116" t="str">
        <f t="shared" si="94"/>
        <v>#REF!</v>
      </c>
      <c r="AG687" s="210" t="str">
        <f t="shared" si="95"/>
        <v>#REF!</v>
      </c>
      <c r="AH687" s="120" t="str">
        <f t="shared" si="96"/>
        <v>#REF!</v>
      </c>
      <c r="AI687" s="121">
        <f t="shared" si="497"/>
        <v>0.07</v>
      </c>
      <c r="AJ687" s="121">
        <v>0.07</v>
      </c>
      <c r="AK687" s="122">
        <v>0.31</v>
      </c>
      <c r="AL687" s="123">
        <f t="shared" si="11"/>
        <v>681.0115942</v>
      </c>
      <c r="AM687" s="122" t="s">
        <v>10</v>
      </c>
      <c r="AN687" s="125">
        <f t="shared" si="774"/>
        <v>2196.811594</v>
      </c>
      <c r="AO687" s="112">
        <f t="shared" si="775"/>
        <v>0.31</v>
      </c>
      <c r="AP687" s="127"/>
      <c r="AQ687" s="128">
        <f t="shared" si="787"/>
        <v>1703.978495</v>
      </c>
      <c r="AR687" s="125">
        <f t="shared" si="776"/>
        <v>1629.892473</v>
      </c>
      <c r="AS687" s="126">
        <f t="shared" si="733"/>
        <v>0.2795698925</v>
      </c>
      <c r="AT687" s="126">
        <f t="shared" si="777"/>
        <v>0.2580645161</v>
      </c>
      <c r="AU687" s="129"/>
      <c r="AV687" s="39" t="s">
        <v>2242</v>
      </c>
      <c r="AW687" s="130"/>
      <c r="AX687" s="130"/>
      <c r="AY687" s="130"/>
      <c r="AZ687" s="130"/>
      <c r="BA687" s="130"/>
      <c r="BB687" s="130"/>
      <c r="BC687" s="392">
        <v>1378.0</v>
      </c>
      <c r="BD687" s="132">
        <f t="shared" si="788"/>
        <v>1515.8</v>
      </c>
      <c r="BE687" s="393"/>
      <c r="BF687" s="134"/>
      <c r="BG687" s="49"/>
      <c r="BH687" s="118">
        <f t="shared" si="714"/>
        <v>7322.705314</v>
      </c>
      <c r="BI687" s="118">
        <f t="shared" si="715"/>
        <v>4393.623188</v>
      </c>
      <c r="BJ687" s="118">
        <f t="shared" si="716"/>
        <v>3661.352657</v>
      </c>
      <c r="BK687" s="118">
        <f t="shared" si="717"/>
        <v>2929.082126</v>
      </c>
      <c r="BL687" s="49"/>
      <c r="BM687" s="49"/>
      <c r="BN687" s="394"/>
      <c r="BO687" s="49"/>
      <c r="BP687" s="49"/>
      <c r="BQ687" s="49"/>
      <c r="BR687" s="49"/>
      <c r="BS687" s="49"/>
      <c r="BT687" s="49"/>
      <c r="BU687" s="49"/>
      <c r="BV687" s="49"/>
      <c r="BW687" s="49"/>
      <c r="BX687" s="49"/>
      <c r="BY687" s="49"/>
      <c r="BZ687" s="49"/>
      <c r="CA687" s="49"/>
      <c r="CB687" s="49"/>
      <c r="CC687" s="49"/>
      <c r="CD687" s="49"/>
      <c r="CE687" s="49"/>
      <c r="CF687" s="49"/>
    </row>
    <row r="688" ht="14.25" customHeight="1">
      <c r="A688" s="103" t="s">
        <v>84</v>
      </c>
      <c r="B688" s="103" t="s">
        <v>120</v>
      </c>
      <c r="C688" s="103" t="s">
        <v>120</v>
      </c>
      <c r="D688" s="103" t="s">
        <v>1266</v>
      </c>
      <c r="E688" s="103" t="s">
        <v>1948</v>
      </c>
      <c r="F688" s="104" t="s">
        <v>2394</v>
      </c>
      <c r="G688" s="110" t="s">
        <v>1395</v>
      </c>
      <c r="H688" s="390" t="s">
        <v>1967</v>
      </c>
      <c r="I688" s="391" t="s">
        <v>2562</v>
      </c>
      <c r="J688" s="220" t="s">
        <v>2563</v>
      </c>
      <c r="K688" s="220" t="str">
        <f>_xlfn.XLOOKUP(J688,[1]Sheet1!$A:$A,[1]Sheet1!$B:$B,"")</f>
        <v>#ERROR!</v>
      </c>
      <c r="L688" s="103" t="s">
        <v>2564</v>
      </c>
      <c r="M688" s="103" t="s">
        <v>2565</v>
      </c>
      <c r="N688" s="110" t="s">
        <v>201</v>
      </c>
      <c r="O688" s="104" t="s">
        <v>147</v>
      </c>
      <c r="P688" s="110"/>
      <c r="Q688" s="104" t="s">
        <v>1989</v>
      </c>
      <c r="R688" s="110" t="s">
        <v>1955</v>
      </c>
      <c r="S688" s="110">
        <v>2.0</v>
      </c>
      <c r="T688" s="110" t="e">
        <v>#N/A</v>
      </c>
      <c r="U688" s="110">
        <v>8.5447E9</v>
      </c>
      <c r="V688" s="112">
        <v>0.0</v>
      </c>
      <c r="W688" s="113">
        <v>30.0</v>
      </c>
      <c r="X688" s="110">
        <v>45.0</v>
      </c>
      <c r="Y688" s="110">
        <v>55.0</v>
      </c>
      <c r="Z688" s="110" t="s">
        <v>1938</v>
      </c>
      <c r="AA688" s="114">
        <f t="shared" si="786"/>
        <v>3535.820896</v>
      </c>
      <c r="AB688" s="115"/>
      <c r="AC688" s="116">
        <f t="shared" si="772"/>
        <v>3284.057971</v>
      </c>
      <c r="AD688" s="117">
        <f t="shared" si="783"/>
        <v>3456.903127</v>
      </c>
      <c r="AE688" s="116"/>
      <c r="AF688" s="116" t="str">
        <f t="shared" si="94"/>
        <v>#REF!</v>
      </c>
      <c r="AG688" s="210" t="str">
        <f t="shared" si="95"/>
        <v>#REF!</v>
      </c>
      <c r="AH688" s="120" t="str">
        <f t="shared" si="96"/>
        <v>#REF!</v>
      </c>
      <c r="AI688" s="121">
        <f t="shared" si="497"/>
        <v>0.07</v>
      </c>
      <c r="AJ688" s="121">
        <v>0.07</v>
      </c>
      <c r="AK688" s="122">
        <v>0.31</v>
      </c>
      <c r="AL688" s="123">
        <f t="shared" si="11"/>
        <v>1018.057971</v>
      </c>
      <c r="AM688" s="122" t="s">
        <v>10</v>
      </c>
      <c r="AN688" s="125">
        <f t="shared" si="774"/>
        <v>3284.057971</v>
      </c>
      <c r="AO688" s="112">
        <f t="shared" si="775"/>
        <v>0.31</v>
      </c>
      <c r="AP688" s="127"/>
      <c r="AQ688" s="128">
        <f t="shared" si="787"/>
        <v>2547.311828</v>
      </c>
      <c r="AR688" s="125">
        <f t="shared" si="776"/>
        <v>2436.55914</v>
      </c>
      <c r="AS688" s="126">
        <f t="shared" si="733"/>
        <v>0.2795698925</v>
      </c>
      <c r="AT688" s="126">
        <f t="shared" si="777"/>
        <v>0.2580645161</v>
      </c>
      <c r="AU688" s="129"/>
      <c r="AV688" s="39" t="s">
        <v>2242</v>
      </c>
      <c r="AW688" s="130"/>
      <c r="AX688" s="130"/>
      <c r="AY688" s="130"/>
      <c r="AZ688" s="130"/>
      <c r="BA688" s="130"/>
      <c r="BB688" s="130"/>
      <c r="BC688" s="392">
        <v>2060.0</v>
      </c>
      <c r="BD688" s="132">
        <f t="shared" si="788"/>
        <v>2266</v>
      </c>
      <c r="BE688" s="393"/>
      <c r="BF688" s="134"/>
      <c r="BG688" s="49"/>
      <c r="BH688" s="118">
        <f t="shared" si="714"/>
        <v>10946.8599</v>
      </c>
      <c r="BI688" s="118">
        <f t="shared" si="715"/>
        <v>6568.115942</v>
      </c>
      <c r="BJ688" s="118">
        <f t="shared" si="716"/>
        <v>5473.429952</v>
      </c>
      <c r="BK688" s="118">
        <f t="shared" si="717"/>
        <v>4378.743961</v>
      </c>
      <c r="BL688" s="49"/>
      <c r="BM688" s="49"/>
      <c r="BN688" s="394"/>
      <c r="BO688" s="49"/>
      <c r="BP688" s="49"/>
      <c r="BQ688" s="49"/>
      <c r="BR688" s="49"/>
      <c r="BS688" s="49"/>
      <c r="BT688" s="49"/>
      <c r="BU688" s="49"/>
      <c r="BV688" s="49"/>
      <c r="BW688" s="49"/>
      <c r="BX688" s="49"/>
      <c r="BY688" s="49"/>
      <c r="BZ688" s="49"/>
      <c r="CA688" s="49"/>
      <c r="CB688" s="49"/>
      <c r="CC688" s="49"/>
      <c r="CD688" s="49"/>
      <c r="CE688" s="49"/>
      <c r="CF688" s="49"/>
    </row>
    <row r="689" ht="14.25" customHeight="1">
      <c r="A689" s="103" t="s">
        <v>84</v>
      </c>
      <c r="B689" s="103" t="s">
        <v>120</v>
      </c>
      <c r="C689" s="103" t="s">
        <v>120</v>
      </c>
      <c r="D689" s="103" t="s">
        <v>1266</v>
      </c>
      <c r="E689" s="103" t="s">
        <v>1948</v>
      </c>
      <c r="F689" s="104" t="s">
        <v>2394</v>
      </c>
      <c r="G689" s="110" t="s">
        <v>1395</v>
      </c>
      <c r="H689" s="390" t="s">
        <v>2026</v>
      </c>
      <c r="I689" s="391" t="s">
        <v>2566</v>
      </c>
      <c r="J689" s="220" t="s">
        <v>2567</v>
      </c>
      <c r="K689" s="220" t="str">
        <f>_xlfn.XLOOKUP(J689,[1]Sheet1!$A:$A,[1]Sheet1!$B:$B,"")</f>
        <v>#ERROR!</v>
      </c>
      <c r="L689" s="103" t="s">
        <v>2568</v>
      </c>
      <c r="M689" s="103" t="s">
        <v>2569</v>
      </c>
      <c r="N689" s="110" t="s">
        <v>201</v>
      </c>
      <c r="O689" s="104" t="s">
        <v>147</v>
      </c>
      <c r="P689" s="110"/>
      <c r="Q689" s="104" t="s">
        <v>1989</v>
      </c>
      <c r="R689" s="110" t="s">
        <v>1955</v>
      </c>
      <c r="S689" s="110">
        <v>2.0</v>
      </c>
      <c r="T689" s="110" t="e">
        <v>#N/A</v>
      </c>
      <c r="U689" s="110">
        <v>8.5447E9</v>
      </c>
      <c r="V689" s="112">
        <v>0.0</v>
      </c>
      <c r="W689" s="113">
        <v>30.0</v>
      </c>
      <c r="X689" s="110">
        <v>45.0</v>
      </c>
      <c r="Y689" s="110">
        <v>55.0</v>
      </c>
      <c r="Z689" s="110" t="s">
        <v>1938</v>
      </c>
      <c r="AA689" s="114">
        <f t="shared" si="786"/>
        <v>5647.014925</v>
      </c>
      <c r="AB689" s="115"/>
      <c r="AC689" s="116">
        <f t="shared" si="772"/>
        <v>5244.927536</v>
      </c>
      <c r="AD689" s="117">
        <f t="shared" si="783"/>
        <v>5520.976354</v>
      </c>
      <c r="AE689" s="116"/>
      <c r="AF689" s="116" t="str">
        <f t="shared" si="94"/>
        <v>#REF!</v>
      </c>
      <c r="AG689" s="210" t="str">
        <f t="shared" si="95"/>
        <v>#REF!</v>
      </c>
      <c r="AH689" s="120" t="str">
        <f t="shared" si="96"/>
        <v>#REF!</v>
      </c>
      <c r="AI689" s="121">
        <f t="shared" si="497"/>
        <v>0.07</v>
      </c>
      <c r="AJ689" s="121">
        <v>0.07</v>
      </c>
      <c r="AK689" s="122">
        <v>0.31</v>
      </c>
      <c r="AL689" s="123">
        <f t="shared" si="11"/>
        <v>1625.927536</v>
      </c>
      <c r="AM689" s="122" t="s">
        <v>10</v>
      </c>
      <c r="AN689" s="125">
        <f t="shared" si="774"/>
        <v>5244.927536</v>
      </c>
      <c r="AO689" s="112">
        <f t="shared" si="775"/>
        <v>0.31</v>
      </c>
      <c r="AP689" s="127"/>
      <c r="AQ689" s="128">
        <f t="shared" si="787"/>
        <v>4068.27957</v>
      </c>
      <c r="AR689" s="125">
        <f t="shared" si="776"/>
        <v>3891.397849</v>
      </c>
      <c r="AS689" s="126">
        <f t="shared" si="733"/>
        <v>0.2795698925</v>
      </c>
      <c r="AT689" s="126">
        <f t="shared" si="777"/>
        <v>0.2580645161</v>
      </c>
      <c r="AU689" s="129"/>
      <c r="AV689" s="39" t="s">
        <v>2242</v>
      </c>
      <c r="AW689" s="130"/>
      <c r="AX689" s="130"/>
      <c r="AY689" s="130"/>
      <c r="AZ689" s="130"/>
      <c r="BA689" s="130"/>
      <c r="BB689" s="130"/>
      <c r="BC689" s="392">
        <v>3290.0</v>
      </c>
      <c r="BD689" s="132">
        <f t="shared" si="788"/>
        <v>3619</v>
      </c>
      <c r="BE689" s="393"/>
      <c r="BF689" s="134"/>
      <c r="BG689" s="49"/>
      <c r="BH689" s="118">
        <f t="shared" si="714"/>
        <v>17483.09179</v>
      </c>
      <c r="BI689" s="118">
        <f t="shared" si="715"/>
        <v>10489.85507</v>
      </c>
      <c r="BJ689" s="118">
        <f t="shared" si="716"/>
        <v>8741.545894</v>
      </c>
      <c r="BK689" s="118">
        <f t="shared" si="717"/>
        <v>6993.236715</v>
      </c>
      <c r="BL689" s="49"/>
      <c r="BM689" s="49"/>
      <c r="BN689" s="394"/>
      <c r="BO689" s="49"/>
      <c r="BP689" s="49"/>
      <c r="BQ689" s="49"/>
      <c r="BR689" s="49"/>
      <c r="BS689" s="49"/>
      <c r="BT689" s="49"/>
      <c r="BU689" s="49"/>
      <c r="BV689" s="49"/>
      <c r="BW689" s="49"/>
      <c r="BX689" s="49"/>
      <c r="BY689" s="49"/>
      <c r="BZ689" s="49"/>
      <c r="CA689" s="49"/>
      <c r="CB689" s="49"/>
      <c r="CC689" s="49"/>
      <c r="CD689" s="49"/>
      <c r="CE689" s="49"/>
      <c r="CF689" s="49"/>
    </row>
    <row r="690" ht="14.25" customHeight="1">
      <c r="A690" s="103" t="s">
        <v>84</v>
      </c>
      <c r="B690" s="103" t="s">
        <v>120</v>
      </c>
      <c r="C690" s="103" t="s">
        <v>120</v>
      </c>
      <c r="D690" s="103" t="s">
        <v>1266</v>
      </c>
      <c r="E690" s="103" t="s">
        <v>1948</v>
      </c>
      <c r="F690" s="104" t="s">
        <v>2008</v>
      </c>
      <c r="G690" s="110" t="s">
        <v>1465</v>
      </c>
      <c r="H690" s="390">
        <v>2.0</v>
      </c>
      <c r="I690" s="391" t="s">
        <v>2570</v>
      </c>
      <c r="J690" s="220" t="s">
        <v>2571</v>
      </c>
      <c r="K690" s="220" t="str">
        <f>_xlfn.XLOOKUP(J690,[1]Sheet1!$A:$A,[1]Sheet1!$B:$B,"")</f>
        <v>#ERROR!</v>
      </c>
      <c r="L690" s="103" t="s">
        <v>2572</v>
      </c>
      <c r="M690" s="103" t="s">
        <v>2573</v>
      </c>
      <c r="N690" s="110" t="s">
        <v>206</v>
      </c>
      <c r="O690" s="104" t="s">
        <v>147</v>
      </c>
      <c r="P690" s="110"/>
      <c r="Q690" s="104" t="s">
        <v>1989</v>
      </c>
      <c r="R690" s="110" t="s">
        <v>1955</v>
      </c>
      <c r="S690" s="110">
        <v>2.0</v>
      </c>
      <c r="T690" s="110" t="e">
        <v>#N/A</v>
      </c>
      <c r="U690" s="110">
        <v>8.5447E9</v>
      </c>
      <c r="V690" s="112">
        <v>0.0</v>
      </c>
      <c r="W690" s="113">
        <v>30.0</v>
      </c>
      <c r="X690" s="110">
        <v>45.0</v>
      </c>
      <c r="Y690" s="110">
        <v>55.0</v>
      </c>
      <c r="Z690" s="110" t="s">
        <v>1938</v>
      </c>
      <c r="AA690" s="114">
        <f t="shared" si="786"/>
        <v>706.2599518</v>
      </c>
      <c r="AB690" s="115"/>
      <c r="AC690" s="116">
        <f t="shared" si="772"/>
        <v>655.0816944</v>
      </c>
      <c r="AD690" s="117">
        <f t="shared" si="783"/>
        <v>689.5596783</v>
      </c>
      <c r="AE690" s="116"/>
      <c r="AF690" s="116" t="str">
        <f t="shared" si="94"/>
        <v>#REF!</v>
      </c>
      <c r="AG690" s="210" t="str">
        <f t="shared" si="95"/>
        <v>#REF!</v>
      </c>
      <c r="AH690" s="120" t="str">
        <f t="shared" si="96"/>
        <v>#REF!</v>
      </c>
      <c r="AI690" s="121">
        <f t="shared" si="497"/>
        <v>0.07</v>
      </c>
      <c r="AJ690" s="121">
        <v>0.07</v>
      </c>
      <c r="AK690" s="122">
        <v>0.33999999999999997</v>
      </c>
      <c r="AL690" s="123">
        <f t="shared" si="11"/>
        <v>222.7277761</v>
      </c>
      <c r="AM690" s="122" t="s">
        <v>10</v>
      </c>
      <c r="AN690" s="125">
        <f t="shared" si="774"/>
        <v>655.0816944</v>
      </c>
      <c r="AO690" s="112">
        <f t="shared" si="775"/>
        <v>0.34</v>
      </c>
      <c r="AP690" s="127"/>
      <c r="AQ690" s="128">
        <f t="shared" si="787"/>
        <v>486.0283539</v>
      </c>
      <c r="AR690" s="125">
        <f t="shared" si="776"/>
        <v>464.8966863</v>
      </c>
      <c r="AS690" s="126">
        <f t="shared" si="733"/>
        <v>0.311827957</v>
      </c>
      <c r="AT690" s="126">
        <f t="shared" si="777"/>
        <v>0.2903225806</v>
      </c>
      <c r="AU690" s="129"/>
      <c r="AV690" s="39" t="s">
        <v>2242</v>
      </c>
      <c r="AW690" s="130"/>
      <c r="AX690" s="130"/>
      <c r="AY690" s="130"/>
      <c r="AZ690" s="130"/>
      <c r="BA690" s="130"/>
      <c r="BB690" s="130"/>
      <c r="BC690" s="392">
        <v>393.04901663149093</v>
      </c>
      <c r="BD690" s="132">
        <f t="shared" si="788"/>
        <v>432.3539183</v>
      </c>
      <c r="BE690" s="393"/>
      <c r="BF690" s="134"/>
      <c r="BG690" s="49"/>
      <c r="BH690" s="118">
        <f t="shared" si="714"/>
        <v>2183.605648</v>
      </c>
      <c r="BI690" s="118">
        <f t="shared" si="715"/>
        <v>1310.163389</v>
      </c>
      <c r="BJ690" s="118">
        <f t="shared" si="716"/>
        <v>1091.802824</v>
      </c>
      <c r="BK690" s="118">
        <f t="shared" si="717"/>
        <v>873.4422592</v>
      </c>
      <c r="BL690" s="49"/>
      <c r="BM690" s="49"/>
      <c r="BN690" s="394"/>
      <c r="BO690" s="49"/>
      <c r="BP690" s="49"/>
      <c r="BQ690" s="49"/>
      <c r="BR690" s="49"/>
      <c r="BS690" s="49"/>
      <c r="BT690" s="49"/>
      <c r="BU690" s="49"/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</row>
    <row r="691" ht="14.25" customHeight="1">
      <c r="A691" s="103" t="s">
        <v>84</v>
      </c>
      <c r="B691" s="103" t="s">
        <v>120</v>
      </c>
      <c r="C691" s="103" t="s">
        <v>120</v>
      </c>
      <c r="D691" s="103" t="s">
        <v>1266</v>
      </c>
      <c r="E691" s="103" t="s">
        <v>1948</v>
      </c>
      <c r="F691" s="104" t="s">
        <v>2008</v>
      </c>
      <c r="G691" s="110" t="s">
        <v>1465</v>
      </c>
      <c r="H691" s="390">
        <v>4.0</v>
      </c>
      <c r="I691" s="391" t="s">
        <v>2574</v>
      </c>
      <c r="J691" s="220" t="s">
        <v>2575</v>
      </c>
      <c r="K691" s="220" t="str">
        <f>_xlfn.XLOOKUP(J691,[1]Sheet1!$A:$A,[1]Sheet1!$B:$B,"")</f>
        <v>#ERROR!</v>
      </c>
      <c r="L691" s="103" t="s">
        <v>2576</v>
      </c>
      <c r="M691" s="103" t="s">
        <v>2577</v>
      </c>
      <c r="N691" s="110" t="s">
        <v>206</v>
      </c>
      <c r="O691" s="104" t="s">
        <v>147</v>
      </c>
      <c r="P691" s="110"/>
      <c r="Q691" s="104" t="s">
        <v>1989</v>
      </c>
      <c r="R691" s="110" t="s">
        <v>1955</v>
      </c>
      <c r="S691" s="110">
        <v>2.0</v>
      </c>
      <c r="T691" s="110" t="e">
        <v>#N/A</v>
      </c>
      <c r="U691" s="110">
        <v>8.5447E9</v>
      </c>
      <c r="V691" s="112">
        <v>0.0</v>
      </c>
      <c r="W691" s="113">
        <v>30.0</v>
      </c>
      <c r="X691" s="110">
        <v>45.0</v>
      </c>
      <c r="Y691" s="110">
        <v>55.0</v>
      </c>
      <c r="Z691" s="110" t="s">
        <v>1938</v>
      </c>
      <c r="AA691" s="114">
        <f t="shared" si="786"/>
        <v>1090.143354</v>
      </c>
      <c r="AB691" s="115"/>
      <c r="AC691" s="116">
        <f t="shared" si="772"/>
        <v>1011.147458</v>
      </c>
      <c r="AD691" s="117">
        <f t="shared" si="783"/>
        <v>1064.365746</v>
      </c>
      <c r="AE691" s="116"/>
      <c r="AF691" s="116" t="str">
        <f t="shared" si="94"/>
        <v>#REF!</v>
      </c>
      <c r="AG691" s="210" t="str">
        <f t="shared" si="95"/>
        <v>#REF!</v>
      </c>
      <c r="AH691" s="120" t="str">
        <f t="shared" si="96"/>
        <v>#REF!</v>
      </c>
      <c r="AI691" s="121">
        <f t="shared" si="497"/>
        <v>0.07</v>
      </c>
      <c r="AJ691" s="121">
        <v>0.07</v>
      </c>
      <c r="AK691" s="122">
        <v>0.33999999999999997</v>
      </c>
      <c r="AL691" s="123">
        <f t="shared" si="11"/>
        <v>343.7901359</v>
      </c>
      <c r="AM691" s="122" t="s">
        <v>10</v>
      </c>
      <c r="AN691" s="125">
        <f t="shared" si="774"/>
        <v>1011.147458</v>
      </c>
      <c r="AO691" s="112">
        <f t="shared" si="775"/>
        <v>0.34</v>
      </c>
      <c r="AP691" s="127"/>
      <c r="AQ691" s="128">
        <f t="shared" si="787"/>
        <v>750.2061788</v>
      </c>
      <c r="AR691" s="125">
        <f t="shared" si="776"/>
        <v>717.5885189</v>
      </c>
      <c r="AS691" s="126">
        <f t="shared" si="733"/>
        <v>0.311827957</v>
      </c>
      <c r="AT691" s="126">
        <f t="shared" si="777"/>
        <v>0.2903225806</v>
      </c>
      <c r="AU691" s="129"/>
      <c r="AV691" s="39" t="s">
        <v>2242</v>
      </c>
      <c r="AW691" s="130"/>
      <c r="AX691" s="130"/>
      <c r="AY691" s="130"/>
      <c r="AZ691" s="130"/>
      <c r="BA691" s="130"/>
      <c r="BB691" s="130"/>
      <c r="BC691" s="392">
        <v>606.6884750454174</v>
      </c>
      <c r="BD691" s="132">
        <f t="shared" si="788"/>
        <v>667.3573225</v>
      </c>
      <c r="BE691" s="393"/>
      <c r="BF691" s="134"/>
      <c r="BG691" s="49"/>
      <c r="BH691" s="118">
        <f t="shared" si="714"/>
        <v>3370.491528</v>
      </c>
      <c r="BI691" s="118">
        <f t="shared" si="715"/>
        <v>2022.294917</v>
      </c>
      <c r="BJ691" s="118">
        <f t="shared" si="716"/>
        <v>1685.245764</v>
      </c>
      <c r="BK691" s="118">
        <f t="shared" si="717"/>
        <v>1348.196611</v>
      </c>
      <c r="BL691" s="49"/>
      <c r="BM691" s="49"/>
      <c r="BN691" s="394"/>
      <c r="BO691" s="49"/>
      <c r="BP691" s="49"/>
      <c r="BQ691" s="49"/>
      <c r="BR691" s="49"/>
      <c r="BS691" s="49"/>
      <c r="BT691" s="49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</row>
    <row r="692" ht="14.25" customHeight="1">
      <c r="A692" s="103" t="s">
        <v>84</v>
      </c>
      <c r="B692" s="103" t="s">
        <v>120</v>
      </c>
      <c r="C692" s="103" t="s">
        <v>120</v>
      </c>
      <c r="D692" s="103" t="s">
        <v>1266</v>
      </c>
      <c r="E692" s="103" t="s">
        <v>1948</v>
      </c>
      <c r="F692" s="104" t="s">
        <v>2008</v>
      </c>
      <c r="G692" s="110" t="s">
        <v>1465</v>
      </c>
      <c r="H692" s="390" t="s">
        <v>1950</v>
      </c>
      <c r="I692" s="391" t="s">
        <v>2578</v>
      </c>
      <c r="J692" s="220" t="s">
        <v>2579</v>
      </c>
      <c r="K692" s="220" t="str">
        <f>_xlfn.XLOOKUP(J692,[1]Sheet1!$A:$A,[1]Sheet1!$B:$B,"")</f>
        <v>#ERROR!</v>
      </c>
      <c r="L692" s="103" t="s">
        <v>2580</v>
      </c>
      <c r="M692" s="103" t="s">
        <v>2581</v>
      </c>
      <c r="N692" s="110" t="s">
        <v>206</v>
      </c>
      <c r="O692" s="104" t="s">
        <v>147</v>
      </c>
      <c r="P692" s="110"/>
      <c r="Q692" s="104" t="s">
        <v>1989</v>
      </c>
      <c r="R692" s="110" t="s">
        <v>1955</v>
      </c>
      <c r="S692" s="110">
        <v>2.0</v>
      </c>
      <c r="T692" s="110" t="e">
        <v>#N/A</v>
      </c>
      <c r="U692" s="110">
        <v>8.5447E9</v>
      </c>
      <c r="V692" s="112">
        <v>0.0</v>
      </c>
      <c r="W692" s="113">
        <v>30.0</v>
      </c>
      <c r="X692" s="110">
        <v>45.0</v>
      </c>
      <c r="Y692" s="110">
        <v>55.0</v>
      </c>
      <c r="Z692" s="110" t="s">
        <v>1938</v>
      </c>
      <c r="AA692" s="114">
        <f t="shared" si="786"/>
        <v>1474.026755</v>
      </c>
      <c r="AB692" s="115"/>
      <c r="AC692" s="116">
        <f t="shared" si="772"/>
        <v>1367.213222</v>
      </c>
      <c r="AD692" s="117">
        <f t="shared" si="783"/>
        <v>1439.171813</v>
      </c>
      <c r="AE692" s="116"/>
      <c r="AF692" s="116" t="str">
        <f t="shared" si="94"/>
        <v>#REF!</v>
      </c>
      <c r="AG692" s="210" t="str">
        <f t="shared" si="95"/>
        <v>#REF!</v>
      </c>
      <c r="AH692" s="120" t="str">
        <f t="shared" si="96"/>
        <v>#REF!</v>
      </c>
      <c r="AI692" s="121">
        <f t="shared" si="497"/>
        <v>0.07</v>
      </c>
      <c r="AJ692" s="121">
        <v>0.07</v>
      </c>
      <c r="AK692" s="122">
        <v>0.33999999999999997</v>
      </c>
      <c r="AL692" s="123">
        <f t="shared" si="11"/>
        <v>464.8524956</v>
      </c>
      <c r="AM692" s="122" t="s">
        <v>10</v>
      </c>
      <c r="AN692" s="125">
        <f t="shared" si="774"/>
        <v>1367.213222</v>
      </c>
      <c r="AO692" s="112">
        <f t="shared" si="775"/>
        <v>0.34</v>
      </c>
      <c r="AP692" s="127"/>
      <c r="AQ692" s="128">
        <f t="shared" si="787"/>
        <v>1014.384004</v>
      </c>
      <c r="AR692" s="125">
        <f t="shared" si="776"/>
        <v>970.2803514</v>
      </c>
      <c r="AS692" s="126">
        <f t="shared" si="733"/>
        <v>0.311827957</v>
      </c>
      <c r="AT692" s="126">
        <f t="shared" si="777"/>
        <v>0.2903225806</v>
      </c>
      <c r="AU692" s="129"/>
      <c r="AV692" s="39" t="s">
        <v>2242</v>
      </c>
      <c r="AW692" s="130"/>
      <c r="AX692" s="130"/>
      <c r="AY692" s="130"/>
      <c r="AZ692" s="130"/>
      <c r="BA692" s="130"/>
      <c r="BB692" s="130"/>
      <c r="BC692" s="392">
        <v>820.327933459344</v>
      </c>
      <c r="BD692" s="132">
        <f t="shared" si="788"/>
        <v>902.3607268</v>
      </c>
      <c r="BE692" s="393"/>
      <c r="BF692" s="134"/>
      <c r="BG692" s="49"/>
      <c r="BH692" s="118">
        <f t="shared" si="714"/>
        <v>4557.377408</v>
      </c>
      <c r="BI692" s="118">
        <f t="shared" si="715"/>
        <v>2734.426445</v>
      </c>
      <c r="BJ692" s="118">
        <f t="shared" si="716"/>
        <v>2278.688704</v>
      </c>
      <c r="BK692" s="118">
        <f t="shared" si="717"/>
        <v>1822.950963</v>
      </c>
      <c r="BL692" s="49"/>
      <c r="BM692" s="49"/>
      <c r="BN692" s="394"/>
      <c r="BO692" s="49"/>
      <c r="BP692" s="49"/>
      <c r="BQ692" s="49"/>
      <c r="BR692" s="49"/>
      <c r="BS692" s="49"/>
      <c r="BT692" s="49"/>
      <c r="BU692" s="49"/>
      <c r="BV692" s="49"/>
      <c r="BW692" s="49"/>
      <c r="BX692" s="49"/>
      <c r="BY692" s="49"/>
      <c r="BZ692" s="49"/>
      <c r="CA692" s="49"/>
      <c r="CB692" s="49"/>
      <c r="CC692" s="49"/>
      <c r="CD692" s="49"/>
      <c r="CE692" s="49"/>
      <c r="CF692" s="49"/>
    </row>
    <row r="693" ht="14.25" customHeight="1">
      <c r="A693" s="103" t="s">
        <v>84</v>
      </c>
      <c r="B693" s="103" t="s">
        <v>120</v>
      </c>
      <c r="C693" s="103" t="s">
        <v>120</v>
      </c>
      <c r="D693" s="103" t="s">
        <v>1266</v>
      </c>
      <c r="E693" s="103" t="s">
        <v>1948</v>
      </c>
      <c r="F693" s="104" t="s">
        <v>2008</v>
      </c>
      <c r="G693" s="110" t="s">
        <v>1465</v>
      </c>
      <c r="H693" s="390" t="s">
        <v>1957</v>
      </c>
      <c r="I693" s="391" t="s">
        <v>2582</v>
      </c>
      <c r="J693" s="220" t="s">
        <v>2583</v>
      </c>
      <c r="K693" s="220" t="str">
        <f>_xlfn.XLOOKUP(J693,[1]Sheet1!$A:$A,[1]Sheet1!$B:$B,"")</f>
        <v>#ERROR!</v>
      </c>
      <c r="L693" s="103" t="s">
        <v>2584</v>
      </c>
      <c r="M693" s="103" t="s">
        <v>2585</v>
      </c>
      <c r="N693" s="110" t="s">
        <v>206</v>
      </c>
      <c r="O693" s="104" t="s">
        <v>147</v>
      </c>
      <c r="P693" s="110"/>
      <c r="Q693" s="104" t="s">
        <v>1989</v>
      </c>
      <c r="R693" s="110" t="s">
        <v>1955</v>
      </c>
      <c r="S693" s="110">
        <v>2.0</v>
      </c>
      <c r="T693" s="110" t="e">
        <v>#N/A</v>
      </c>
      <c r="U693" s="110">
        <v>8.5447E9</v>
      </c>
      <c r="V693" s="112">
        <v>0.0</v>
      </c>
      <c r="W693" s="113">
        <v>30.0</v>
      </c>
      <c r="X693" s="110">
        <v>45.0</v>
      </c>
      <c r="Y693" s="110">
        <v>55.0</v>
      </c>
      <c r="Z693" s="110" t="s">
        <v>1938</v>
      </c>
      <c r="AA693" s="114">
        <f t="shared" si="786"/>
        <v>1857.910157</v>
      </c>
      <c r="AB693" s="115"/>
      <c r="AC693" s="116">
        <f t="shared" si="772"/>
        <v>1723.278986</v>
      </c>
      <c r="AD693" s="117">
        <f t="shared" si="783"/>
        <v>1813.97788</v>
      </c>
      <c r="AE693" s="116"/>
      <c r="AF693" s="116" t="str">
        <f t="shared" si="94"/>
        <v>#REF!</v>
      </c>
      <c r="AG693" s="210" t="str">
        <f t="shared" si="95"/>
        <v>#REF!</v>
      </c>
      <c r="AH693" s="120" t="str">
        <f t="shared" si="96"/>
        <v>#REF!</v>
      </c>
      <c r="AI693" s="121">
        <f t="shared" si="497"/>
        <v>0.07</v>
      </c>
      <c r="AJ693" s="121">
        <v>0.07</v>
      </c>
      <c r="AK693" s="122">
        <v>0.33999999999999997</v>
      </c>
      <c r="AL693" s="123">
        <f t="shared" si="11"/>
        <v>585.9148554</v>
      </c>
      <c r="AM693" s="122" t="s">
        <v>10</v>
      </c>
      <c r="AN693" s="125">
        <f t="shared" si="774"/>
        <v>1723.278986</v>
      </c>
      <c r="AO693" s="112">
        <f t="shared" si="775"/>
        <v>0.34</v>
      </c>
      <c r="AP693" s="127"/>
      <c r="AQ693" s="128">
        <f t="shared" si="787"/>
        <v>1278.561829</v>
      </c>
      <c r="AR693" s="125">
        <f t="shared" si="776"/>
        <v>1222.972184</v>
      </c>
      <c r="AS693" s="126">
        <f t="shared" si="733"/>
        <v>0.311827957</v>
      </c>
      <c r="AT693" s="126">
        <f t="shared" si="777"/>
        <v>0.2903225806</v>
      </c>
      <c r="AU693" s="129"/>
      <c r="AV693" s="39" t="s">
        <v>2242</v>
      </c>
      <c r="AW693" s="130"/>
      <c r="AX693" s="130"/>
      <c r="AY693" s="130"/>
      <c r="AZ693" s="130"/>
      <c r="BA693" s="130"/>
      <c r="BB693" s="130"/>
      <c r="BC693" s="392">
        <v>1033.9673918732703</v>
      </c>
      <c r="BD693" s="132">
        <f t="shared" si="788"/>
        <v>1137.364131</v>
      </c>
      <c r="BE693" s="393"/>
      <c r="BF693" s="134"/>
      <c r="BG693" s="49"/>
      <c r="BH693" s="118">
        <f t="shared" si="714"/>
        <v>5744.263288</v>
      </c>
      <c r="BI693" s="118">
        <f t="shared" si="715"/>
        <v>3446.557973</v>
      </c>
      <c r="BJ693" s="118">
        <f t="shared" si="716"/>
        <v>2872.131644</v>
      </c>
      <c r="BK693" s="118">
        <f t="shared" si="717"/>
        <v>2297.705315</v>
      </c>
      <c r="BL693" s="49"/>
      <c r="BM693" s="49"/>
      <c r="BN693" s="394"/>
      <c r="BO693" s="49"/>
      <c r="BP693" s="49"/>
      <c r="BQ693" s="49"/>
      <c r="BR693" s="49"/>
      <c r="BS693" s="49"/>
      <c r="BT693" s="49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</row>
    <row r="694" ht="14.25" customHeight="1">
      <c r="A694" s="103" t="s">
        <v>84</v>
      </c>
      <c r="B694" s="103" t="s">
        <v>120</v>
      </c>
      <c r="C694" s="103" t="s">
        <v>120</v>
      </c>
      <c r="D694" s="103" t="s">
        <v>1266</v>
      </c>
      <c r="E694" s="103" t="s">
        <v>1948</v>
      </c>
      <c r="F694" s="104" t="s">
        <v>2008</v>
      </c>
      <c r="G694" s="110" t="s">
        <v>1465</v>
      </c>
      <c r="H694" s="390">
        <v>10.0</v>
      </c>
      <c r="I694" s="391" t="s">
        <v>2586</v>
      </c>
      <c r="J694" s="220" t="s">
        <v>2587</v>
      </c>
      <c r="K694" s="220" t="str">
        <f>_xlfn.XLOOKUP(J694,[1]Sheet1!$A:$A,[1]Sheet1!$B:$B,"")</f>
        <v>#ERROR!</v>
      </c>
      <c r="L694" s="103" t="s">
        <v>2588</v>
      </c>
      <c r="M694" s="103" t="s">
        <v>2589</v>
      </c>
      <c r="N694" s="110" t="s">
        <v>206</v>
      </c>
      <c r="O694" s="104" t="s">
        <v>147</v>
      </c>
      <c r="P694" s="110"/>
      <c r="Q694" s="104" t="s">
        <v>1989</v>
      </c>
      <c r="R694" s="110" t="s">
        <v>1955</v>
      </c>
      <c r="S694" s="110">
        <v>2.0</v>
      </c>
      <c r="T694" s="110" t="e">
        <v>#N/A</v>
      </c>
      <c r="U694" s="110">
        <v>8.5447E9</v>
      </c>
      <c r="V694" s="112">
        <v>0.0</v>
      </c>
      <c r="W694" s="113">
        <v>30.0</v>
      </c>
      <c r="X694" s="110">
        <v>45.0</v>
      </c>
      <c r="Y694" s="110">
        <v>55.0</v>
      </c>
      <c r="Z694" s="110" t="s">
        <v>1938</v>
      </c>
      <c r="AA694" s="114">
        <f t="shared" si="786"/>
        <v>2241.793559</v>
      </c>
      <c r="AB694" s="115"/>
      <c r="AC694" s="116">
        <f t="shared" si="772"/>
        <v>2079.34475</v>
      </c>
      <c r="AD694" s="117">
        <f t="shared" si="783"/>
        <v>2188.783948</v>
      </c>
      <c r="AE694" s="116"/>
      <c r="AF694" s="116" t="str">
        <f t="shared" si="94"/>
        <v>#REF!</v>
      </c>
      <c r="AG694" s="210" t="str">
        <f t="shared" si="95"/>
        <v>#REF!</v>
      </c>
      <c r="AH694" s="120" t="str">
        <f t="shared" si="96"/>
        <v>#REF!</v>
      </c>
      <c r="AI694" s="121">
        <f t="shared" si="497"/>
        <v>0.07</v>
      </c>
      <c r="AJ694" s="121">
        <v>0.07</v>
      </c>
      <c r="AK694" s="122">
        <v>0.33999999999999997</v>
      </c>
      <c r="AL694" s="123">
        <f t="shared" si="11"/>
        <v>706.9772152</v>
      </c>
      <c r="AM694" s="122" t="s">
        <v>10</v>
      </c>
      <c r="AN694" s="125">
        <f t="shared" si="774"/>
        <v>2079.34475</v>
      </c>
      <c r="AO694" s="112">
        <f t="shared" si="775"/>
        <v>0.34</v>
      </c>
      <c r="AP694" s="127"/>
      <c r="AQ694" s="128">
        <f t="shared" si="787"/>
        <v>1542.739654</v>
      </c>
      <c r="AR694" s="125">
        <f t="shared" si="776"/>
        <v>1475.664016</v>
      </c>
      <c r="AS694" s="126">
        <f t="shared" si="733"/>
        <v>0.311827957</v>
      </c>
      <c r="AT694" s="126">
        <f t="shared" si="777"/>
        <v>0.2903225806</v>
      </c>
      <c r="AU694" s="129"/>
      <c r="AV694" s="39" t="s">
        <v>2242</v>
      </c>
      <c r="AW694" s="130"/>
      <c r="AX694" s="130"/>
      <c r="AY694" s="130"/>
      <c r="AZ694" s="130"/>
      <c r="BA694" s="130"/>
      <c r="BB694" s="130"/>
      <c r="BC694" s="392">
        <v>1247.6068502871967</v>
      </c>
      <c r="BD694" s="132">
        <f t="shared" si="788"/>
        <v>1372.367535</v>
      </c>
      <c r="BE694" s="393"/>
      <c r="BF694" s="134"/>
      <c r="BG694" s="49"/>
      <c r="BH694" s="118">
        <f t="shared" si="714"/>
        <v>6931.149168</v>
      </c>
      <c r="BI694" s="118">
        <f t="shared" si="715"/>
        <v>4158.689501</v>
      </c>
      <c r="BJ694" s="118">
        <f t="shared" si="716"/>
        <v>3465.574584</v>
      </c>
      <c r="BK694" s="118">
        <f t="shared" si="717"/>
        <v>2772.459667</v>
      </c>
      <c r="BL694" s="49"/>
      <c r="BM694" s="49"/>
      <c r="BN694" s="394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</row>
    <row r="695" ht="14.25" customHeight="1">
      <c r="A695" s="103" t="s">
        <v>84</v>
      </c>
      <c r="B695" s="103" t="s">
        <v>120</v>
      </c>
      <c r="C695" s="103" t="s">
        <v>120</v>
      </c>
      <c r="D695" s="103" t="s">
        <v>1266</v>
      </c>
      <c r="E695" s="103" t="s">
        <v>1948</v>
      </c>
      <c r="F695" s="104" t="s">
        <v>2008</v>
      </c>
      <c r="G695" s="110" t="s">
        <v>1465</v>
      </c>
      <c r="H695" s="390" t="s">
        <v>1962</v>
      </c>
      <c r="I695" s="391" t="s">
        <v>2590</v>
      </c>
      <c r="J695" s="220" t="s">
        <v>2591</v>
      </c>
      <c r="K695" s="220" t="str">
        <f>_xlfn.XLOOKUP(J695,[1]Sheet1!$A:$A,[1]Sheet1!$B:$B,"")</f>
        <v>#ERROR!</v>
      </c>
      <c r="L695" s="103" t="s">
        <v>2592</v>
      </c>
      <c r="M695" s="103" t="s">
        <v>2593</v>
      </c>
      <c r="N695" s="110" t="s">
        <v>206</v>
      </c>
      <c r="O695" s="104" t="s">
        <v>147</v>
      </c>
      <c r="P695" s="110"/>
      <c r="Q695" s="104" t="s">
        <v>1989</v>
      </c>
      <c r="R695" s="110" t="s">
        <v>1955</v>
      </c>
      <c r="S695" s="110">
        <v>2.0</v>
      </c>
      <c r="T695" s="110" t="e">
        <v>#N/A</v>
      </c>
      <c r="U695" s="110">
        <v>8.5447E9</v>
      </c>
      <c r="V695" s="112">
        <v>0.0</v>
      </c>
      <c r="W695" s="113">
        <v>30.0</v>
      </c>
      <c r="X695" s="110">
        <v>45.0</v>
      </c>
      <c r="Y695" s="110">
        <v>55.0</v>
      </c>
      <c r="Z695" s="110" t="s">
        <v>1938</v>
      </c>
      <c r="AA695" s="114">
        <f t="shared" si="786"/>
        <v>2625.676961</v>
      </c>
      <c r="AB695" s="115"/>
      <c r="AC695" s="116">
        <f t="shared" si="772"/>
        <v>2435.410515</v>
      </c>
      <c r="AD695" s="117">
        <f t="shared" si="783"/>
        <v>2563.590015</v>
      </c>
      <c r="AE695" s="116"/>
      <c r="AF695" s="116" t="str">
        <f t="shared" si="94"/>
        <v>#REF!</v>
      </c>
      <c r="AG695" s="210" t="str">
        <f t="shared" si="95"/>
        <v>#REF!</v>
      </c>
      <c r="AH695" s="120" t="str">
        <f t="shared" si="96"/>
        <v>#REF!</v>
      </c>
      <c r="AI695" s="121">
        <f t="shared" si="497"/>
        <v>0.07</v>
      </c>
      <c r="AJ695" s="121">
        <v>0.07</v>
      </c>
      <c r="AK695" s="122">
        <v>0.33999999999999997</v>
      </c>
      <c r="AL695" s="123">
        <f t="shared" si="11"/>
        <v>828.0395749</v>
      </c>
      <c r="AM695" s="122" t="s">
        <v>10</v>
      </c>
      <c r="AN695" s="125">
        <f t="shared" si="774"/>
        <v>2435.410515</v>
      </c>
      <c r="AO695" s="112">
        <f t="shared" si="775"/>
        <v>0.34</v>
      </c>
      <c r="AP695" s="127"/>
      <c r="AQ695" s="128">
        <f t="shared" si="787"/>
        <v>1806.917479</v>
      </c>
      <c r="AR695" s="125">
        <f t="shared" si="776"/>
        <v>1728.355849</v>
      </c>
      <c r="AS695" s="126">
        <f t="shared" si="733"/>
        <v>0.311827957</v>
      </c>
      <c r="AT695" s="126">
        <f t="shared" si="777"/>
        <v>0.2903225806</v>
      </c>
      <c r="AU695" s="129"/>
      <c r="AV695" s="39" t="s">
        <v>2242</v>
      </c>
      <c r="AW695" s="130"/>
      <c r="AX695" s="130"/>
      <c r="AY695" s="130"/>
      <c r="AZ695" s="130"/>
      <c r="BA695" s="130"/>
      <c r="BB695" s="130"/>
      <c r="BC695" s="392">
        <v>1461.2463087011236</v>
      </c>
      <c r="BD695" s="132">
        <f t="shared" si="788"/>
        <v>1607.37094</v>
      </c>
      <c r="BE695" s="393"/>
      <c r="BF695" s="134"/>
      <c r="BG695" s="49"/>
      <c r="BH695" s="118">
        <f t="shared" si="714"/>
        <v>8118.035048</v>
      </c>
      <c r="BI695" s="118">
        <f t="shared" si="715"/>
        <v>4870.821029</v>
      </c>
      <c r="BJ695" s="118">
        <f t="shared" si="716"/>
        <v>4059.017524</v>
      </c>
      <c r="BK695" s="118">
        <f t="shared" si="717"/>
        <v>3247.214019</v>
      </c>
      <c r="BL695" s="49"/>
      <c r="BM695" s="49"/>
      <c r="BN695" s="394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</row>
    <row r="696" ht="14.25" customHeight="1">
      <c r="A696" s="103" t="s">
        <v>84</v>
      </c>
      <c r="B696" s="103" t="s">
        <v>120</v>
      </c>
      <c r="C696" s="103" t="s">
        <v>120</v>
      </c>
      <c r="D696" s="103" t="s">
        <v>1266</v>
      </c>
      <c r="E696" s="103" t="s">
        <v>1948</v>
      </c>
      <c r="F696" s="104" t="s">
        <v>2008</v>
      </c>
      <c r="G696" s="110" t="s">
        <v>1465</v>
      </c>
      <c r="H696" s="390">
        <v>16.0</v>
      </c>
      <c r="I696" s="391" t="s">
        <v>2594</v>
      </c>
      <c r="J696" s="220" t="s">
        <v>2595</v>
      </c>
      <c r="K696" s="220" t="str">
        <f>_xlfn.XLOOKUP(J696,[1]Sheet1!$A:$A,[1]Sheet1!$B:$B,"")</f>
        <v>#ERROR!</v>
      </c>
      <c r="L696" s="103" t="s">
        <v>2596</v>
      </c>
      <c r="M696" s="103" t="s">
        <v>2597</v>
      </c>
      <c r="N696" s="110" t="s">
        <v>206</v>
      </c>
      <c r="O696" s="104" t="s">
        <v>147</v>
      </c>
      <c r="P696" s="110"/>
      <c r="Q696" s="104" t="s">
        <v>1989</v>
      </c>
      <c r="R696" s="110" t="s">
        <v>1955</v>
      </c>
      <c r="S696" s="110">
        <v>2.0</v>
      </c>
      <c r="T696" s="110" t="e">
        <v>#N/A</v>
      </c>
      <c r="U696" s="110">
        <v>8.5447E9</v>
      </c>
      <c r="V696" s="112">
        <v>0.0</v>
      </c>
      <c r="W696" s="113">
        <v>30.0</v>
      </c>
      <c r="X696" s="110">
        <v>45.0</v>
      </c>
      <c r="Y696" s="110">
        <v>55.0</v>
      </c>
      <c r="Z696" s="110" t="s">
        <v>1938</v>
      </c>
      <c r="AA696" s="114">
        <f t="shared" si="786"/>
        <v>3406.261643</v>
      </c>
      <c r="AB696" s="115"/>
      <c r="AC696" s="116">
        <f t="shared" si="772"/>
        <v>3159.43109</v>
      </c>
      <c r="AD696" s="117">
        <f t="shared" si="783"/>
        <v>3325.716936</v>
      </c>
      <c r="AE696" s="116"/>
      <c r="AF696" s="116" t="str">
        <f t="shared" si="94"/>
        <v>#REF!</v>
      </c>
      <c r="AG696" s="210" t="str">
        <f t="shared" si="95"/>
        <v>#REF!</v>
      </c>
      <c r="AH696" s="120" t="str">
        <f t="shared" si="96"/>
        <v>#REF!</v>
      </c>
      <c r="AI696" s="121">
        <f t="shared" si="497"/>
        <v>0.07</v>
      </c>
      <c r="AJ696" s="121">
        <v>0.07</v>
      </c>
      <c r="AK696" s="122">
        <v>0.33999999999999997</v>
      </c>
      <c r="AL696" s="123">
        <f t="shared" si="11"/>
        <v>1074.20657</v>
      </c>
      <c r="AM696" s="122" t="s">
        <v>10</v>
      </c>
      <c r="AN696" s="125">
        <f t="shared" si="774"/>
        <v>3159.43109</v>
      </c>
      <c r="AO696" s="112">
        <f t="shared" si="775"/>
        <v>0.34</v>
      </c>
      <c r="AP696" s="127"/>
      <c r="AQ696" s="128">
        <f t="shared" si="787"/>
        <v>2344.094034</v>
      </c>
      <c r="AR696" s="125">
        <f t="shared" si="776"/>
        <v>2242.176902</v>
      </c>
      <c r="AS696" s="126">
        <f t="shared" si="733"/>
        <v>0.311827957</v>
      </c>
      <c r="AT696" s="126">
        <f t="shared" si="777"/>
        <v>0.2903225806</v>
      </c>
      <c r="AU696" s="129"/>
      <c r="AV696" s="39" t="s">
        <v>2242</v>
      </c>
      <c r="AW696" s="130"/>
      <c r="AX696" s="130"/>
      <c r="AY696" s="130"/>
      <c r="AZ696" s="130"/>
      <c r="BA696" s="130"/>
      <c r="BB696" s="130"/>
      <c r="BC696" s="392">
        <v>1895.658653726683</v>
      </c>
      <c r="BD696" s="132">
        <f t="shared" si="788"/>
        <v>2085.224519</v>
      </c>
      <c r="BE696" s="393"/>
      <c r="BF696" s="134"/>
      <c r="BG696" s="49"/>
      <c r="BH696" s="118">
        <f t="shared" si="714"/>
        <v>10531.43697</v>
      </c>
      <c r="BI696" s="118">
        <f t="shared" si="715"/>
        <v>6318.862179</v>
      </c>
      <c r="BJ696" s="118">
        <f t="shared" si="716"/>
        <v>5265.718483</v>
      </c>
      <c r="BK696" s="118">
        <f t="shared" si="717"/>
        <v>4212.574786</v>
      </c>
      <c r="BL696" s="49"/>
      <c r="BM696" s="49"/>
      <c r="BN696" s="394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</row>
    <row r="697" ht="14.25" customHeight="1">
      <c r="A697" s="103" t="s">
        <v>84</v>
      </c>
      <c r="B697" s="103" t="s">
        <v>120</v>
      </c>
      <c r="C697" s="103" t="s">
        <v>120</v>
      </c>
      <c r="D697" s="103" t="s">
        <v>1266</v>
      </c>
      <c r="E697" s="103" t="s">
        <v>1948</v>
      </c>
      <c r="F697" s="104" t="s">
        <v>2008</v>
      </c>
      <c r="G697" s="110" t="s">
        <v>1465</v>
      </c>
      <c r="H697" s="390">
        <v>20.0</v>
      </c>
      <c r="I697" s="391" t="s">
        <v>2598</v>
      </c>
      <c r="J697" s="220" t="s">
        <v>2599</v>
      </c>
      <c r="K697" s="220" t="str">
        <f>_xlfn.XLOOKUP(J697,[1]Sheet1!$A:$A,[1]Sheet1!$B:$B,"")</f>
        <v>#ERROR!</v>
      </c>
      <c r="L697" s="103" t="s">
        <v>2600</v>
      </c>
      <c r="M697" s="103" t="s">
        <v>2601</v>
      </c>
      <c r="N697" s="110" t="s">
        <v>206</v>
      </c>
      <c r="O697" s="104" t="s">
        <v>147</v>
      </c>
      <c r="P697" s="110"/>
      <c r="Q697" s="104" t="s">
        <v>1989</v>
      </c>
      <c r="R697" s="110" t="s">
        <v>1955</v>
      </c>
      <c r="S697" s="110">
        <v>2.0</v>
      </c>
      <c r="T697" s="110" t="e">
        <v>#N/A</v>
      </c>
      <c r="U697" s="110">
        <v>8.5447E9</v>
      </c>
      <c r="V697" s="112">
        <v>0.0</v>
      </c>
      <c r="W697" s="113">
        <v>30.0</v>
      </c>
      <c r="X697" s="110">
        <v>45.0</v>
      </c>
      <c r="Y697" s="110">
        <v>55.0</v>
      </c>
      <c r="Z697" s="110" t="s">
        <v>1938</v>
      </c>
      <c r="AA697" s="114">
        <f t="shared" si="786"/>
        <v>4187.270562</v>
      </c>
      <c r="AB697" s="115"/>
      <c r="AC697" s="116">
        <f t="shared" si="772"/>
        <v>3883.845159</v>
      </c>
      <c r="AD697" s="117">
        <f t="shared" si="783"/>
        <v>4088.258062</v>
      </c>
      <c r="AE697" s="116"/>
      <c r="AF697" s="116" t="str">
        <f t="shared" si="94"/>
        <v>#REF!</v>
      </c>
      <c r="AG697" s="210" t="str">
        <f t="shared" si="95"/>
        <v>#REF!</v>
      </c>
      <c r="AH697" s="120" t="str">
        <f t="shared" si="96"/>
        <v>#REF!</v>
      </c>
      <c r="AI697" s="121">
        <f t="shared" si="497"/>
        <v>0.07</v>
      </c>
      <c r="AJ697" s="121">
        <v>0.07</v>
      </c>
      <c r="AK697" s="122">
        <v>0.33999999999999997</v>
      </c>
      <c r="AL697" s="123">
        <f t="shared" si="11"/>
        <v>1320.507354</v>
      </c>
      <c r="AM697" s="122" t="s">
        <v>10</v>
      </c>
      <c r="AN697" s="125">
        <f t="shared" si="774"/>
        <v>3883.845159</v>
      </c>
      <c r="AO697" s="112">
        <f t="shared" si="775"/>
        <v>0.34</v>
      </c>
      <c r="AP697" s="127"/>
      <c r="AQ697" s="128">
        <f t="shared" si="787"/>
        <v>2881.562538</v>
      </c>
      <c r="AR697" s="125">
        <f t="shared" si="776"/>
        <v>2756.27721</v>
      </c>
      <c r="AS697" s="126">
        <f t="shared" si="733"/>
        <v>0.311827957</v>
      </c>
      <c r="AT697" s="126">
        <f t="shared" si="777"/>
        <v>0.2903225806</v>
      </c>
      <c r="AU697" s="129"/>
      <c r="AV697" s="39" t="s">
        <v>2242</v>
      </c>
      <c r="AW697" s="130"/>
      <c r="AX697" s="130"/>
      <c r="AY697" s="130"/>
      <c r="AZ697" s="130"/>
      <c r="BA697" s="130"/>
      <c r="BB697" s="130"/>
      <c r="BC697" s="392">
        <v>2330.3070956034426</v>
      </c>
      <c r="BD697" s="132">
        <f t="shared" si="788"/>
        <v>2563.337805</v>
      </c>
      <c r="BE697" s="393"/>
      <c r="BF697" s="134"/>
      <c r="BG697" s="49"/>
      <c r="BH697" s="118">
        <f t="shared" si="714"/>
        <v>12946.15053</v>
      </c>
      <c r="BI697" s="118">
        <f t="shared" si="715"/>
        <v>7767.690319</v>
      </c>
      <c r="BJ697" s="118">
        <f t="shared" si="716"/>
        <v>6473.075266</v>
      </c>
      <c r="BK697" s="118">
        <f t="shared" si="717"/>
        <v>5178.460212</v>
      </c>
      <c r="BL697" s="49"/>
      <c r="BM697" s="49"/>
      <c r="BN697" s="394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</row>
    <row r="698" ht="14.25" customHeight="1">
      <c r="A698" s="103" t="s">
        <v>84</v>
      </c>
      <c r="B698" s="103" t="s">
        <v>120</v>
      </c>
      <c r="C698" s="103" t="s">
        <v>120</v>
      </c>
      <c r="D698" s="103" t="s">
        <v>1266</v>
      </c>
      <c r="E698" s="103" t="s">
        <v>1948</v>
      </c>
      <c r="F698" s="104" t="s">
        <v>2008</v>
      </c>
      <c r="G698" s="110" t="s">
        <v>1465</v>
      </c>
      <c r="H698" s="390" t="s">
        <v>1967</v>
      </c>
      <c r="I698" s="391" t="s">
        <v>2602</v>
      </c>
      <c r="J698" s="220" t="s">
        <v>2603</v>
      </c>
      <c r="K698" s="220" t="str">
        <f>_xlfn.XLOOKUP(J698,[1]Sheet1!$A:$A,[1]Sheet1!$B:$B,"")</f>
        <v>#ERROR!</v>
      </c>
      <c r="L698" s="103" t="s">
        <v>2604</v>
      </c>
      <c r="M698" s="103" t="s">
        <v>2605</v>
      </c>
      <c r="N698" s="110" t="s">
        <v>206</v>
      </c>
      <c r="O698" s="104" t="s">
        <v>147</v>
      </c>
      <c r="P698" s="110"/>
      <c r="Q698" s="104" t="s">
        <v>1989</v>
      </c>
      <c r="R698" s="110" t="s">
        <v>1955</v>
      </c>
      <c r="S698" s="110">
        <v>2.0</v>
      </c>
      <c r="T698" s="110" t="e">
        <v>#N/A</v>
      </c>
      <c r="U698" s="110">
        <v>8.5447E9</v>
      </c>
      <c r="V698" s="112">
        <v>0.0</v>
      </c>
      <c r="W698" s="113">
        <v>30.0</v>
      </c>
      <c r="X698" s="110">
        <v>45.0</v>
      </c>
      <c r="Y698" s="110">
        <v>55.0</v>
      </c>
      <c r="Z698" s="110" t="s">
        <v>1938</v>
      </c>
      <c r="AA698" s="114">
        <f t="shared" si="786"/>
        <v>4955.037366</v>
      </c>
      <c r="AB698" s="115"/>
      <c r="AC698" s="116">
        <f t="shared" si="772"/>
        <v>4595.976687</v>
      </c>
      <c r="AD698" s="117">
        <f t="shared" si="783"/>
        <v>4837.870197</v>
      </c>
      <c r="AE698" s="116"/>
      <c r="AF698" s="116" t="str">
        <f t="shared" si="94"/>
        <v>#REF!</v>
      </c>
      <c r="AG698" s="210" t="str">
        <f t="shared" si="95"/>
        <v>#REF!</v>
      </c>
      <c r="AH698" s="120" t="str">
        <f t="shared" si="96"/>
        <v>#REF!</v>
      </c>
      <c r="AI698" s="121">
        <f t="shared" si="497"/>
        <v>0.07</v>
      </c>
      <c r="AJ698" s="121">
        <v>0.07</v>
      </c>
      <c r="AK698" s="122">
        <v>0.33999999999999997</v>
      </c>
      <c r="AL698" s="123">
        <f t="shared" si="11"/>
        <v>1562.632074</v>
      </c>
      <c r="AM698" s="122" t="s">
        <v>10</v>
      </c>
      <c r="AN698" s="125">
        <f t="shared" si="774"/>
        <v>4595.976687</v>
      </c>
      <c r="AO698" s="112">
        <f t="shared" si="775"/>
        <v>0.34</v>
      </c>
      <c r="AP698" s="127"/>
      <c r="AQ698" s="128">
        <f t="shared" si="787"/>
        <v>3409.918187</v>
      </c>
      <c r="AR698" s="125">
        <f t="shared" si="776"/>
        <v>3261.660875</v>
      </c>
      <c r="AS698" s="126">
        <f t="shared" si="733"/>
        <v>0.311827957</v>
      </c>
      <c r="AT698" s="126">
        <f t="shared" si="777"/>
        <v>0.2903225806</v>
      </c>
      <c r="AU698" s="129"/>
      <c r="AV698" s="39" t="s">
        <v>2242</v>
      </c>
      <c r="AW698" s="130"/>
      <c r="AX698" s="130"/>
      <c r="AY698" s="130"/>
      <c r="AZ698" s="130"/>
      <c r="BA698" s="130"/>
      <c r="BB698" s="130"/>
      <c r="BC698" s="392">
        <v>2757.586012431296</v>
      </c>
      <c r="BD698" s="132">
        <f t="shared" si="788"/>
        <v>3033.344614</v>
      </c>
      <c r="BE698" s="393"/>
      <c r="BF698" s="134"/>
      <c r="BG698" s="49"/>
      <c r="BH698" s="118">
        <f t="shared" si="714"/>
        <v>15319.92229</v>
      </c>
      <c r="BI698" s="118">
        <f t="shared" si="715"/>
        <v>9191.953375</v>
      </c>
      <c r="BJ698" s="118">
        <f t="shared" si="716"/>
        <v>7659.961146</v>
      </c>
      <c r="BK698" s="118">
        <f t="shared" si="717"/>
        <v>6127.968917</v>
      </c>
      <c r="BL698" s="49"/>
      <c r="BM698" s="49"/>
      <c r="BN698" s="394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</row>
    <row r="699" ht="14.25" customHeight="1">
      <c r="A699" s="103" t="s">
        <v>84</v>
      </c>
      <c r="B699" s="103" t="s">
        <v>85</v>
      </c>
      <c r="C699" s="103" t="s">
        <v>85</v>
      </c>
      <c r="D699" s="103" t="s">
        <v>1266</v>
      </c>
      <c r="E699" s="103" t="s">
        <v>1948</v>
      </c>
      <c r="F699" s="104" t="s">
        <v>1949</v>
      </c>
      <c r="G699" s="110" t="s">
        <v>1465</v>
      </c>
      <c r="H699" s="390">
        <v>4.0</v>
      </c>
      <c r="I699" s="391" t="s">
        <v>2606</v>
      </c>
      <c r="J699" s="220" t="s">
        <v>2607</v>
      </c>
      <c r="K699" s="220" t="str">
        <f>_xlfn.XLOOKUP(J699,[1]Sheet1!$A:$A,[1]Sheet1!$B:$B,"")</f>
        <v>#ERROR!</v>
      </c>
      <c r="L699" s="103" t="s">
        <v>2608</v>
      </c>
      <c r="M699" s="103" t="s">
        <v>2609</v>
      </c>
      <c r="N699" s="110" t="s">
        <v>162</v>
      </c>
      <c r="O699" s="104" t="s">
        <v>147</v>
      </c>
      <c r="P699" s="110"/>
      <c r="Q699" s="104" t="s">
        <v>1989</v>
      </c>
      <c r="R699" s="110" t="s">
        <v>1955</v>
      </c>
      <c r="S699" s="110">
        <v>2.0</v>
      </c>
      <c r="T699" s="110" t="e">
        <v>#N/A</v>
      </c>
      <c r="U699" s="110">
        <v>8.5447E9</v>
      </c>
      <c r="V699" s="112">
        <v>0.0</v>
      </c>
      <c r="W699" s="113">
        <v>30.0</v>
      </c>
      <c r="X699" s="110">
        <v>45.0</v>
      </c>
      <c r="Y699" s="110">
        <v>55.0</v>
      </c>
      <c r="Z699" s="110" t="s">
        <v>1938</v>
      </c>
      <c r="AA699" s="114">
        <f t="shared" si="786"/>
        <v>1236.25</v>
      </c>
      <c r="AB699" s="115"/>
      <c r="AC699" s="116">
        <f t="shared" si="772"/>
        <v>1144.354839</v>
      </c>
      <c r="AD699" s="117">
        <f t="shared" si="783"/>
        <v>1204.584041</v>
      </c>
      <c r="AE699" s="116"/>
      <c r="AF699" s="116" t="str">
        <f t="shared" si="94"/>
        <v>#REF!</v>
      </c>
      <c r="AG699" s="210" t="str">
        <f t="shared" si="95"/>
        <v>#REF!</v>
      </c>
      <c r="AH699" s="120" t="str">
        <f t="shared" si="96"/>
        <v>#REF!</v>
      </c>
      <c r="AI699" s="121">
        <f t="shared" si="497"/>
        <v>0.07</v>
      </c>
      <c r="AJ699" s="121">
        <v>0.07</v>
      </c>
      <c r="AK699" s="122">
        <v>0.38</v>
      </c>
      <c r="AL699" s="123">
        <f t="shared" si="11"/>
        <v>434.8548387</v>
      </c>
      <c r="AM699" s="122" t="s">
        <v>10</v>
      </c>
      <c r="AN699" s="125">
        <f t="shared" si="774"/>
        <v>1144.354839</v>
      </c>
      <c r="AO699" s="112">
        <f t="shared" si="775"/>
        <v>0.38</v>
      </c>
      <c r="AP699" s="127"/>
      <c r="AQ699" s="128">
        <f t="shared" si="787"/>
        <v>797.5806452</v>
      </c>
      <c r="AR699" s="125">
        <f t="shared" si="776"/>
        <v>762.9032258</v>
      </c>
      <c r="AS699" s="126">
        <f t="shared" si="733"/>
        <v>0.3548387097</v>
      </c>
      <c r="AT699" s="126">
        <f t="shared" si="777"/>
        <v>0.3333333333</v>
      </c>
      <c r="AU699" s="129"/>
      <c r="AV699" s="39" t="s">
        <v>2242</v>
      </c>
      <c r="AW699" s="130"/>
      <c r="AX699" s="130"/>
      <c r="AY699" s="130"/>
      <c r="AZ699" s="130"/>
      <c r="BA699" s="130"/>
      <c r="BB699" s="130"/>
      <c r="BC699" s="392">
        <v>645.0</v>
      </c>
      <c r="BD699" s="132">
        <f t="shared" si="788"/>
        <v>709.5</v>
      </c>
      <c r="BE699" s="393"/>
      <c r="BF699" s="134"/>
      <c r="BG699" s="49"/>
      <c r="BH699" s="118">
        <f t="shared" si="714"/>
        <v>3814.516129</v>
      </c>
      <c r="BI699" s="118">
        <f t="shared" si="715"/>
        <v>2288.709677</v>
      </c>
      <c r="BJ699" s="118">
        <f t="shared" si="716"/>
        <v>1907.258065</v>
      </c>
      <c r="BK699" s="118">
        <f t="shared" si="717"/>
        <v>1525.806452</v>
      </c>
      <c r="BL699" s="49"/>
      <c r="BM699" s="49"/>
      <c r="BN699" s="394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</row>
    <row r="700" ht="14.25" customHeight="1">
      <c r="A700" s="103" t="s">
        <v>84</v>
      </c>
      <c r="B700" s="103" t="s">
        <v>85</v>
      </c>
      <c r="C700" s="103" t="s">
        <v>85</v>
      </c>
      <c r="D700" s="103" t="s">
        <v>1266</v>
      </c>
      <c r="E700" s="103" t="s">
        <v>1948</v>
      </c>
      <c r="F700" s="104" t="s">
        <v>1949</v>
      </c>
      <c r="G700" s="110" t="s">
        <v>1465</v>
      </c>
      <c r="H700" s="390" t="s">
        <v>1950</v>
      </c>
      <c r="I700" s="391" t="s">
        <v>2610</v>
      </c>
      <c r="J700" s="220" t="s">
        <v>2127</v>
      </c>
      <c r="K700" s="220" t="str">
        <f>_xlfn.XLOOKUP(J700,[1]Sheet1!$A:$A,[1]Sheet1!$B:$B,"")</f>
        <v>#ERROR!</v>
      </c>
      <c r="L700" s="103" t="s">
        <v>2128</v>
      </c>
      <c r="M700" s="103" t="s">
        <v>2129</v>
      </c>
      <c r="N700" s="110" t="s">
        <v>106</v>
      </c>
      <c r="O700" s="104" t="s">
        <v>147</v>
      </c>
      <c r="P700" s="110"/>
      <c r="Q700" s="104" t="s">
        <v>1989</v>
      </c>
      <c r="R700" s="110" t="s">
        <v>1955</v>
      </c>
      <c r="S700" s="110">
        <v>2.0</v>
      </c>
      <c r="T700" s="110" t="e">
        <v>#N/A</v>
      </c>
      <c r="U700" s="110">
        <v>8.5447E9</v>
      </c>
      <c r="V700" s="112">
        <v>0.0</v>
      </c>
      <c r="W700" s="113">
        <v>30.0</v>
      </c>
      <c r="X700" s="110">
        <v>45.0</v>
      </c>
      <c r="Y700" s="110">
        <v>55.0</v>
      </c>
      <c r="Z700" s="110" t="s">
        <v>1938</v>
      </c>
      <c r="AA700" s="114">
        <f t="shared" si="786"/>
        <v>1533.333333</v>
      </c>
      <c r="AB700" s="115"/>
      <c r="AC700" s="116">
        <f t="shared" si="772"/>
        <v>1419.354839</v>
      </c>
      <c r="AD700" s="117">
        <f t="shared" si="783"/>
        <v>1494.057725</v>
      </c>
      <c r="AE700" s="116"/>
      <c r="AF700" s="116" t="str">
        <f t="shared" si="94"/>
        <v>#REF!</v>
      </c>
      <c r="AG700" s="210" t="str">
        <f t="shared" si="95"/>
        <v>#REF!</v>
      </c>
      <c r="AH700" s="120" t="str">
        <f t="shared" si="96"/>
        <v>#REF!</v>
      </c>
      <c r="AI700" s="121">
        <f t="shared" si="497"/>
        <v>0.07</v>
      </c>
      <c r="AJ700" s="121">
        <v>0.07</v>
      </c>
      <c r="AK700" s="122">
        <v>0.38</v>
      </c>
      <c r="AL700" s="123">
        <f t="shared" si="11"/>
        <v>539.3548387</v>
      </c>
      <c r="AM700" s="122" t="s">
        <v>10</v>
      </c>
      <c r="AN700" s="125">
        <f t="shared" si="774"/>
        <v>1419.354839</v>
      </c>
      <c r="AO700" s="112">
        <f t="shared" si="775"/>
        <v>0.38</v>
      </c>
      <c r="AP700" s="127"/>
      <c r="AQ700" s="128">
        <f t="shared" si="787"/>
        <v>989.2473118</v>
      </c>
      <c r="AR700" s="125">
        <f t="shared" si="776"/>
        <v>946.2365591</v>
      </c>
      <c r="AS700" s="126">
        <f t="shared" si="733"/>
        <v>0.3548387097</v>
      </c>
      <c r="AT700" s="126">
        <f t="shared" si="777"/>
        <v>0.3333333333</v>
      </c>
      <c r="AU700" s="129"/>
      <c r="AV700" s="39" t="s">
        <v>2242</v>
      </c>
      <c r="AW700" s="130"/>
      <c r="AX700" s="130"/>
      <c r="AY700" s="130"/>
      <c r="AZ700" s="130"/>
      <c r="BA700" s="130"/>
      <c r="BB700" s="130"/>
      <c r="BC700" s="392">
        <v>800.0</v>
      </c>
      <c r="BD700" s="132">
        <f t="shared" si="788"/>
        <v>880</v>
      </c>
      <c r="BE700" s="393"/>
      <c r="BF700" s="134"/>
      <c r="BG700" s="49"/>
      <c r="BH700" s="118">
        <f t="shared" si="714"/>
        <v>4731.182796</v>
      </c>
      <c r="BI700" s="118">
        <f t="shared" si="715"/>
        <v>2838.709677</v>
      </c>
      <c r="BJ700" s="118">
        <f t="shared" si="716"/>
        <v>2365.591398</v>
      </c>
      <c r="BK700" s="118">
        <f t="shared" si="717"/>
        <v>1892.473118</v>
      </c>
      <c r="BL700" s="49"/>
      <c r="BM700" s="49"/>
      <c r="BN700" s="394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</row>
    <row r="701" ht="14.25" customHeight="1">
      <c r="A701" s="103" t="s">
        <v>84</v>
      </c>
      <c r="B701" s="103" t="s">
        <v>85</v>
      </c>
      <c r="C701" s="103" t="s">
        <v>85</v>
      </c>
      <c r="D701" s="103" t="s">
        <v>1266</v>
      </c>
      <c r="E701" s="103" t="s">
        <v>1948</v>
      </c>
      <c r="F701" s="104" t="s">
        <v>1949</v>
      </c>
      <c r="G701" s="110" t="s">
        <v>1465</v>
      </c>
      <c r="H701" s="390" t="s">
        <v>1957</v>
      </c>
      <c r="I701" s="391" t="s">
        <v>2611</v>
      </c>
      <c r="J701" s="220" t="s">
        <v>2131</v>
      </c>
      <c r="K701" s="220" t="str">
        <f>_xlfn.XLOOKUP(J701,[1]Sheet1!$A:$A,[1]Sheet1!$B:$B,"")</f>
        <v>#ERROR!</v>
      </c>
      <c r="L701" s="103" t="s">
        <v>2132</v>
      </c>
      <c r="M701" s="103" t="s">
        <v>2133</v>
      </c>
      <c r="N701" s="110" t="s">
        <v>106</v>
      </c>
      <c r="O701" s="104" t="s">
        <v>147</v>
      </c>
      <c r="P701" s="110"/>
      <c r="Q701" s="104" t="s">
        <v>1989</v>
      </c>
      <c r="R701" s="110" t="s">
        <v>1955</v>
      </c>
      <c r="S701" s="110">
        <v>2.0</v>
      </c>
      <c r="T701" s="110" t="e">
        <v>#N/A</v>
      </c>
      <c r="U701" s="110">
        <v>8.5447E9</v>
      </c>
      <c r="V701" s="112">
        <v>0.0</v>
      </c>
      <c r="W701" s="113">
        <v>30.0</v>
      </c>
      <c r="X701" s="110">
        <v>45.0</v>
      </c>
      <c r="Y701" s="110">
        <v>55.0</v>
      </c>
      <c r="Z701" s="110" t="s">
        <v>1938</v>
      </c>
      <c r="AA701" s="114">
        <f t="shared" si="786"/>
        <v>1935.833333</v>
      </c>
      <c r="AB701" s="115"/>
      <c r="AC701" s="116">
        <f t="shared" si="772"/>
        <v>1791.935484</v>
      </c>
      <c r="AD701" s="117">
        <f t="shared" si="783"/>
        <v>1886.247878</v>
      </c>
      <c r="AE701" s="116"/>
      <c r="AF701" s="116" t="str">
        <f t="shared" si="94"/>
        <v>#REF!</v>
      </c>
      <c r="AG701" s="210" t="str">
        <f t="shared" si="95"/>
        <v>#REF!</v>
      </c>
      <c r="AH701" s="120" t="str">
        <f t="shared" si="96"/>
        <v>#REF!</v>
      </c>
      <c r="AI701" s="121">
        <f t="shared" si="497"/>
        <v>0.07</v>
      </c>
      <c r="AJ701" s="121">
        <v>0.07</v>
      </c>
      <c r="AK701" s="122">
        <v>0.38</v>
      </c>
      <c r="AL701" s="123">
        <f t="shared" si="11"/>
        <v>680.9354839</v>
      </c>
      <c r="AM701" s="122" t="s">
        <v>10</v>
      </c>
      <c r="AN701" s="125">
        <f t="shared" si="774"/>
        <v>1791.935484</v>
      </c>
      <c r="AO701" s="112">
        <f t="shared" si="775"/>
        <v>0.38</v>
      </c>
      <c r="AP701" s="127"/>
      <c r="AQ701" s="128">
        <f t="shared" si="787"/>
        <v>1248.924731</v>
      </c>
      <c r="AR701" s="125">
        <f t="shared" si="776"/>
        <v>1194.623656</v>
      </c>
      <c r="AS701" s="126">
        <f t="shared" si="733"/>
        <v>0.3548387097</v>
      </c>
      <c r="AT701" s="126">
        <f t="shared" si="777"/>
        <v>0.3333333333</v>
      </c>
      <c r="AU701" s="129"/>
      <c r="AV701" s="39" t="s">
        <v>2242</v>
      </c>
      <c r="AW701" s="130"/>
      <c r="AX701" s="130"/>
      <c r="AY701" s="130"/>
      <c r="AZ701" s="130"/>
      <c r="BA701" s="130"/>
      <c r="BB701" s="130"/>
      <c r="BC701" s="392">
        <v>1010.0</v>
      </c>
      <c r="BD701" s="132">
        <f t="shared" si="788"/>
        <v>1111</v>
      </c>
      <c r="BE701" s="393"/>
      <c r="BF701" s="134"/>
      <c r="BG701" s="49"/>
      <c r="BH701" s="118">
        <f t="shared" si="714"/>
        <v>5973.11828</v>
      </c>
      <c r="BI701" s="118">
        <f t="shared" si="715"/>
        <v>3583.870968</v>
      </c>
      <c r="BJ701" s="118">
        <f t="shared" si="716"/>
        <v>2986.55914</v>
      </c>
      <c r="BK701" s="118">
        <f t="shared" si="717"/>
        <v>2389.247312</v>
      </c>
      <c r="BL701" s="49"/>
      <c r="BM701" s="49"/>
      <c r="BN701" s="394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</row>
    <row r="702" ht="14.25" customHeight="1">
      <c r="A702" s="103" t="s">
        <v>84</v>
      </c>
      <c r="B702" s="103" t="s">
        <v>85</v>
      </c>
      <c r="C702" s="103" t="s">
        <v>85</v>
      </c>
      <c r="D702" s="103" t="s">
        <v>1266</v>
      </c>
      <c r="E702" s="103" t="s">
        <v>1948</v>
      </c>
      <c r="F702" s="104" t="s">
        <v>1949</v>
      </c>
      <c r="G702" s="110" t="s">
        <v>1465</v>
      </c>
      <c r="H702" s="390" t="s">
        <v>1962</v>
      </c>
      <c r="I702" s="391" t="s">
        <v>2612</v>
      </c>
      <c r="J702" s="220" t="s">
        <v>2135</v>
      </c>
      <c r="K702" s="220" t="str">
        <f>_xlfn.XLOOKUP(J702,[1]Sheet1!$A:$A,[1]Sheet1!$B:$B,"")</f>
        <v>#ERROR!</v>
      </c>
      <c r="L702" s="103" t="s">
        <v>2136</v>
      </c>
      <c r="M702" s="103" t="s">
        <v>2137</v>
      </c>
      <c r="N702" s="110" t="s">
        <v>106</v>
      </c>
      <c r="O702" s="104" t="s">
        <v>147</v>
      </c>
      <c r="P702" s="110"/>
      <c r="Q702" s="104" t="s">
        <v>1989</v>
      </c>
      <c r="R702" s="110" t="s">
        <v>1955</v>
      </c>
      <c r="S702" s="110">
        <v>2.0</v>
      </c>
      <c r="T702" s="110" t="e">
        <v>#N/A</v>
      </c>
      <c r="U702" s="110">
        <v>8.5447E9</v>
      </c>
      <c r="V702" s="112">
        <v>0.0</v>
      </c>
      <c r="W702" s="113">
        <v>30.0</v>
      </c>
      <c r="X702" s="110">
        <v>45.0</v>
      </c>
      <c r="Y702" s="110">
        <v>55.0</v>
      </c>
      <c r="Z702" s="110" t="s">
        <v>1938</v>
      </c>
      <c r="AA702" s="114">
        <f t="shared" si="786"/>
        <v>2779.166667</v>
      </c>
      <c r="AB702" s="115"/>
      <c r="AC702" s="116">
        <f t="shared" si="772"/>
        <v>2572.580645</v>
      </c>
      <c r="AD702" s="117">
        <f t="shared" si="783"/>
        <v>2707.979626</v>
      </c>
      <c r="AE702" s="116"/>
      <c r="AF702" s="116" t="str">
        <f t="shared" si="94"/>
        <v>#REF!</v>
      </c>
      <c r="AG702" s="210" t="str">
        <f t="shared" si="95"/>
        <v>#REF!</v>
      </c>
      <c r="AH702" s="120" t="str">
        <f t="shared" si="96"/>
        <v>#REF!</v>
      </c>
      <c r="AI702" s="121">
        <f t="shared" si="497"/>
        <v>0.07</v>
      </c>
      <c r="AJ702" s="121">
        <v>0.07</v>
      </c>
      <c r="AK702" s="122">
        <v>0.38</v>
      </c>
      <c r="AL702" s="123">
        <f t="shared" si="11"/>
        <v>977.5806452</v>
      </c>
      <c r="AM702" s="122" t="s">
        <v>10</v>
      </c>
      <c r="AN702" s="125">
        <f t="shared" si="774"/>
        <v>2572.580645</v>
      </c>
      <c r="AO702" s="112">
        <f t="shared" si="775"/>
        <v>0.38</v>
      </c>
      <c r="AP702" s="127"/>
      <c r="AQ702" s="128">
        <f t="shared" si="787"/>
        <v>1793.010753</v>
      </c>
      <c r="AR702" s="125">
        <f t="shared" si="776"/>
        <v>1715.053763</v>
      </c>
      <c r="AS702" s="126">
        <f t="shared" si="733"/>
        <v>0.3548387097</v>
      </c>
      <c r="AT702" s="126">
        <f t="shared" si="777"/>
        <v>0.3333333333</v>
      </c>
      <c r="AU702" s="129"/>
      <c r="AV702" s="39" t="s">
        <v>2242</v>
      </c>
      <c r="AW702" s="130"/>
      <c r="AX702" s="130"/>
      <c r="AY702" s="130"/>
      <c r="AZ702" s="130"/>
      <c r="BA702" s="130"/>
      <c r="BB702" s="130"/>
      <c r="BC702" s="392">
        <v>1450.0</v>
      </c>
      <c r="BD702" s="132">
        <f t="shared" si="788"/>
        <v>1595</v>
      </c>
      <c r="BE702" s="393"/>
      <c r="BF702" s="134"/>
      <c r="BG702" s="49"/>
      <c r="BH702" s="118">
        <f t="shared" si="714"/>
        <v>8575.268817</v>
      </c>
      <c r="BI702" s="118">
        <f t="shared" si="715"/>
        <v>5145.16129</v>
      </c>
      <c r="BJ702" s="118">
        <f t="shared" si="716"/>
        <v>4287.634409</v>
      </c>
      <c r="BK702" s="118">
        <f t="shared" si="717"/>
        <v>3430.107527</v>
      </c>
      <c r="BL702" s="49"/>
      <c r="BM702" s="49"/>
      <c r="BN702" s="394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</row>
    <row r="703" ht="14.25" customHeight="1">
      <c r="A703" s="103" t="s">
        <v>84</v>
      </c>
      <c r="B703" s="103" t="s">
        <v>85</v>
      </c>
      <c r="C703" s="103" t="s">
        <v>85</v>
      </c>
      <c r="D703" s="103" t="s">
        <v>1266</v>
      </c>
      <c r="E703" s="103" t="s">
        <v>1948</v>
      </c>
      <c r="F703" s="104" t="s">
        <v>1949</v>
      </c>
      <c r="G703" s="110" t="s">
        <v>1465</v>
      </c>
      <c r="H703" s="390" t="s">
        <v>1967</v>
      </c>
      <c r="I703" s="391" t="s">
        <v>2613</v>
      </c>
      <c r="J703" s="220" t="s">
        <v>2139</v>
      </c>
      <c r="K703" s="220" t="str">
        <f>_xlfn.XLOOKUP(J703,[1]Sheet1!$A:$A,[1]Sheet1!$B:$B,"")</f>
        <v>#ERROR!</v>
      </c>
      <c r="L703" s="103" t="s">
        <v>2140</v>
      </c>
      <c r="M703" s="103" t="s">
        <v>2141</v>
      </c>
      <c r="N703" s="110" t="s">
        <v>106</v>
      </c>
      <c r="O703" s="104" t="s">
        <v>147</v>
      </c>
      <c r="P703" s="110"/>
      <c r="Q703" s="104" t="s">
        <v>1989</v>
      </c>
      <c r="R703" s="110" t="s">
        <v>1955</v>
      </c>
      <c r="S703" s="110">
        <v>2.0</v>
      </c>
      <c r="T703" s="110" t="e">
        <v>#N/A</v>
      </c>
      <c r="U703" s="110">
        <v>8.5447E9</v>
      </c>
      <c r="V703" s="112">
        <v>0.0</v>
      </c>
      <c r="W703" s="113">
        <v>30.0</v>
      </c>
      <c r="X703" s="110">
        <v>45.0</v>
      </c>
      <c r="Y703" s="110">
        <v>55.0</v>
      </c>
      <c r="Z703" s="110" t="s">
        <v>1938</v>
      </c>
      <c r="AA703" s="114">
        <f t="shared" si="786"/>
        <v>5270.833333</v>
      </c>
      <c r="AB703" s="115"/>
      <c r="AC703" s="116">
        <f t="shared" si="772"/>
        <v>4879.032258</v>
      </c>
      <c r="AD703" s="117">
        <f t="shared" si="783"/>
        <v>5135.82343</v>
      </c>
      <c r="AE703" s="116"/>
      <c r="AF703" s="116" t="str">
        <f t="shared" si="94"/>
        <v>#REF!</v>
      </c>
      <c r="AG703" s="210" t="str">
        <f t="shared" si="95"/>
        <v>#REF!</v>
      </c>
      <c r="AH703" s="120" t="str">
        <f t="shared" si="96"/>
        <v>#REF!</v>
      </c>
      <c r="AI703" s="121">
        <f t="shared" si="497"/>
        <v>0.07</v>
      </c>
      <c r="AJ703" s="121">
        <v>0.07</v>
      </c>
      <c r="AK703" s="122">
        <v>0.38</v>
      </c>
      <c r="AL703" s="123">
        <f t="shared" si="11"/>
        <v>1854.032258</v>
      </c>
      <c r="AM703" s="122" t="s">
        <v>10</v>
      </c>
      <c r="AN703" s="125">
        <f t="shared" si="774"/>
        <v>4879.032258</v>
      </c>
      <c r="AO703" s="112">
        <f t="shared" si="775"/>
        <v>0.38</v>
      </c>
      <c r="AP703" s="127"/>
      <c r="AQ703" s="128">
        <f t="shared" si="787"/>
        <v>3400.537634</v>
      </c>
      <c r="AR703" s="125">
        <f t="shared" si="776"/>
        <v>3252.688172</v>
      </c>
      <c r="AS703" s="126">
        <f t="shared" si="733"/>
        <v>0.3548387097</v>
      </c>
      <c r="AT703" s="126">
        <f t="shared" si="777"/>
        <v>0.3333333333</v>
      </c>
      <c r="AU703" s="129"/>
      <c r="AV703" s="39" t="s">
        <v>2242</v>
      </c>
      <c r="AW703" s="130"/>
      <c r="AX703" s="130"/>
      <c r="AY703" s="130"/>
      <c r="AZ703" s="130"/>
      <c r="BA703" s="130"/>
      <c r="BB703" s="130"/>
      <c r="BC703" s="392">
        <v>2750.0</v>
      </c>
      <c r="BD703" s="132">
        <f t="shared" si="788"/>
        <v>3025</v>
      </c>
      <c r="BE703" s="393"/>
      <c r="BF703" s="134"/>
      <c r="BG703" s="49"/>
      <c r="BH703" s="118">
        <f t="shared" si="714"/>
        <v>16263.44086</v>
      </c>
      <c r="BI703" s="118">
        <f t="shared" si="715"/>
        <v>9758.064516</v>
      </c>
      <c r="BJ703" s="118">
        <f t="shared" si="716"/>
        <v>8131.72043</v>
      </c>
      <c r="BK703" s="118">
        <f t="shared" si="717"/>
        <v>6505.376344</v>
      </c>
      <c r="BL703" s="49"/>
      <c r="BM703" s="49"/>
      <c r="BN703" s="394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</row>
    <row r="704" ht="14.25" customHeight="1">
      <c r="A704" s="103" t="s">
        <v>84</v>
      </c>
      <c r="B704" s="103" t="s">
        <v>85</v>
      </c>
      <c r="C704" s="103" t="s">
        <v>85</v>
      </c>
      <c r="D704" s="103" t="s">
        <v>1266</v>
      </c>
      <c r="E704" s="103" t="s">
        <v>1948</v>
      </c>
      <c r="F704" s="104" t="s">
        <v>2025</v>
      </c>
      <c r="G704" s="110" t="s">
        <v>1465</v>
      </c>
      <c r="H704" s="390" t="s">
        <v>1962</v>
      </c>
      <c r="I704" s="391" t="s">
        <v>2614</v>
      </c>
      <c r="J704" s="220" t="s">
        <v>2615</v>
      </c>
      <c r="K704" s="220" t="str">
        <f>_xlfn.XLOOKUP(J704,[1]Sheet1!$A:$A,[1]Sheet1!$B:$B,"")</f>
        <v>#ERROR!</v>
      </c>
      <c r="L704" s="103" t="s">
        <v>2616</v>
      </c>
      <c r="M704" s="103" t="s">
        <v>2617</v>
      </c>
      <c r="N704" s="110" t="s">
        <v>106</v>
      </c>
      <c r="O704" s="104" t="s">
        <v>147</v>
      </c>
      <c r="P704" s="110"/>
      <c r="Q704" s="104" t="s">
        <v>1989</v>
      </c>
      <c r="R704" s="110" t="s">
        <v>1955</v>
      </c>
      <c r="S704" s="110">
        <v>2.0</v>
      </c>
      <c r="T704" s="155" t="e">
        <v>#N/A</v>
      </c>
      <c r="U704" s="155">
        <v>8.5447E9</v>
      </c>
      <c r="V704" s="157">
        <v>0.0</v>
      </c>
      <c r="W704" s="158">
        <v>30.0</v>
      </c>
      <c r="X704" s="155">
        <v>45.0</v>
      </c>
      <c r="Y704" s="155">
        <v>55.0</v>
      </c>
      <c r="Z704" s="155" t="s">
        <v>1938</v>
      </c>
      <c r="AA704" s="114">
        <f t="shared" si="786"/>
        <v>3670.416667</v>
      </c>
      <c r="AB704" s="395"/>
      <c r="AC704" s="159">
        <f t="shared" si="772"/>
        <v>3397.580645</v>
      </c>
      <c r="AD704" s="117">
        <f t="shared" si="783"/>
        <v>3576.400679</v>
      </c>
      <c r="AE704" s="159"/>
      <c r="AF704" s="159" t="str">
        <f t="shared" si="94"/>
        <v>#REF!</v>
      </c>
      <c r="AG704" s="396" t="str">
        <f t="shared" si="95"/>
        <v>#REF!</v>
      </c>
      <c r="AH704" s="120" t="str">
        <f t="shared" si="96"/>
        <v>#REF!</v>
      </c>
      <c r="AI704" s="157">
        <f t="shared" si="497"/>
        <v>0.07</v>
      </c>
      <c r="AJ704" s="157">
        <v>0.07</v>
      </c>
      <c r="AK704" s="157">
        <v>0.38</v>
      </c>
      <c r="AL704" s="123">
        <f t="shared" si="11"/>
        <v>1291.080645</v>
      </c>
      <c r="AM704" s="157" t="s">
        <v>10</v>
      </c>
      <c r="AN704" s="161">
        <f t="shared" si="774"/>
        <v>3397.580645</v>
      </c>
      <c r="AO704" s="157">
        <f t="shared" si="775"/>
        <v>0.38</v>
      </c>
      <c r="AP704" s="127"/>
      <c r="AQ704" s="163">
        <f t="shared" si="787"/>
        <v>2368.010753</v>
      </c>
      <c r="AR704" s="161">
        <f t="shared" si="776"/>
        <v>2265.053763</v>
      </c>
      <c r="AS704" s="162">
        <f t="shared" si="733"/>
        <v>0.3548387097</v>
      </c>
      <c r="AT704" s="162">
        <f t="shared" si="777"/>
        <v>0.3333333333</v>
      </c>
      <c r="AU704" s="129"/>
      <c r="AV704" s="39" t="s">
        <v>2242</v>
      </c>
      <c r="AW704" s="130"/>
      <c r="AX704" s="130"/>
      <c r="AY704" s="130"/>
      <c r="AZ704" s="130"/>
      <c r="BA704" s="130"/>
      <c r="BB704" s="130"/>
      <c r="BC704" s="392">
        <v>1915.0</v>
      </c>
      <c r="BD704" s="132">
        <f t="shared" si="788"/>
        <v>2106.5</v>
      </c>
      <c r="BE704" s="393"/>
      <c r="BF704" s="134"/>
      <c r="BG704" s="49"/>
      <c r="BH704" s="118">
        <f t="shared" si="714"/>
        <v>11325.26882</v>
      </c>
      <c r="BI704" s="118">
        <f t="shared" si="715"/>
        <v>6795.16129</v>
      </c>
      <c r="BJ704" s="118">
        <f t="shared" si="716"/>
        <v>5662.634409</v>
      </c>
      <c r="BK704" s="118">
        <f t="shared" si="717"/>
        <v>4530.107527</v>
      </c>
      <c r="BL704" s="49"/>
      <c r="BM704" s="49"/>
      <c r="BN704" s="394"/>
      <c r="BO704" s="49"/>
      <c r="BP704" s="49"/>
      <c r="BQ704" s="49"/>
      <c r="BR704" s="49"/>
      <c r="BS704" s="49"/>
      <c r="BT704" s="49"/>
      <c r="BU704" s="49"/>
      <c r="BV704" s="49"/>
      <c r="BW704" s="49"/>
      <c r="BX704" s="49"/>
      <c r="BY704" s="49"/>
      <c r="BZ704" s="49"/>
      <c r="CA704" s="49"/>
      <c r="CB704" s="49"/>
      <c r="CC704" s="49"/>
      <c r="CD704" s="49"/>
      <c r="CE704" s="49"/>
      <c r="CF704" s="49"/>
    </row>
    <row r="705" ht="14.25" customHeight="1">
      <c r="A705" s="103" t="s">
        <v>84</v>
      </c>
      <c r="B705" s="103" t="s">
        <v>85</v>
      </c>
      <c r="C705" s="103" t="s">
        <v>85</v>
      </c>
      <c r="D705" s="103" t="s">
        <v>1266</v>
      </c>
      <c r="E705" s="103" t="s">
        <v>1948</v>
      </c>
      <c r="F705" s="104" t="s">
        <v>2025</v>
      </c>
      <c r="G705" s="110" t="s">
        <v>1465</v>
      </c>
      <c r="H705" s="390" t="s">
        <v>1967</v>
      </c>
      <c r="I705" s="391" t="s">
        <v>2618</v>
      </c>
      <c r="J705" s="220" t="s">
        <v>2619</v>
      </c>
      <c r="K705" s="220" t="str">
        <f>_xlfn.XLOOKUP(J705,[1]Sheet1!$A:$A,[1]Sheet1!$B:$B,"")</f>
        <v>#ERROR!</v>
      </c>
      <c r="L705" s="103" t="s">
        <v>2620</v>
      </c>
      <c r="M705" s="103" t="s">
        <v>2621</v>
      </c>
      <c r="N705" s="110" t="s">
        <v>106</v>
      </c>
      <c r="O705" s="104" t="s">
        <v>147</v>
      </c>
      <c r="P705" s="110"/>
      <c r="Q705" s="104" t="s">
        <v>1989</v>
      </c>
      <c r="R705" s="110" t="s">
        <v>1955</v>
      </c>
      <c r="S705" s="110">
        <v>2.0</v>
      </c>
      <c r="T705" s="155" t="e">
        <v>#N/A</v>
      </c>
      <c r="U705" s="155">
        <v>8.5447E9</v>
      </c>
      <c r="V705" s="157">
        <v>0.0</v>
      </c>
      <c r="W705" s="158">
        <v>30.0</v>
      </c>
      <c r="X705" s="155">
        <v>45.0</v>
      </c>
      <c r="Y705" s="155">
        <v>55.0</v>
      </c>
      <c r="Z705" s="155" t="s">
        <v>1938</v>
      </c>
      <c r="AA705" s="114">
        <f t="shared" si="786"/>
        <v>6420.833333</v>
      </c>
      <c r="AB705" s="395"/>
      <c r="AC705" s="159">
        <f t="shared" si="772"/>
        <v>5943.548387</v>
      </c>
      <c r="AD705" s="117">
        <f t="shared" si="783"/>
        <v>6256.366723</v>
      </c>
      <c r="AE705" s="159"/>
      <c r="AF705" s="159" t="str">
        <f t="shared" si="94"/>
        <v>#REF!</v>
      </c>
      <c r="AG705" s="396" t="str">
        <f t="shared" si="95"/>
        <v>#REF!</v>
      </c>
      <c r="AH705" s="120" t="str">
        <f t="shared" si="96"/>
        <v>#REF!</v>
      </c>
      <c r="AI705" s="157">
        <f t="shared" si="497"/>
        <v>0.07</v>
      </c>
      <c r="AJ705" s="157">
        <v>0.07</v>
      </c>
      <c r="AK705" s="157">
        <v>0.38</v>
      </c>
      <c r="AL705" s="123">
        <f t="shared" si="11"/>
        <v>2258.548387</v>
      </c>
      <c r="AM705" s="157" t="s">
        <v>10</v>
      </c>
      <c r="AN705" s="161">
        <f t="shared" si="774"/>
        <v>5943.548387</v>
      </c>
      <c r="AO705" s="157">
        <f t="shared" si="775"/>
        <v>0.38</v>
      </c>
      <c r="AP705" s="127"/>
      <c r="AQ705" s="163">
        <f t="shared" si="787"/>
        <v>4142.473118</v>
      </c>
      <c r="AR705" s="161">
        <f t="shared" si="776"/>
        <v>3962.365591</v>
      </c>
      <c r="AS705" s="162">
        <f t="shared" si="733"/>
        <v>0.3548387097</v>
      </c>
      <c r="AT705" s="162">
        <f t="shared" si="777"/>
        <v>0.3333333333</v>
      </c>
      <c r="AU705" s="129"/>
      <c r="AV705" s="39" t="s">
        <v>2242</v>
      </c>
      <c r="AW705" s="130"/>
      <c r="AX705" s="130"/>
      <c r="AY705" s="130"/>
      <c r="AZ705" s="130"/>
      <c r="BA705" s="130"/>
      <c r="BB705" s="130"/>
      <c r="BC705" s="392">
        <v>3350.0</v>
      </c>
      <c r="BD705" s="132">
        <f t="shared" si="788"/>
        <v>3685</v>
      </c>
      <c r="BE705" s="393"/>
      <c r="BF705" s="134"/>
      <c r="BG705" s="49"/>
      <c r="BH705" s="118">
        <f t="shared" si="714"/>
        <v>19811.82796</v>
      </c>
      <c r="BI705" s="118">
        <f t="shared" si="715"/>
        <v>11887.09677</v>
      </c>
      <c r="BJ705" s="118">
        <f t="shared" si="716"/>
        <v>9905.913978</v>
      </c>
      <c r="BK705" s="118">
        <f t="shared" si="717"/>
        <v>7924.731183</v>
      </c>
      <c r="BL705" s="49"/>
      <c r="BM705" s="49"/>
      <c r="BN705" s="394"/>
      <c r="BO705" s="49"/>
      <c r="BP705" s="49"/>
      <c r="BQ705" s="49"/>
      <c r="BR705" s="49"/>
      <c r="BS705" s="49"/>
      <c r="BT705" s="49"/>
      <c r="BU705" s="49"/>
      <c r="BV705" s="49"/>
      <c r="BW705" s="49"/>
      <c r="BX705" s="49"/>
      <c r="BY705" s="49"/>
      <c r="BZ705" s="49"/>
      <c r="CA705" s="49"/>
      <c r="CB705" s="49"/>
      <c r="CC705" s="49"/>
      <c r="CD705" s="49"/>
      <c r="CE705" s="49"/>
      <c r="CF705" s="49"/>
    </row>
    <row r="706" ht="14.25" customHeight="1">
      <c r="A706" s="103" t="s">
        <v>84</v>
      </c>
      <c r="B706" s="103" t="s">
        <v>85</v>
      </c>
      <c r="C706" s="103" t="s">
        <v>85</v>
      </c>
      <c r="D706" s="103" t="s">
        <v>1266</v>
      </c>
      <c r="E706" s="103" t="s">
        <v>1948</v>
      </c>
      <c r="F706" s="104" t="s">
        <v>2025</v>
      </c>
      <c r="G706" s="110" t="s">
        <v>1465</v>
      </c>
      <c r="H706" s="390" t="s">
        <v>2026</v>
      </c>
      <c r="I706" s="391" t="s">
        <v>2622</v>
      </c>
      <c r="J706" s="220" t="s">
        <v>2143</v>
      </c>
      <c r="K706" s="220" t="str">
        <f>_xlfn.XLOOKUP(J706,[1]Sheet1!$A:$A,[1]Sheet1!$B:$B,"")</f>
        <v>#ERROR!</v>
      </c>
      <c r="L706" s="103" t="s">
        <v>2144</v>
      </c>
      <c r="M706" s="103" t="s">
        <v>2145</v>
      </c>
      <c r="N706" s="110" t="s">
        <v>106</v>
      </c>
      <c r="O706" s="104" t="s">
        <v>147</v>
      </c>
      <c r="P706" s="110"/>
      <c r="Q706" s="104" t="s">
        <v>1989</v>
      </c>
      <c r="R706" s="110" t="s">
        <v>1955</v>
      </c>
      <c r="S706" s="110">
        <v>2.0</v>
      </c>
      <c r="T706" s="110" t="e">
        <v>#N/A</v>
      </c>
      <c r="U706" s="110">
        <v>8.5447E9</v>
      </c>
      <c r="V706" s="112">
        <v>0.0</v>
      </c>
      <c r="W706" s="113">
        <v>30.0</v>
      </c>
      <c r="X706" s="110">
        <v>45.0</v>
      </c>
      <c r="Y706" s="110">
        <v>55.0</v>
      </c>
      <c r="Z706" s="110" t="s">
        <v>1938</v>
      </c>
      <c r="AA706" s="114">
        <f t="shared" si="786"/>
        <v>11308.33333</v>
      </c>
      <c r="AB706" s="115"/>
      <c r="AC706" s="116">
        <f t="shared" si="772"/>
        <v>10467.74194</v>
      </c>
      <c r="AD706" s="117">
        <f t="shared" si="783"/>
        <v>11018.67572</v>
      </c>
      <c r="AE706" s="116"/>
      <c r="AF706" s="116" t="str">
        <f t="shared" si="94"/>
        <v>#REF!</v>
      </c>
      <c r="AG706" s="210" t="str">
        <f t="shared" si="95"/>
        <v>#REF!</v>
      </c>
      <c r="AH706" s="120" t="str">
        <f t="shared" si="96"/>
        <v>#REF!</v>
      </c>
      <c r="AI706" s="121">
        <f t="shared" si="497"/>
        <v>0.07</v>
      </c>
      <c r="AJ706" s="121">
        <v>0.07</v>
      </c>
      <c r="AK706" s="122">
        <v>0.38</v>
      </c>
      <c r="AL706" s="123">
        <f t="shared" si="11"/>
        <v>3977.741935</v>
      </c>
      <c r="AM706" s="122" t="s">
        <v>10</v>
      </c>
      <c r="AN706" s="125">
        <f t="shared" si="774"/>
        <v>10467.74194</v>
      </c>
      <c r="AO706" s="112">
        <f t="shared" si="775"/>
        <v>0.38</v>
      </c>
      <c r="AP706" s="127"/>
      <c r="AQ706" s="128">
        <f t="shared" si="787"/>
        <v>7295.698925</v>
      </c>
      <c r="AR706" s="125">
        <f t="shared" si="776"/>
        <v>6978.494624</v>
      </c>
      <c r="AS706" s="126">
        <f t="shared" si="733"/>
        <v>0.3548387097</v>
      </c>
      <c r="AT706" s="126">
        <f t="shared" si="777"/>
        <v>0.3333333333</v>
      </c>
      <c r="AU706" s="129"/>
      <c r="AV706" s="39" t="s">
        <v>2242</v>
      </c>
      <c r="AW706" s="130"/>
      <c r="AX706" s="130"/>
      <c r="AY706" s="130"/>
      <c r="AZ706" s="130"/>
      <c r="BA706" s="130"/>
      <c r="BB706" s="130"/>
      <c r="BC706" s="392">
        <v>5900.0</v>
      </c>
      <c r="BD706" s="132">
        <f t="shared" si="788"/>
        <v>6490</v>
      </c>
      <c r="BE706" s="393"/>
      <c r="BF706" s="134"/>
      <c r="BG706" s="49"/>
      <c r="BH706" s="118">
        <f t="shared" si="714"/>
        <v>34892.47312</v>
      </c>
      <c r="BI706" s="118">
        <f t="shared" si="715"/>
        <v>20935.48387</v>
      </c>
      <c r="BJ706" s="118">
        <f t="shared" si="716"/>
        <v>17446.23656</v>
      </c>
      <c r="BK706" s="118">
        <f t="shared" si="717"/>
        <v>13956.98925</v>
      </c>
      <c r="BL706" s="49"/>
      <c r="BM706" s="49"/>
      <c r="BN706" s="394"/>
      <c r="BO706" s="49"/>
      <c r="BP706" s="49"/>
      <c r="BQ706" s="49"/>
      <c r="BR706" s="49"/>
      <c r="BS706" s="49"/>
      <c r="BT706" s="49"/>
      <c r="BU706" s="49"/>
      <c r="BV706" s="49"/>
      <c r="BW706" s="49"/>
      <c r="BX706" s="49"/>
      <c r="BY706" s="49"/>
      <c r="BZ706" s="49"/>
      <c r="CA706" s="49"/>
      <c r="CB706" s="49"/>
      <c r="CC706" s="49"/>
      <c r="CD706" s="49"/>
      <c r="CE706" s="49"/>
      <c r="CF706" s="49"/>
    </row>
    <row r="707" ht="14.25" customHeight="1">
      <c r="A707" s="103" t="s">
        <v>84</v>
      </c>
      <c r="B707" s="103" t="s">
        <v>85</v>
      </c>
      <c r="C707" s="103" t="s">
        <v>85</v>
      </c>
      <c r="D707" s="103" t="s">
        <v>1266</v>
      </c>
      <c r="E707" s="103" t="s">
        <v>1948</v>
      </c>
      <c r="F707" s="104" t="s">
        <v>2025</v>
      </c>
      <c r="G707" s="110" t="s">
        <v>1465</v>
      </c>
      <c r="H707" s="390" t="s">
        <v>2333</v>
      </c>
      <c r="I707" s="391" t="s">
        <v>2623</v>
      </c>
      <c r="J707" s="220" t="s">
        <v>2624</v>
      </c>
      <c r="K707" s="220" t="str">
        <f>_xlfn.XLOOKUP(J707,[1]Sheet1!$A:$A,[1]Sheet1!$B:$B,"")</f>
        <v>#ERROR!</v>
      </c>
      <c r="L707" s="103" t="s">
        <v>2625</v>
      </c>
      <c r="M707" s="103" t="s">
        <v>2626</v>
      </c>
      <c r="N707" s="110" t="s">
        <v>106</v>
      </c>
      <c r="O707" s="104" t="s">
        <v>147</v>
      </c>
      <c r="P707" s="110"/>
      <c r="Q707" s="104" t="s">
        <v>1989</v>
      </c>
      <c r="R707" s="110" t="s">
        <v>1955</v>
      </c>
      <c r="S707" s="110">
        <v>2.0</v>
      </c>
      <c r="T707" s="155" t="e">
        <v>#N/A</v>
      </c>
      <c r="U707" s="155">
        <v>8.5447E9</v>
      </c>
      <c r="V707" s="157">
        <v>0.0</v>
      </c>
      <c r="W707" s="158">
        <v>30.0</v>
      </c>
      <c r="X707" s="155">
        <v>45.0</v>
      </c>
      <c r="Y707" s="155">
        <v>55.0</v>
      </c>
      <c r="Z707" s="155" t="s">
        <v>1938</v>
      </c>
      <c r="AA707" s="114">
        <f t="shared" si="786"/>
        <v>17403.33333</v>
      </c>
      <c r="AB707" s="395"/>
      <c r="AC707" s="159">
        <f t="shared" si="772"/>
        <v>16109.67742</v>
      </c>
      <c r="AD707" s="117">
        <f t="shared" si="783"/>
        <v>16957.55518</v>
      </c>
      <c r="AE707" s="159"/>
      <c r="AF707" s="159" t="str">
        <f t="shared" si="94"/>
        <v>#REF!</v>
      </c>
      <c r="AG707" s="396" t="str">
        <f t="shared" si="95"/>
        <v>#REF!</v>
      </c>
      <c r="AH707" s="120" t="str">
        <f t="shared" si="96"/>
        <v>#REF!</v>
      </c>
      <c r="AI707" s="157">
        <f t="shared" si="497"/>
        <v>0.07</v>
      </c>
      <c r="AJ707" s="157">
        <v>0.07</v>
      </c>
      <c r="AK707" s="157">
        <v>0.38</v>
      </c>
      <c r="AL707" s="123">
        <f t="shared" si="11"/>
        <v>6121.677419</v>
      </c>
      <c r="AM707" s="157" t="s">
        <v>10</v>
      </c>
      <c r="AN707" s="161">
        <f t="shared" si="774"/>
        <v>16109.67742</v>
      </c>
      <c r="AO707" s="157">
        <f t="shared" si="775"/>
        <v>0.38</v>
      </c>
      <c r="AP707" s="127"/>
      <c r="AQ707" s="163">
        <f t="shared" si="787"/>
        <v>11227.95699</v>
      </c>
      <c r="AR707" s="161">
        <f t="shared" si="776"/>
        <v>10739.78495</v>
      </c>
      <c r="AS707" s="162">
        <f t="shared" si="733"/>
        <v>0.3548387097</v>
      </c>
      <c r="AT707" s="162">
        <f t="shared" si="777"/>
        <v>0.3333333333</v>
      </c>
      <c r="AU707" s="129"/>
      <c r="AV707" s="39" t="s">
        <v>2242</v>
      </c>
      <c r="AW707" s="130"/>
      <c r="AX707" s="130"/>
      <c r="AY707" s="130"/>
      <c r="AZ707" s="130"/>
      <c r="BA707" s="130"/>
      <c r="BB707" s="130"/>
      <c r="BC707" s="392">
        <v>9080.0</v>
      </c>
      <c r="BD707" s="132">
        <f t="shared" si="788"/>
        <v>9988</v>
      </c>
      <c r="BE707" s="393"/>
      <c r="BF707" s="134"/>
      <c r="BG707" s="49"/>
      <c r="BH707" s="118">
        <f t="shared" si="714"/>
        <v>53698.92473</v>
      </c>
      <c r="BI707" s="118">
        <f t="shared" si="715"/>
        <v>32219.35484</v>
      </c>
      <c r="BJ707" s="118">
        <f t="shared" si="716"/>
        <v>26849.46237</v>
      </c>
      <c r="BK707" s="118">
        <f t="shared" si="717"/>
        <v>21479.56989</v>
      </c>
      <c r="BL707" s="49"/>
      <c r="BM707" s="49"/>
      <c r="BN707" s="394"/>
      <c r="BO707" s="49"/>
      <c r="BP707" s="49"/>
      <c r="BQ707" s="49"/>
      <c r="BR707" s="49"/>
      <c r="BS707" s="49"/>
      <c r="BT707" s="49"/>
      <c r="BU707" s="49"/>
      <c r="BV707" s="49"/>
      <c r="BW707" s="49"/>
      <c r="BX707" s="49"/>
      <c r="BY707" s="49"/>
      <c r="BZ707" s="49"/>
      <c r="CA707" s="49"/>
      <c r="CB707" s="49"/>
      <c r="CC707" s="49"/>
      <c r="CD707" s="49"/>
      <c r="CE707" s="49"/>
      <c r="CF707" s="49"/>
    </row>
    <row r="708" ht="14.25" customHeight="1">
      <c r="A708" s="103" t="s">
        <v>84</v>
      </c>
      <c r="B708" s="103" t="s">
        <v>85</v>
      </c>
      <c r="C708" s="103" t="s">
        <v>85</v>
      </c>
      <c r="D708" s="103" t="s">
        <v>1266</v>
      </c>
      <c r="E708" s="103" t="s">
        <v>1948</v>
      </c>
      <c r="F708" s="104" t="s">
        <v>2025</v>
      </c>
      <c r="G708" s="110" t="s">
        <v>1465</v>
      </c>
      <c r="H708" s="390" t="s">
        <v>2031</v>
      </c>
      <c r="I708" s="391" t="s">
        <v>2627</v>
      </c>
      <c r="J708" s="220" t="s">
        <v>2147</v>
      </c>
      <c r="K708" s="220" t="str">
        <f>_xlfn.XLOOKUP(J708,[1]Sheet1!$A:$A,[1]Sheet1!$B:$B,"")</f>
        <v>#ERROR!</v>
      </c>
      <c r="L708" s="103" t="s">
        <v>2148</v>
      </c>
      <c r="M708" s="103" t="s">
        <v>2149</v>
      </c>
      <c r="N708" s="110" t="s">
        <v>106</v>
      </c>
      <c r="O708" s="104" t="s">
        <v>147</v>
      </c>
      <c r="P708" s="110"/>
      <c r="Q708" s="104" t="s">
        <v>1989</v>
      </c>
      <c r="R708" s="110" t="s">
        <v>1955</v>
      </c>
      <c r="S708" s="110">
        <v>2.0</v>
      </c>
      <c r="T708" s="110" t="e">
        <v>#N/A</v>
      </c>
      <c r="U708" s="110">
        <v>8.5447E9</v>
      </c>
      <c r="V708" s="112">
        <v>0.0</v>
      </c>
      <c r="W708" s="113">
        <v>30.0</v>
      </c>
      <c r="X708" s="110">
        <v>45.0</v>
      </c>
      <c r="Y708" s="110">
        <v>55.0</v>
      </c>
      <c r="Z708" s="110" t="s">
        <v>1938</v>
      </c>
      <c r="AA708" s="114">
        <f t="shared" si="786"/>
        <v>22549.58333</v>
      </c>
      <c r="AB708" s="115"/>
      <c r="AC708" s="116">
        <f t="shared" si="772"/>
        <v>20873.3871</v>
      </c>
      <c r="AD708" s="117">
        <f t="shared" si="783"/>
        <v>21971.98642</v>
      </c>
      <c r="AE708" s="116"/>
      <c r="AF708" s="116" t="str">
        <f t="shared" si="94"/>
        <v>#REF!</v>
      </c>
      <c r="AG708" s="210" t="str">
        <f t="shared" si="95"/>
        <v>#REF!</v>
      </c>
      <c r="AH708" s="120" t="str">
        <f t="shared" si="96"/>
        <v>#REF!</v>
      </c>
      <c r="AI708" s="121">
        <f t="shared" si="497"/>
        <v>0.07</v>
      </c>
      <c r="AJ708" s="121">
        <v>0.07</v>
      </c>
      <c r="AK708" s="122">
        <v>0.38</v>
      </c>
      <c r="AL708" s="123">
        <f t="shared" si="11"/>
        <v>7931.887097</v>
      </c>
      <c r="AM708" s="122" t="s">
        <v>10</v>
      </c>
      <c r="AN708" s="125">
        <f t="shared" si="774"/>
        <v>20873.3871</v>
      </c>
      <c r="AO708" s="112">
        <f t="shared" si="775"/>
        <v>0.38</v>
      </c>
      <c r="AP708" s="127"/>
      <c r="AQ708" s="128">
        <f t="shared" si="787"/>
        <v>14548.11828</v>
      </c>
      <c r="AR708" s="125">
        <f t="shared" si="776"/>
        <v>13915.5914</v>
      </c>
      <c r="AS708" s="126">
        <f t="shared" si="733"/>
        <v>0.3548387097</v>
      </c>
      <c r="AT708" s="126">
        <f t="shared" si="777"/>
        <v>0.3333333333</v>
      </c>
      <c r="AU708" s="129"/>
      <c r="AV708" s="39" t="s">
        <v>2242</v>
      </c>
      <c r="AW708" s="130"/>
      <c r="AX708" s="130"/>
      <c r="AY708" s="130"/>
      <c r="AZ708" s="130"/>
      <c r="BA708" s="130"/>
      <c r="BB708" s="130"/>
      <c r="BC708" s="392">
        <v>11765.0</v>
      </c>
      <c r="BD708" s="132">
        <f t="shared" si="788"/>
        <v>12941.5</v>
      </c>
      <c r="BE708" s="393"/>
      <c r="BF708" s="134"/>
      <c r="BG708" s="49"/>
      <c r="BH708" s="118">
        <f t="shared" si="714"/>
        <v>69577.95699</v>
      </c>
      <c r="BI708" s="118">
        <f t="shared" si="715"/>
        <v>41746.77419</v>
      </c>
      <c r="BJ708" s="118">
        <f t="shared" si="716"/>
        <v>34788.97849</v>
      </c>
      <c r="BK708" s="118">
        <f t="shared" si="717"/>
        <v>27831.1828</v>
      </c>
      <c r="BL708" s="49"/>
      <c r="BM708" s="49"/>
      <c r="BN708" s="394"/>
      <c r="BO708" s="49"/>
      <c r="BP708" s="49"/>
      <c r="BQ708" s="49"/>
      <c r="BR708" s="49"/>
      <c r="BS708" s="49"/>
      <c r="BT708" s="49"/>
      <c r="BU708" s="49"/>
      <c r="BV708" s="49"/>
      <c r="BW708" s="49"/>
      <c r="BX708" s="49"/>
      <c r="BY708" s="49"/>
      <c r="BZ708" s="49"/>
      <c r="CA708" s="49"/>
      <c r="CB708" s="49"/>
      <c r="CC708" s="49"/>
      <c r="CD708" s="49"/>
      <c r="CE708" s="49"/>
      <c r="CF708" s="49"/>
    </row>
    <row r="709" ht="14.25" customHeight="1">
      <c r="A709" s="103" t="s">
        <v>84</v>
      </c>
      <c r="B709" s="103" t="s">
        <v>85</v>
      </c>
      <c r="C709" s="103" t="s">
        <v>85</v>
      </c>
      <c r="D709" s="103" t="s">
        <v>1266</v>
      </c>
      <c r="E709" s="103" t="s">
        <v>1948</v>
      </c>
      <c r="F709" s="104" t="s">
        <v>2025</v>
      </c>
      <c r="G709" s="110" t="s">
        <v>1465</v>
      </c>
      <c r="H709" s="390" t="s">
        <v>2339</v>
      </c>
      <c r="I709" s="391" t="s">
        <v>2628</v>
      </c>
      <c r="J709" s="220" t="s">
        <v>2629</v>
      </c>
      <c r="K709" s="220" t="str">
        <f>_xlfn.XLOOKUP(J709,[1]Sheet1!$A:$A,[1]Sheet1!$B:$B,"")</f>
        <v>#ERROR!</v>
      </c>
      <c r="L709" s="103" t="s">
        <v>2630</v>
      </c>
      <c r="M709" s="103" t="s">
        <v>2631</v>
      </c>
      <c r="N709" s="110" t="s">
        <v>106</v>
      </c>
      <c r="O709" s="104" t="s">
        <v>147</v>
      </c>
      <c r="P709" s="110"/>
      <c r="Q709" s="104" t="s">
        <v>1989</v>
      </c>
      <c r="R709" s="110" t="s">
        <v>1955</v>
      </c>
      <c r="S709" s="110">
        <v>2.0</v>
      </c>
      <c r="T709" s="155" t="e">
        <v>#N/A</v>
      </c>
      <c r="U709" s="155">
        <v>8.5447E9</v>
      </c>
      <c r="V709" s="157">
        <v>0.0</v>
      </c>
      <c r="W709" s="158">
        <v>30.0</v>
      </c>
      <c r="X709" s="155">
        <v>45.0</v>
      </c>
      <c r="Y709" s="155">
        <v>55.0</v>
      </c>
      <c r="Z709" s="155" t="s">
        <v>1938</v>
      </c>
      <c r="AA709" s="114">
        <f t="shared" si="786"/>
        <v>35650</v>
      </c>
      <c r="AB709" s="395"/>
      <c r="AC709" s="159">
        <f t="shared" si="772"/>
        <v>33000</v>
      </c>
      <c r="AD709" s="117">
        <f t="shared" si="783"/>
        <v>34736.84211</v>
      </c>
      <c r="AE709" s="159"/>
      <c r="AF709" s="159" t="str">
        <f t="shared" si="94"/>
        <v>#REF!</v>
      </c>
      <c r="AG709" s="396" t="str">
        <f t="shared" si="95"/>
        <v>#REF!</v>
      </c>
      <c r="AH709" s="120" t="str">
        <f t="shared" si="96"/>
        <v>#REF!</v>
      </c>
      <c r="AI709" s="157">
        <f t="shared" si="497"/>
        <v>0.07</v>
      </c>
      <c r="AJ709" s="157">
        <v>0.07</v>
      </c>
      <c r="AK709" s="157">
        <v>0.38</v>
      </c>
      <c r="AL709" s="123">
        <f t="shared" si="11"/>
        <v>12540</v>
      </c>
      <c r="AM709" s="157" t="s">
        <v>10</v>
      </c>
      <c r="AN709" s="161">
        <f t="shared" si="774"/>
        <v>33000</v>
      </c>
      <c r="AO709" s="157">
        <f t="shared" si="775"/>
        <v>0.38</v>
      </c>
      <c r="AP709" s="127"/>
      <c r="AQ709" s="163">
        <f t="shared" si="787"/>
        <v>23000</v>
      </c>
      <c r="AR709" s="161">
        <f t="shared" si="776"/>
        <v>22000</v>
      </c>
      <c r="AS709" s="162">
        <f t="shared" si="733"/>
        <v>0.3548387097</v>
      </c>
      <c r="AT709" s="162">
        <f t="shared" si="777"/>
        <v>0.3333333333</v>
      </c>
      <c r="AU709" s="129"/>
      <c r="AV709" s="39" t="s">
        <v>2242</v>
      </c>
      <c r="AW709" s="130"/>
      <c r="AX709" s="130"/>
      <c r="AY709" s="130"/>
      <c r="AZ709" s="130"/>
      <c r="BA709" s="130"/>
      <c r="BB709" s="130"/>
      <c r="BC709" s="392">
        <v>18600.0</v>
      </c>
      <c r="BD709" s="132">
        <f t="shared" si="788"/>
        <v>20460</v>
      </c>
      <c r="BE709" s="393"/>
      <c r="BF709" s="134"/>
      <c r="BG709" s="49"/>
      <c r="BH709" s="118">
        <f t="shared" si="714"/>
        <v>110000</v>
      </c>
      <c r="BI709" s="118">
        <f t="shared" si="715"/>
        <v>66000</v>
      </c>
      <c r="BJ709" s="118">
        <f t="shared" si="716"/>
        <v>55000</v>
      </c>
      <c r="BK709" s="118">
        <f t="shared" si="717"/>
        <v>44000</v>
      </c>
      <c r="BL709" s="49"/>
      <c r="BM709" s="49"/>
      <c r="BN709" s="394"/>
      <c r="BO709" s="49"/>
      <c r="BP709" s="49"/>
      <c r="BQ709" s="49"/>
      <c r="BR709" s="49"/>
      <c r="BS709" s="49"/>
      <c r="BT709" s="49"/>
      <c r="BU709" s="49"/>
      <c r="BV709" s="49"/>
      <c r="BW709" s="49"/>
      <c r="BX709" s="49"/>
      <c r="BY709" s="49"/>
      <c r="BZ709" s="49"/>
      <c r="CA709" s="49"/>
      <c r="CB709" s="49"/>
      <c r="CC709" s="49"/>
      <c r="CD709" s="49"/>
      <c r="CE709" s="49"/>
      <c r="CF709" s="49"/>
    </row>
    <row r="710" ht="14.25" customHeight="1">
      <c r="A710" s="103" t="s">
        <v>84</v>
      </c>
      <c r="B710" s="103" t="s">
        <v>85</v>
      </c>
      <c r="C710" s="103" t="s">
        <v>85</v>
      </c>
      <c r="D710" s="103" t="s">
        <v>1266</v>
      </c>
      <c r="E710" s="103" t="s">
        <v>1948</v>
      </c>
      <c r="F710" s="104" t="s">
        <v>2025</v>
      </c>
      <c r="G710" s="110" t="s">
        <v>1465</v>
      </c>
      <c r="H710" s="390" t="s">
        <v>2344</v>
      </c>
      <c r="I710" s="391" t="s">
        <v>2632</v>
      </c>
      <c r="J710" s="220" t="s">
        <v>2633</v>
      </c>
      <c r="K710" s="220" t="str">
        <f>_xlfn.XLOOKUP(J710,[1]Sheet1!$A:$A,[1]Sheet1!$B:$B,"")</f>
        <v>#ERROR!</v>
      </c>
      <c r="L710" s="103" t="s">
        <v>2634</v>
      </c>
      <c r="M710" s="103" t="s">
        <v>2635</v>
      </c>
      <c r="N710" s="110" t="s">
        <v>106</v>
      </c>
      <c r="O710" s="104" t="s">
        <v>147</v>
      </c>
      <c r="P710" s="110"/>
      <c r="Q710" s="104" t="s">
        <v>1989</v>
      </c>
      <c r="R710" s="110" t="s">
        <v>1955</v>
      </c>
      <c r="S710" s="110">
        <v>2.0</v>
      </c>
      <c r="T710" s="155" t="e">
        <v>#N/A</v>
      </c>
      <c r="U710" s="155">
        <v>8.5447E9</v>
      </c>
      <c r="V710" s="157">
        <v>0.0</v>
      </c>
      <c r="W710" s="158">
        <v>30.0</v>
      </c>
      <c r="X710" s="155">
        <v>45.0</v>
      </c>
      <c r="Y710" s="155">
        <v>55.0</v>
      </c>
      <c r="Z710" s="155" t="s">
        <v>1938</v>
      </c>
      <c r="AA710" s="114">
        <f t="shared" si="786"/>
        <v>67744.58333</v>
      </c>
      <c r="AB710" s="395"/>
      <c r="AC710" s="159">
        <f t="shared" si="772"/>
        <v>62708.87097</v>
      </c>
      <c r="AD710" s="117">
        <f t="shared" si="783"/>
        <v>66009.33786</v>
      </c>
      <c r="AE710" s="159"/>
      <c r="AF710" s="159" t="str">
        <f t="shared" si="94"/>
        <v>#REF!</v>
      </c>
      <c r="AG710" s="396" t="str">
        <f t="shared" si="95"/>
        <v>#REF!</v>
      </c>
      <c r="AH710" s="120" t="str">
        <f t="shared" si="96"/>
        <v>#REF!</v>
      </c>
      <c r="AI710" s="157">
        <f t="shared" si="497"/>
        <v>0.07</v>
      </c>
      <c r="AJ710" s="157">
        <v>0.07</v>
      </c>
      <c r="AK710" s="157">
        <v>0.38</v>
      </c>
      <c r="AL710" s="123">
        <f t="shared" si="11"/>
        <v>23829.37097</v>
      </c>
      <c r="AM710" s="157" t="s">
        <v>10</v>
      </c>
      <c r="AN710" s="161">
        <f t="shared" si="774"/>
        <v>62708.87097</v>
      </c>
      <c r="AO710" s="157">
        <f t="shared" si="775"/>
        <v>0.38</v>
      </c>
      <c r="AP710" s="127"/>
      <c r="AQ710" s="163">
        <f t="shared" si="787"/>
        <v>43706.1828</v>
      </c>
      <c r="AR710" s="161">
        <f t="shared" si="776"/>
        <v>41805.91398</v>
      </c>
      <c r="AS710" s="162">
        <f t="shared" si="733"/>
        <v>0.3548387097</v>
      </c>
      <c r="AT710" s="162">
        <f t="shared" si="777"/>
        <v>0.3333333333</v>
      </c>
      <c r="AU710" s="129"/>
      <c r="AV710" s="39" t="s">
        <v>2242</v>
      </c>
      <c r="AW710" s="130"/>
      <c r="AX710" s="130"/>
      <c r="AY710" s="130"/>
      <c r="AZ710" s="130"/>
      <c r="BA710" s="130"/>
      <c r="BB710" s="130"/>
      <c r="BC710" s="392">
        <v>35345.0</v>
      </c>
      <c r="BD710" s="132">
        <f t="shared" si="788"/>
        <v>38879.5</v>
      </c>
      <c r="BE710" s="393"/>
      <c r="BF710" s="134"/>
      <c r="BG710" s="49"/>
      <c r="BH710" s="118">
        <f t="shared" si="714"/>
        <v>209029.5699</v>
      </c>
      <c r="BI710" s="118">
        <f t="shared" si="715"/>
        <v>125417.7419</v>
      </c>
      <c r="BJ710" s="118">
        <f t="shared" si="716"/>
        <v>104514.7849</v>
      </c>
      <c r="BK710" s="118">
        <f t="shared" si="717"/>
        <v>83611.82796</v>
      </c>
      <c r="BL710" s="49"/>
      <c r="BM710" s="49"/>
      <c r="BN710" s="394"/>
      <c r="BO710" s="49"/>
      <c r="BP710" s="49"/>
      <c r="BQ710" s="49"/>
      <c r="BR710" s="49"/>
      <c r="BS710" s="49"/>
      <c r="BT710" s="49"/>
      <c r="BU710" s="49"/>
      <c r="BV710" s="49"/>
      <c r="BW710" s="49"/>
      <c r="BX710" s="49"/>
      <c r="BY710" s="49"/>
      <c r="BZ710" s="49"/>
      <c r="CA710" s="49"/>
      <c r="CB710" s="49"/>
      <c r="CC710" s="49"/>
      <c r="CD710" s="49"/>
      <c r="CE710" s="49"/>
      <c r="CF710" s="49"/>
    </row>
    <row r="711" ht="14.25" customHeight="1">
      <c r="A711" s="103" t="s">
        <v>84</v>
      </c>
      <c r="B711" s="103" t="s">
        <v>120</v>
      </c>
      <c r="C711" s="103" t="s">
        <v>120</v>
      </c>
      <c r="D711" s="103" t="s">
        <v>1266</v>
      </c>
      <c r="E711" s="103" t="s">
        <v>1948</v>
      </c>
      <c r="F711" s="104" t="s">
        <v>1949</v>
      </c>
      <c r="G711" s="110" t="s">
        <v>1465</v>
      </c>
      <c r="H711" s="390">
        <v>4.0</v>
      </c>
      <c r="I711" s="391" t="s">
        <v>2636</v>
      </c>
      <c r="J711" s="220" t="s">
        <v>2637</v>
      </c>
      <c r="K711" s="220" t="str">
        <f>_xlfn.XLOOKUP(J711,[1]Sheet1!$A:$A,[1]Sheet1!$B:$B,"")</f>
        <v>#ERROR!</v>
      </c>
      <c r="L711" s="103" t="s">
        <v>2638</v>
      </c>
      <c r="M711" s="103" t="s">
        <v>2639</v>
      </c>
      <c r="N711" s="110" t="s">
        <v>162</v>
      </c>
      <c r="O711" s="104" t="s">
        <v>147</v>
      </c>
      <c r="P711" s="110"/>
      <c r="Q711" s="104" t="s">
        <v>1989</v>
      </c>
      <c r="R711" s="110" t="s">
        <v>1955</v>
      </c>
      <c r="S711" s="110">
        <v>2.0</v>
      </c>
      <c r="T711" s="110" t="e">
        <v>#N/A</v>
      </c>
      <c r="U711" s="110">
        <v>8.5447E9</v>
      </c>
      <c r="V711" s="112">
        <v>0.0</v>
      </c>
      <c r="W711" s="113">
        <v>30.0</v>
      </c>
      <c r="X711" s="110">
        <v>45.0</v>
      </c>
      <c r="Y711" s="110">
        <v>55.0</v>
      </c>
      <c r="Z711" s="110" t="s">
        <v>1938</v>
      </c>
      <c r="AA711" s="114">
        <f t="shared" si="786"/>
        <v>1141.153846</v>
      </c>
      <c r="AB711" s="115"/>
      <c r="AC711" s="116">
        <f t="shared" si="772"/>
        <v>1058.955224</v>
      </c>
      <c r="AD711" s="117">
        <f t="shared" si="783"/>
        <v>1114.689709</v>
      </c>
      <c r="AE711" s="116"/>
      <c r="AF711" s="116" t="str">
        <f t="shared" si="94"/>
        <v>#REF!</v>
      </c>
      <c r="AG711" s="210" t="str">
        <f t="shared" si="95"/>
        <v>#REF!</v>
      </c>
      <c r="AH711" s="120" t="str">
        <f t="shared" si="96"/>
        <v>#REF!</v>
      </c>
      <c r="AI711" s="121">
        <f t="shared" si="497"/>
        <v>0.07</v>
      </c>
      <c r="AJ711" s="121">
        <v>0.07</v>
      </c>
      <c r="AK711" s="122">
        <v>0.33</v>
      </c>
      <c r="AL711" s="123">
        <f t="shared" si="11"/>
        <v>349.4552239</v>
      </c>
      <c r="AM711" s="122" t="s">
        <v>10</v>
      </c>
      <c r="AN711" s="125">
        <f t="shared" si="774"/>
        <v>1058.955224</v>
      </c>
      <c r="AO711" s="112">
        <f t="shared" si="775"/>
        <v>0.33</v>
      </c>
      <c r="AP711" s="127"/>
      <c r="AQ711" s="128">
        <f t="shared" si="787"/>
        <v>797.5806452</v>
      </c>
      <c r="AR711" s="125">
        <f t="shared" si="776"/>
        <v>762.9032258</v>
      </c>
      <c r="AS711" s="126">
        <f t="shared" si="733"/>
        <v>0.3010752688</v>
      </c>
      <c r="AT711" s="126">
        <f t="shared" si="777"/>
        <v>0.2795698925</v>
      </c>
      <c r="AU711" s="129"/>
      <c r="AV711" s="39" t="s">
        <v>2242</v>
      </c>
      <c r="AW711" s="130"/>
      <c r="AX711" s="130"/>
      <c r="AY711" s="130"/>
      <c r="AZ711" s="130"/>
      <c r="BA711" s="130"/>
      <c r="BB711" s="130"/>
      <c r="BC711" s="392">
        <v>645.0</v>
      </c>
      <c r="BD711" s="132">
        <f t="shared" si="788"/>
        <v>709.5</v>
      </c>
      <c r="BE711" s="393"/>
      <c r="BF711" s="134"/>
      <c r="BG711" s="49"/>
      <c r="BH711" s="118">
        <f t="shared" si="714"/>
        <v>3529.850746</v>
      </c>
      <c r="BI711" s="118">
        <f t="shared" si="715"/>
        <v>2117.910448</v>
      </c>
      <c r="BJ711" s="118">
        <f t="shared" si="716"/>
        <v>1764.925373</v>
      </c>
      <c r="BK711" s="118">
        <f t="shared" si="717"/>
        <v>1411.940299</v>
      </c>
      <c r="BL711" s="216"/>
      <c r="BM711" s="49"/>
      <c r="BN711" s="394"/>
      <c r="BO711" s="49"/>
      <c r="BP711" s="49"/>
      <c r="BQ711" s="49"/>
      <c r="BR711" s="49"/>
      <c r="BS711" s="49"/>
      <c r="BT711" s="49"/>
      <c r="BU711" s="49"/>
      <c r="BV711" s="49"/>
      <c r="BW711" s="49"/>
      <c r="BX711" s="49"/>
      <c r="BY711" s="49"/>
      <c r="BZ711" s="49"/>
      <c r="CA711" s="49"/>
      <c r="CB711" s="49"/>
      <c r="CC711" s="49"/>
      <c r="CD711" s="49"/>
      <c r="CE711" s="49"/>
      <c r="CF711" s="49"/>
    </row>
    <row r="712" ht="14.25" customHeight="1">
      <c r="A712" s="103" t="s">
        <v>84</v>
      </c>
      <c r="B712" s="103" t="s">
        <v>120</v>
      </c>
      <c r="C712" s="103" t="s">
        <v>120</v>
      </c>
      <c r="D712" s="103" t="s">
        <v>1266</v>
      </c>
      <c r="E712" s="103" t="s">
        <v>1948</v>
      </c>
      <c r="F712" s="104" t="s">
        <v>1949</v>
      </c>
      <c r="G712" s="110" t="s">
        <v>1465</v>
      </c>
      <c r="H712" s="390" t="s">
        <v>1950</v>
      </c>
      <c r="I712" s="391" t="s">
        <v>2640</v>
      </c>
      <c r="J712" s="220" t="s">
        <v>2641</v>
      </c>
      <c r="K712" s="220" t="str">
        <f>_xlfn.XLOOKUP(J712,[1]Sheet1!$A:$A,[1]Sheet1!$B:$B,"")</f>
        <v>#ERROR!</v>
      </c>
      <c r="L712" s="103" t="s">
        <v>2642</v>
      </c>
      <c r="M712" s="103" t="s">
        <v>2643</v>
      </c>
      <c r="N712" s="110" t="s">
        <v>162</v>
      </c>
      <c r="O712" s="104" t="s">
        <v>147</v>
      </c>
      <c r="P712" s="110"/>
      <c r="Q712" s="104" t="s">
        <v>1989</v>
      </c>
      <c r="R712" s="110" t="s">
        <v>1955</v>
      </c>
      <c r="S712" s="110">
        <v>2.0</v>
      </c>
      <c r="T712" s="110" t="e">
        <v>#N/A</v>
      </c>
      <c r="U712" s="110">
        <v>8.5447E9</v>
      </c>
      <c r="V712" s="112">
        <v>0.0</v>
      </c>
      <c r="W712" s="113">
        <v>30.0</v>
      </c>
      <c r="X712" s="110">
        <v>45.0</v>
      </c>
      <c r="Y712" s="110">
        <v>55.0</v>
      </c>
      <c r="Z712" s="110" t="s">
        <v>1938</v>
      </c>
      <c r="AA712" s="114">
        <f t="shared" si="786"/>
        <v>1548.076923</v>
      </c>
      <c r="AB712" s="115"/>
      <c r="AC712" s="116">
        <f t="shared" si="772"/>
        <v>1436.567164</v>
      </c>
      <c r="AD712" s="117">
        <f t="shared" si="783"/>
        <v>1512.175962</v>
      </c>
      <c r="AE712" s="116"/>
      <c r="AF712" s="116" t="str">
        <f t="shared" si="94"/>
        <v>#REF!</v>
      </c>
      <c r="AG712" s="210" t="str">
        <f t="shared" si="95"/>
        <v>#REF!</v>
      </c>
      <c r="AH712" s="120" t="str">
        <f t="shared" si="96"/>
        <v>#REF!</v>
      </c>
      <c r="AI712" s="121">
        <f t="shared" si="497"/>
        <v>0.07</v>
      </c>
      <c r="AJ712" s="121">
        <v>0.07</v>
      </c>
      <c r="AK712" s="122">
        <v>0.33</v>
      </c>
      <c r="AL712" s="123">
        <f t="shared" si="11"/>
        <v>474.0671642</v>
      </c>
      <c r="AM712" s="122" t="s">
        <v>10</v>
      </c>
      <c r="AN712" s="125">
        <f t="shared" si="774"/>
        <v>1436.567164</v>
      </c>
      <c r="AO712" s="112">
        <f t="shared" si="775"/>
        <v>0.33</v>
      </c>
      <c r="AP712" s="127"/>
      <c r="AQ712" s="128">
        <f t="shared" si="787"/>
        <v>1081.989247</v>
      </c>
      <c r="AR712" s="125">
        <f t="shared" si="776"/>
        <v>1034.946237</v>
      </c>
      <c r="AS712" s="126">
        <f t="shared" si="733"/>
        <v>0.3010752688</v>
      </c>
      <c r="AT712" s="126">
        <f t="shared" si="777"/>
        <v>0.2795698925</v>
      </c>
      <c r="AU712" s="129"/>
      <c r="AV712" s="39" t="s">
        <v>2242</v>
      </c>
      <c r="AW712" s="130"/>
      <c r="AX712" s="130"/>
      <c r="AY712" s="130"/>
      <c r="AZ712" s="130"/>
      <c r="BA712" s="130"/>
      <c r="BB712" s="130"/>
      <c r="BC712" s="392">
        <v>875.0</v>
      </c>
      <c r="BD712" s="132">
        <f t="shared" si="788"/>
        <v>962.5</v>
      </c>
      <c r="BE712" s="393"/>
      <c r="BF712" s="134"/>
      <c r="BG712" s="49"/>
      <c r="BH712" s="118">
        <f t="shared" si="714"/>
        <v>4788.557214</v>
      </c>
      <c r="BI712" s="118">
        <f t="shared" si="715"/>
        <v>2873.134328</v>
      </c>
      <c r="BJ712" s="118">
        <f t="shared" si="716"/>
        <v>2394.278607</v>
      </c>
      <c r="BK712" s="118">
        <f t="shared" si="717"/>
        <v>1915.422886</v>
      </c>
      <c r="BL712" s="216"/>
      <c r="BM712" s="49"/>
      <c r="BN712" s="394"/>
      <c r="BO712" s="49"/>
      <c r="BP712" s="49"/>
      <c r="BQ712" s="49"/>
      <c r="BR712" s="49"/>
      <c r="BS712" s="49"/>
      <c r="BT712" s="49"/>
      <c r="BU712" s="49"/>
      <c r="BV712" s="49"/>
      <c r="BW712" s="49"/>
      <c r="BX712" s="49"/>
      <c r="BY712" s="49"/>
      <c r="BZ712" s="49"/>
      <c r="CA712" s="49"/>
      <c r="CB712" s="49"/>
      <c r="CC712" s="49"/>
      <c r="CD712" s="49"/>
      <c r="CE712" s="49"/>
      <c r="CF712" s="49"/>
    </row>
    <row r="713" ht="14.25" customHeight="1">
      <c r="A713" s="103" t="s">
        <v>84</v>
      </c>
      <c r="B713" s="103" t="s">
        <v>120</v>
      </c>
      <c r="C713" s="103" t="s">
        <v>120</v>
      </c>
      <c r="D713" s="103" t="s">
        <v>1266</v>
      </c>
      <c r="E713" s="103" t="s">
        <v>1948</v>
      </c>
      <c r="F713" s="104" t="s">
        <v>1949</v>
      </c>
      <c r="G713" s="110" t="s">
        <v>1465</v>
      </c>
      <c r="H713" s="390" t="s">
        <v>1957</v>
      </c>
      <c r="I713" s="391" t="s">
        <v>2644</v>
      </c>
      <c r="J713" s="220" t="s">
        <v>2645</v>
      </c>
      <c r="K713" s="220" t="str">
        <f>_xlfn.XLOOKUP(J713,[1]Sheet1!$A:$A,[1]Sheet1!$B:$B,"")</f>
        <v>#ERROR!</v>
      </c>
      <c r="L713" s="103" t="s">
        <v>2646</v>
      </c>
      <c r="M713" s="103" t="s">
        <v>2647</v>
      </c>
      <c r="N713" s="110" t="s">
        <v>162</v>
      </c>
      <c r="O713" s="104" t="s">
        <v>147</v>
      </c>
      <c r="P713" s="110"/>
      <c r="Q713" s="104" t="s">
        <v>1989</v>
      </c>
      <c r="R713" s="110" t="s">
        <v>1955</v>
      </c>
      <c r="S713" s="110">
        <v>2.0</v>
      </c>
      <c r="T713" s="110" t="e">
        <v>#N/A</v>
      </c>
      <c r="U713" s="110">
        <v>8.5447E9</v>
      </c>
      <c r="V713" s="112">
        <v>0.0</v>
      </c>
      <c r="W713" s="113">
        <v>30.0</v>
      </c>
      <c r="X713" s="110">
        <v>45.0</v>
      </c>
      <c r="Y713" s="110">
        <v>55.0</v>
      </c>
      <c r="Z713" s="110" t="s">
        <v>1938</v>
      </c>
      <c r="AA713" s="114">
        <f t="shared" si="786"/>
        <v>1955</v>
      </c>
      <c r="AB713" s="115"/>
      <c r="AC713" s="116">
        <f t="shared" si="772"/>
        <v>1814.179104</v>
      </c>
      <c r="AD713" s="117">
        <f t="shared" si="783"/>
        <v>1909.662215</v>
      </c>
      <c r="AE713" s="116"/>
      <c r="AF713" s="116" t="str">
        <f t="shared" si="94"/>
        <v>#REF!</v>
      </c>
      <c r="AG713" s="210" t="str">
        <f t="shared" si="95"/>
        <v>#REF!</v>
      </c>
      <c r="AH713" s="120" t="str">
        <f t="shared" si="96"/>
        <v>#REF!</v>
      </c>
      <c r="AI713" s="121">
        <f t="shared" si="497"/>
        <v>0.07</v>
      </c>
      <c r="AJ713" s="121">
        <v>0.07</v>
      </c>
      <c r="AK713" s="122">
        <v>0.33</v>
      </c>
      <c r="AL713" s="123">
        <f t="shared" si="11"/>
        <v>598.6791045</v>
      </c>
      <c r="AM713" s="122" t="s">
        <v>10</v>
      </c>
      <c r="AN713" s="125">
        <f t="shared" si="774"/>
        <v>1814.179104</v>
      </c>
      <c r="AO713" s="112">
        <f t="shared" si="775"/>
        <v>0.33</v>
      </c>
      <c r="AP713" s="127"/>
      <c r="AQ713" s="128">
        <f t="shared" si="787"/>
        <v>1366.397849</v>
      </c>
      <c r="AR713" s="125">
        <f t="shared" si="776"/>
        <v>1306.989247</v>
      </c>
      <c r="AS713" s="126">
        <f t="shared" si="733"/>
        <v>0.3010752688</v>
      </c>
      <c r="AT713" s="126">
        <f t="shared" si="777"/>
        <v>0.2795698925</v>
      </c>
      <c r="AU713" s="129"/>
      <c r="AV713" s="39" t="s">
        <v>2242</v>
      </c>
      <c r="AW713" s="130"/>
      <c r="AX713" s="130"/>
      <c r="AY713" s="130"/>
      <c r="AZ713" s="130"/>
      <c r="BA713" s="130"/>
      <c r="BB713" s="130"/>
      <c r="BC713" s="392">
        <v>1105.0</v>
      </c>
      <c r="BD713" s="132">
        <f t="shared" si="788"/>
        <v>1215.5</v>
      </c>
      <c r="BE713" s="393"/>
      <c r="BF713" s="134"/>
      <c r="BG713" s="49"/>
      <c r="BH713" s="118">
        <f t="shared" si="714"/>
        <v>6047.263682</v>
      </c>
      <c r="BI713" s="118">
        <f t="shared" si="715"/>
        <v>3628.358209</v>
      </c>
      <c r="BJ713" s="118">
        <f t="shared" si="716"/>
        <v>3023.631841</v>
      </c>
      <c r="BK713" s="118">
        <f t="shared" si="717"/>
        <v>2418.905473</v>
      </c>
      <c r="BL713" s="49"/>
      <c r="BM713" s="49"/>
      <c r="BN713" s="394"/>
      <c r="BO713" s="49"/>
      <c r="BP713" s="49"/>
      <c r="BQ713" s="49"/>
      <c r="BR713" s="49"/>
      <c r="BS713" s="49"/>
      <c r="BT713" s="49"/>
      <c r="BU713" s="49"/>
      <c r="BV713" s="49"/>
      <c r="BW713" s="49"/>
      <c r="BX713" s="49"/>
      <c r="BY713" s="49"/>
      <c r="BZ713" s="49"/>
      <c r="CA713" s="49"/>
      <c r="CB713" s="49"/>
      <c r="CC713" s="49"/>
      <c r="CD713" s="49"/>
      <c r="CE713" s="49"/>
      <c r="CF713" s="49"/>
    </row>
    <row r="714" ht="14.25" customHeight="1">
      <c r="A714" s="103" t="s">
        <v>84</v>
      </c>
      <c r="B714" s="103" t="s">
        <v>120</v>
      </c>
      <c r="C714" s="103" t="s">
        <v>120</v>
      </c>
      <c r="D714" s="103" t="s">
        <v>1266</v>
      </c>
      <c r="E714" s="103" t="s">
        <v>1948</v>
      </c>
      <c r="F714" s="104" t="s">
        <v>1949</v>
      </c>
      <c r="G714" s="110" t="s">
        <v>1465</v>
      </c>
      <c r="H714" s="390" t="s">
        <v>1962</v>
      </c>
      <c r="I714" s="391" t="s">
        <v>2648</v>
      </c>
      <c r="J714" s="220" t="s">
        <v>2649</v>
      </c>
      <c r="K714" s="220" t="str">
        <f>_xlfn.XLOOKUP(J714,[1]Sheet1!$A:$A,[1]Sheet1!$B:$B,"")</f>
        <v>#ERROR!</v>
      </c>
      <c r="L714" s="103" t="s">
        <v>2650</v>
      </c>
      <c r="M714" s="103" t="s">
        <v>2651</v>
      </c>
      <c r="N714" s="110" t="s">
        <v>162</v>
      </c>
      <c r="O714" s="104" t="s">
        <v>147</v>
      </c>
      <c r="P714" s="110"/>
      <c r="Q714" s="104" t="s">
        <v>1989</v>
      </c>
      <c r="R714" s="110" t="s">
        <v>1955</v>
      </c>
      <c r="S714" s="110">
        <v>2.0</v>
      </c>
      <c r="T714" s="110" t="e">
        <v>#N/A</v>
      </c>
      <c r="U714" s="110">
        <v>8.5447E9</v>
      </c>
      <c r="V714" s="112">
        <v>0.0</v>
      </c>
      <c r="W714" s="113">
        <v>30.0</v>
      </c>
      <c r="X714" s="110">
        <v>45.0</v>
      </c>
      <c r="Y714" s="110">
        <v>55.0</v>
      </c>
      <c r="Z714" s="110" t="s">
        <v>1938</v>
      </c>
      <c r="AA714" s="114">
        <f t="shared" si="786"/>
        <v>2777.692308</v>
      </c>
      <c r="AB714" s="115"/>
      <c r="AC714" s="116">
        <f t="shared" si="772"/>
        <v>2577.61194</v>
      </c>
      <c r="AD714" s="117">
        <f t="shared" si="783"/>
        <v>2713.275727</v>
      </c>
      <c r="AE714" s="116"/>
      <c r="AF714" s="116" t="str">
        <f t="shared" si="94"/>
        <v>#REF!</v>
      </c>
      <c r="AG714" s="210" t="str">
        <f t="shared" si="95"/>
        <v>#REF!</v>
      </c>
      <c r="AH714" s="120" t="str">
        <f t="shared" si="96"/>
        <v>#REF!</v>
      </c>
      <c r="AI714" s="121">
        <f t="shared" si="497"/>
        <v>0.07</v>
      </c>
      <c r="AJ714" s="121">
        <v>0.07</v>
      </c>
      <c r="AK714" s="122">
        <v>0.33</v>
      </c>
      <c r="AL714" s="123">
        <f t="shared" si="11"/>
        <v>850.6119403</v>
      </c>
      <c r="AM714" s="122" t="s">
        <v>10</v>
      </c>
      <c r="AN714" s="125">
        <f t="shared" si="774"/>
        <v>2577.61194</v>
      </c>
      <c r="AO714" s="112">
        <f t="shared" si="775"/>
        <v>0.33</v>
      </c>
      <c r="AP714" s="127"/>
      <c r="AQ714" s="128">
        <f t="shared" si="787"/>
        <v>1941.397849</v>
      </c>
      <c r="AR714" s="125">
        <f t="shared" si="776"/>
        <v>1856.989247</v>
      </c>
      <c r="AS714" s="126">
        <f t="shared" si="733"/>
        <v>0.3010752688</v>
      </c>
      <c r="AT714" s="126">
        <f t="shared" si="777"/>
        <v>0.2795698925</v>
      </c>
      <c r="AU714" s="129"/>
      <c r="AV714" s="39" t="s">
        <v>2242</v>
      </c>
      <c r="AW714" s="130"/>
      <c r="AX714" s="130"/>
      <c r="AY714" s="130"/>
      <c r="AZ714" s="130"/>
      <c r="BA714" s="130"/>
      <c r="BB714" s="130"/>
      <c r="BC714" s="392">
        <v>1570.0</v>
      </c>
      <c r="BD714" s="132">
        <f t="shared" si="788"/>
        <v>1727</v>
      </c>
      <c r="BE714" s="393"/>
      <c r="BF714" s="134"/>
      <c r="BG714" s="49"/>
      <c r="BH714" s="118">
        <f t="shared" si="714"/>
        <v>8592.039801</v>
      </c>
      <c r="BI714" s="118">
        <f t="shared" si="715"/>
        <v>5155.223881</v>
      </c>
      <c r="BJ714" s="118">
        <f t="shared" si="716"/>
        <v>4296.0199</v>
      </c>
      <c r="BK714" s="118">
        <f t="shared" si="717"/>
        <v>3436.81592</v>
      </c>
      <c r="BL714" s="49"/>
      <c r="BM714" s="49"/>
      <c r="BN714" s="394"/>
      <c r="BO714" s="49"/>
      <c r="BP714" s="49"/>
      <c r="BQ714" s="49"/>
      <c r="BR714" s="49"/>
      <c r="BS714" s="49"/>
      <c r="BT714" s="49"/>
      <c r="BU714" s="49"/>
      <c r="BV714" s="49"/>
      <c r="BW714" s="49"/>
      <c r="BX714" s="49"/>
      <c r="BY714" s="49"/>
      <c r="BZ714" s="49"/>
      <c r="CA714" s="49"/>
      <c r="CB714" s="49"/>
      <c r="CC714" s="49"/>
      <c r="CD714" s="49"/>
      <c r="CE714" s="49"/>
      <c r="CF714" s="49"/>
    </row>
    <row r="715" ht="14.25" customHeight="1">
      <c r="A715" s="103" t="s">
        <v>84</v>
      </c>
      <c r="B715" s="103" t="s">
        <v>120</v>
      </c>
      <c r="C715" s="103" t="s">
        <v>120</v>
      </c>
      <c r="D715" s="103" t="s">
        <v>1266</v>
      </c>
      <c r="E715" s="103" t="s">
        <v>1948</v>
      </c>
      <c r="F715" s="104" t="s">
        <v>1949</v>
      </c>
      <c r="G715" s="110" t="s">
        <v>1465</v>
      </c>
      <c r="H715" s="390" t="s">
        <v>1967</v>
      </c>
      <c r="I715" s="391" t="s">
        <v>2652</v>
      </c>
      <c r="J715" s="220" t="s">
        <v>2653</v>
      </c>
      <c r="K715" s="220" t="s">
        <v>2502</v>
      </c>
      <c r="L715" s="103" t="s">
        <v>2654</v>
      </c>
      <c r="M715" s="103" t="s">
        <v>2655</v>
      </c>
      <c r="N715" s="110" t="s">
        <v>162</v>
      </c>
      <c r="O715" s="104" t="s">
        <v>147</v>
      </c>
      <c r="P715" s="110"/>
      <c r="Q715" s="104" t="s">
        <v>1989</v>
      </c>
      <c r="R715" s="110" t="s">
        <v>1955</v>
      </c>
      <c r="S715" s="110">
        <v>2.0</v>
      </c>
      <c r="T715" s="110" t="e">
        <v>#N/A</v>
      </c>
      <c r="U715" s="110">
        <v>8.5447E9</v>
      </c>
      <c r="V715" s="112">
        <v>0.0</v>
      </c>
      <c r="W715" s="113">
        <v>30.0</v>
      </c>
      <c r="X715" s="110">
        <v>45.0</v>
      </c>
      <c r="Y715" s="110">
        <v>55.0</v>
      </c>
      <c r="Z715" s="110" t="s">
        <v>1938</v>
      </c>
      <c r="AA715" s="114">
        <f t="shared" si="786"/>
        <v>5307.692308</v>
      </c>
      <c r="AB715" s="115"/>
      <c r="AC715" s="116">
        <f t="shared" si="772"/>
        <v>4925.373134</v>
      </c>
      <c r="AD715" s="117">
        <f t="shared" si="783"/>
        <v>5184.603299</v>
      </c>
      <c r="AE715" s="116"/>
      <c r="AF715" s="116" t="str">
        <f t="shared" si="94"/>
        <v>#REF!</v>
      </c>
      <c r="AG715" s="210" t="str">
        <f t="shared" si="95"/>
        <v>#REF!</v>
      </c>
      <c r="AH715" s="120" t="str">
        <f t="shared" si="96"/>
        <v>#REF!</v>
      </c>
      <c r="AI715" s="121">
        <f t="shared" si="497"/>
        <v>0.07</v>
      </c>
      <c r="AJ715" s="121">
        <v>0.07</v>
      </c>
      <c r="AK715" s="122">
        <v>0.33</v>
      </c>
      <c r="AL715" s="123">
        <f t="shared" si="11"/>
        <v>1625.373134</v>
      </c>
      <c r="AM715" s="122" t="s">
        <v>10</v>
      </c>
      <c r="AN715" s="125">
        <f t="shared" si="774"/>
        <v>4925.373134</v>
      </c>
      <c r="AO715" s="112">
        <f t="shared" si="775"/>
        <v>0.33</v>
      </c>
      <c r="AP715" s="127"/>
      <c r="AQ715" s="128">
        <f t="shared" si="787"/>
        <v>3709.677419</v>
      </c>
      <c r="AR715" s="125">
        <f t="shared" si="776"/>
        <v>3548.387097</v>
      </c>
      <c r="AS715" s="126">
        <f t="shared" si="733"/>
        <v>0.3010752688</v>
      </c>
      <c r="AT715" s="126">
        <f t="shared" si="777"/>
        <v>0.2795698925</v>
      </c>
      <c r="AU715" s="129"/>
      <c r="AV715" s="39" t="s">
        <v>2242</v>
      </c>
      <c r="AW715" s="130"/>
      <c r="AX715" s="130"/>
      <c r="AY715" s="130"/>
      <c r="AZ715" s="130"/>
      <c r="BA715" s="130"/>
      <c r="BB715" s="130"/>
      <c r="BC715" s="392">
        <v>3000.0</v>
      </c>
      <c r="BD715" s="132">
        <f t="shared" si="788"/>
        <v>3300</v>
      </c>
      <c r="BE715" s="393"/>
      <c r="BF715" s="134"/>
      <c r="BG715" s="49"/>
      <c r="BH715" s="118">
        <f t="shared" si="714"/>
        <v>16417.91045</v>
      </c>
      <c r="BI715" s="118">
        <f t="shared" si="715"/>
        <v>9850.746269</v>
      </c>
      <c r="BJ715" s="118">
        <f t="shared" si="716"/>
        <v>8208.955224</v>
      </c>
      <c r="BK715" s="118">
        <f t="shared" si="717"/>
        <v>6567.164179</v>
      </c>
      <c r="BL715" s="49"/>
      <c r="BM715" s="49"/>
      <c r="BN715" s="394"/>
      <c r="BO715" s="49"/>
      <c r="BP715" s="49"/>
      <c r="BQ715" s="49"/>
      <c r="BR715" s="49"/>
      <c r="BS715" s="49"/>
      <c r="BT715" s="49"/>
      <c r="BU715" s="49"/>
      <c r="BV715" s="49"/>
      <c r="BW715" s="49"/>
      <c r="BX715" s="49"/>
      <c r="BY715" s="49"/>
      <c r="BZ715" s="49"/>
      <c r="CA715" s="49"/>
      <c r="CB715" s="49"/>
      <c r="CC715" s="49"/>
      <c r="CD715" s="49"/>
      <c r="CE715" s="49"/>
      <c r="CF715" s="49"/>
    </row>
    <row r="716" ht="14.25" customHeight="1">
      <c r="A716" s="103" t="s">
        <v>84</v>
      </c>
      <c r="B716" s="103" t="s">
        <v>85</v>
      </c>
      <c r="C716" s="103" t="s">
        <v>85</v>
      </c>
      <c r="D716" s="103" t="s">
        <v>1266</v>
      </c>
      <c r="E716" s="103" t="s">
        <v>1948</v>
      </c>
      <c r="F716" s="104" t="s">
        <v>1949</v>
      </c>
      <c r="G716" s="110" t="s">
        <v>2150</v>
      </c>
      <c r="H716" s="390" t="s">
        <v>1950</v>
      </c>
      <c r="I716" s="391" t="s">
        <v>2656</v>
      </c>
      <c r="J716" s="220" t="s">
        <v>2657</v>
      </c>
      <c r="K716" s="220" t="str">
        <f>_xlfn.XLOOKUP(J716,[1]Sheet1!$A:$A,[1]Sheet1!$B:$B,"")</f>
        <v>#ERROR!</v>
      </c>
      <c r="L716" s="103" t="s">
        <v>2153</v>
      </c>
      <c r="M716" s="103" t="s">
        <v>2154</v>
      </c>
      <c r="N716" s="110" t="s">
        <v>106</v>
      </c>
      <c r="O716" s="104" t="s">
        <v>147</v>
      </c>
      <c r="P716" s="110"/>
      <c r="Q716" s="104" t="s">
        <v>1989</v>
      </c>
      <c r="R716" s="110" t="s">
        <v>1955</v>
      </c>
      <c r="S716" s="110">
        <v>2.0</v>
      </c>
      <c r="T716" s="110" t="e">
        <v>#N/A</v>
      </c>
      <c r="U716" s="110">
        <v>8.5447E9</v>
      </c>
      <c r="V716" s="112">
        <v>0.0</v>
      </c>
      <c r="W716" s="113">
        <v>30.0</v>
      </c>
      <c r="X716" s="110">
        <v>45.0</v>
      </c>
      <c r="Y716" s="110">
        <v>55.0</v>
      </c>
      <c r="Z716" s="110" t="s">
        <v>1938</v>
      </c>
      <c r="AA716" s="114">
        <f t="shared" si="786"/>
        <v>336.7857143</v>
      </c>
      <c r="AB716" s="115"/>
      <c r="AC716" s="116">
        <f t="shared" si="772"/>
        <v>313.1944444</v>
      </c>
      <c r="AD716" s="117">
        <f t="shared" si="783"/>
        <v>329.6783626</v>
      </c>
      <c r="AE716" s="116"/>
      <c r="AF716" s="116" t="str">
        <f t="shared" si="94"/>
        <v>#REF!</v>
      </c>
      <c r="AG716" s="210" t="str">
        <f t="shared" si="95"/>
        <v>#REF!</v>
      </c>
      <c r="AH716" s="120" t="str">
        <f t="shared" si="96"/>
        <v>#REF!</v>
      </c>
      <c r="AI716" s="121">
        <f t="shared" si="497"/>
        <v>0.07</v>
      </c>
      <c r="AJ716" s="121">
        <v>0.07</v>
      </c>
      <c r="AK716" s="122">
        <v>0.28</v>
      </c>
      <c r="AL716" s="123">
        <f t="shared" si="11"/>
        <v>87.69444444</v>
      </c>
      <c r="AM716" s="122" t="s">
        <v>10</v>
      </c>
      <c r="AN716" s="125">
        <f t="shared" si="774"/>
        <v>313.1944444</v>
      </c>
      <c r="AO716" s="112">
        <f t="shared" si="775"/>
        <v>0.28</v>
      </c>
      <c r="AP716" s="127">
        <v>0.28</v>
      </c>
      <c r="AQ716" s="128">
        <f t="shared" si="787"/>
        <v>253.4946237</v>
      </c>
      <c r="AR716" s="125">
        <f t="shared" si="776"/>
        <v>242.4731183</v>
      </c>
      <c r="AS716" s="126">
        <f t="shared" si="733"/>
        <v>0.247311828</v>
      </c>
      <c r="AT716" s="126">
        <f t="shared" si="777"/>
        <v>0.2258064516</v>
      </c>
      <c r="AU716" s="129"/>
      <c r="AV716" s="39" t="s">
        <v>2242</v>
      </c>
      <c r="AW716" s="130"/>
      <c r="AX716" s="130"/>
      <c r="AY716" s="130"/>
      <c r="AZ716" s="130"/>
      <c r="BA716" s="130"/>
      <c r="BB716" s="130"/>
      <c r="BC716" s="392">
        <v>205.0</v>
      </c>
      <c r="BD716" s="132">
        <f t="shared" si="788"/>
        <v>225.5</v>
      </c>
      <c r="BE716" s="393"/>
      <c r="BF716" s="134"/>
      <c r="BG716" s="49"/>
      <c r="BH716" s="118">
        <f t="shared" si="714"/>
        <v>1043.981481</v>
      </c>
      <c r="BI716" s="118">
        <f t="shared" si="715"/>
        <v>626.3888889</v>
      </c>
      <c r="BJ716" s="118">
        <f t="shared" si="716"/>
        <v>521.9907407</v>
      </c>
      <c r="BK716" s="118">
        <f t="shared" si="717"/>
        <v>417.5925926</v>
      </c>
      <c r="BL716" s="49"/>
      <c r="BM716" s="49"/>
      <c r="BN716" s="394"/>
      <c r="BO716" s="49"/>
      <c r="BP716" s="49"/>
      <c r="BQ716" s="49"/>
      <c r="BR716" s="49"/>
      <c r="BS716" s="49"/>
      <c r="BT716" s="49"/>
      <c r="BU716" s="49"/>
      <c r="BV716" s="49"/>
      <c r="BW716" s="49"/>
      <c r="BX716" s="49"/>
      <c r="BY716" s="49"/>
      <c r="BZ716" s="49"/>
      <c r="CA716" s="49"/>
      <c r="CB716" s="49"/>
      <c r="CC716" s="49"/>
      <c r="CD716" s="49"/>
      <c r="CE716" s="49"/>
      <c r="CF716" s="49"/>
    </row>
    <row r="717" ht="14.25" customHeight="1">
      <c r="A717" s="103" t="s">
        <v>84</v>
      </c>
      <c r="B717" s="103" t="s">
        <v>85</v>
      </c>
      <c r="C717" s="103" t="s">
        <v>85</v>
      </c>
      <c r="D717" s="103" t="s">
        <v>1266</v>
      </c>
      <c r="E717" s="103" t="s">
        <v>1948</v>
      </c>
      <c r="F717" s="104" t="s">
        <v>1949</v>
      </c>
      <c r="G717" s="110" t="s">
        <v>2150</v>
      </c>
      <c r="H717" s="390" t="s">
        <v>1957</v>
      </c>
      <c r="I717" s="391" t="s">
        <v>2658</v>
      </c>
      <c r="J717" s="220" t="s">
        <v>2659</v>
      </c>
      <c r="K717" s="220" t="str">
        <f>_xlfn.XLOOKUP(J717,[1]Sheet1!$A:$A,[1]Sheet1!$B:$B,"")</f>
        <v>#ERROR!</v>
      </c>
      <c r="L717" s="103" t="s">
        <v>2159</v>
      </c>
      <c r="M717" s="103" t="s">
        <v>2160</v>
      </c>
      <c r="N717" s="110" t="s">
        <v>106</v>
      </c>
      <c r="O717" s="104" t="s">
        <v>147</v>
      </c>
      <c r="P717" s="110"/>
      <c r="Q717" s="104" t="s">
        <v>1989</v>
      </c>
      <c r="R717" s="110" t="s">
        <v>1955</v>
      </c>
      <c r="S717" s="110">
        <v>2.0</v>
      </c>
      <c r="T717" s="110" t="e">
        <v>#N/A</v>
      </c>
      <c r="U717" s="110">
        <v>8.5447E9</v>
      </c>
      <c r="V717" s="112">
        <v>0.0</v>
      </c>
      <c r="W717" s="113">
        <v>30.0</v>
      </c>
      <c r="X717" s="110">
        <v>45.0</v>
      </c>
      <c r="Y717" s="110">
        <v>55.0</v>
      </c>
      <c r="Z717" s="110" t="s">
        <v>1938</v>
      </c>
      <c r="AA717" s="114">
        <f t="shared" si="786"/>
        <v>361.4285714</v>
      </c>
      <c r="AB717" s="115"/>
      <c r="AC717" s="116">
        <f t="shared" si="772"/>
        <v>336.1111111</v>
      </c>
      <c r="AD717" s="117">
        <f t="shared" si="783"/>
        <v>353.8011696</v>
      </c>
      <c r="AE717" s="116"/>
      <c r="AF717" s="116" t="str">
        <f t="shared" si="94"/>
        <v>#REF!</v>
      </c>
      <c r="AG717" s="210" t="str">
        <f t="shared" si="95"/>
        <v>#REF!</v>
      </c>
      <c r="AH717" s="120" t="str">
        <f t="shared" si="96"/>
        <v>#REF!</v>
      </c>
      <c r="AI717" s="121">
        <f t="shared" si="497"/>
        <v>0.07</v>
      </c>
      <c r="AJ717" s="121">
        <v>0.07</v>
      </c>
      <c r="AK717" s="122">
        <v>0.28</v>
      </c>
      <c r="AL717" s="123">
        <f t="shared" si="11"/>
        <v>94.11111111</v>
      </c>
      <c r="AM717" s="122" t="s">
        <v>10</v>
      </c>
      <c r="AN717" s="125">
        <f t="shared" si="774"/>
        <v>336.1111111</v>
      </c>
      <c r="AO717" s="112">
        <f t="shared" si="775"/>
        <v>0.28</v>
      </c>
      <c r="AP717" s="127">
        <v>0.28</v>
      </c>
      <c r="AQ717" s="128">
        <f t="shared" si="787"/>
        <v>272.0430108</v>
      </c>
      <c r="AR717" s="125">
        <f t="shared" si="776"/>
        <v>260.2150538</v>
      </c>
      <c r="AS717" s="126">
        <f t="shared" si="733"/>
        <v>0.247311828</v>
      </c>
      <c r="AT717" s="126">
        <f t="shared" si="777"/>
        <v>0.2258064516</v>
      </c>
      <c r="AU717" s="129"/>
      <c r="AV717" s="39" t="s">
        <v>2242</v>
      </c>
      <c r="AW717" s="130"/>
      <c r="AX717" s="130"/>
      <c r="AY717" s="130"/>
      <c r="AZ717" s="130"/>
      <c r="BA717" s="130"/>
      <c r="BB717" s="130"/>
      <c r="BC717" s="392">
        <v>220.0</v>
      </c>
      <c r="BD717" s="132">
        <f t="shared" si="788"/>
        <v>242</v>
      </c>
      <c r="BE717" s="393"/>
      <c r="BF717" s="134"/>
      <c r="BG717" s="49"/>
      <c r="BH717" s="118">
        <f t="shared" si="714"/>
        <v>1120.37037</v>
      </c>
      <c r="BI717" s="118">
        <f t="shared" si="715"/>
        <v>672.2222222</v>
      </c>
      <c r="BJ717" s="118">
        <f t="shared" si="716"/>
        <v>560.1851852</v>
      </c>
      <c r="BK717" s="118">
        <f t="shared" si="717"/>
        <v>448.1481481</v>
      </c>
      <c r="BL717" s="49"/>
      <c r="BM717" s="49"/>
      <c r="BN717" s="394"/>
      <c r="BO717" s="49"/>
      <c r="BP717" s="49"/>
      <c r="BQ717" s="49"/>
      <c r="BR717" s="49"/>
      <c r="BS717" s="49"/>
      <c r="BT717" s="49"/>
      <c r="BU717" s="49"/>
      <c r="BV717" s="49"/>
      <c r="BW717" s="49"/>
      <c r="BX717" s="49"/>
      <c r="BY717" s="49"/>
      <c r="BZ717" s="49"/>
      <c r="CA717" s="49"/>
      <c r="CB717" s="49"/>
      <c r="CC717" s="49"/>
      <c r="CD717" s="49"/>
      <c r="CE717" s="49"/>
      <c r="CF717" s="49"/>
    </row>
    <row r="718" ht="14.25" customHeight="1">
      <c r="A718" s="103" t="s">
        <v>84</v>
      </c>
      <c r="B718" s="103" t="s">
        <v>85</v>
      </c>
      <c r="C718" s="103" t="s">
        <v>85</v>
      </c>
      <c r="D718" s="103" t="s">
        <v>1266</v>
      </c>
      <c r="E718" s="103" t="s">
        <v>1948</v>
      </c>
      <c r="F718" s="104" t="s">
        <v>1949</v>
      </c>
      <c r="G718" s="110" t="s">
        <v>2150</v>
      </c>
      <c r="H718" s="390" t="s">
        <v>1962</v>
      </c>
      <c r="I718" s="391" t="s">
        <v>2660</v>
      </c>
      <c r="J718" s="220" t="s">
        <v>2661</v>
      </c>
      <c r="K718" s="220" t="str">
        <f>_xlfn.XLOOKUP(J718,[1]Sheet1!$A:$A,[1]Sheet1!$B:$B,"")</f>
        <v>#ERROR!</v>
      </c>
      <c r="L718" s="103" t="s">
        <v>2163</v>
      </c>
      <c r="M718" s="103" t="s">
        <v>2164</v>
      </c>
      <c r="N718" s="110" t="s">
        <v>106</v>
      </c>
      <c r="O718" s="104" t="s">
        <v>147</v>
      </c>
      <c r="P718" s="110"/>
      <c r="Q718" s="104" t="s">
        <v>1989</v>
      </c>
      <c r="R718" s="110" t="s">
        <v>1955</v>
      </c>
      <c r="S718" s="110">
        <v>2.0</v>
      </c>
      <c r="T718" s="110" t="e">
        <v>#N/A</v>
      </c>
      <c r="U718" s="110">
        <v>8.5447E9</v>
      </c>
      <c r="V718" s="112">
        <v>0.0</v>
      </c>
      <c r="W718" s="113">
        <v>30.0</v>
      </c>
      <c r="X718" s="110">
        <v>45.0</v>
      </c>
      <c r="Y718" s="110">
        <v>55.0</v>
      </c>
      <c r="Z718" s="110" t="s">
        <v>1938</v>
      </c>
      <c r="AA718" s="114">
        <f t="shared" si="786"/>
        <v>410.7142857</v>
      </c>
      <c r="AB718" s="115"/>
      <c r="AC718" s="116">
        <f t="shared" si="772"/>
        <v>381.9444444</v>
      </c>
      <c r="AD718" s="117">
        <f t="shared" si="783"/>
        <v>402.0467836</v>
      </c>
      <c r="AE718" s="116"/>
      <c r="AF718" s="116" t="str">
        <f t="shared" si="94"/>
        <v>#REF!</v>
      </c>
      <c r="AG718" s="210" t="str">
        <f t="shared" si="95"/>
        <v>#REF!</v>
      </c>
      <c r="AH718" s="120" t="str">
        <f t="shared" si="96"/>
        <v>#REF!</v>
      </c>
      <c r="AI718" s="121">
        <f t="shared" si="497"/>
        <v>0.07</v>
      </c>
      <c r="AJ718" s="121">
        <v>0.07</v>
      </c>
      <c r="AK718" s="122">
        <v>0.28</v>
      </c>
      <c r="AL718" s="123">
        <f t="shared" si="11"/>
        <v>106.9444444</v>
      </c>
      <c r="AM718" s="122" t="s">
        <v>10</v>
      </c>
      <c r="AN718" s="125">
        <f t="shared" si="774"/>
        <v>381.9444444</v>
      </c>
      <c r="AO718" s="112">
        <f t="shared" si="775"/>
        <v>0.28</v>
      </c>
      <c r="AP718" s="127">
        <v>0.28</v>
      </c>
      <c r="AQ718" s="128">
        <f t="shared" si="787"/>
        <v>309.1397849</v>
      </c>
      <c r="AR718" s="125">
        <f t="shared" si="776"/>
        <v>295.6989247</v>
      </c>
      <c r="AS718" s="126">
        <f t="shared" si="733"/>
        <v>0.247311828</v>
      </c>
      <c r="AT718" s="126">
        <f t="shared" si="777"/>
        <v>0.2258064516</v>
      </c>
      <c r="AU718" s="129"/>
      <c r="AV718" s="39" t="s">
        <v>2242</v>
      </c>
      <c r="AW718" s="130"/>
      <c r="AX718" s="130"/>
      <c r="AY718" s="130"/>
      <c r="AZ718" s="130"/>
      <c r="BA718" s="130"/>
      <c r="BB718" s="130"/>
      <c r="BC718" s="392">
        <v>250.0</v>
      </c>
      <c r="BD718" s="132">
        <f t="shared" si="788"/>
        <v>275</v>
      </c>
      <c r="BE718" s="393"/>
      <c r="BF718" s="134"/>
      <c r="BG718" s="49"/>
      <c r="BH718" s="118">
        <f t="shared" si="714"/>
        <v>1273.148148</v>
      </c>
      <c r="BI718" s="118">
        <f t="shared" si="715"/>
        <v>763.8888889</v>
      </c>
      <c r="BJ718" s="118">
        <f t="shared" si="716"/>
        <v>636.5740741</v>
      </c>
      <c r="BK718" s="118">
        <f t="shared" si="717"/>
        <v>509.2592593</v>
      </c>
      <c r="BL718" s="49"/>
      <c r="BM718" s="49"/>
      <c r="BN718" s="394"/>
      <c r="BO718" s="49"/>
      <c r="BP718" s="49"/>
      <c r="BQ718" s="49"/>
      <c r="BR718" s="49"/>
      <c r="BS718" s="49"/>
      <c r="BT718" s="49"/>
      <c r="BU718" s="49"/>
      <c r="BV718" s="49"/>
      <c r="BW718" s="49"/>
      <c r="BX718" s="49"/>
      <c r="BY718" s="49"/>
      <c r="BZ718" s="49"/>
      <c r="CA718" s="49"/>
      <c r="CB718" s="49"/>
      <c r="CC718" s="49"/>
      <c r="CD718" s="49"/>
      <c r="CE718" s="49"/>
      <c r="CF718" s="49"/>
    </row>
    <row r="719" ht="14.25" customHeight="1">
      <c r="A719" s="103" t="s">
        <v>84</v>
      </c>
      <c r="B719" s="103" t="s">
        <v>85</v>
      </c>
      <c r="C719" s="103" t="s">
        <v>85</v>
      </c>
      <c r="D719" s="103" t="s">
        <v>1266</v>
      </c>
      <c r="E719" s="103" t="s">
        <v>1948</v>
      </c>
      <c r="F719" s="104" t="s">
        <v>1949</v>
      </c>
      <c r="G719" s="110" t="s">
        <v>2150</v>
      </c>
      <c r="H719" s="390" t="s">
        <v>1967</v>
      </c>
      <c r="I719" s="391" t="s">
        <v>2662</v>
      </c>
      <c r="J719" s="220" t="s">
        <v>2663</v>
      </c>
      <c r="K719" s="220" t="str">
        <f>_xlfn.XLOOKUP(J719,[1]Sheet1!$A:$A,[1]Sheet1!$B:$B,"")</f>
        <v>#ERROR!</v>
      </c>
      <c r="L719" s="103" t="s">
        <v>2167</v>
      </c>
      <c r="M719" s="103" t="s">
        <v>2168</v>
      </c>
      <c r="N719" s="110" t="s">
        <v>106</v>
      </c>
      <c r="O719" s="104" t="s">
        <v>147</v>
      </c>
      <c r="P719" s="110"/>
      <c r="Q719" s="104" t="s">
        <v>1989</v>
      </c>
      <c r="R719" s="110" t="s">
        <v>1955</v>
      </c>
      <c r="S719" s="110">
        <v>2.0</v>
      </c>
      <c r="T719" s="110" t="e">
        <v>#N/A</v>
      </c>
      <c r="U719" s="110">
        <v>8.5447E9</v>
      </c>
      <c r="V719" s="112">
        <v>0.0</v>
      </c>
      <c r="W719" s="113">
        <v>30.0</v>
      </c>
      <c r="X719" s="110">
        <v>45.0</v>
      </c>
      <c r="Y719" s="110">
        <v>55.0</v>
      </c>
      <c r="Z719" s="110" t="s">
        <v>1938</v>
      </c>
      <c r="AA719" s="114">
        <f t="shared" si="786"/>
        <v>591.4285714</v>
      </c>
      <c r="AB719" s="115"/>
      <c r="AC719" s="116">
        <f t="shared" si="772"/>
        <v>550</v>
      </c>
      <c r="AD719" s="117">
        <f t="shared" si="783"/>
        <v>578.9473684</v>
      </c>
      <c r="AE719" s="116"/>
      <c r="AF719" s="116" t="str">
        <f t="shared" si="94"/>
        <v>#REF!</v>
      </c>
      <c r="AG719" s="210" t="str">
        <f t="shared" si="95"/>
        <v>#REF!</v>
      </c>
      <c r="AH719" s="120" t="str">
        <f t="shared" si="96"/>
        <v>#REF!</v>
      </c>
      <c r="AI719" s="121">
        <f t="shared" si="497"/>
        <v>0.07</v>
      </c>
      <c r="AJ719" s="121">
        <v>0.07</v>
      </c>
      <c r="AK719" s="122">
        <v>0.28</v>
      </c>
      <c r="AL719" s="123">
        <f t="shared" si="11"/>
        <v>154</v>
      </c>
      <c r="AM719" s="122" t="s">
        <v>10</v>
      </c>
      <c r="AN719" s="125">
        <f t="shared" si="774"/>
        <v>550</v>
      </c>
      <c r="AO719" s="112">
        <f t="shared" si="775"/>
        <v>0.28</v>
      </c>
      <c r="AP719" s="127">
        <v>0.28</v>
      </c>
      <c r="AQ719" s="128">
        <f t="shared" si="787"/>
        <v>445.1612903</v>
      </c>
      <c r="AR719" s="125">
        <f t="shared" si="776"/>
        <v>425.8064516</v>
      </c>
      <c r="AS719" s="126">
        <f t="shared" si="733"/>
        <v>0.247311828</v>
      </c>
      <c r="AT719" s="126">
        <f t="shared" si="777"/>
        <v>0.2258064516</v>
      </c>
      <c r="AU719" s="129"/>
      <c r="AV719" s="39" t="s">
        <v>2242</v>
      </c>
      <c r="AW719" s="130"/>
      <c r="AX719" s="130"/>
      <c r="AY719" s="130"/>
      <c r="AZ719" s="130"/>
      <c r="BA719" s="130"/>
      <c r="BB719" s="130"/>
      <c r="BC719" s="392">
        <v>360.0</v>
      </c>
      <c r="BD719" s="132">
        <f t="shared" si="788"/>
        <v>396</v>
      </c>
      <c r="BE719" s="393"/>
      <c r="BF719" s="134"/>
      <c r="BG719" s="49"/>
      <c r="BH719" s="118">
        <f t="shared" si="714"/>
        <v>1833.333333</v>
      </c>
      <c r="BI719" s="118">
        <f t="shared" si="715"/>
        <v>1100</v>
      </c>
      <c r="BJ719" s="118">
        <f t="shared" si="716"/>
        <v>916.6666667</v>
      </c>
      <c r="BK719" s="118">
        <f t="shared" si="717"/>
        <v>733.3333333</v>
      </c>
      <c r="BL719" s="49"/>
      <c r="BM719" s="49"/>
      <c r="BN719" s="394"/>
      <c r="BO719" s="49"/>
      <c r="BP719" s="49"/>
      <c r="BQ719" s="49"/>
      <c r="BR719" s="49"/>
      <c r="BS719" s="49"/>
      <c r="BT719" s="49"/>
      <c r="BU719" s="49"/>
      <c r="BV719" s="49"/>
      <c r="BW719" s="49"/>
      <c r="BX719" s="49"/>
      <c r="BY719" s="49"/>
      <c r="BZ719" s="49"/>
      <c r="CA719" s="49"/>
      <c r="CB719" s="49"/>
      <c r="CC719" s="49"/>
      <c r="CD719" s="49"/>
      <c r="CE719" s="49"/>
      <c r="CF719" s="49"/>
    </row>
    <row r="720" ht="14.25" customHeight="1">
      <c r="A720" s="103" t="s">
        <v>84</v>
      </c>
      <c r="B720" s="103" t="s">
        <v>120</v>
      </c>
      <c r="C720" s="103" t="s">
        <v>120</v>
      </c>
      <c r="D720" s="103" t="s">
        <v>1266</v>
      </c>
      <c r="E720" s="103" t="s">
        <v>1948</v>
      </c>
      <c r="F720" s="104" t="s">
        <v>1949</v>
      </c>
      <c r="G720" s="110" t="s">
        <v>2150</v>
      </c>
      <c r="H720" s="390" t="s">
        <v>1950</v>
      </c>
      <c r="I720" s="391" t="s">
        <v>2664</v>
      </c>
      <c r="J720" s="220" t="s">
        <v>2665</v>
      </c>
      <c r="K720" s="220" t="str">
        <f>_xlfn.XLOOKUP(J720,[1]Sheet1!$A:$A,[1]Sheet1!$B:$B,"")</f>
        <v>#ERROR!</v>
      </c>
      <c r="L720" s="103" t="s">
        <v>2666</v>
      </c>
      <c r="M720" s="103" t="s">
        <v>2667</v>
      </c>
      <c r="N720" s="110" t="s">
        <v>162</v>
      </c>
      <c r="O720" s="104" t="s">
        <v>147</v>
      </c>
      <c r="P720" s="110"/>
      <c r="Q720" s="104" t="s">
        <v>1989</v>
      </c>
      <c r="R720" s="110" t="s">
        <v>1955</v>
      </c>
      <c r="S720" s="110">
        <v>2.0</v>
      </c>
      <c r="T720" s="110" t="e">
        <v>#N/A</v>
      </c>
      <c r="U720" s="110">
        <v>8.5447E9</v>
      </c>
      <c r="V720" s="112">
        <v>0.0</v>
      </c>
      <c r="W720" s="113">
        <v>30.0</v>
      </c>
      <c r="X720" s="110">
        <v>45.0</v>
      </c>
      <c r="Y720" s="110">
        <v>55.0</v>
      </c>
      <c r="Z720" s="110" t="s">
        <v>1938</v>
      </c>
      <c r="AA720" s="114">
        <f t="shared" si="786"/>
        <v>377.8571429</v>
      </c>
      <c r="AB720" s="115"/>
      <c r="AC720" s="116">
        <f t="shared" si="772"/>
        <v>351.3888889</v>
      </c>
      <c r="AD720" s="117">
        <f t="shared" si="783"/>
        <v>369.8830409</v>
      </c>
      <c r="AE720" s="116"/>
      <c r="AF720" s="116" t="str">
        <f t="shared" si="94"/>
        <v>#REF!</v>
      </c>
      <c r="AG720" s="210" t="str">
        <f t="shared" si="95"/>
        <v>#REF!</v>
      </c>
      <c r="AH720" s="120" t="str">
        <f t="shared" si="96"/>
        <v>#REF!</v>
      </c>
      <c r="AI720" s="121">
        <f t="shared" si="497"/>
        <v>0.07</v>
      </c>
      <c r="AJ720" s="121">
        <v>0.07</v>
      </c>
      <c r="AK720" s="122">
        <v>0.28</v>
      </c>
      <c r="AL720" s="123">
        <f t="shared" si="11"/>
        <v>98.38888889</v>
      </c>
      <c r="AM720" s="122" t="s">
        <v>10</v>
      </c>
      <c r="AN720" s="125">
        <f t="shared" si="774"/>
        <v>351.3888889</v>
      </c>
      <c r="AO720" s="112">
        <f t="shared" si="775"/>
        <v>0.28</v>
      </c>
      <c r="AP720" s="127">
        <v>0.28</v>
      </c>
      <c r="AQ720" s="128">
        <f t="shared" si="787"/>
        <v>284.4086022</v>
      </c>
      <c r="AR720" s="125">
        <f t="shared" si="776"/>
        <v>272.0430108</v>
      </c>
      <c r="AS720" s="126">
        <f t="shared" si="733"/>
        <v>0.247311828</v>
      </c>
      <c r="AT720" s="126">
        <f t="shared" si="777"/>
        <v>0.2258064516</v>
      </c>
      <c r="AU720" s="129"/>
      <c r="AV720" s="39" t="s">
        <v>2242</v>
      </c>
      <c r="AW720" s="130"/>
      <c r="AX720" s="130"/>
      <c r="AY720" s="130"/>
      <c r="AZ720" s="130"/>
      <c r="BA720" s="130"/>
      <c r="BB720" s="130"/>
      <c r="BC720" s="392">
        <v>230.0</v>
      </c>
      <c r="BD720" s="132">
        <f t="shared" si="788"/>
        <v>253</v>
      </c>
      <c r="BE720" s="39"/>
      <c r="BF720" s="134">
        <v>8.5447E9</v>
      </c>
      <c r="BG720" s="49"/>
      <c r="BH720" s="118">
        <f t="shared" si="714"/>
        <v>1171.296296</v>
      </c>
      <c r="BI720" s="118">
        <f t="shared" si="715"/>
        <v>702.7777778</v>
      </c>
      <c r="BJ720" s="118">
        <f t="shared" si="716"/>
        <v>585.6481481</v>
      </c>
      <c r="BK720" s="118">
        <f t="shared" si="717"/>
        <v>468.5185185</v>
      </c>
      <c r="BL720" s="49"/>
      <c r="BM720" s="49"/>
      <c r="BN720" s="394"/>
      <c r="BO720" s="49"/>
      <c r="BP720" s="49"/>
      <c r="BQ720" s="49"/>
      <c r="BR720" s="49"/>
      <c r="BS720" s="49"/>
      <c r="BT720" s="49"/>
      <c r="BU720" s="49"/>
      <c r="BV720" s="49"/>
      <c r="BW720" s="49"/>
      <c r="BX720" s="49"/>
      <c r="BY720" s="49"/>
      <c r="BZ720" s="49"/>
      <c r="CA720" s="49"/>
      <c r="CB720" s="49"/>
      <c r="CC720" s="49"/>
      <c r="CD720" s="49"/>
      <c r="CE720" s="49"/>
      <c r="CF720" s="49"/>
    </row>
    <row r="721" ht="14.25" customHeight="1">
      <c r="A721" s="103" t="s">
        <v>84</v>
      </c>
      <c r="B721" s="103" t="s">
        <v>120</v>
      </c>
      <c r="C721" s="103" t="s">
        <v>120</v>
      </c>
      <c r="D721" s="103" t="s">
        <v>1266</v>
      </c>
      <c r="E721" s="103" t="s">
        <v>1948</v>
      </c>
      <c r="F721" s="104" t="s">
        <v>1949</v>
      </c>
      <c r="G721" s="110" t="s">
        <v>2150</v>
      </c>
      <c r="H721" s="390" t="s">
        <v>1957</v>
      </c>
      <c r="I721" s="391" t="s">
        <v>2668</v>
      </c>
      <c r="J721" s="220" t="s">
        <v>2669</v>
      </c>
      <c r="K721" s="220" t="str">
        <f>_xlfn.XLOOKUP(J721,[1]Sheet1!$A:$A,[1]Sheet1!$B:$B,"")</f>
        <v>#ERROR!</v>
      </c>
      <c r="L721" s="103" t="s">
        <v>2670</v>
      </c>
      <c r="M721" s="103" t="s">
        <v>2671</v>
      </c>
      <c r="N721" s="110" t="s">
        <v>162</v>
      </c>
      <c r="O721" s="104" t="s">
        <v>147</v>
      </c>
      <c r="P721" s="110"/>
      <c r="Q721" s="104" t="s">
        <v>1989</v>
      </c>
      <c r="R721" s="110" t="s">
        <v>1955</v>
      </c>
      <c r="S721" s="110">
        <v>2.0</v>
      </c>
      <c r="T721" s="110" t="e">
        <v>#N/A</v>
      </c>
      <c r="U721" s="110">
        <v>8.5447E9</v>
      </c>
      <c r="V721" s="112">
        <v>0.0</v>
      </c>
      <c r="W721" s="113">
        <v>30.0</v>
      </c>
      <c r="X721" s="110">
        <v>45.0</v>
      </c>
      <c r="Y721" s="110">
        <v>55.0</v>
      </c>
      <c r="Z721" s="110" t="s">
        <v>1938</v>
      </c>
      <c r="AA721" s="114">
        <f t="shared" si="786"/>
        <v>402.5</v>
      </c>
      <c r="AB721" s="115"/>
      <c r="AC721" s="116">
        <f t="shared" si="772"/>
        <v>374.3055556</v>
      </c>
      <c r="AD721" s="117">
        <f t="shared" si="783"/>
        <v>394.005848</v>
      </c>
      <c r="AE721" s="116"/>
      <c r="AF721" s="116" t="str">
        <f t="shared" si="94"/>
        <v>#REF!</v>
      </c>
      <c r="AG721" s="210" t="str">
        <f t="shared" si="95"/>
        <v>#REF!</v>
      </c>
      <c r="AH721" s="120" t="str">
        <f t="shared" si="96"/>
        <v>#REF!</v>
      </c>
      <c r="AI721" s="121">
        <f t="shared" si="497"/>
        <v>0.07</v>
      </c>
      <c r="AJ721" s="121">
        <v>0.07</v>
      </c>
      <c r="AK721" s="122">
        <v>0.28</v>
      </c>
      <c r="AL721" s="123">
        <f t="shared" si="11"/>
        <v>104.8055556</v>
      </c>
      <c r="AM721" s="122" t="s">
        <v>10</v>
      </c>
      <c r="AN721" s="125">
        <f t="shared" si="774"/>
        <v>374.3055556</v>
      </c>
      <c r="AO721" s="112">
        <f t="shared" si="775"/>
        <v>0.28</v>
      </c>
      <c r="AP721" s="127">
        <v>0.28</v>
      </c>
      <c r="AQ721" s="128">
        <f t="shared" si="787"/>
        <v>302.9569892</v>
      </c>
      <c r="AR721" s="125">
        <f t="shared" si="776"/>
        <v>289.7849462</v>
      </c>
      <c r="AS721" s="126">
        <f t="shared" si="733"/>
        <v>0.247311828</v>
      </c>
      <c r="AT721" s="126">
        <f t="shared" si="777"/>
        <v>0.2258064516</v>
      </c>
      <c r="AU721" s="129"/>
      <c r="AV721" s="39" t="s">
        <v>2242</v>
      </c>
      <c r="AW721" s="130"/>
      <c r="AX721" s="130"/>
      <c r="AY721" s="130"/>
      <c r="AZ721" s="130"/>
      <c r="BA721" s="130"/>
      <c r="BB721" s="130"/>
      <c r="BC721" s="392">
        <v>245.0</v>
      </c>
      <c r="BD721" s="132">
        <f t="shared" si="788"/>
        <v>269.5</v>
      </c>
      <c r="BE721" s="39"/>
      <c r="BF721" s="134">
        <v>8.5447E9</v>
      </c>
      <c r="BG721" s="49"/>
      <c r="BH721" s="118">
        <f t="shared" si="714"/>
        <v>1247.685185</v>
      </c>
      <c r="BI721" s="118">
        <f t="shared" si="715"/>
        <v>748.6111111</v>
      </c>
      <c r="BJ721" s="118">
        <f t="shared" si="716"/>
        <v>623.8425926</v>
      </c>
      <c r="BK721" s="118">
        <f t="shared" si="717"/>
        <v>499.0740741</v>
      </c>
      <c r="BL721" s="49"/>
      <c r="BM721" s="49"/>
      <c r="BN721" s="394"/>
      <c r="BO721" s="49"/>
      <c r="BP721" s="49"/>
      <c r="BQ721" s="49"/>
      <c r="BR721" s="49"/>
      <c r="BS721" s="49"/>
      <c r="BT721" s="49"/>
      <c r="BU721" s="49"/>
      <c r="BV721" s="49"/>
      <c r="BW721" s="49"/>
      <c r="BX721" s="49"/>
      <c r="BY721" s="49"/>
      <c r="BZ721" s="49"/>
      <c r="CA721" s="49"/>
      <c r="CB721" s="49"/>
      <c r="CC721" s="49"/>
      <c r="CD721" s="49"/>
      <c r="CE721" s="49"/>
      <c r="CF721" s="49"/>
    </row>
    <row r="722" ht="14.25" customHeight="1">
      <c r="A722" s="103" t="s">
        <v>84</v>
      </c>
      <c r="B722" s="103" t="s">
        <v>120</v>
      </c>
      <c r="C722" s="103" t="s">
        <v>120</v>
      </c>
      <c r="D722" s="103" t="s">
        <v>1266</v>
      </c>
      <c r="E722" s="103" t="s">
        <v>1948</v>
      </c>
      <c r="F722" s="104" t="s">
        <v>1949</v>
      </c>
      <c r="G722" s="110" t="s">
        <v>2150</v>
      </c>
      <c r="H722" s="390" t="s">
        <v>1962</v>
      </c>
      <c r="I722" s="391" t="s">
        <v>2672</v>
      </c>
      <c r="J722" s="220" t="s">
        <v>2673</v>
      </c>
      <c r="K722" s="220" t="str">
        <f>_xlfn.XLOOKUP(J722,[1]Sheet1!$A:$A,[1]Sheet1!$B:$B,"")</f>
        <v>#ERROR!</v>
      </c>
      <c r="L722" s="103" t="s">
        <v>2674</v>
      </c>
      <c r="M722" s="103" t="s">
        <v>2675</v>
      </c>
      <c r="N722" s="110" t="s">
        <v>162</v>
      </c>
      <c r="O722" s="104" t="s">
        <v>147</v>
      </c>
      <c r="P722" s="110"/>
      <c r="Q722" s="104" t="s">
        <v>1989</v>
      </c>
      <c r="R722" s="110" t="s">
        <v>1955</v>
      </c>
      <c r="S722" s="110">
        <v>2.0</v>
      </c>
      <c r="T722" s="110" t="e">
        <v>#N/A</v>
      </c>
      <c r="U722" s="110">
        <v>8.5447E9</v>
      </c>
      <c r="V722" s="112">
        <v>0.0</v>
      </c>
      <c r="W722" s="113">
        <v>30.0</v>
      </c>
      <c r="X722" s="110">
        <v>45.0</v>
      </c>
      <c r="Y722" s="110">
        <v>55.0</v>
      </c>
      <c r="Z722" s="110" t="s">
        <v>1938</v>
      </c>
      <c r="AA722" s="114">
        <f t="shared" si="786"/>
        <v>460</v>
      </c>
      <c r="AB722" s="115"/>
      <c r="AC722" s="116">
        <f t="shared" si="772"/>
        <v>427.7777778</v>
      </c>
      <c r="AD722" s="117">
        <f t="shared" si="783"/>
        <v>450.2923977</v>
      </c>
      <c r="AE722" s="116"/>
      <c r="AF722" s="116" t="str">
        <f t="shared" si="94"/>
        <v>#REF!</v>
      </c>
      <c r="AG722" s="210" t="str">
        <f t="shared" si="95"/>
        <v>#REF!</v>
      </c>
      <c r="AH722" s="120" t="str">
        <f t="shared" si="96"/>
        <v>#REF!</v>
      </c>
      <c r="AI722" s="121">
        <f t="shared" si="497"/>
        <v>0.07</v>
      </c>
      <c r="AJ722" s="121">
        <v>0.07</v>
      </c>
      <c r="AK722" s="122">
        <v>0.28</v>
      </c>
      <c r="AL722" s="123">
        <f t="shared" si="11"/>
        <v>119.7777778</v>
      </c>
      <c r="AM722" s="122" t="s">
        <v>10</v>
      </c>
      <c r="AN722" s="125">
        <f t="shared" si="774"/>
        <v>427.7777778</v>
      </c>
      <c r="AO722" s="112">
        <f t="shared" si="775"/>
        <v>0.28</v>
      </c>
      <c r="AP722" s="127">
        <v>0.28</v>
      </c>
      <c r="AQ722" s="128">
        <f t="shared" si="787"/>
        <v>346.2365591</v>
      </c>
      <c r="AR722" s="125">
        <f t="shared" si="776"/>
        <v>331.1827957</v>
      </c>
      <c r="AS722" s="126">
        <f t="shared" si="733"/>
        <v>0.247311828</v>
      </c>
      <c r="AT722" s="126">
        <f t="shared" si="777"/>
        <v>0.2258064516</v>
      </c>
      <c r="AU722" s="129"/>
      <c r="AV722" s="39" t="s">
        <v>2242</v>
      </c>
      <c r="AW722" s="130"/>
      <c r="AX722" s="130"/>
      <c r="AY722" s="130"/>
      <c r="AZ722" s="130"/>
      <c r="BA722" s="130"/>
      <c r="BB722" s="130"/>
      <c r="BC722" s="392">
        <v>280.0</v>
      </c>
      <c r="BD722" s="132">
        <f t="shared" si="788"/>
        <v>308</v>
      </c>
      <c r="BE722" s="39"/>
      <c r="BF722" s="134">
        <v>8.5447E9</v>
      </c>
      <c r="BG722" s="49"/>
      <c r="BH722" s="118">
        <f t="shared" si="714"/>
        <v>1425.925926</v>
      </c>
      <c r="BI722" s="118">
        <f t="shared" si="715"/>
        <v>855.5555556</v>
      </c>
      <c r="BJ722" s="118">
        <f t="shared" si="716"/>
        <v>712.962963</v>
      </c>
      <c r="BK722" s="118">
        <f t="shared" si="717"/>
        <v>570.3703704</v>
      </c>
      <c r="BL722" s="49"/>
      <c r="BM722" s="49"/>
      <c r="BN722" s="394"/>
      <c r="BO722" s="49"/>
      <c r="BP722" s="49"/>
      <c r="BQ722" s="49"/>
      <c r="BR722" s="49"/>
      <c r="BS722" s="49"/>
      <c r="BT722" s="49"/>
      <c r="BU722" s="49"/>
      <c r="BV722" s="49"/>
      <c r="BW722" s="49"/>
      <c r="BX722" s="49"/>
      <c r="BY722" s="49"/>
      <c r="BZ722" s="49"/>
      <c r="CA722" s="49"/>
      <c r="CB722" s="49"/>
      <c r="CC722" s="49"/>
      <c r="CD722" s="49"/>
      <c r="CE722" s="49"/>
      <c r="CF722" s="49"/>
    </row>
    <row r="723" ht="14.25" customHeight="1">
      <c r="A723" s="103" t="s">
        <v>84</v>
      </c>
      <c r="B723" s="103" t="s">
        <v>120</v>
      </c>
      <c r="C723" s="103" t="s">
        <v>120</v>
      </c>
      <c r="D723" s="103" t="s">
        <v>1266</v>
      </c>
      <c r="E723" s="103" t="s">
        <v>1948</v>
      </c>
      <c r="F723" s="104" t="s">
        <v>1949</v>
      </c>
      <c r="G723" s="110" t="s">
        <v>2150</v>
      </c>
      <c r="H723" s="390" t="s">
        <v>1967</v>
      </c>
      <c r="I723" s="391" t="s">
        <v>2676</v>
      </c>
      <c r="J723" s="220" t="s">
        <v>2677</v>
      </c>
      <c r="K723" s="220" t="str">
        <f>_xlfn.XLOOKUP(J723,[1]Sheet1!$A:$A,[1]Sheet1!$B:$B,"")</f>
        <v>#ERROR!</v>
      </c>
      <c r="L723" s="103" t="s">
        <v>2678</v>
      </c>
      <c r="M723" s="103" t="s">
        <v>2679</v>
      </c>
      <c r="N723" s="110" t="s">
        <v>162</v>
      </c>
      <c r="O723" s="104" t="s">
        <v>147</v>
      </c>
      <c r="P723" s="110"/>
      <c r="Q723" s="104" t="s">
        <v>1989</v>
      </c>
      <c r="R723" s="110" t="s">
        <v>1955</v>
      </c>
      <c r="S723" s="110">
        <v>2.0</v>
      </c>
      <c r="T723" s="110" t="e">
        <v>#N/A</v>
      </c>
      <c r="U723" s="110">
        <v>8.5447E9</v>
      </c>
      <c r="V723" s="112">
        <v>0.0</v>
      </c>
      <c r="W723" s="113">
        <v>30.0</v>
      </c>
      <c r="X723" s="110">
        <v>45.0</v>
      </c>
      <c r="Y723" s="110">
        <v>55.0</v>
      </c>
      <c r="Z723" s="110" t="s">
        <v>1938</v>
      </c>
      <c r="AA723" s="114">
        <f t="shared" si="786"/>
        <v>657.1428571</v>
      </c>
      <c r="AB723" s="115"/>
      <c r="AC723" s="116">
        <f t="shared" si="772"/>
        <v>611.1111111</v>
      </c>
      <c r="AD723" s="117">
        <f t="shared" si="783"/>
        <v>643.2748538</v>
      </c>
      <c r="AE723" s="116"/>
      <c r="AF723" s="116" t="str">
        <f t="shared" si="94"/>
        <v>#REF!</v>
      </c>
      <c r="AG723" s="210" t="str">
        <f t="shared" si="95"/>
        <v>#REF!</v>
      </c>
      <c r="AH723" s="120" t="str">
        <f t="shared" si="96"/>
        <v>#REF!</v>
      </c>
      <c r="AI723" s="121">
        <f t="shared" si="497"/>
        <v>0.07</v>
      </c>
      <c r="AJ723" s="121">
        <v>0.07</v>
      </c>
      <c r="AK723" s="122">
        <v>0.28</v>
      </c>
      <c r="AL723" s="123">
        <f t="shared" si="11"/>
        <v>171.1111111</v>
      </c>
      <c r="AM723" s="122" t="s">
        <v>10</v>
      </c>
      <c r="AN723" s="125">
        <f t="shared" si="774"/>
        <v>611.1111111</v>
      </c>
      <c r="AO723" s="112">
        <f t="shared" si="775"/>
        <v>0.28</v>
      </c>
      <c r="AP723" s="127">
        <v>0.28</v>
      </c>
      <c r="AQ723" s="128">
        <f t="shared" si="787"/>
        <v>494.6236559</v>
      </c>
      <c r="AR723" s="125">
        <f t="shared" si="776"/>
        <v>473.1182796</v>
      </c>
      <c r="AS723" s="126">
        <f t="shared" si="733"/>
        <v>0.247311828</v>
      </c>
      <c r="AT723" s="126">
        <f t="shared" si="777"/>
        <v>0.2258064516</v>
      </c>
      <c r="AU723" s="129">
        <v>301.91</v>
      </c>
      <c r="AV723" s="39" t="s">
        <v>2242</v>
      </c>
      <c r="AW723" s="130"/>
      <c r="AX723" s="130"/>
      <c r="AY723" s="130"/>
      <c r="AZ723" s="130"/>
      <c r="BA723" s="130"/>
      <c r="BB723" s="130"/>
      <c r="BC723" s="392">
        <v>400.0</v>
      </c>
      <c r="BD723" s="132">
        <f t="shared" si="788"/>
        <v>440</v>
      </c>
      <c r="BE723" s="39"/>
      <c r="BF723" s="134">
        <v>8.5447E9</v>
      </c>
      <c r="BG723" s="49"/>
      <c r="BH723" s="118">
        <f t="shared" si="714"/>
        <v>2037.037037</v>
      </c>
      <c r="BI723" s="118">
        <f t="shared" si="715"/>
        <v>1222.222222</v>
      </c>
      <c r="BJ723" s="118">
        <f t="shared" si="716"/>
        <v>1018.518519</v>
      </c>
      <c r="BK723" s="118">
        <f t="shared" si="717"/>
        <v>814.8148148</v>
      </c>
      <c r="BL723" s="49"/>
      <c r="BM723" s="49"/>
      <c r="BN723" s="394"/>
      <c r="BO723" s="49"/>
      <c r="BP723" s="49"/>
      <c r="BQ723" s="49"/>
      <c r="BR723" s="49"/>
      <c r="BS723" s="49"/>
      <c r="BT723" s="49"/>
      <c r="BU723" s="49"/>
      <c r="BV723" s="49"/>
      <c r="BW723" s="49"/>
      <c r="BX723" s="49"/>
      <c r="BY723" s="49"/>
      <c r="BZ723" s="49"/>
      <c r="CA723" s="49"/>
      <c r="CB723" s="49"/>
      <c r="CC723" s="49"/>
      <c r="CD723" s="49"/>
      <c r="CE723" s="49"/>
      <c r="CF723" s="49"/>
    </row>
    <row r="724" ht="14.25" customHeight="1">
      <c r="A724" s="103" t="s">
        <v>84</v>
      </c>
      <c r="B724" s="103" t="s">
        <v>120</v>
      </c>
      <c r="C724" s="103" t="s">
        <v>120</v>
      </c>
      <c r="D724" s="103" t="s">
        <v>1266</v>
      </c>
      <c r="E724" s="103" t="s">
        <v>1948</v>
      </c>
      <c r="F724" s="104" t="s">
        <v>1972</v>
      </c>
      <c r="G724" s="110" t="s">
        <v>2150</v>
      </c>
      <c r="H724" s="390" t="s">
        <v>1950</v>
      </c>
      <c r="I724" s="391" t="s">
        <v>2680</v>
      </c>
      <c r="J724" s="220" t="s">
        <v>2170</v>
      </c>
      <c r="K724" s="220" t="str">
        <f>_xlfn.XLOOKUP(J724,[1]Sheet1!$A:$A,[1]Sheet1!$B:$B,"")</f>
        <v>#ERROR!</v>
      </c>
      <c r="L724" s="103" t="s">
        <v>2171</v>
      </c>
      <c r="M724" s="103" t="s">
        <v>2172</v>
      </c>
      <c r="N724" s="110" t="s">
        <v>162</v>
      </c>
      <c r="O724" s="104" t="s">
        <v>147</v>
      </c>
      <c r="P724" s="110"/>
      <c r="Q724" s="104" t="s">
        <v>1989</v>
      </c>
      <c r="R724" s="110" t="s">
        <v>1955</v>
      </c>
      <c r="S724" s="110">
        <v>2.0</v>
      </c>
      <c r="T724" s="110" t="e">
        <v>#N/A</v>
      </c>
      <c r="U724" s="110">
        <v>8.5447E9</v>
      </c>
      <c r="V724" s="112">
        <v>0.0</v>
      </c>
      <c r="W724" s="113">
        <v>30.0</v>
      </c>
      <c r="X724" s="110">
        <v>45.0</v>
      </c>
      <c r="Y724" s="110">
        <v>55.0</v>
      </c>
      <c r="Z724" s="110" t="s">
        <v>1938</v>
      </c>
      <c r="AA724" s="114">
        <f t="shared" si="786"/>
        <v>334.8529412</v>
      </c>
      <c r="AB724" s="115"/>
      <c r="AC724" s="116">
        <f t="shared" si="772"/>
        <v>311.1428571</v>
      </c>
      <c r="AD724" s="117">
        <f t="shared" si="783"/>
        <v>327.518797</v>
      </c>
      <c r="AE724" s="116"/>
      <c r="AF724" s="116" t="str">
        <f t="shared" si="94"/>
        <v>#REF!</v>
      </c>
      <c r="AG724" s="210" t="str">
        <f t="shared" si="95"/>
        <v>#REF!</v>
      </c>
      <c r="AH724" s="120" t="str">
        <f t="shared" si="96"/>
        <v>#REF!</v>
      </c>
      <c r="AI724" s="121">
        <f t="shared" si="497"/>
        <v>0.07</v>
      </c>
      <c r="AJ724" s="121">
        <v>0.07</v>
      </c>
      <c r="AK724" s="122">
        <v>0.3</v>
      </c>
      <c r="AL724" s="123">
        <f t="shared" si="11"/>
        <v>93.34285714</v>
      </c>
      <c r="AM724" s="122" t="s">
        <v>10</v>
      </c>
      <c r="AN724" s="125">
        <f t="shared" si="774"/>
        <v>311.1428571</v>
      </c>
      <c r="AO724" s="112">
        <f t="shared" si="775"/>
        <v>0.3</v>
      </c>
      <c r="AP724" s="127">
        <v>0.3</v>
      </c>
      <c r="AQ724" s="128">
        <f t="shared" si="787"/>
        <v>244.8387097</v>
      </c>
      <c r="AR724" s="125">
        <f t="shared" si="776"/>
        <v>234.1935484</v>
      </c>
      <c r="AS724" s="126">
        <f t="shared" si="733"/>
        <v>0.2688172043</v>
      </c>
      <c r="AT724" s="126">
        <f t="shared" si="777"/>
        <v>0.247311828</v>
      </c>
      <c r="AU724" s="129"/>
      <c r="AV724" s="39" t="s">
        <v>2242</v>
      </c>
      <c r="AW724" s="130"/>
      <c r="AX724" s="130"/>
      <c r="AY724" s="130"/>
      <c r="AZ724" s="130"/>
      <c r="BA724" s="130"/>
      <c r="BB724" s="130"/>
      <c r="BC724" s="392">
        <v>198.0</v>
      </c>
      <c r="BD724" s="132">
        <f t="shared" si="788"/>
        <v>217.8</v>
      </c>
      <c r="BE724" s="393"/>
      <c r="BF724" s="134"/>
      <c r="BG724" s="49"/>
      <c r="BH724" s="118">
        <f t="shared" si="714"/>
        <v>1037.142857</v>
      </c>
      <c r="BI724" s="118">
        <f t="shared" si="715"/>
        <v>622.2857143</v>
      </c>
      <c r="BJ724" s="118">
        <f t="shared" si="716"/>
        <v>518.5714286</v>
      </c>
      <c r="BK724" s="118">
        <f t="shared" si="717"/>
        <v>414.8571429</v>
      </c>
      <c r="BL724" s="49"/>
      <c r="BM724" s="49"/>
      <c r="BN724" s="394"/>
      <c r="BO724" s="49"/>
      <c r="BP724" s="49"/>
      <c r="BQ724" s="49"/>
      <c r="BR724" s="49"/>
      <c r="BS724" s="49"/>
      <c r="BT724" s="49"/>
      <c r="BU724" s="49"/>
      <c r="BV724" s="49"/>
      <c r="BW724" s="49"/>
      <c r="BX724" s="49"/>
      <c r="BY724" s="49"/>
      <c r="BZ724" s="49"/>
      <c r="CA724" s="49"/>
      <c r="CB724" s="49"/>
      <c r="CC724" s="49"/>
      <c r="CD724" s="49"/>
      <c r="CE724" s="49"/>
      <c r="CF724" s="49"/>
    </row>
    <row r="725" ht="14.25" customHeight="1">
      <c r="A725" s="103" t="s">
        <v>84</v>
      </c>
      <c r="B725" s="103" t="s">
        <v>120</v>
      </c>
      <c r="C725" s="103" t="s">
        <v>120</v>
      </c>
      <c r="D725" s="103" t="s">
        <v>1266</v>
      </c>
      <c r="E725" s="103" t="s">
        <v>1948</v>
      </c>
      <c r="F725" s="104" t="s">
        <v>1972</v>
      </c>
      <c r="G725" s="110" t="s">
        <v>2150</v>
      </c>
      <c r="H725" s="390" t="s">
        <v>1957</v>
      </c>
      <c r="I725" s="391" t="s">
        <v>2681</v>
      </c>
      <c r="J725" s="220" t="s">
        <v>2174</v>
      </c>
      <c r="K725" s="220" t="str">
        <f>_xlfn.XLOOKUP(J725,[1]Sheet1!$A:$A,[1]Sheet1!$B:$B,"")</f>
        <v>#ERROR!</v>
      </c>
      <c r="L725" s="103" t="s">
        <v>2175</v>
      </c>
      <c r="M725" s="103" t="s">
        <v>2176</v>
      </c>
      <c r="N725" s="110" t="s">
        <v>162</v>
      </c>
      <c r="O725" s="104" t="s">
        <v>147</v>
      </c>
      <c r="P725" s="110"/>
      <c r="Q725" s="104" t="s">
        <v>1989</v>
      </c>
      <c r="R725" s="110" t="s">
        <v>1955</v>
      </c>
      <c r="S725" s="110">
        <v>2.0</v>
      </c>
      <c r="T725" s="110" t="e">
        <v>#N/A</v>
      </c>
      <c r="U725" s="110">
        <v>8.5447E9</v>
      </c>
      <c r="V725" s="112">
        <v>0.0</v>
      </c>
      <c r="W725" s="113">
        <v>30.0</v>
      </c>
      <c r="X725" s="110">
        <v>45.0</v>
      </c>
      <c r="Y725" s="110">
        <v>55.0</v>
      </c>
      <c r="Z725" s="110" t="s">
        <v>1938</v>
      </c>
      <c r="AA725" s="114">
        <f t="shared" si="786"/>
        <v>372.1527778</v>
      </c>
      <c r="AB725" s="115"/>
      <c r="AC725" s="116">
        <f t="shared" si="772"/>
        <v>346.3513514</v>
      </c>
      <c r="AD725" s="117">
        <f t="shared" si="783"/>
        <v>364.5803698</v>
      </c>
      <c r="AE725" s="116"/>
      <c r="AF725" s="116" t="str">
        <f t="shared" si="94"/>
        <v>#REF!</v>
      </c>
      <c r="AG725" s="210" t="str">
        <f t="shared" si="95"/>
        <v>#REF!</v>
      </c>
      <c r="AH725" s="120" t="str">
        <f t="shared" si="96"/>
        <v>#REF!</v>
      </c>
      <c r="AI725" s="121">
        <f t="shared" si="497"/>
        <v>0.07</v>
      </c>
      <c r="AJ725" s="121">
        <v>0.07</v>
      </c>
      <c r="AK725" s="122">
        <v>0.26</v>
      </c>
      <c r="AL725" s="123">
        <f t="shared" si="11"/>
        <v>90.05135135</v>
      </c>
      <c r="AM725" s="122" t="s">
        <v>10</v>
      </c>
      <c r="AN725" s="125">
        <f t="shared" si="774"/>
        <v>346.3513514</v>
      </c>
      <c r="AO725" s="112">
        <f t="shared" si="775"/>
        <v>0.26</v>
      </c>
      <c r="AP725" s="127">
        <v>0.26</v>
      </c>
      <c r="AQ725" s="128">
        <f t="shared" si="787"/>
        <v>288.1182796</v>
      </c>
      <c r="AR725" s="125">
        <f t="shared" si="776"/>
        <v>275.5913978</v>
      </c>
      <c r="AS725" s="126">
        <f t="shared" si="733"/>
        <v>0.2258064516</v>
      </c>
      <c r="AT725" s="126">
        <f t="shared" si="777"/>
        <v>0.2043010753</v>
      </c>
      <c r="AU725" s="129"/>
      <c r="AV725" s="39" t="s">
        <v>2242</v>
      </c>
      <c r="AW725" s="130"/>
      <c r="AX725" s="130"/>
      <c r="AY725" s="130"/>
      <c r="AZ725" s="130"/>
      <c r="BA725" s="130"/>
      <c r="BB725" s="130"/>
      <c r="BC725" s="392">
        <v>233.0</v>
      </c>
      <c r="BD725" s="132">
        <f t="shared" si="788"/>
        <v>256.3</v>
      </c>
      <c r="BE725" s="393"/>
      <c r="BF725" s="134"/>
      <c r="BG725" s="49"/>
      <c r="BH725" s="118">
        <f t="shared" si="714"/>
        <v>1154.504505</v>
      </c>
      <c r="BI725" s="118">
        <f t="shared" si="715"/>
        <v>692.7027027</v>
      </c>
      <c r="BJ725" s="118">
        <f t="shared" si="716"/>
        <v>577.2522523</v>
      </c>
      <c r="BK725" s="118">
        <f t="shared" si="717"/>
        <v>461.8018018</v>
      </c>
      <c r="BL725" s="49"/>
      <c r="BM725" s="49"/>
      <c r="BN725" s="394"/>
      <c r="BO725" s="49"/>
      <c r="BP725" s="49"/>
      <c r="BQ725" s="49"/>
      <c r="BR725" s="49"/>
      <c r="BS725" s="49"/>
      <c r="BT725" s="49"/>
      <c r="BU725" s="49"/>
      <c r="BV725" s="49"/>
      <c r="BW725" s="49"/>
      <c r="BX725" s="49"/>
      <c r="BY725" s="49"/>
      <c r="BZ725" s="49"/>
      <c r="CA725" s="49"/>
      <c r="CB725" s="49"/>
      <c r="CC725" s="49"/>
      <c r="CD725" s="49"/>
      <c r="CE725" s="49"/>
      <c r="CF725" s="49"/>
    </row>
    <row r="726" ht="14.25" customHeight="1">
      <c r="A726" s="103" t="s">
        <v>84</v>
      </c>
      <c r="B726" s="103" t="s">
        <v>120</v>
      </c>
      <c r="C726" s="103" t="s">
        <v>120</v>
      </c>
      <c r="D726" s="103" t="s">
        <v>1266</v>
      </c>
      <c r="E726" s="103" t="s">
        <v>1948</v>
      </c>
      <c r="F726" s="104" t="s">
        <v>1972</v>
      </c>
      <c r="G726" s="110" t="s">
        <v>2150</v>
      </c>
      <c r="H726" s="390" t="s">
        <v>1962</v>
      </c>
      <c r="I726" s="391" t="s">
        <v>2682</v>
      </c>
      <c r="J726" s="220" t="s">
        <v>2178</v>
      </c>
      <c r="K726" s="220" t="str">
        <f>_xlfn.XLOOKUP(J726,[1]Sheet1!$A:$A,[1]Sheet1!$B:$B,"")</f>
        <v>#ERROR!</v>
      </c>
      <c r="L726" s="103" t="s">
        <v>2179</v>
      </c>
      <c r="M726" s="103" t="s">
        <v>2180</v>
      </c>
      <c r="N726" s="110" t="s">
        <v>162</v>
      </c>
      <c r="O726" s="104" t="s">
        <v>147</v>
      </c>
      <c r="P726" s="110"/>
      <c r="Q726" s="104" t="s">
        <v>1989</v>
      </c>
      <c r="R726" s="110" t="s">
        <v>1955</v>
      </c>
      <c r="S726" s="110">
        <v>2.0</v>
      </c>
      <c r="T726" s="110" t="e">
        <v>#N/A</v>
      </c>
      <c r="U726" s="110">
        <v>8.5447E9</v>
      </c>
      <c r="V726" s="112">
        <v>0.0</v>
      </c>
      <c r="W726" s="113">
        <v>30.0</v>
      </c>
      <c r="X726" s="110">
        <v>45.0</v>
      </c>
      <c r="Y726" s="110">
        <v>55.0</v>
      </c>
      <c r="Z726" s="110" t="s">
        <v>1938</v>
      </c>
      <c r="AA726" s="114">
        <f t="shared" si="786"/>
        <v>447.2222222</v>
      </c>
      <c r="AB726" s="115"/>
      <c r="AC726" s="116">
        <f t="shared" si="772"/>
        <v>416.2162162</v>
      </c>
      <c r="AD726" s="117">
        <f t="shared" si="783"/>
        <v>438.1223329</v>
      </c>
      <c r="AE726" s="116"/>
      <c r="AF726" s="116" t="str">
        <f t="shared" si="94"/>
        <v>#REF!</v>
      </c>
      <c r="AG726" s="210" t="str">
        <f t="shared" si="95"/>
        <v>#REF!</v>
      </c>
      <c r="AH726" s="120" t="str">
        <f t="shared" si="96"/>
        <v>#REF!</v>
      </c>
      <c r="AI726" s="121">
        <f t="shared" si="497"/>
        <v>0.07</v>
      </c>
      <c r="AJ726" s="121">
        <v>0.07</v>
      </c>
      <c r="AK726" s="122">
        <v>0.26</v>
      </c>
      <c r="AL726" s="123">
        <f t="shared" si="11"/>
        <v>108.2162162</v>
      </c>
      <c r="AM726" s="122" t="s">
        <v>10</v>
      </c>
      <c r="AN726" s="125">
        <f t="shared" si="774"/>
        <v>416.2162162</v>
      </c>
      <c r="AO726" s="112">
        <f t="shared" si="775"/>
        <v>0.26</v>
      </c>
      <c r="AP726" s="127">
        <v>0.26</v>
      </c>
      <c r="AQ726" s="128">
        <f t="shared" si="787"/>
        <v>346.2365591</v>
      </c>
      <c r="AR726" s="125">
        <f t="shared" si="776"/>
        <v>331.1827957</v>
      </c>
      <c r="AS726" s="126">
        <f t="shared" si="733"/>
        <v>0.2258064516</v>
      </c>
      <c r="AT726" s="126">
        <f t="shared" si="777"/>
        <v>0.2043010753</v>
      </c>
      <c r="AU726" s="129"/>
      <c r="AV726" s="39" t="s">
        <v>2242</v>
      </c>
      <c r="AW726" s="130"/>
      <c r="AX726" s="130"/>
      <c r="AY726" s="130"/>
      <c r="AZ726" s="130"/>
      <c r="BA726" s="130"/>
      <c r="BB726" s="130"/>
      <c r="BC726" s="392">
        <v>280.0</v>
      </c>
      <c r="BD726" s="132">
        <f t="shared" si="788"/>
        <v>308</v>
      </c>
      <c r="BE726" s="393"/>
      <c r="BF726" s="134"/>
      <c r="BG726" s="49"/>
      <c r="BH726" s="118">
        <f t="shared" si="714"/>
        <v>1387.387387</v>
      </c>
      <c r="BI726" s="118">
        <f t="shared" si="715"/>
        <v>832.4324324</v>
      </c>
      <c r="BJ726" s="118">
        <f t="shared" si="716"/>
        <v>693.6936937</v>
      </c>
      <c r="BK726" s="118">
        <f t="shared" si="717"/>
        <v>554.954955</v>
      </c>
      <c r="BL726" s="49"/>
      <c r="BM726" s="49"/>
      <c r="BN726" s="394"/>
      <c r="BO726" s="49"/>
      <c r="BP726" s="49"/>
      <c r="BQ726" s="49"/>
      <c r="BR726" s="49"/>
      <c r="BS726" s="49"/>
      <c r="BT726" s="49"/>
      <c r="BU726" s="49"/>
      <c r="BV726" s="49"/>
      <c r="BW726" s="49"/>
      <c r="BX726" s="49"/>
      <c r="BY726" s="49"/>
      <c r="BZ726" s="49"/>
      <c r="CA726" s="49"/>
      <c r="CB726" s="49"/>
      <c r="CC726" s="49"/>
      <c r="CD726" s="49"/>
      <c r="CE726" s="49"/>
      <c r="CF726" s="49"/>
    </row>
    <row r="727" ht="14.25" customHeight="1">
      <c r="A727" s="103" t="s">
        <v>84</v>
      </c>
      <c r="B727" s="103" t="s">
        <v>120</v>
      </c>
      <c r="C727" s="103" t="s">
        <v>120</v>
      </c>
      <c r="D727" s="103" t="s">
        <v>1266</v>
      </c>
      <c r="E727" s="103" t="s">
        <v>1948</v>
      </c>
      <c r="F727" s="104" t="s">
        <v>1972</v>
      </c>
      <c r="G727" s="110" t="s">
        <v>2150</v>
      </c>
      <c r="H727" s="390" t="s">
        <v>1967</v>
      </c>
      <c r="I727" s="391" t="s">
        <v>2683</v>
      </c>
      <c r="J727" s="220" t="s">
        <v>2182</v>
      </c>
      <c r="K727" s="220" t="str">
        <f>_xlfn.XLOOKUP(J727,[1]Sheet1!$A:$A,[1]Sheet1!$B:$B,"")</f>
        <v>#ERROR!</v>
      </c>
      <c r="L727" s="103" t="s">
        <v>2183</v>
      </c>
      <c r="M727" s="103" t="s">
        <v>2184</v>
      </c>
      <c r="N727" s="110" t="s">
        <v>162</v>
      </c>
      <c r="O727" s="104" t="s">
        <v>147</v>
      </c>
      <c r="P727" s="110"/>
      <c r="Q727" s="104" t="s">
        <v>1989</v>
      </c>
      <c r="R727" s="110" t="s">
        <v>1955</v>
      </c>
      <c r="S727" s="110">
        <v>2.0</v>
      </c>
      <c r="T727" s="110" t="e">
        <v>#N/A</v>
      </c>
      <c r="U727" s="110">
        <v>8.5447E9</v>
      </c>
      <c r="V727" s="112">
        <v>0.0</v>
      </c>
      <c r="W727" s="113">
        <v>30.0</v>
      </c>
      <c r="X727" s="110">
        <v>45.0</v>
      </c>
      <c r="Y727" s="110">
        <v>55.0</v>
      </c>
      <c r="Z727" s="110" t="s">
        <v>1938</v>
      </c>
      <c r="AA727" s="114">
        <f t="shared" si="786"/>
        <v>758.6805556</v>
      </c>
      <c r="AB727" s="115"/>
      <c r="AC727" s="116">
        <f t="shared" si="772"/>
        <v>706.0810811</v>
      </c>
      <c r="AD727" s="117">
        <f t="shared" si="783"/>
        <v>743.2432432</v>
      </c>
      <c r="AE727" s="116"/>
      <c r="AF727" s="116" t="str">
        <f t="shared" si="94"/>
        <v>#REF!</v>
      </c>
      <c r="AG727" s="210" t="str">
        <f t="shared" si="95"/>
        <v>#REF!</v>
      </c>
      <c r="AH727" s="120" t="str">
        <f t="shared" si="96"/>
        <v>#REF!</v>
      </c>
      <c r="AI727" s="121">
        <f t="shared" si="497"/>
        <v>0.07</v>
      </c>
      <c r="AJ727" s="121">
        <v>0.07</v>
      </c>
      <c r="AK727" s="122">
        <v>0.26</v>
      </c>
      <c r="AL727" s="123">
        <f t="shared" si="11"/>
        <v>183.5810811</v>
      </c>
      <c r="AM727" s="122" t="s">
        <v>10</v>
      </c>
      <c r="AN727" s="125">
        <f t="shared" si="774"/>
        <v>706.0810811</v>
      </c>
      <c r="AO727" s="112">
        <f t="shared" si="775"/>
        <v>0.26</v>
      </c>
      <c r="AP727" s="127">
        <v>0.26</v>
      </c>
      <c r="AQ727" s="128">
        <f t="shared" si="787"/>
        <v>587.3655914</v>
      </c>
      <c r="AR727" s="125">
        <f t="shared" si="776"/>
        <v>561.827957</v>
      </c>
      <c r="AS727" s="126">
        <f t="shared" si="733"/>
        <v>0.2258064516</v>
      </c>
      <c r="AT727" s="126">
        <f t="shared" si="777"/>
        <v>0.2043010753</v>
      </c>
      <c r="AU727" s="129"/>
      <c r="AV727" s="39" t="s">
        <v>2242</v>
      </c>
      <c r="AW727" s="130"/>
      <c r="AX727" s="130"/>
      <c r="AY727" s="130"/>
      <c r="AZ727" s="130"/>
      <c r="BA727" s="130"/>
      <c r="BB727" s="130"/>
      <c r="BC727" s="392">
        <v>475.0</v>
      </c>
      <c r="BD727" s="132">
        <f t="shared" si="788"/>
        <v>522.5</v>
      </c>
      <c r="BE727" s="393"/>
      <c r="BF727" s="134"/>
      <c r="BG727" s="49"/>
      <c r="BH727" s="118">
        <f t="shared" si="714"/>
        <v>2353.603604</v>
      </c>
      <c r="BI727" s="118">
        <f t="shared" si="715"/>
        <v>1412.162162</v>
      </c>
      <c r="BJ727" s="118">
        <f t="shared" si="716"/>
        <v>1176.801802</v>
      </c>
      <c r="BK727" s="118">
        <f t="shared" si="717"/>
        <v>941.4414414</v>
      </c>
      <c r="BL727" s="49"/>
      <c r="BM727" s="49"/>
      <c r="BN727" s="394"/>
      <c r="BO727" s="49"/>
      <c r="BP727" s="49"/>
      <c r="BQ727" s="49"/>
      <c r="BR727" s="49"/>
      <c r="BS727" s="49"/>
      <c r="BT727" s="49"/>
      <c r="BU727" s="49"/>
      <c r="BV727" s="49"/>
      <c r="BW727" s="49"/>
      <c r="BX727" s="49"/>
      <c r="BY727" s="49"/>
      <c r="BZ727" s="49"/>
      <c r="CA727" s="49"/>
      <c r="CB727" s="49"/>
      <c r="CC727" s="49"/>
      <c r="CD727" s="49"/>
      <c r="CE727" s="49"/>
      <c r="CF727" s="49"/>
    </row>
    <row r="728" ht="14.25" customHeight="1">
      <c r="A728" s="103" t="s">
        <v>84</v>
      </c>
      <c r="B728" s="103" t="s">
        <v>120</v>
      </c>
      <c r="C728" s="103" t="s">
        <v>120</v>
      </c>
      <c r="D728" s="103" t="s">
        <v>1266</v>
      </c>
      <c r="E728" s="103" t="s">
        <v>1948</v>
      </c>
      <c r="F728" s="104" t="s">
        <v>1991</v>
      </c>
      <c r="G728" s="110" t="s">
        <v>2150</v>
      </c>
      <c r="H728" s="390" t="s">
        <v>1950</v>
      </c>
      <c r="I728" s="391" t="s">
        <v>2684</v>
      </c>
      <c r="J728" s="220" t="s">
        <v>2186</v>
      </c>
      <c r="K728" s="220" t="str">
        <f>_xlfn.XLOOKUP(J728,[1]Sheet1!$A:$A,[1]Sheet1!$B:$B,"")</f>
        <v>#ERROR!</v>
      </c>
      <c r="L728" s="103" t="s">
        <v>2187</v>
      </c>
      <c r="M728" s="103" t="s">
        <v>2188</v>
      </c>
      <c r="N728" s="110" t="s">
        <v>206</v>
      </c>
      <c r="O728" s="104" t="s">
        <v>147</v>
      </c>
      <c r="P728" s="110"/>
      <c r="Q728" s="104" t="s">
        <v>1989</v>
      </c>
      <c r="R728" s="110" t="s">
        <v>1955</v>
      </c>
      <c r="S728" s="110">
        <v>2.0</v>
      </c>
      <c r="T728" s="110" t="e">
        <v>#N/A</v>
      </c>
      <c r="U728" s="110">
        <v>8.5447E9</v>
      </c>
      <c r="V728" s="112">
        <v>0.0</v>
      </c>
      <c r="W728" s="113">
        <v>30.0</v>
      </c>
      <c r="X728" s="110">
        <v>45.0</v>
      </c>
      <c r="Y728" s="110">
        <v>55.0</v>
      </c>
      <c r="Z728" s="110" t="s">
        <v>1938</v>
      </c>
      <c r="AA728" s="114">
        <f t="shared" si="786"/>
        <v>314.9230769</v>
      </c>
      <c r="AB728" s="115"/>
      <c r="AC728" s="116">
        <f t="shared" si="772"/>
        <v>292.238806</v>
      </c>
      <c r="AD728" s="117">
        <f t="shared" si="783"/>
        <v>307.6197958</v>
      </c>
      <c r="AE728" s="116"/>
      <c r="AF728" s="116" t="str">
        <f t="shared" si="94"/>
        <v>#REF!</v>
      </c>
      <c r="AG728" s="210" t="str">
        <f t="shared" si="95"/>
        <v>#REF!</v>
      </c>
      <c r="AH728" s="120" t="str">
        <f t="shared" si="96"/>
        <v>#REF!</v>
      </c>
      <c r="AI728" s="121">
        <f t="shared" si="497"/>
        <v>0.07</v>
      </c>
      <c r="AJ728" s="121">
        <v>0.07</v>
      </c>
      <c r="AK728" s="122">
        <v>0.33</v>
      </c>
      <c r="AL728" s="123">
        <f t="shared" si="11"/>
        <v>96.43880597</v>
      </c>
      <c r="AM728" s="122" t="s">
        <v>10</v>
      </c>
      <c r="AN728" s="125">
        <f t="shared" si="774"/>
        <v>292.238806</v>
      </c>
      <c r="AO728" s="112">
        <f t="shared" si="775"/>
        <v>0.33</v>
      </c>
      <c r="AP728" s="127">
        <v>0.33</v>
      </c>
      <c r="AQ728" s="128">
        <f t="shared" si="787"/>
        <v>220.1075269</v>
      </c>
      <c r="AR728" s="125">
        <f t="shared" si="776"/>
        <v>210.5376344</v>
      </c>
      <c r="AS728" s="126">
        <f t="shared" si="733"/>
        <v>0.3010752688</v>
      </c>
      <c r="AT728" s="126">
        <f t="shared" si="777"/>
        <v>0.2795698925</v>
      </c>
      <c r="AU728" s="129">
        <v>174.2</v>
      </c>
      <c r="AV728" s="39" t="s">
        <v>2242</v>
      </c>
      <c r="AW728" s="130"/>
      <c r="AX728" s="130"/>
      <c r="AY728" s="130"/>
      <c r="AZ728" s="130"/>
      <c r="BA728" s="130"/>
      <c r="BB728" s="130"/>
      <c r="BC728" s="392">
        <v>178.0</v>
      </c>
      <c r="BD728" s="132">
        <f t="shared" si="788"/>
        <v>195.8</v>
      </c>
      <c r="BE728" s="393"/>
      <c r="BF728" s="134"/>
      <c r="BG728" s="49"/>
      <c r="BH728" s="118">
        <f t="shared" si="714"/>
        <v>974.1293532</v>
      </c>
      <c r="BI728" s="118">
        <f t="shared" si="715"/>
        <v>584.4776119</v>
      </c>
      <c r="BJ728" s="118">
        <f t="shared" si="716"/>
        <v>487.0646766</v>
      </c>
      <c r="BK728" s="118">
        <f t="shared" si="717"/>
        <v>389.6517413</v>
      </c>
      <c r="BL728" s="49"/>
      <c r="BM728" s="49"/>
      <c r="BN728" s="394"/>
      <c r="BO728" s="49"/>
      <c r="BP728" s="49"/>
      <c r="BQ728" s="49"/>
      <c r="BR728" s="49"/>
      <c r="BS728" s="49"/>
      <c r="BT728" s="49"/>
      <c r="BU728" s="49"/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</row>
    <row r="729" ht="14.25" customHeight="1">
      <c r="A729" s="103" t="s">
        <v>84</v>
      </c>
      <c r="B729" s="103" t="s">
        <v>120</v>
      </c>
      <c r="C729" s="103" t="s">
        <v>120</v>
      </c>
      <c r="D729" s="103" t="s">
        <v>1266</v>
      </c>
      <c r="E729" s="103" t="s">
        <v>1948</v>
      </c>
      <c r="F729" s="104" t="s">
        <v>1991</v>
      </c>
      <c r="G729" s="110" t="s">
        <v>2150</v>
      </c>
      <c r="H729" s="390" t="s">
        <v>1957</v>
      </c>
      <c r="I729" s="391" t="s">
        <v>2685</v>
      </c>
      <c r="J729" s="220" t="s">
        <v>2190</v>
      </c>
      <c r="K729" s="220" t="str">
        <f>_xlfn.XLOOKUP(J729,[1]Sheet1!$A:$A,[1]Sheet1!$B:$B,"")</f>
        <v>#ERROR!</v>
      </c>
      <c r="L729" s="103" t="s">
        <v>2191</v>
      </c>
      <c r="M729" s="103" t="s">
        <v>2192</v>
      </c>
      <c r="N729" s="110" t="s">
        <v>206</v>
      </c>
      <c r="O729" s="104" t="s">
        <v>147</v>
      </c>
      <c r="P729" s="110"/>
      <c r="Q729" s="104" t="s">
        <v>1989</v>
      </c>
      <c r="R729" s="110" t="s">
        <v>1955</v>
      </c>
      <c r="S729" s="110">
        <v>2.0</v>
      </c>
      <c r="T729" s="110" t="e">
        <v>#N/A</v>
      </c>
      <c r="U729" s="110">
        <v>8.5447E9</v>
      </c>
      <c r="V729" s="112">
        <v>0.0</v>
      </c>
      <c r="W729" s="113">
        <v>30.0</v>
      </c>
      <c r="X729" s="110">
        <v>45.0</v>
      </c>
      <c r="Y729" s="110">
        <v>55.0</v>
      </c>
      <c r="Z729" s="110" t="s">
        <v>1938</v>
      </c>
      <c r="AA729" s="114">
        <f t="shared" si="786"/>
        <v>338.030303</v>
      </c>
      <c r="AB729" s="115"/>
      <c r="AC729" s="116">
        <f t="shared" si="772"/>
        <v>313.8235294</v>
      </c>
      <c r="AD729" s="117">
        <f t="shared" si="783"/>
        <v>330.3405573</v>
      </c>
      <c r="AE729" s="116"/>
      <c r="AF729" s="116" t="str">
        <f t="shared" si="94"/>
        <v>#REF!</v>
      </c>
      <c r="AG729" s="210" t="str">
        <f t="shared" si="95"/>
        <v>#REF!</v>
      </c>
      <c r="AH729" s="120" t="str">
        <f t="shared" si="96"/>
        <v>#REF!</v>
      </c>
      <c r="AI729" s="121">
        <f t="shared" si="497"/>
        <v>0.07</v>
      </c>
      <c r="AJ729" s="121">
        <v>0.07</v>
      </c>
      <c r="AK729" s="122">
        <v>0.32</v>
      </c>
      <c r="AL729" s="123">
        <f t="shared" si="11"/>
        <v>100.4235294</v>
      </c>
      <c r="AM729" s="122" t="s">
        <v>10</v>
      </c>
      <c r="AN729" s="125">
        <f t="shared" si="774"/>
        <v>313.8235294</v>
      </c>
      <c r="AO729" s="112">
        <f t="shared" si="775"/>
        <v>0.32</v>
      </c>
      <c r="AP729" s="127">
        <v>0.32</v>
      </c>
      <c r="AQ729" s="128">
        <f t="shared" si="787"/>
        <v>239.8924731</v>
      </c>
      <c r="AR729" s="125">
        <f t="shared" si="776"/>
        <v>229.4623656</v>
      </c>
      <c r="AS729" s="126">
        <f t="shared" si="733"/>
        <v>0.2903225806</v>
      </c>
      <c r="AT729" s="126">
        <f t="shared" si="777"/>
        <v>0.2688172043</v>
      </c>
      <c r="AU729" s="129"/>
      <c r="AV729" s="39" t="s">
        <v>2242</v>
      </c>
      <c r="AW729" s="130"/>
      <c r="AX729" s="130"/>
      <c r="AY729" s="130"/>
      <c r="AZ729" s="130"/>
      <c r="BA729" s="130"/>
      <c r="BB729" s="130"/>
      <c r="BC729" s="392">
        <v>194.0</v>
      </c>
      <c r="BD729" s="132">
        <f t="shared" si="788"/>
        <v>213.4</v>
      </c>
      <c r="BE729" s="393"/>
      <c r="BF729" s="134"/>
      <c r="BG729" s="49"/>
      <c r="BH729" s="118">
        <f t="shared" si="714"/>
        <v>1046.078431</v>
      </c>
      <c r="BI729" s="118">
        <f t="shared" si="715"/>
        <v>627.6470588</v>
      </c>
      <c r="BJ729" s="118">
        <f t="shared" si="716"/>
        <v>523.0392157</v>
      </c>
      <c r="BK729" s="118">
        <f t="shared" si="717"/>
        <v>418.4313725</v>
      </c>
      <c r="BL729" s="49"/>
      <c r="BM729" s="49"/>
      <c r="BN729" s="394"/>
      <c r="BO729" s="49"/>
      <c r="BP729" s="49"/>
      <c r="BQ729" s="49"/>
      <c r="BR729" s="49"/>
      <c r="BS729" s="49"/>
      <c r="BT729" s="49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</row>
    <row r="730" ht="14.25" customHeight="1">
      <c r="A730" s="103" t="s">
        <v>84</v>
      </c>
      <c r="B730" s="103" t="s">
        <v>120</v>
      </c>
      <c r="C730" s="103" t="s">
        <v>120</v>
      </c>
      <c r="D730" s="103" t="s">
        <v>1266</v>
      </c>
      <c r="E730" s="103" t="s">
        <v>1948</v>
      </c>
      <c r="F730" s="104" t="s">
        <v>1991</v>
      </c>
      <c r="G730" s="110" t="s">
        <v>2150</v>
      </c>
      <c r="H730" s="390" t="s">
        <v>1962</v>
      </c>
      <c r="I730" s="391" t="s">
        <v>2686</v>
      </c>
      <c r="J730" s="220" t="s">
        <v>2194</v>
      </c>
      <c r="K730" s="220" t="str">
        <f>_xlfn.XLOOKUP(J730,[1]Sheet1!$A:$A,[1]Sheet1!$B:$B,"")</f>
        <v>#ERROR!</v>
      </c>
      <c r="L730" s="103" t="s">
        <v>2195</v>
      </c>
      <c r="M730" s="103" t="s">
        <v>2196</v>
      </c>
      <c r="N730" s="110" t="s">
        <v>206</v>
      </c>
      <c r="O730" s="104" t="s">
        <v>147</v>
      </c>
      <c r="P730" s="110"/>
      <c r="Q730" s="104" t="s">
        <v>1989</v>
      </c>
      <c r="R730" s="110" t="s">
        <v>1955</v>
      </c>
      <c r="S730" s="110">
        <v>2.0</v>
      </c>
      <c r="T730" s="110" t="e">
        <v>#N/A</v>
      </c>
      <c r="U730" s="110">
        <v>8.5447E9</v>
      </c>
      <c r="V730" s="112">
        <v>0.0</v>
      </c>
      <c r="W730" s="113">
        <v>30.0</v>
      </c>
      <c r="X730" s="110">
        <v>45.0</v>
      </c>
      <c r="Y730" s="110">
        <v>55.0</v>
      </c>
      <c r="Z730" s="110" t="s">
        <v>1938</v>
      </c>
      <c r="AA730" s="114">
        <f t="shared" si="786"/>
        <v>400.7575758</v>
      </c>
      <c r="AB730" s="115"/>
      <c r="AC730" s="116">
        <f t="shared" si="772"/>
        <v>372.0588235</v>
      </c>
      <c r="AD730" s="117">
        <f t="shared" si="783"/>
        <v>391.6408669</v>
      </c>
      <c r="AE730" s="116"/>
      <c r="AF730" s="116" t="str">
        <f t="shared" si="94"/>
        <v>#REF!</v>
      </c>
      <c r="AG730" s="210" t="str">
        <f t="shared" si="95"/>
        <v>#REF!</v>
      </c>
      <c r="AH730" s="120" t="str">
        <f t="shared" si="96"/>
        <v>#REF!</v>
      </c>
      <c r="AI730" s="121">
        <f t="shared" si="497"/>
        <v>0.07</v>
      </c>
      <c r="AJ730" s="121">
        <v>0.07</v>
      </c>
      <c r="AK730" s="122">
        <v>0.32</v>
      </c>
      <c r="AL730" s="123">
        <f t="shared" si="11"/>
        <v>119.0588235</v>
      </c>
      <c r="AM730" s="122" t="s">
        <v>10</v>
      </c>
      <c r="AN730" s="125">
        <f t="shared" si="774"/>
        <v>372.0588235</v>
      </c>
      <c r="AO730" s="112">
        <f t="shared" si="775"/>
        <v>0.32</v>
      </c>
      <c r="AP730" s="127">
        <v>0.32</v>
      </c>
      <c r="AQ730" s="128">
        <f t="shared" si="787"/>
        <v>284.4086022</v>
      </c>
      <c r="AR730" s="125">
        <f t="shared" si="776"/>
        <v>272.0430108</v>
      </c>
      <c r="AS730" s="126">
        <f t="shared" si="733"/>
        <v>0.2903225806</v>
      </c>
      <c r="AT730" s="126">
        <f t="shared" si="777"/>
        <v>0.2688172043</v>
      </c>
      <c r="AU730" s="129">
        <v>203.39</v>
      </c>
      <c r="AV730" s="39" t="s">
        <v>2242</v>
      </c>
      <c r="AW730" s="130"/>
      <c r="AX730" s="130"/>
      <c r="AY730" s="130"/>
      <c r="AZ730" s="130"/>
      <c r="BA730" s="130"/>
      <c r="BB730" s="130"/>
      <c r="BC730" s="392">
        <v>230.0</v>
      </c>
      <c r="BD730" s="132">
        <f t="shared" si="788"/>
        <v>253</v>
      </c>
      <c r="BE730" s="393"/>
      <c r="BF730" s="134"/>
      <c r="BG730" s="49"/>
      <c r="BH730" s="118">
        <f t="shared" si="714"/>
        <v>1240.196078</v>
      </c>
      <c r="BI730" s="118">
        <f t="shared" si="715"/>
        <v>744.1176471</v>
      </c>
      <c r="BJ730" s="118">
        <f t="shared" si="716"/>
        <v>620.0980392</v>
      </c>
      <c r="BK730" s="118">
        <f t="shared" si="717"/>
        <v>496.0784314</v>
      </c>
      <c r="BL730" s="49"/>
      <c r="BM730" s="49"/>
      <c r="BN730" s="394"/>
      <c r="BO730" s="49"/>
      <c r="BP730" s="49"/>
      <c r="BQ730" s="49"/>
      <c r="BR730" s="49"/>
      <c r="BS730" s="49"/>
      <c r="BT730" s="49"/>
      <c r="BU730" s="49"/>
      <c r="BV730" s="49"/>
      <c r="BW730" s="49"/>
      <c r="BX730" s="49"/>
      <c r="BY730" s="49"/>
      <c r="BZ730" s="49"/>
      <c r="CA730" s="49"/>
      <c r="CB730" s="49"/>
      <c r="CC730" s="49"/>
      <c r="CD730" s="49"/>
      <c r="CE730" s="49"/>
      <c r="CF730" s="49"/>
    </row>
    <row r="731" ht="14.25" customHeight="1">
      <c r="A731" s="103" t="s">
        <v>84</v>
      </c>
      <c r="B731" s="103" t="s">
        <v>120</v>
      </c>
      <c r="C731" s="103" t="s">
        <v>120</v>
      </c>
      <c r="D731" s="103" t="s">
        <v>1266</v>
      </c>
      <c r="E731" s="103" t="s">
        <v>1948</v>
      </c>
      <c r="F731" s="104" t="s">
        <v>1991</v>
      </c>
      <c r="G731" s="110" t="s">
        <v>2150</v>
      </c>
      <c r="H731" s="390" t="s">
        <v>1967</v>
      </c>
      <c r="I731" s="391" t="s">
        <v>2687</v>
      </c>
      <c r="J731" s="220" t="s">
        <v>2198</v>
      </c>
      <c r="K731" s="220" t="str">
        <f>_xlfn.XLOOKUP(J731,[1]Sheet1!$A:$A,[1]Sheet1!$B:$B,"")</f>
        <v>#ERROR!</v>
      </c>
      <c r="L731" s="103" t="s">
        <v>2199</v>
      </c>
      <c r="M731" s="103" t="s">
        <v>2200</v>
      </c>
      <c r="N731" s="110" t="s">
        <v>206</v>
      </c>
      <c r="O731" s="104" t="s">
        <v>147</v>
      </c>
      <c r="P731" s="110"/>
      <c r="Q731" s="104" t="s">
        <v>1989</v>
      </c>
      <c r="R731" s="110" t="s">
        <v>1955</v>
      </c>
      <c r="S731" s="110">
        <v>2.0</v>
      </c>
      <c r="T731" s="110" t="e">
        <v>#N/A</v>
      </c>
      <c r="U731" s="110">
        <v>8.5447E9</v>
      </c>
      <c r="V731" s="112">
        <v>0.0</v>
      </c>
      <c r="W731" s="113">
        <v>30.0</v>
      </c>
      <c r="X731" s="110">
        <v>45.0</v>
      </c>
      <c r="Y731" s="110">
        <v>55.0</v>
      </c>
      <c r="Z731" s="110" t="s">
        <v>1938</v>
      </c>
      <c r="AA731" s="114">
        <f t="shared" si="786"/>
        <v>592.1641791</v>
      </c>
      <c r="AB731" s="115"/>
      <c r="AC731" s="116">
        <f t="shared" si="772"/>
        <v>550</v>
      </c>
      <c r="AD731" s="117">
        <f t="shared" si="783"/>
        <v>578.9473684</v>
      </c>
      <c r="AE731" s="116"/>
      <c r="AF731" s="116" t="str">
        <f t="shared" si="94"/>
        <v>#REF!</v>
      </c>
      <c r="AG731" s="210" t="str">
        <f t="shared" si="95"/>
        <v>#REF!</v>
      </c>
      <c r="AH731" s="120" t="str">
        <f t="shared" si="96"/>
        <v>#REF!</v>
      </c>
      <c r="AI731" s="121">
        <f t="shared" si="497"/>
        <v>0.07</v>
      </c>
      <c r="AJ731" s="121">
        <v>0.07</v>
      </c>
      <c r="AK731" s="122">
        <v>0.31</v>
      </c>
      <c r="AL731" s="123">
        <f t="shared" si="11"/>
        <v>170.5</v>
      </c>
      <c r="AM731" s="122" t="s">
        <v>10</v>
      </c>
      <c r="AN731" s="125">
        <f t="shared" si="774"/>
        <v>550</v>
      </c>
      <c r="AO731" s="112">
        <f t="shared" si="775"/>
        <v>0.31</v>
      </c>
      <c r="AP731" s="127">
        <v>0.31</v>
      </c>
      <c r="AQ731" s="128">
        <f t="shared" si="787"/>
        <v>426.6129032</v>
      </c>
      <c r="AR731" s="125">
        <f t="shared" si="776"/>
        <v>408.0645161</v>
      </c>
      <c r="AS731" s="126">
        <f t="shared" si="733"/>
        <v>0.2795698925</v>
      </c>
      <c r="AT731" s="126">
        <f t="shared" si="777"/>
        <v>0.2580645161</v>
      </c>
      <c r="AU731" s="129">
        <v>261.52</v>
      </c>
      <c r="AV731" s="39" t="s">
        <v>2242</v>
      </c>
      <c r="AW731" s="130"/>
      <c r="AX731" s="130"/>
      <c r="AY731" s="130"/>
      <c r="AZ731" s="130"/>
      <c r="BA731" s="130"/>
      <c r="BB731" s="130"/>
      <c r="BC731" s="392">
        <v>345.0</v>
      </c>
      <c r="BD731" s="132">
        <f t="shared" si="788"/>
        <v>379.5</v>
      </c>
      <c r="BE731" s="393"/>
      <c r="BF731" s="134"/>
      <c r="BG731" s="49"/>
      <c r="BH731" s="118">
        <f t="shared" si="714"/>
        <v>1833.333333</v>
      </c>
      <c r="BI731" s="118">
        <f t="shared" si="715"/>
        <v>1100</v>
      </c>
      <c r="BJ731" s="118">
        <f t="shared" si="716"/>
        <v>916.6666667</v>
      </c>
      <c r="BK731" s="118">
        <f t="shared" si="717"/>
        <v>733.3333333</v>
      </c>
      <c r="BL731" s="49"/>
      <c r="BM731" s="49"/>
      <c r="BN731" s="394"/>
      <c r="BO731" s="49"/>
      <c r="BP731" s="49"/>
      <c r="BQ731" s="49"/>
      <c r="BR731" s="49"/>
      <c r="BS731" s="49"/>
      <c r="BT731" s="49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</row>
    <row r="732" ht="14.25" customHeight="1">
      <c r="A732" s="103" t="s">
        <v>84</v>
      </c>
      <c r="B732" s="103" t="s">
        <v>120</v>
      </c>
      <c r="C732" s="103" t="s">
        <v>120</v>
      </c>
      <c r="D732" s="103" t="s">
        <v>1266</v>
      </c>
      <c r="E732" s="103" t="s">
        <v>1948</v>
      </c>
      <c r="F732" s="104" t="s">
        <v>2008</v>
      </c>
      <c r="G732" s="110" t="s">
        <v>2150</v>
      </c>
      <c r="H732" s="390">
        <v>2.0</v>
      </c>
      <c r="I732" s="391" t="s">
        <v>2688</v>
      </c>
      <c r="J732" s="220" t="s">
        <v>2689</v>
      </c>
      <c r="K732" s="220" t="str">
        <f>_xlfn.XLOOKUP(J732,[1]Sheet1!$A:$A,[1]Sheet1!$B:$B,"")</f>
        <v>#ERROR!</v>
      </c>
      <c r="L732" s="103" t="s">
        <v>2690</v>
      </c>
      <c r="M732" s="103" t="s">
        <v>2691</v>
      </c>
      <c r="N732" s="110" t="s">
        <v>206</v>
      </c>
      <c r="O732" s="104" t="s">
        <v>147</v>
      </c>
      <c r="P732" s="110"/>
      <c r="Q732" s="104" t="s">
        <v>1989</v>
      </c>
      <c r="R732" s="110" t="s">
        <v>1955</v>
      </c>
      <c r="S732" s="110">
        <v>2.0</v>
      </c>
      <c r="T732" s="110" t="e">
        <v>#N/A</v>
      </c>
      <c r="U732" s="110">
        <v>8.5447E9</v>
      </c>
      <c r="V732" s="112">
        <v>0.0</v>
      </c>
      <c r="W732" s="113">
        <v>30.0</v>
      </c>
      <c r="X732" s="110">
        <v>45.0</v>
      </c>
      <c r="Y732" s="110">
        <v>55.0</v>
      </c>
      <c r="Z732" s="110" t="s">
        <v>1938</v>
      </c>
      <c r="AA732" s="114">
        <f t="shared" si="786"/>
        <v>342.1199392</v>
      </c>
      <c r="AB732" s="115"/>
      <c r="AC732" s="116">
        <f t="shared" si="772"/>
        <v>318.155016</v>
      </c>
      <c r="AD732" s="117">
        <f t="shared" si="783"/>
        <v>334.9000168</v>
      </c>
      <c r="AE732" s="116"/>
      <c r="AF732" s="116" t="str">
        <f t="shared" si="94"/>
        <v>#REF!</v>
      </c>
      <c r="AG732" s="210" t="str">
        <f t="shared" si="95"/>
        <v>#REF!</v>
      </c>
      <c r="AH732" s="120" t="str">
        <f t="shared" si="96"/>
        <v>#REF!</v>
      </c>
      <c r="AI732" s="121">
        <f t="shared" si="497"/>
        <v>0.07</v>
      </c>
      <c r="AJ732" s="121">
        <v>0.07</v>
      </c>
      <c r="AK732" s="122">
        <v>0.28</v>
      </c>
      <c r="AL732" s="123">
        <f t="shared" si="11"/>
        <v>89.08340447</v>
      </c>
      <c r="AM732" s="122" t="s">
        <v>10</v>
      </c>
      <c r="AN732" s="125">
        <f t="shared" si="774"/>
        <v>318.155016</v>
      </c>
      <c r="AO732" s="112">
        <f t="shared" si="775"/>
        <v>0.28</v>
      </c>
      <c r="AP732" s="127">
        <v>0.28</v>
      </c>
      <c r="AQ732" s="128">
        <f t="shared" si="787"/>
        <v>257.5096317</v>
      </c>
      <c r="AR732" s="125">
        <f t="shared" si="776"/>
        <v>246.3135607</v>
      </c>
      <c r="AS732" s="126">
        <f t="shared" si="733"/>
        <v>0.247311828</v>
      </c>
      <c r="AT732" s="126">
        <f t="shared" si="777"/>
        <v>0.2258064516</v>
      </c>
      <c r="AU732" s="129"/>
      <c r="AV732" s="39" t="s">
        <v>2242</v>
      </c>
      <c r="AW732" s="130"/>
      <c r="AX732" s="130"/>
      <c r="AY732" s="130"/>
      <c r="AZ732" s="130"/>
      <c r="BA732" s="130"/>
      <c r="BB732" s="130"/>
      <c r="BC732" s="392">
        <v>208.24691953260003</v>
      </c>
      <c r="BD732" s="132">
        <f t="shared" si="788"/>
        <v>229.0716115</v>
      </c>
      <c r="BE732" s="393"/>
      <c r="BF732" s="134"/>
      <c r="BG732" s="49"/>
      <c r="BH732" s="118">
        <f t="shared" si="714"/>
        <v>1060.51672</v>
      </c>
      <c r="BI732" s="118">
        <f t="shared" si="715"/>
        <v>636.3100319</v>
      </c>
      <c r="BJ732" s="118">
        <f t="shared" si="716"/>
        <v>530.2583599</v>
      </c>
      <c r="BK732" s="118">
        <f t="shared" si="717"/>
        <v>424.2066879</v>
      </c>
      <c r="BL732" s="49"/>
      <c r="BM732" s="49"/>
      <c r="BN732" s="394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</row>
    <row r="733" ht="14.25" customHeight="1">
      <c r="A733" s="103" t="s">
        <v>84</v>
      </c>
      <c r="B733" s="103" t="s">
        <v>120</v>
      </c>
      <c r="C733" s="103" t="s">
        <v>120</v>
      </c>
      <c r="D733" s="103" t="s">
        <v>1266</v>
      </c>
      <c r="E733" s="103" t="s">
        <v>1948</v>
      </c>
      <c r="F733" s="104" t="s">
        <v>2008</v>
      </c>
      <c r="G733" s="110" t="s">
        <v>2150</v>
      </c>
      <c r="H733" s="390">
        <v>4.0</v>
      </c>
      <c r="I733" s="391" t="s">
        <v>2692</v>
      </c>
      <c r="J733" s="220" t="s">
        <v>2693</v>
      </c>
      <c r="K733" s="220" t="str">
        <f>_xlfn.XLOOKUP(J733,[1]Sheet1!$A:$A,[1]Sheet1!$B:$B,"")</f>
        <v>#ERROR!</v>
      </c>
      <c r="L733" s="103" t="s">
        <v>2694</v>
      </c>
      <c r="M733" s="103" t="s">
        <v>2695</v>
      </c>
      <c r="N733" s="110" t="s">
        <v>206</v>
      </c>
      <c r="O733" s="104" t="s">
        <v>147</v>
      </c>
      <c r="P733" s="110"/>
      <c r="Q733" s="104" t="s">
        <v>1989</v>
      </c>
      <c r="R733" s="110" t="s">
        <v>1955</v>
      </c>
      <c r="S733" s="110">
        <v>2.0</v>
      </c>
      <c r="T733" s="110" t="e">
        <v>#N/A</v>
      </c>
      <c r="U733" s="110">
        <v>8.5447E9</v>
      </c>
      <c r="V733" s="112">
        <v>0.0</v>
      </c>
      <c r="W733" s="113">
        <v>30.0</v>
      </c>
      <c r="X733" s="110">
        <v>45.0</v>
      </c>
      <c r="Y733" s="110">
        <v>55.0</v>
      </c>
      <c r="Z733" s="110" t="s">
        <v>1938</v>
      </c>
      <c r="AA733" s="114">
        <f t="shared" si="786"/>
        <v>364.9335814</v>
      </c>
      <c r="AB733" s="115"/>
      <c r="AC733" s="116">
        <f t="shared" si="772"/>
        <v>339.3706011</v>
      </c>
      <c r="AD733" s="117">
        <f t="shared" si="783"/>
        <v>357.2322116</v>
      </c>
      <c r="AE733" s="116"/>
      <c r="AF733" s="116" t="str">
        <f t="shared" si="94"/>
        <v>#REF!</v>
      </c>
      <c r="AG733" s="210" t="str">
        <f t="shared" si="95"/>
        <v>#REF!</v>
      </c>
      <c r="AH733" s="120" t="str">
        <f t="shared" si="96"/>
        <v>#REF!</v>
      </c>
      <c r="AI733" s="121">
        <f t="shared" si="497"/>
        <v>0.07</v>
      </c>
      <c r="AJ733" s="121">
        <v>0.07</v>
      </c>
      <c r="AK733" s="122">
        <v>0.28</v>
      </c>
      <c r="AL733" s="123">
        <f t="shared" si="11"/>
        <v>95.0237683</v>
      </c>
      <c r="AM733" s="122" t="s">
        <v>10</v>
      </c>
      <c r="AN733" s="125">
        <f t="shared" si="774"/>
        <v>339.3706011</v>
      </c>
      <c r="AO733" s="112">
        <f t="shared" si="775"/>
        <v>0.28</v>
      </c>
      <c r="AP733" s="127">
        <v>0.28</v>
      </c>
      <c r="AQ733" s="128">
        <f t="shared" si="787"/>
        <v>274.6811903</v>
      </c>
      <c r="AR733" s="125">
        <f t="shared" si="776"/>
        <v>262.7385299</v>
      </c>
      <c r="AS733" s="126">
        <f t="shared" si="733"/>
        <v>0.247311828</v>
      </c>
      <c r="AT733" s="126">
        <f t="shared" si="777"/>
        <v>0.2258064516</v>
      </c>
      <c r="AU733" s="129"/>
      <c r="AV733" s="39" t="s">
        <v>2242</v>
      </c>
      <c r="AW733" s="130"/>
      <c r="AX733" s="130"/>
      <c r="AY733" s="130"/>
      <c r="AZ733" s="130"/>
      <c r="BA733" s="130"/>
      <c r="BB733" s="130"/>
      <c r="BC733" s="392">
        <v>222.13348432950525</v>
      </c>
      <c r="BD733" s="132">
        <f t="shared" si="788"/>
        <v>244.3468328</v>
      </c>
      <c r="BE733" s="393"/>
      <c r="BF733" s="134"/>
      <c r="BG733" s="49"/>
      <c r="BH733" s="118">
        <f t="shared" si="714"/>
        <v>1131.235337</v>
      </c>
      <c r="BI733" s="118">
        <f t="shared" si="715"/>
        <v>678.7412021</v>
      </c>
      <c r="BJ733" s="118">
        <f t="shared" si="716"/>
        <v>565.6176684</v>
      </c>
      <c r="BK733" s="118">
        <f t="shared" si="717"/>
        <v>452.4941347</v>
      </c>
      <c r="BL733" s="49"/>
      <c r="BM733" s="49"/>
      <c r="BN733" s="394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</row>
    <row r="734" ht="14.25" customHeight="1">
      <c r="A734" s="103" t="s">
        <v>84</v>
      </c>
      <c r="B734" s="103" t="s">
        <v>120</v>
      </c>
      <c r="C734" s="103" t="s">
        <v>120</v>
      </c>
      <c r="D734" s="103" t="s">
        <v>1266</v>
      </c>
      <c r="E734" s="103" t="s">
        <v>1948</v>
      </c>
      <c r="F734" s="104" t="s">
        <v>2008</v>
      </c>
      <c r="G734" s="110" t="s">
        <v>2150</v>
      </c>
      <c r="H734" s="390" t="s">
        <v>1950</v>
      </c>
      <c r="I734" s="391" t="s">
        <v>2696</v>
      </c>
      <c r="J734" s="220" t="s">
        <v>2202</v>
      </c>
      <c r="K734" s="220" t="str">
        <f>_xlfn.XLOOKUP(J734,[1]Sheet1!$A:$A,[1]Sheet1!$B:$B,"")</f>
        <v>#ERROR!</v>
      </c>
      <c r="L734" s="103" t="s">
        <v>2203</v>
      </c>
      <c r="M734" s="103" t="s">
        <v>2204</v>
      </c>
      <c r="N734" s="110" t="s">
        <v>206</v>
      </c>
      <c r="O734" s="104" t="s">
        <v>147</v>
      </c>
      <c r="P734" s="110"/>
      <c r="Q734" s="104" t="s">
        <v>1989</v>
      </c>
      <c r="R734" s="110" t="s">
        <v>1955</v>
      </c>
      <c r="S734" s="110">
        <v>2.0</v>
      </c>
      <c r="T734" s="110" t="e">
        <v>#N/A</v>
      </c>
      <c r="U734" s="110">
        <v>8.5447E9</v>
      </c>
      <c r="V734" s="112">
        <v>0.0</v>
      </c>
      <c r="W734" s="113">
        <v>30.0</v>
      </c>
      <c r="X734" s="110">
        <v>45.0</v>
      </c>
      <c r="Y734" s="110">
        <v>55.0</v>
      </c>
      <c r="Z734" s="110" t="s">
        <v>1938</v>
      </c>
      <c r="AA734" s="114">
        <f t="shared" si="786"/>
        <v>387.7472236</v>
      </c>
      <c r="AB734" s="115"/>
      <c r="AC734" s="116">
        <f t="shared" si="772"/>
        <v>360.5861862</v>
      </c>
      <c r="AD734" s="117">
        <f t="shared" si="783"/>
        <v>379.5644065</v>
      </c>
      <c r="AE734" s="116"/>
      <c r="AF734" s="116" t="str">
        <f t="shared" si="94"/>
        <v>#REF!</v>
      </c>
      <c r="AG734" s="210" t="str">
        <f t="shared" si="95"/>
        <v>#REF!</v>
      </c>
      <c r="AH734" s="120" t="str">
        <f t="shared" si="96"/>
        <v>#REF!</v>
      </c>
      <c r="AI734" s="121">
        <f t="shared" si="497"/>
        <v>0.07</v>
      </c>
      <c r="AJ734" s="121">
        <v>0.07</v>
      </c>
      <c r="AK734" s="122">
        <v>0.28</v>
      </c>
      <c r="AL734" s="123">
        <f t="shared" si="11"/>
        <v>100.9641321</v>
      </c>
      <c r="AM734" s="122" t="s">
        <v>10</v>
      </c>
      <c r="AN734" s="125">
        <f t="shared" si="774"/>
        <v>360.5861862</v>
      </c>
      <c r="AO734" s="112">
        <f t="shared" si="775"/>
        <v>0.28</v>
      </c>
      <c r="AP734" s="127">
        <v>0.28</v>
      </c>
      <c r="AQ734" s="128">
        <f t="shared" si="787"/>
        <v>291.8527489</v>
      </c>
      <c r="AR734" s="125">
        <f t="shared" si="776"/>
        <v>279.163499</v>
      </c>
      <c r="AS734" s="126">
        <f t="shared" si="733"/>
        <v>0.247311828</v>
      </c>
      <c r="AT734" s="126">
        <f t="shared" si="777"/>
        <v>0.2258064516</v>
      </c>
      <c r="AU734" s="129"/>
      <c r="AV734" s="39" t="s">
        <v>2242</v>
      </c>
      <c r="AW734" s="130"/>
      <c r="AX734" s="130"/>
      <c r="AY734" s="130"/>
      <c r="AZ734" s="130"/>
      <c r="BA734" s="130"/>
      <c r="BB734" s="130"/>
      <c r="BC734" s="392">
        <v>236.02004912641047</v>
      </c>
      <c r="BD734" s="132">
        <f t="shared" si="788"/>
        <v>259.622054</v>
      </c>
      <c r="BE734" s="393"/>
      <c r="BF734" s="134"/>
      <c r="BG734" s="49"/>
      <c r="BH734" s="118">
        <f t="shared" si="714"/>
        <v>1201.953954</v>
      </c>
      <c r="BI734" s="118">
        <f t="shared" si="715"/>
        <v>721.1723723</v>
      </c>
      <c r="BJ734" s="118">
        <f t="shared" si="716"/>
        <v>600.9769769</v>
      </c>
      <c r="BK734" s="118">
        <f t="shared" si="717"/>
        <v>480.7815816</v>
      </c>
      <c r="BL734" s="49"/>
      <c r="BM734" s="49"/>
      <c r="BN734" s="394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</row>
    <row r="735" ht="14.25" customHeight="1">
      <c r="A735" s="103" t="s">
        <v>84</v>
      </c>
      <c r="B735" s="103" t="s">
        <v>120</v>
      </c>
      <c r="C735" s="103" t="s">
        <v>120</v>
      </c>
      <c r="D735" s="103" t="s">
        <v>1266</v>
      </c>
      <c r="E735" s="103" t="s">
        <v>1948</v>
      </c>
      <c r="F735" s="104" t="s">
        <v>2008</v>
      </c>
      <c r="G735" s="110" t="s">
        <v>2150</v>
      </c>
      <c r="H735" s="390" t="s">
        <v>1957</v>
      </c>
      <c r="I735" s="391" t="s">
        <v>2697</v>
      </c>
      <c r="J735" s="220" t="s">
        <v>2206</v>
      </c>
      <c r="K735" s="220" t="str">
        <f>_xlfn.XLOOKUP(J735,[1]Sheet1!$A:$A,[1]Sheet1!$B:$B,"")</f>
        <v>#ERROR!</v>
      </c>
      <c r="L735" s="103" t="s">
        <v>2207</v>
      </c>
      <c r="M735" s="103" t="s">
        <v>2208</v>
      </c>
      <c r="N735" s="110" t="s">
        <v>206</v>
      </c>
      <c r="O735" s="104" t="s">
        <v>147</v>
      </c>
      <c r="P735" s="110"/>
      <c r="Q735" s="104" t="s">
        <v>1989</v>
      </c>
      <c r="R735" s="110" t="s">
        <v>1955</v>
      </c>
      <c r="S735" s="110">
        <v>2.0</v>
      </c>
      <c r="T735" s="110" t="e">
        <v>#N/A</v>
      </c>
      <c r="U735" s="110">
        <v>8.5447E9</v>
      </c>
      <c r="V735" s="112">
        <v>0.0</v>
      </c>
      <c r="W735" s="113">
        <v>30.0</v>
      </c>
      <c r="X735" s="110">
        <v>45.0</v>
      </c>
      <c r="Y735" s="110">
        <v>55.0</v>
      </c>
      <c r="Z735" s="110" t="s">
        <v>1938</v>
      </c>
      <c r="AA735" s="114">
        <f t="shared" si="786"/>
        <v>410.5608657</v>
      </c>
      <c r="AB735" s="115"/>
      <c r="AC735" s="116">
        <f t="shared" si="772"/>
        <v>381.8017713</v>
      </c>
      <c r="AD735" s="117">
        <f t="shared" si="783"/>
        <v>401.8966013</v>
      </c>
      <c r="AE735" s="116"/>
      <c r="AF735" s="116" t="str">
        <f t="shared" si="94"/>
        <v>#REF!</v>
      </c>
      <c r="AG735" s="210" t="str">
        <f t="shared" si="95"/>
        <v>#REF!</v>
      </c>
      <c r="AH735" s="120" t="str">
        <f t="shared" si="96"/>
        <v>#REF!</v>
      </c>
      <c r="AI735" s="121">
        <f t="shared" si="497"/>
        <v>0.07</v>
      </c>
      <c r="AJ735" s="121">
        <v>0.07</v>
      </c>
      <c r="AK735" s="122">
        <v>0.28</v>
      </c>
      <c r="AL735" s="123">
        <f t="shared" si="11"/>
        <v>106.904496</v>
      </c>
      <c r="AM735" s="122" t="s">
        <v>10</v>
      </c>
      <c r="AN735" s="125">
        <f t="shared" si="774"/>
        <v>381.8017713</v>
      </c>
      <c r="AO735" s="112">
        <f t="shared" si="775"/>
        <v>0.28</v>
      </c>
      <c r="AP735" s="127">
        <v>0.28</v>
      </c>
      <c r="AQ735" s="128">
        <f t="shared" si="787"/>
        <v>309.0243075</v>
      </c>
      <c r="AR735" s="125">
        <f t="shared" si="776"/>
        <v>295.5884681</v>
      </c>
      <c r="AS735" s="126">
        <f t="shared" si="733"/>
        <v>0.247311828</v>
      </c>
      <c r="AT735" s="126">
        <f t="shared" si="777"/>
        <v>0.2258064516</v>
      </c>
      <c r="AU735" s="129"/>
      <c r="AV735" s="39" t="s">
        <v>2242</v>
      </c>
      <c r="AW735" s="130"/>
      <c r="AX735" s="130"/>
      <c r="AY735" s="130"/>
      <c r="AZ735" s="130"/>
      <c r="BA735" s="130"/>
      <c r="BB735" s="130"/>
      <c r="BC735" s="392">
        <v>249.9066139233157</v>
      </c>
      <c r="BD735" s="132">
        <f t="shared" si="788"/>
        <v>274.8972753</v>
      </c>
      <c r="BE735" s="393"/>
      <c r="BF735" s="134"/>
      <c r="BG735" s="49"/>
      <c r="BH735" s="118">
        <f t="shared" si="714"/>
        <v>1272.672571</v>
      </c>
      <c r="BI735" s="118">
        <f t="shared" si="715"/>
        <v>763.6035425</v>
      </c>
      <c r="BJ735" s="118">
        <f t="shared" si="716"/>
        <v>636.3362855</v>
      </c>
      <c r="BK735" s="118">
        <f t="shared" si="717"/>
        <v>509.0690284</v>
      </c>
      <c r="BL735" s="49"/>
      <c r="BM735" s="49"/>
      <c r="BN735" s="394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</row>
    <row r="736" ht="14.25" customHeight="1">
      <c r="A736" s="103" t="s">
        <v>84</v>
      </c>
      <c r="B736" s="103" t="s">
        <v>120</v>
      </c>
      <c r="C736" s="103" t="s">
        <v>120</v>
      </c>
      <c r="D736" s="103" t="s">
        <v>1266</v>
      </c>
      <c r="E736" s="103" t="s">
        <v>1948</v>
      </c>
      <c r="F736" s="104" t="s">
        <v>2008</v>
      </c>
      <c r="G736" s="110" t="s">
        <v>2150</v>
      </c>
      <c r="H736" s="390">
        <v>10.0</v>
      </c>
      <c r="I736" s="391" t="s">
        <v>2698</v>
      </c>
      <c r="J736" s="220" t="s">
        <v>2699</v>
      </c>
      <c r="K736" s="220" t="str">
        <f>_xlfn.XLOOKUP(J736,[1]Sheet1!$A:$A,[1]Sheet1!$B:$B,"")</f>
        <v>#ERROR!</v>
      </c>
      <c r="L736" s="103" t="s">
        <v>2700</v>
      </c>
      <c r="M736" s="103" t="s">
        <v>2701</v>
      </c>
      <c r="N736" s="110" t="s">
        <v>206</v>
      </c>
      <c r="O736" s="104" t="s">
        <v>147</v>
      </c>
      <c r="P736" s="110"/>
      <c r="Q736" s="104" t="s">
        <v>1989</v>
      </c>
      <c r="R736" s="110" t="s">
        <v>1955</v>
      </c>
      <c r="S736" s="110">
        <v>2.0</v>
      </c>
      <c r="T736" s="110" t="e">
        <v>#N/A</v>
      </c>
      <c r="U736" s="110">
        <v>8.5447E9</v>
      </c>
      <c r="V736" s="112">
        <v>0.0</v>
      </c>
      <c r="W736" s="113">
        <v>30.0</v>
      </c>
      <c r="X736" s="110">
        <v>45.0</v>
      </c>
      <c r="Y736" s="110">
        <v>55.0</v>
      </c>
      <c r="Z736" s="110" t="s">
        <v>1938</v>
      </c>
      <c r="AA736" s="114">
        <f t="shared" si="786"/>
        <v>433.3745079</v>
      </c>
      <c r="AB736" s="115"/>
      <c r="AC736" s="116">
        <f t="shared" si="772"/>
        <v>403.0173564</v>
      </c>
      <c r="AD736" s="117">
        <f t="shared" si="783"/>
        <v>424.2287962</v>
      </c>
      <c r="AE736" s="116"/>
      <c r="AF736" s="116" t="str">
        <f t="shared" si="94"/>
        <v>#REF!</v>
      </c>
      <c r="AG736" s="210" t="str">
        <f t="shared" si="95"/>
        <v>#REF!</v>
      </c>
      <c r="AH736" s="120" t="str">
        <f t="shared" si="96"/>
        <v>#REF!</v>
      </c>
      <c r="AI736" s="121">
        <f t="shared" si="497"/>
        <v>0.07</v>
      </c>
      <c r="AJ736" s="121">
        <v>0.07</v>
      </c>
      <c r="AK736" s="122">
        <v>0.28</v>
      </c>
      <c r="AL736" s="123">
        <f t="shared" si="11"/>
        <v>112.8448598</v>
      </c>
      <c r="AM736" s="122" t="s">
        <v>10</v>
      </c>
      <c r="AN736" s="125">
        <f t="shared" si="774"/>
        <v>403.0173564</v>
      </c>
      <c r="AO736" s="112">
        <f t="shared" si="775"/>
        <v>0.28</v>
      </c>
      <c r="AP736" s="127">
        <v>0.28</v>
      </c>
      <c r="AQ736" s="128">
        <f t="shared" si="787"/>
        <v>326.1958662</v>
      </c>
      <c r="AR736" s="125">
        <f t="shared" si="776"/>
        <v>312.0134372</v>
      </c>
      <c r="AS736" s="126">
        <f t="shared" si="733"/>
        <v>0.247311828</v>
      </c>
      <c r="AT736" s="126">
        <f t="shared" si="777"/>
        <v>0.2258064516</v>
      </c>
      <c r="AU736" s="129"/>
      <c r="AV736" s="39" t="s">
        <v>2242</v>
      </c>
      <c r="AW736" s="130"/>
      <c r="AX736" s="130"/>
      <c r="AY736" s="130"/>
      <c r="AZ736" s="130"/>
      <c r="BA736" s="130"/>
      <c r="BB736" s="130"/>
      <c r="BC736" s="392">
        <v>263.7931787202209</v>
      </c>
      <c r="BD736" s="132">
        <f t="shared" si="788"/>
        <v>290.1724966</v>
      </c>
      <c r="BE736" s="393"/>
      <c r="BF736" s="134"/>
      <c r="BG736" s="49"/>
      <c r="BH736" s="118">
        <f t="shared" si="714"/>
        <v>1343.391188</v>
      </c>
      <c r="BI736" s="118">
        <f t="shared" si="715"/>
        <v>806.0347128</v>
      </c>
      <c r="BJ736" s="118">
        <f t="shared" si="716"/>
        <v>671.695594</v>
      </c>
      <c r="BK736" s="118">
        <f t="shared" si="717"/>
        <v>537.3564752</v>
      </c>
      <c r="BL736" s="49"/>
      <c r="BM736" s="49"/>
      <c r="BN736" s="394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</row>
    <row r="737" ht="14.25" customHeight="1">
      <c r="A737" s="103" t="s">
        <v>84</v>
      </c>
      <c r="B737" s="103" t="s">
        <v>120</v>
      </c>
      <c r="C737" s="103" t="s">
        <v>120</v>
      </c>
      <c r="D737" s="103" t="s">
        <v>1266</v>
      </c>
      <c r="E737" s="103" t="s">
        <v>1948</v>
      </c>
      <c r="F737" s="104" t="s">
        <v>2008</v>
      </c>
      <c r="G737" s="110" t="s">
        <v>2150</v>
      </c>
      <c r="H737" s="390" t="s">
        <v>1962</v>
      </c>
      <c r="I737" s="391" t="s">
        <v>2702</v>
      </c>
      <c r="J737" s="220" t="s">
        <v>2703</v>
      </c>
      <c r="K737" s="220" t="str">
        <f>_xlfn.XLOOKUP(J737,[1]Sheet1!$A:$A,[1]Sheet1!$B:$B,"")</f>
        <v>#ERROR!</v>
      </c>
      <c r="L737" s="103" t="s">
        <v>2211</v>
      </c>
      <c r="M737" s="103" t="s">
        <v>2212</v>
      </c>
      <c r="N737" s="110" t="s">
        <v>206</v>
      </c>
      <c r="O737" s="104" t="s">
        <v>147</v>
      </c>
      <c r="P737" s="110"/>
      <c r="Q737" s="104" t="s">
        <v>1989</v>
      </c>
      <c r="R737" s="110" t="s">
        <v>1955</v>
      </c>
      <c r="S737" s="110">
        <v>2.0</v>
      </c>
      <c r="T737" s="110" t="e">
        <v>#N/A</v>
      </c>
      <c r="U737" s="110">
        <v>8.5447E9</v>
      </c>
      <c r="V737" s="112">
        <v>0.0</v>
      </c>
      <c r="W737" s="113">
        <v>30.0</v>
      </c>
      <c r="X737" s="110">
        <v>45.0</v>
      </c>
      <c r="Y737" s="110">
        <v>55.0</v>
      </c>
      <c r="Z737" s="110" t="s">
        <v>1938</v>
      </c>
      <c r="AA737" s="114">
        <f t="shared" si="786"/>
        <v>456.1881501</v>
      </c>
      <c r="AB737" s="115"/>
      <c r="AC737" s="116">
        <f t="shared" si="772"/>
        <v>424.2329415</v>
      </c>
      <c r="AD737" s="117">
        <f t="shared" si="783"/>
        <v>446.560991</v>
      </c>
      <c r="AE737" s="116"/>
      <c r="AF737" s="116" t="str">
        <f t="shared" si="94"/>
        <v>#REF!</v>
      </c>
      <c r="AG737" s="210" t="str">
        <f t="shared" si="95"/>
        <v>#REF!</v>
      </c>
      <c r="AH737" s="120" t="str">
        <f t="shared" si="96"/>
        <v>#REF!</v>
      </c>
      <c r="AI737" s="121">
        <f t="shared" si="497"/>
        <v>0.07</v>
      </c>
      <c r="AJ737" s="121">
        <v>0.07</v>
      </c>
      <c r="AK737" s="122">
        <v>0.28</v>
      </c>
      <c r="AL737" s="123">
        <f t="shared" si="11"/>
        <v>118.7852236</v>
      </c>
      <c r="AM737" s="122" t="s">
        <v>10</v>
      </c>
      <c r="AN737" s="125">
        <f t="shared" si="774"/>
        <v>424.2329415</v>
      </c>
      <c r="AO737" s="112">
        <f t="shared" si="775"/>
        <v>0.28</v>
      </c>
      <c r="AP737" s="127">
        <v>0.28</v>
      </c>
      <c r="AQ737" s="128">
        <f t="shared" si="787"/>
        <v>343.3674248</v>
      </c>
      <c r="AR737" s="125">
        <f t="shared" si="776"/>
        <v>328.4384063</v>
      </c>
      <c r="AS737" s="126">
        <f t="shared" si="733"/>
        <v>0.247311828</v>
      </c>
      <c r="AT737" s="126">
        <f t="shared" si="777"/>
        <v>0.2258064516</v>
      </c>
      <c r="AU737" s="129"/>
      <c r="AV737" s="39" t="s">
        <v>2242</v>
      </c>
      <c r="AW737" s="130"/>
      <c r="AX737" s="130"/>
      <c r="AY737" s="130"/>
      <c r="AZ737" s="130"/>
      <c r="BA737" s="130"/>
      <c r="BB737" s="130"/>
      <c r="BC737" s="392">
        <v>277.67974351712616</v>
      </c>
      <c r="BD737" s="132">
        <f t="shared" si="788"/>
        <v>305.4477179</v>
      </c>
      <c r="BE737" s="393"/>
      <c r="BF737" s="134"/>
      <c r="BG737" s="49"/>
      <c r="BH737" s="118">
        <f t="shared" si="714"/>
        <v>1414.109805</v>
      </c>
      <c r="BI737" s="118">
        <f t="shared" si="715"/>
        <v>848.465883</v>
      </c>
      <c r="BJ737" s="118">
        <f t="shared" si="716"/>
        <v>707.0549025</v>
      </c>
      <c r="BK737" s="118">
        <f t="shared" si="717"/>
        <v>565.643922</v>
      </c>
      <c r="BL737" s="49"/>
      <c r="BM737" s="49"/>
      <c r="BN737" s="394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</row>
    <row r="738" ht="14.25" customHeight="1">
      <c r="A738" s="103" t="s">
        <v>84</v>
      </c>
      <c r="B738" s="103" t="s">
        <v>120</v>
      </c>
      <c r="C738" s="103" t="s">
        <v>120</v>
      </c>
      <c r="D738" s="103" t="s">
        <v>1266</v>
      </c>
      <c r="E738" s="103" t="s">
        <v>1948</v>
      </c>
      <c r="F738" s="104" t="s">
        <v>2008</v>
      </c>
      <c r="G738" s="110" t="s">
        <v>2150</v>
      </c>
      <c r="H738" s="390">
        <v>16.0</v>
      </c>
      <c r="I738" s="391" t="s">
        <v>2704</v>
      </c>
      <c r="J738" s="220" t="s">
        <v>2705</v>
      </c>
      <c r="K738" s="220" t="str">
        <f>_xlfn.XLOOKUP(J738,[1]Sheet1!$A:$A,[1]Sheet1!$B:$B,"")</f>
        <v>#ERROR!</v>
      </c>
      <c r="L738" s="103" t="s">
        <v>2706</v>
      </c>
      <c r="M738" s="103" t="s">
        <v>2707</v>
      </c>
      <c r="N738" s="110" t="s">
        <v>206</v>
      </c>
      <c r="O738" s="104" t="s">
        <v>147</v>
      </c>
      <c r="P738" s="110"/>
      <c r="Q738" s="104" t="s">
        <v>1989</v>
      </c>
      <c r="R738" s="110" t="s">
        <v>1955</v>
      </c>
      <c r="S738" s="110">
        <v>2.0</v>
      </c>
      <c r="T738" s="110" t="e">
        <v>#N/A</v>
      </c>
      <c r="U738" s="110">
        <v>8.5447E9</v>
      </c>
      <c r="V738" s="112">
        <v>0.0</v>
      </c>
      <c r="W738" s="113">
        <v>30.0</v>
      </c>
      <c r="X738" s="110">
        <v>45.0</v>
      </c>
      <c r="Y738" s="110">
        <v>55.0</v>
      </c>
      <c r="Z738" s="110" t="s">
        <v>1938</v>
      </c>
      <c r="AA738" s="114">
        <f t="shared" si="786"/>
        <v>514.5112382</v>
      </c>
      <c r="AB738" s="115"/>
      <c r="AC738" s="116">
        <f t="shared" si="772"/>
        <v>478.4705959</v>
      </c>
      <c r="AD738" s="117">
        <f t="shared" si="783"/>
        <v>503.6532588</v>
      </c>
      <c r="AE738" s="116"/>
      <c r="AF738" s="116" t="str">
        <f t="shared" si="94"/>
        <v>#REF!</v>
      </c>
      <c r="AG738" s="210" t="str">
        <f t="shared" si="95"/>
        <v>#REF!</v>
      </c>
      <c r="AH738" s="120" t="str">
        <f t="shared" si="96"/>
        <v>#REF!</v>
      </c>
      <c r="AI738" s="121">
        <f t="shared" si="497"/>
        <v>0.07</v>
      </c>
      <c r="AJ738" s="121">
        <v>0.07</v>
      </c>
      <c r="AK738" s="122">
        <v>0.28</v>
      </c>
      <c r="AL738" s="123">
        <f t="shared" si="11"/>
        <v>133.9717668</v>
      </c>
      <c r="AM738" s="122" t="s">
        <v>10</v>
      </c>
      <c r="AN738" s="125">
        <f t="shared" si="774"/>
        <v>478.4705959</v>
      </c>
      <c r="AO738" s="112">
        <f t="shared" si="775"/>
        <v>0.28</v>
      </c>
      <c r="AP738" s="127">
        <v>0.28</v>
      </c>
      <c r="AQ738" s="128">
        <f t="shared" si="787"/>
        <v>387.2665233</v>
      </c>
      <c r="AR738" s="125">
        <f t="shared" si="776"/>
        <v>370.4288484</v>
      </c>
      <c r="AS738" s="126">
        <f t="shared" si="733"/>
        <v>0.247311828</v>
      </c>
      <c r="AT738" s="126">
        <f t="shared" si="777"/>
        <v>0.2258064516</v>
      </c>
      <c r="AU738" s="129"/>
      <c r="AV738" s="39" t="s">
        <v>2242</v>
      </c>
      <c r="AW738" s="130"/>
      <c r="AX738" s="130"/>
      <c r="AY738" s="130"/>
      <c r="AZ738" s="130"/>
      <c r="BA738" s="130"/>
      <c r="BB738" s="130"/>
      <c r="BC738" s="392">
        <v>313.18075365845226</v>
      </c>
      <c r="BD738" s="132">
        <f t="shared" si="788"/>
        <v>344.498829</v>
      </c>
      <c r="BE738" s="393"/>
      <c r="BF738" s="134"/>
      <c r="BG738" s="49"/>
      <c r="BH738" s="118">
        <f t="shared" si="714"/>
        <v>1594.901986</v>
      </c>
      <c r="BI738" s="118">
        <f t="shared" si="715"/>
        <v>956.9411917</v>
      </c>
      <c r="BJ738" s="118">
        <f t="shared" si="716"/>
        <v>797.4509931</v>
      </c>
      <c r="BK738" s="118">
        <f t="shared" si="717"/>
        <v>637.9607945</v>
      </c>
      <c r="BL738" s="49"/>
      <c r="BM738" s="49"/>
      <c r="BN738" s="394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</row>
    <row r="739" ht="14.25" customHeight="1">
      <c r="A739" s="103" t="s">
        <v>84</v>
      </c>
      <c r="B739" s="103" t="s">
        <v>120</v>
      </c>
      <c r="C739" s="103" t="s">
        <v>120</v>
      </c>
      <c r="D739" s="103" t="s">
        <v>1266</v>
      </c>
      <c r="E739" s="103" t="s">
        <v>1948</v>
      </c>
      <c r="F739" s="104" t="s">
        <v>2008</v>
      </c>
      <c r="G739" s="110" t="s">
        <v>2150</v>
      </c>
      <c r="H739" s="390">
        <v>20.0</v>
      </c>
      <c r="I739" s="391" t="s">
        <v>2708</v>
      </c>
      <c r="J739" s="220" t="s">
        <v>2709</v>
      </c>
      <c r="K739" s="220" t="str">
        <f>_xlfn.XLOOKUP(J739,[1]Sheet1!$A:$A,[1]Sheet1!$B:$B,"")</f>
        <v>#ERROR!</v>
      </c>
      <c r="L739" s="103" t="s">
        <v>2710</v>
      </c>
      <c r="M739" s="103" t="s">
        <v>2711</v>
      </c>
      <c r="N739" s="110" t="s">
        <v>206</v>
      </c>
      <c r="O739" s="104" t="s">
        <v>147</v>
      </c>
      <c r="P739" s="110"/>
      <c r="Q739" s="104" t="s">
        <v>1989</v>
      </c>
      <c r="R739" s="110" t="s">
        <v>1955</v>
      </c>
      <c r="S739" s="110">
        <v>2.0</v>
      </c>
      <c r="T739" s="110" t="e">
        <v>#N/A</v>
      </c>
      <c r="U739" s="110">
        <v>8.5447E9</v>
      </c>
      <c r="V739" s="112">
        <v>0.0</v>
      </c>
      <c r="W739" s="113">
        <v>30.0</v>
      </c>
      <c r="X739" s="110">
        <v>45.0</v>
      </c>
      <c r="Y739" s="110">
        <v>55.0</v>
      </c>
      <c r="Z739" s="110" t="s">
        <v>1938</v>
      </c>
      <c r="AA739" s="114">
        <f t="shared" si="786"/>
        <v>573.2545224</v>
      </c>
      <c r="AB739" s="115"/>
      <c r="AC739" s="116">
        <f t="shared" si="772"/>
        <v>533.0990124</v>
      </c>
      <c r="AD739" s="117">
        <f t="shared" si="783"/>
        <v>561.1568552</v>
      </c>
      <c r="AE739" s="116"/>
      <c r="AF739" s="116" t="str">
        <f t="shared" si="94"/>
        <v>#REF!</v>
      </c>
      <c r="AG739" s="210" t="str">
        <f t="shared" si="95"/>
        <v>#REF!</v>
      </c>
      <c r="AH739" s="120" t="str">
        <f t="shared" si="96"/>
        <v>#REF!</v>
      </c>
      <c r="AI739" s="121">
        <f t="shared" si="497"/>
        <v>0.07</v>
      </c>
      <c r="AJ739" s="121">
        <v>0.07</v>
      </c>
      <c r="AK739" s="122">
        <v>0.28</v>
      </c>
      <c r="AL739" s="123">
        <f t="shared" si="11"/>
        <v>149.2677235</v>
      </c>
      <c r="AM739" s="122" t="s">
        <v>10</v>
      </c>
      <c r="AN739" s="125">
        <f t="shared" si="774"/>
        <v>533.0990124</v>
      </c>
      <c r="AO739" s="112">
        <f t="shared" si="775"/>
        <v>0.28</v>
      </c>
      <c r="AP739" s="127">
        <v>0.28</v>
      </c>
      <c r="AQ739" s="128">
        <f t="shared" si="787"/>
        <v>431.4818986</v>
      </c>
      <c r="AR739" s="125">
        <f t="shared" si="776"/>
        <v>412.7218161</v>
      </c>
      <c r="AS739" s="126">
        <f t="shared" si="733"/>
        <v>0.247311828</v>
      </c>
      <c r="AT739" s="126">
        <f t="shared" si="777"/>
        <v>0.2258064516</v>
      </c>
      <c r="AU739" s="129"/>
      <c r="AV739" s="39" t="s">
        <v>2242</v>
      </c>
      <c r="AW739" s="130"/>
      <c r="AX739" s="130"/>
      <c r="AY739" s="130"/>
      <c r="AZ739" s="130"/>
      <c r="BA739" s="130"/>
      <c r="BB739" s="130"/>
      <c r="BC739" s="392">
        <v>348.93753538857834</v>
      </c>
      <c r="BD739" s="132">
        <f t="shared" si="788"/>
        <v>383.8312889</v>
      </c>
      <c r="BE739" s="393"/>
      <c r="BF739" s="134"/>
      <c r="BG739" s="49"/>
      <c r="BH739" s="118">
        <f t="shared" si="714"/>
        <v>1776.996708</v>
      </c>
      <c r="BI739" s="118">
        <f t="shared" si="715"/>
        <v>1066.198025</v>
      </c>
      <c r="BJ739" s="118">
        <f t="shared" si="716"/>
        <v>888.498354</v>
      </c>
      <c r="BK739" s="118">
        <f t="shared" si="717"/>
        <v>710.7986832</v>
      </c>
      <c r="BL739" s="49"/>
      <c r="BM739" s="49"/>
      <c r="BN739" s="394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</row>
    <row r="740" ht="14.25" customHeight="1">
      <c r="A740" s="103" t="s">
        <v>84</v>
      </c>
      <c r="B740" s="103" t="s">
        <v>120</v>
      </c>
      <c r="C740" s="103" t="s">
        <v>120</v>
      </c>
      <c r="D740" s="103" t="s">
        <v>1266</v>
      </c>
      <c r="E740" s="103" t="s">
        <v>1948</v>
      </c>
      <c r="F740" s="104" t="s">
        <v>2008</v>
      </c>
      <c r="G740" s="110" t="s">
        <v>2150</v>
      </c>
      <c r="H740" s="390" t="s">
        <v>1967</v>
      </c>
      <c r="I740" s="391" t="s">
        <v>2712</v>
      </c>
      <c r="J740" s="220" t="s">
        <v>2713</v>
      </c>
      <c r="K740" s="220" t="str">
        <f>_xlfn.XLOOKUP(J740,[1]Sheet1!$A:$A,[1]Sheet1!$B:$B,"")</f>
        <v>#ERROR!</v>
      </c>
      <c r="L740" s="103" t="s">
        <v>2215</v>
      </c>
      <c r="M740" s="103" t="s">
        <v>2216</v>
      </c>
      <c r="N740" s="110" t="s">
        <v>206</v>
      </c>
      <c r="O740" s="104" t="s">
        <v>147</v>
      </c>
      <c r="P740" s="110"/>
      <c r="Q740" s="104" t="s">
        <v>1989</v>
      </c>
      <c r="R740" s="110" t="s">
        <v>1955</v>
      </c>
      <c r="S740" s="110">
        <v>2.0</v>
      </c>
      <c r="T740" s="110" t="e">
        <v>#N/A</v>
      </c>
      <c r="U740" s="110">
        <v>8.5447E9</v>
      </c>
      <c r="V740" s="112">
        <v>0.0</v>
      </c>
      <c r="W740" s="113">
        <v>30.0</v>
      </c>
      <c r="X740" s="110">
        <v>45.0</v>
      </c>
      <c r="Y740" s="110">
        <v>55.0</v>
      </c>
      <c r="Z740" s="110" t="s">
        <v>1938</v>
      </c>
      <c r="AA740" s="114">
        <f t="shared" si="786"/>
        <v>618.8818068</v>
      </c>
      <c r="AB740" s="115"/>
      <c r="AC740" s="116">
        <f t="shared" si="772"/>
        <v>575.5301826</v>
      </c>
      <c r="AD740" s="117">
        <f t="shared" si="783"/>
        <v>605.8212449</v>
      </c>
      <c r="AE740" s="116"/>
      <c r="AF740" s="116" t="str">
        <f t="shared" si="94"/>
        <v>#REF!</v>
      </c>
      <c r="AG740" s="210" t="str">
        <f t="shared" si="95"/>
        <v>#REF!</v>
      </c>
      <c r="AH740" s="120" t="str">
        <f t="shared" si="96"/>
        <v>#REF!</v>
      </c>
      <c r="AI740" s="121">
        <f t="shared" si="497"/>
        <v>0.07</v>
      </c>
      <c r="AJ740" s="121">
        <v>0.07</v>
      </c>
      <c r="AK740" s="122">
        <v>0.28</v>
      </c>
      <c r="AL740" s="123">
        <f t="shared" si="11"/>
        <v>161.1484511</v>
      </c>
      <c r="AM740" s="122" t="s">
        <v>10</v>
      </c>
      <c r="AN740" s="125">
        <f t="shared" si="774"/>
        <v>575.5301826</v>
      </c>
      <c r="AO740" s="112">
        <f t="shared" si="775"/>
        <v>0.28</v>
      </c>
      <c r="AP740" s="127">
        <v>0.28</v>
      </c>
      <c r="AQ740" s="128">
        <f t="shared" si="787"/>
        <v>465.8250158</v>
      </c>
      <c r="AR740" s="125">
        <f t="shared" si="776"/>
        <v>445.5717543</v>
      </c>
      <c r="AS740" s="126">
        <f t="shared" si="733"/>
        <v>0.247311828</v>
      </c>
      <c r="AT740" s="126">
        <f t="shared" si="777"/>
        <v>0.2258064516</v>
      </c>
      <c r="AU740" s="129"/>
      <c r="AV740" s="39" t="s">
        <v>2242</v>
      </c>
      <c r="AW740" s="130"/>
      <c r="AX740" s="130"/>
      <c r="AY740" s="130"/>
      <c r="AZ740" s="130"/>
      <c r="BA740" s="130"/>
      <c r="BB740" s="130"/>
      <c r="BC740" s="392">
        <v>376.7106649823888</v>
      </c>
      <c r="BD740" s="132">
        <f t="shared" si="788"/>
        <v>414.3817315</v>
      </c>
      <c r="BE740" s="393"/>
      <c r="BF740" s="134"/>
      <c r="BG740" s="49"/>
      <c r="BH740" s="118">
        <f t="shared" si="714"/>
        <v>1918.433942</v>
      </c>
      <c r="BI740" s="118">
        <f t="shared" si="715"/>
        <v>1151.060365</v>
      </c>
      <c r="BJ740" s="118">
        <f t="shared" si="716"/>
        <v>959.216971</v>
      </c>
      <c r="BK740" s="118">
        <f t="shared" si="717"/>
        <v>767.3735768</v>
      </c>
      <c r="BL740" s="49"/>
      <c r="BM740" s="49"/>
      <c r="BN740" s="394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</row>
    <row r="741" ht="14.25" customHeight="1">
      <c r="A741" s="103" t="s">
        <v>84</v>
      </c>
      <c r="B741" s="103" t="s">
        <v>120</v>
      </c>
      <c r="C741" s="103" t="s">
        <v>120</v>
      </c>
      <c r="D741" s="103" t="s">
        <v>1266</v>
      </c>
      <c r="E741" s="103" t="s">
        <v>1948</v>
      </c>
      <c r="F741" s="104" t="s">
        <v>2008</v>
      </c>
      <c r="G741" s="110" t="s">
        <v>2150</v>
      </c>
      <c r="H741" s="390" t="s">
        <v>1967</v>
      </c>
      <c r="I741" s="391" t="s">
        <v>2714</v>
      </c>
      <c r="J741" s="220" t="s">
        <v>2715</v>
      </c>
      <c r="K741" s="220" t="str">
        <f>_xlfn.XLOOKUP(J741,[1]Sheet1!$A:$A,[1]Sheet1!$B:$B,"")</f>
        <v>#ERROR!</v>
      </c>
      <c r="L741" s="103" t="s">
        <v>2716</v>
      </c>
      <c r="M741" s="103" t="s">
        <v>2717</v>
      </c>
      <c r="N741" s="110" t="s">
        <v>206</v>
      </c>
      <c r="O741" s="104" t="s">
        <v>147</v>
      </c>
      <c r="P741" s="110"/>
      <c r="Q741" s="104" t="s">
        <v>1989</v>
      </c>
      <c r="R741" s="110" t="s">
        <v>1955</v>
      </c>
      <c r="S741" s="110">
        <v>2.0</v>
      </c>
      <c r="T741" s="110" t="e">
        <v>#N/A</v>
      </c>
      <c r="U741" s="110">
        <v>8.5447E9</v>
      </c>
      <c r="V741" s="112">
        <v>0.0</v>
      </c>
      <c r="W741" s="113">
        <v>30.0</v>
      </c>
      <c r="X741" s="110">
        <v>45.0</v>
      </c>
      <c r="Y741" s="110">
        <v>55.0</v>
      </c>
      <c r="Z741" s="110" t="s">
        <v>1938</v>
      </c>
      <c r="AA741" s="114">
        <f t="shared" si="786"/>
        <v>618.8818068</v>
      </c>
      <c r="AB741" s="115"/>
      <c r="AC741" s="116">
        <f t="shared" si="772"/>
        <v>575.5301826</v>
      </c>
      <c r="AD741" s="117">
        <f t="shared" si="783"/>
        <v>605.8212449</v>
      </c>
      <c r="AE741" s="116"/>
      <c r="AF741" s="116" t="str">
        <f t="shared" si="94"/>
        <v>#REF!</v>
      </c>
      <c r="AG741" s="210" t="str">
        <f t="shared" si="95"/>
        <v>#REF!</v>
      </c>
      <c r="AH741" s="120" t="str">
        <f t="shared" si="96"/>
        <v>#REF!</v>
      </c>
      <c r="AI741" s="121">
        <f t="shared" si="497"/>
        <v>0.07</v>
      </c>
      <c r="AJ741" s="121">
        <v>0.07</v>
      </c>
      <c r="AK741" s="122">
        <v>0.28</v>
      </c>
      <c r="AL741" s="123">
        <f t="shared" si="11"/>
        <v>161.1484511</v>
      </c>
      <c r="AM741" s="122" t="s">
        <v>10</v>
      </c>
      <c r="AN741" s="125">
        <f t="shared" si="774"/>
        <v>575.5301826</v>
      </c>
      <c r="AO741" s="112">
        <f t="shared" si="775"/>
        <v>0.28</v>
      </c>
      <c r="AP741" s="127">
        <v>0.28</v>
      </c>
      <c r="AQ741" s="128">
        <f t="shared" si="787"/>
        <v>465.8250158</v>
      </c>
      <c r="AR741" s="125">
        <f t="shared" si="776"/>
        <v>445.5717543</v>
      </c>
      <c r="AS741" s="126">
        <f t="shared" si="733"/>
        <v>0.247311828</v>
      </c>
      <c r="AT741" s="126">
        <f t="shared" si="777"/>
        <v>0.2258064516</v>
      </c>
      <c r="AU741" s="129"/>
      <c r="AV741" s="39" t="s">
        <v>2242</v>
      </c>
      <c r="AW741" s="130"/>
      <c r="AX741" s="130"/>
      <c r="AY741" s="130"/>
      <c r="AZ741" s="130"/>
      <c r="BA741" s="130"/>
      <c r="BB741" s="130"/>
      <c r="BC741" s="392">
        <v>376.7106649823888</v>
      </c>
      <c r="BD741" s="132">
        <f t="shared" si="788"/>
        <v>414.3817315</v>
      </c>
      <c r="BE741" s="393"/>
      <c r="BF741" s="134"/>
      <c r="BG741" s="49"/>
      <c r="BH741" s="118">
        <f t="shared" si="714"/>
        <v>1918.433942</v>
      </c>
      <c r="BI741" s="118">
        <f t="shared" si="715"/>
        <v>1151.060365</v>
      </c>
      <c r="BJ741" s="118">
        <f t="shared" si="716"/>
        <v>959.216971</v>
      </c>
      <c r="BK741" s="118">
        <f t="shared" si="717"/>
        <v>767.3735768</v>
      </c>
      <c r="BL741" s="49"/>
      <c r="BM741" s="49"/>
      <c r="BN741" s="394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</row>
    <row r="742" ht="14.25" customHeight="1">
      <c r="A742" s="103" t="s">
        <v>84</v>
      </c>
      <c r="B742" s="103" t="s">
        <v>120</v>
      </c>
      <c r="C742" s="103" t="s">
        <v>120</v>
      </c>
      <c r="D742" s="103" t="s">
        <v>1266</v>
      </c>
      <c r="E742" s="103" t="s">
        <v>1948</v>
      </c>
      <c r="F742" s="104" t="s">
        <v>2008</v>
      </c>
      <c r="G742" s="110" t="s">
        <v>2150</v>
      </c>
      <c r="H742" s="390" t="s">
        <v>1967</v>
      </c>
      <c r="I742" s="391" t="s">
        <v>2718</v>
      </c>
      <c r="J742" s="220" t="s">
        <v>2719</v>
      </c>
      <c r="K742" s="220" t="str">
        <f>_xlfn.XLOOKUP(J742,[1]Sheet1!$A:$A,[1]Sheet1!$B:$B,"")</f>
        <v>#ERROR!</v>
      </c>
      <c r="L742" s="103" t="s">
        <v>2720</v>
      </c>
      <c r="M742" s="103" t="s">
        <v>2721</v>
      </c>
      <c r="N742" s="110" t="s">
        <v>206</v>
      </c>
      <c r="O742" s="104" t="s">
        <v>147</v>
      </c>
      <c r="P742" s="110"/>
      <c r="Q742" s="104" t="s">
        <v>1989</v>
      </c>
      <c r="R742" s="110" t="s">
        <v>1955</v>
      </c>
      <c r="S742" s="110">
        <v>2.0</v>
      </c>
      <c r="T742" s="110" t="e">
        <v>#N/A</v>
      </c>
      <c r="U742" s="110">
        <v>8.5447E9</v>
      </c>
      <c r="V742" s="112">
        <v>0.0</v>
      </c>
      <c r="W742" s="113">
        <v>30.0</v>
      </c>
      <c r="X742" s="110">
        <v>45.0</v>
      </c>
      <c r="Y742" s="110">
        <v>55.0</v>
      </c>
      <c r="Z742" s="110" t="s">
        <v>1938</v>
      </c>
      <c r="AA742" s="114">
        <f t="shared" si="786"/>
        <v>640.7142857</v>
      </c>
      <c r="AB742" s="115"/>
      <c r="AC742" s="116">
        <f t="shared" si="772"/>
        <v>595.8333333</v>
      </c>
      <c r="AD742" s="117">
        <f t="shared" si="783"/>
        <v>627.1929825</v>
      </c>
      <c r="AE742" s="116"/>
      <c r="AF742" s="116" t="str">
        <f t="shared" si="94"/>
        <v>#REF!</v>
      </c>
      <c r="AG742" s="210" t="str">
        <f t="shared" si="95"/>
        <v>#REF!</v>
      </c>
      <c r="AH742" s="120" t="str">
        <f t="shared" si="96"/>
        <v>#REF!</v>
      </c>
      <c r="AI742" s="121">
        <f t="shared" si="497"/>
        <v>0.07</v>
      </c>
      <c r="AJ742" s="121">
        <v>0.07</v>
      </c>
      <c r="AK742" s="122">
        <v>0.28</v>
      </c>
      <c r="AL742" s="123">
        <f t="shared" si="11"/>
        <v>166.8333333</v>
      </c>
      <c r="AM742" s="122" t="s">
        <v>10</v>
      </c>
      <c r="AN742" s="125">
        <f t="shared" si="774"/>
        <v>595.8333333</v>
      </c>
      <c r="AO742" s="112">
        <f t="shared" si="775"/>
        <v>0.28</v>
      </c>
      <c r="AP742" s="127">
        <v>0.28</v>
      </c>
      <c r="AQ742" s="128">
        <f t="shared" si="787"/>
        <v>482.2580645</v>
      </c>
      <c r="AR742" s="125">
        <f t="shared" si="776"/>
        <v>461.2903226</v>
      </c>
      <c r="AS742" s="126">
        <f t="shared" si="733"/>
        <v>0.247311828</v>
      </c>
      <c r="AT742" s="126">
        <f t="shared" si="777"/>
        <v>0.2258064516</v>
      </c>
      <c r="AU742" s="129"/>
      <c r="AV742" s="39" t="s">
        <v>2242</v>
      </c>
      <c r="AW742" s="130"/>
      <c r="AX742" s="130"/>
      <c r="AY742" s="130"/>
      <c r="AZ742" s="130"/>
      <c r="BA742" s="130"/>
      <c r="BB742" s="130"/>
      <c r="BC742" s="392">
        <v>390.0</v>
      </c>
      <c r="BD742" s="132">
        <f t="shared" si="788"/>
        <v>429</v>
      </c>
      <c r="BE742" s="393"/>
      <c r="BF742" s="134"/>
      <c r="BG742" s="49"/>
      <c r="BH742" s="118">
        <f t="shared" si="714"/>
        <v>1986.111111</v>
      </c>
      <c r="BI742" s="118">
        <f t="shared" si="715"/>
        <v>1191.666667</v>
      </c>
      <c r="BJ742" s="118">
        <f t="shared" si="716"/>
        <v>993.0555556</v>
      </c>
      <c r="BK742" s="118">
        <f t="shared" si="717"/>
        <v>794.4444444</v>
      </c>
      <c r="BL742" s="49"/>
      <c r="BM742" s="49"/>
      <c r="BN742" s="394"/>
      <c r="BO742" s="49"/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49"/>
      <c r="CA742" s="49"/>
      <c r="CB742" s="49"/>
      <c r="CC742" s="49"/>
      <c r="CD742" s="49"/>
      <c r="CE742" s="49"/>
      <c r="CF742" s="49"/>
    </row>
    <row r="743" ht="14.25" customHeight="1">
      <c r="A743" s="103" t="s">
        <v>84</v>
      </c>
      <c r="B743" s="103" t="s">
        <v>120</v>
      </c>
      <c r="C743" s="103" t="s">
        <v>120</v>
      </c>
      <c r="D743" s="103" t="s">
        <v>1266</v>
      </c>
      <c r="E743" s="103" t="s">
        <v>1948</v>
      </c>
      <c r="F743" s="104" t="s">
        <v>2008</v>
      </c>
      <c r="G743" s="110" t="s">
        <v>2150</v>
      </c>
      <c r="H743" s="390" t="s">
        <v>1962</v>
      </c>
      <c r="I743" s="391" t="s">
        <v>2722</v>
      </c>
      <c r="J743" s="220" t="s">
        <v>2723</v>
      </c>
      <c r="K743" s="220" t="str">
        <f>_xlfn.XLOOKUP(J743,[1]Sheet1!$A:$A,[1]Sheet1!$B:$B,"")</f>
        <v>#ERROR!</v>
      </c>
      <c r="L743" s="103" t="s">
        <v>2724</v>
      </c>
      <c r="M743" s="103" t="s">
        <v>2725</v>
      </c>
      <c r="N743" s="110" t="s">
        <v>201</v>
      </c>
      <c r="O743" s="104" t="s">
        <v>147</v>
      </c>
      <c r="P743" s="110"/>
      <c r="Q743" s="104" t="s">
        <v>1989</v>
      </c>
      <c r="R743" s="110" t="s">
        <v>1955</v>
      </c>
      <c r="S743" s="110">
        <v>2.0</v>
      </c>
      <c r="T743" s="110" t="e">
        <v>#N/A</v>
      </c>
      <c r="U743" s="110">
        <v>8.5447E9</v>
      </c>
      <c r="V743" s="112">
        <v>0.0</v>
      </c>
      <c r="W743" s="113">
        <v>30.0</v>
      </c>
      <c r="X743" s="110">
        <v>45.0</v>
      </c>
      <c r="Y743" s="110">
        <v>55.0</v>
      </c>
      <c r="Z743" s="110" t="s">
        <v>1938</v>
      </c>
      <c r="AA743" s="114">
        <f t="shared" si="786"/>
        <v>624.2857143</v>
      </c>
      <c r="AB743" s="115"/>
      <c r="AC743" s="116">
        <f t="shared" si="772"/>
        <v>580.5555556</v>
      </c>
      <c r="AD743" s="117">
        <f t="shared" si="783"/>
        <v>611.1111111</v>
      </c>
      <c r="AE743" s="116"/>
      <c r="AF743" s="116" t="str">
        <f t="shared" si="94"/>
        <v>#REF!</v>
      </c>
      <c r="AG743" s="210" t="str">
        <f t="shared" si="95"/>
        <v>#REF!</v>
      </c>
      <c r="AH743" s="120" t="str">
        <f t="shared" si="96"/>
        <v>#REF!</v>
      </c>
      <c r="AI743" s="121">
        <f t="shared" si="497"/>
        <v>0.07</v>
      </c>
      <c r="AJ743" s="121">
        <v>0.07</v>
      </c>
      <c r="AK743" s="122">
        <v>0.28</v>
      </c>
      <c r="AL743" s="123">
        <f t="shared" si="11"/>
        <v>162.5555556</v>
      </c>
      <c r="AM743" s="122" t="s">
        <v>10</v>
      </c>
      <c r="AN743" s="125">
        <f t="shared" si="774"/>
        <v>580.5555556</v>
      </c>
      <c r="AO743" s="112">
        <f t="shared" si="775"/>
        <v>0.28</v>
      </c>
      <c r="AP743" s="127">
        <v>0.28</v>
      </c>
      <c r="AQ743" s="128">
        <f t="shared" si="787"/>
        <v>469.8924731</v>
      </c>
      <c r="AR743" s="125">
        <f t="shared" si="776"/>
        <v>449.4623656</v>
      </c>
      <c r="AS743" s="126">
        <f t="shared" si="733"/>
        <v>0.247311828</v>
      </c>
      <c r="AT743" s="126">
        <f t="shared" si="777"/>
        <v>0.2258064516</v>
      </c>
      <c r="AU743" s="129"/>
      <c r="AV743" s="39" t="s">
        <v>2242</v>
      </c>
      <c r="AW743" s="130"/>
      <c r="AX743" s="130"/>
      <c r="AY743" s="130"/>
      <c r="AZ743" s="130"/>
      <c r="BA743" s="130"/>
      <c r="BB743" s="130"/>
      <c r="BC743" s="392">
        <v>380.0</v>
      </c>
      <c r="BD743" s="132">
        <f t="shared" si="788"/>
        <v>418</v>
      </c>
      <c r="BE743" s="393"/>
      <c r="BF743" s="134"/>
      <c r="BG743" s="49"/>
      <c r="BH743" s="118">
        <f t="shared" si="714"/>
        <v>1935.185185</v>
      </c>
      <c r="BI743" s="118">
        <f t="shared" si="715"/>
        <v>1161.111111</v>
      </c>
      <c r="BJ743" s="118">
        <f t="shared" si="716"/>
        <v>967.5925926</v>
      </c>
      <c r="BK743" s="118">
        <f t="shared" si="717"/>
        <v>774.0740741</v>
      </c>
      <c r="BL743" s="49"/>
      <c r="BM743" s="49"/>
      <c r="BN743" s="394"/>
      <c r="BO743" s="49"/>
      <c r="BP743" s="49"/>
      <c r="BQ743" s="49"/>
      <c r="BR743" s="49"/>
      <c r="BS743" s="49"/>
      <c r="BT743" s="49"/>
      <c r="BU743" s="49"/>
      <c r="BV743" s="49"/>
      <c r="BW743" s="49"/>
      <c r="BX743" s="49"/>
      <c r="BY743" s="49"/>
      <c r="BZ743" s="49"/>
      <c r="CA743" s="49"/>
      <c r="CB743" s="49"/>
      <c r="CC743" s="49"/>
      <c r="CD743" s="49"/>
      <c r="CE743" s="49"/>
      <c r="CF743" s="49"/>
    </row>
    <row r="744" ht="14.25" customHeight="1">
      <c r="A744" s="103" t="s">
        <v>84</v>
      </c>
      <c r="B744" s="103" t="s">
        <v>120</v>
      </c>
      <c r="C744" s="103" t="s">
        <v>120</v>
      </c>
      <c r="D744" s="103" t="s">
        <v>1266</v>
      </c>
      <c r="E744" s="103" t="s">
        <v>1948</v>
      </c>
      <c r="F744" s="104" t="s">
        <v>2008</v>
      </c>
      <c r="G744" s="110" t="s">
        <v>2150</v>
      </c>
      <c r="H744" s="390" t="s">
        <v>1967</v>
      </c>
      <c r="I744" s="391" t="s">
        <v>2726</v>
      </c>
      <c r="J744" s="220" t="s">
        <v>2727</v>
      </c>
      <c r="K744" s="220" t="str">
        <f>_xlfn.XLOOKUP(J744,[1]Sheet1!$A:$A,[1]Sheet1!$B:$B,"")</f>
        <v>#ERROR!</v>
      </c>
      <c r="L744" s="103" t="s">
        <v>2728</v>
      </c>
      <c r="M744" s="103" t="s">
        <v>2729</v>
      </c>
      <c r="N744" s="110" t="s">
        <v>201</v>
      </c>
      <c r="O744" s="104" t="s">
        <v>147</v>
      </c>
      <c r="P744" s="110"/>
      <c r="Q744" s="104" t="s">
        <v>1989</v>
      </c>
      <c r="R744" s="110" t="s">
        <v>1955</v>
      </c>
      <c r="S744" s="110">
        <v>2.0</v>
      </c>
      <c r="T744" s="110" t="e">
        <v>#N/A</v>
      </c>
      <c r="U744" s="110">
        <v>8.5447E9</v>
      </c>
      <c r="V744" s="112">
        <v>0.0</v>
      </c>
      <c r="W744" s="113">
        <v>30.0</v>
      </c>
      <c r="X744" s="110">
        <v>45.0</v>
      </c>
      <c r="Y744" s="110">
        <v>55.0</v>
      </c>
      <c r="Z744" s="110" t="s">
        <v>1938</v>
      </c>
      <c r="AA744" s="114">
        <f t="shared" si="786"/>
        <v>911.7857143</v>
      </c>
      <c r="AB744" s="115"/>
      <c r="AC744" s="116">
        <f t="shared" si="772"/>
        <v>847.9166667</v>
      </c>
      <c r="AD744" s="117">
        <f t="shared" si="783"/>
        <v>892.5438596</v>
      </c>
      <c r="AE744" s="116"/>
      <c r="AF744" s="116" t="str">
        <f t="shared" si="94"/>
        <v>#REF!</v>
      </c>
      <c r="AG744" s="210" t="str">
        <f t="shared" si="95"/>
        <v>#REF!</v>
      </c>
      <c r="AH744" s="120" t="str">
        <f t="shared" si="96"/>
        <v>#REF!</v>
      </c>
      <c r="AI744" s="121">
        <f t="shared" si="497"/>
        <v>0.07</v>
      </c>
      <c r="AJ744" s="121">
        <v>0.07</v>
      </c>
      <c r="AK744" s="122">
        <v>0.28</v>
      </c>
      <c r="AL744" s="123">
        <f t="shared" si="11"/>
        <v>237.4166667</v>
      </c>
      <c r="AM744" s="122" t="s">
        <v>10</v>
      </c>
      <c r="AN744" s="125">
        <f t="shared" si="774"/>
        <v>847.9166667</v>
      </c>
      <c r="AO744" s="112">
        <f t="shared" si="775"/>
        <v>0.28</v>
      </c>
      <c r="AP744" s="127">
        <v>0.28</v>
      </c>
      <c r="AQ744" s="128">
        <f t="shared" si="787"/>
        <v>686.2903226</v>
      </c>
      <c r="AR744" s="125">
        <f t="shared" si="776"/>
        <v>656.4516129</v>
      </c>
      <c r="AS744" s="126">
        <f t="shared" si="733"/>
        <v>0.247311828</v>
      </c>
      <c r="AT744" s="126">
        <f t="shared" si="777"/>
        <v>0.2258064516</v>
      </c>
      <c r="AU744" s="129"/>
      <c r="AV744" s="39" t="s">
        <v>2242</v>
      </c>
      <c r="AW744" s="130"/>
      <c r="AX744" s="130"/>
      <c r="AY744" s="130"/>
      <c r="AZ744" s="130"/>
      <c r="BA744" s="130"/>
      <c r="BB744" s="130"/>
      <c r="BC744" s="392">
        <v>555.0</v>
      </c>
      <c r="BD744" s="132">
        <f t="shared" si="788"/>
        <v>610.5</v>
      </c>
      <c r="BE744" s="393"/>
      <c r="BF744" s="134"/>
      <c r="BG744" s="49"/>
      <c r="BH744" s="118">
        <f t="shared" si="714"/>
        <v>2826.388889</v>
      </c>
      <c r="BI744" s="118">
        <f t="shared" si="715"/>
        <v>1695.833333</v>
      </c>
      <c r="BJ744" s="118">
        <f t="shared" si="716"/>
        <v>1413.194444</v>
      </c>
      <c r="BK744" s="118">
        <f t="shared" si="717"/>
        <v>1130.555556</v>
      </c>
      <c r="BL744" s="49"/>
      <c r="BM744" s="49"/>
      <c r="BN744" s="394"/>
      <c r="BO744" s="49"/>
      <c r="BP744" s="49"/>
      <c r="BQ744" s="49"/>
      <c r="BR744" s="49"/>
      <c r="BS744" s="49"/>
      <c r="BT744" s="49"/>
      <c r="BU744" s="49"/>
      <c r="BV744" s="49"/>
      <c r="BW744" s="49"/>
      <c r="BX744" s="49"/>
      <c r="BY744" s="49"/>
      <c r="BZ744" s="49"/>
      <c r="CA744" s="49"/>
      <c r="CB744" s="49"/>
      <c r="CC744" s="49"/>
      <c r="CD744" s="49"/>
      <c r="CE744" s="49"/>
      <c r="CF744" s="49"/>
    </row>
    <row r="745" ht="14.25" customHeight="1">
      <c r="A745" s="103" t="s">
        <v>84</v>
      </c>
      <c r="B745" s="103" t="s">
        <v>120</v>
      </c>
      <c r="C745" s="103" t="s">
        <v>120</v>
      </c>
      <c r="D745" s="103" t="s">
        <v>1266</v>
      </c>
      <c r="E745" s="103" t="s">
        <v>1948</v>
      </c>
      <c r="F745" s="104" t="s">
        <v>2008</v>
      </c>
      <c r="G745" s="110" t="s">
        <v>2150</v>
      </c>
      <c r="H745" s="390" t="s">
        <v>2303</v>
      </c>
      <c r="I745" s="391" t="s">
        <v>2730</v>
      </c>
      <c r="J745" s="220" t="s">
        <v>2731</v>
      </c>
      <c r="K745" s="220" t="str">
        <f>_xlfn.XLOOKUP(J745,[1]Sheet1!$A:$A,[1]Sheet1!$B:$B,"")</f>
        <v>#ERROR!</v>
      </c>
      <c r="L745" s="103" t="s">
        <v>2732</v>
      </c>
      <c r="M745" s="103" t="s">
        <v>2733</v>
      </c>
      <c r="N745" s="110" t="s">
        <v>201</v>
      </c>
      <c r="O745" s="104" t="s">
        <v>147</v>
      </c>
      <c r="P745" s="110"/>
      <c r="Q745" s="104" t="s">
        <v>1989</v>
      </c>
      <c r="R745" s="110" t="s">
        <v>1955</v>
      </c>
      <c r="S745" s="110">
        <v>2.0</v>
      </c>
      <c r="T745" s="110" t="e">
        <v>#N/A</v>
      </c>
      <c r="U745" s="110">
        <v>8.5447E9</v>
      </c>
      <c r="V745" s="112">
        <v>0.0</v>
      </c>
      <c r="W745" s="113">
        <v>30.0</v>
      </c>
      <c r="X745" s="110">
        <v>45.0</v>
      </c>
      <c r="Y745" s="110">
        <v>55.0</v>
      </c>
      <c r="Z745" s="110" t="s">
        <v>1938</v>
      </c>
      <c r="AA745" s="114">
        <f t="shared" si="786"/>
        <v>542.1428571</v>
      </c>
      <c r="AB745" s="115"/>
      <c r="AC745" s="116">
        <f t="shared" si="772"/>
        <v>504.1666667</v>
      </c>
      <c r="AD745" s="117">
        <f t="shared" si="783"/>
        <v>530.7017544</v>
      </c>
      <c r="AE745" s="116"/>
      <c r="AF745" s="116" t="str">
        <f t="shared" si="94"/>
        <v>#REF!</v>
      </c>
      <c r="AG745" s="210" t="str">
        <f t="shared" si="95"/>
        <v>#REF!</v>
      </c>
      <c r="AH745" s="120" t="str">
        <f t="shared" si="96"/>
        <v>#REF!</v>
      </c>
      <c r="AI745" s="121">
        <f t="shared" si="497"/>
        <v>0.07</v>
      </c>
      <c r="AJ745" s="121">
        <v>0.07</v>
      </c>
      <c r="AK745" s="122">
        <v>0.28</v>
      </c>
      <c r="AL745" s="123">
        <f t="shared" si="11"/>
        <v>141.1666667</v>
      </c>
      <c r="AM745" s="122" t="s">
        <v>10</v>
      </c>
      <c r="AN745" s="125">
        <f t="shared" si="774"/>
        <v>504.1666667</v>
      </c>
      <c r="AO745" s="112">
        <f t="shared" si="775"/>
        <v>0.28</v>
      </c>
      <c r="AP745" s="127">
        <v>0.28</v>
      </c>
      <c r="AQ745" s="128">
        <f t="shared" si="787"/>
        <v>408.0645161</v>
      </c>
      <c r="AR745" s="125">
        <f t="shared" si="776"/>
        <v>390.3225806</v>
      </c>
      <c r="AS745" s="126">
        <f t="shared" si="733"/>
        <v>0.247311828</v>
      </c>
      <c r="AT745" s="126">
        <f t="shared" si="777"/>
        <v>0.2258064516</v>
      </c>
      <c r="AU745" s="129"/>
      <c r="AV745" s="39" t="s">
        <v>2242</v>
      </c>
      <c r="AW745" s="130"/>
      <c r="AX745" s="130"/>
      <c r="AY745" s="130"/>
      <c r="AZ745" s="130"/>
      <c r="BA745" s="130"/>
      <c r="BB745" s="130"/>
      <c r="BC745" s="392">
        <v>330.0</v>
      </c>
      <c r="BD745" s="132">
        <f t="shared" si="788"/>
        <v>363</v>
      </c>
      <c r="BE745" s="393"/>
      <c r="BF745" s="134"/>
      <c r="BG745" s="49"/>
      <c r="BH745" s="118">
        <f t="shared" si="714"/>
        <v>1680.555556</v>
      </c>
      <c r="BI745" s="118">
        <f t="shared" si="715"/>
        <v>1008.333333</v>
      </c>
      <c r="BJ745" s="118">
        <f t="shared" si="716"/>
        <v>840.2777778</v>
      </c>
      <c r="BK745" s="118">
        <f t="shared" si="717"/>
        <v>672.2222222</v>
      </c>
      <c r="BL745" s="49"/>
      <c r="BM745" s="49"/>
      <c r="BN745" s="394"/>
      <c r="BO745" s="49"/>
      <c r="BP745" s="49"/>
      <c r="BQ745" s="49"/>
      <c r="BR745" s="49"/>
      <c r="BS745" s="49"/>
      <c r="BT745" s="49"/>
      <c r="BU745" s="49"/>
      <c r="BV745" s="49"/>
      <c r="BW745" s="49"/>
      <c r="BX745" s="49"/>
      <c r="BY745" s="49"/>
      <c r="BZ745" s="49"/>
      <c r="CA745" s="49"/>
      <c r="CB745" s="49"/>
      <c r="CC745" s="49"/>
      <c r="CD745" s="49"/>
      <c r="CE745" s="49"/>
      <c r="CF745" s="49"/>
    </row>
    <row r="746" ht="14.25" customHeight="1">
      <c r="A746" s="103" t="s">
        <v>84</v>
      </c>
      <c r="B746" s="103" t="s">
        <v>120</v>
      </c>
      <c r="C746" s="103" t="s">
        <v>120</v>
      </c>
      <c r="D746" s="103" t="s">
        <v>1266</v>
      </c>
      <c r="E746" s="103" t="s">
        <v>1948</v>
      </c>
      <c r="F746" s="104" t="s">
        <v>2008</v>
      </c>
      <c r="G746" s="110" t="s">
        <v>2150</v>
      </c>
      <c r="H746" s="390" t="s">
        <v>1950</v>
      </c>
      <c r="I746" s="391" t="s">
        <v>2734</v>
      </c>
      <c r="J746" s="220" t="s">
        <v>2735</v>
      </c>
      <c r="K746" s="220" t="str">
        <f>_xlfn.XLOOKUP(J746,[1]Sheet1!$A:$A,[1]Sheet1!$B:$B,"")</f>
        <v>#ERROR!</v>
      </c>
      <c r="L746" s="103" t="s">
        <v>2736</v>
      </c>
      <c r="M746" s="103" t="s">
        <v>2737</v>
      </c>
      <c r="N746" s="110" t="s">
        <v>201</v>
      </c>
      <c r="O746" s="104" t="s">
        <v>147</v>
      </c>
      <c r="P746" s="110"/>
      <c r="Q746" s="104" t="s">
        <v>1989</v>
      </c>
      <c r="R746" s="110" t="s">
        <v>1955</v>
      </c>
      <c r="S746" s="110">
        <v>2.0</v>
      </c>
      <c r="T746" s="110" t="e">
        <v>#N/A</v>
      </c>
      <c r="U746" s="110">
        <v>8.5447E9</v>
      </c>
      <c r="V746" s="112">
        <v>0.0</v>
      </c>
      <c r="W746" s="113">
        <v>30.0</v>
      </c>
      <c r="X746" s="110">
        <v>45.0</v>
      </c>
      <c r="Y746" s="110">
        <v>55.0</v>
      </c>
      <c r="Z746" s="110" t="s">
        <v>1938</v>
      </c>
      <c r="AA746" s="114">
        <f t="shared" si="786"/>
        <v>583.2142857</v>
      </c>
      <c r="AB746" s="115"/>
      <c r="AC746" s="116">
        <f t="shared" si="772"/>
        <v>542.3611111</v>
      </c>
      <c r="AD746" s="117">
        <f t="shared" si="783"/>
        <v>570.9064327</v>
      </c>
      <c r="AE746" s="116"/>
      <c r="AF746" s="116" t="str">
        <f t="shared" si="94"/>
        <v>#REF!</v>
      </c>
      <c r="AG746" s="210" t="str">
        <f t="shared" si="95"/>
        <v>#REF!</v>
      </c>
      <c r="AH746" s="120" t="str">
        <f t="shared" si="96"/>
        <v>#REF!</v>
      </c>
      <c r="AI746" s="121">
        <f t="shared" si="497"/>
        <v>0.07</v>
      </c>
      <c r="AJ746" s="121">
        <v>0.07</v>
      </c>
      <c r="AK746" s="122">
        <v>0.28</v>
      </c>
      <c r="AL746" s="123">
        <f t="shared" si="11"/>
        <v>151.8611111</v>
      </c>
      <c r="AM746" s="122" t="s">
        <v>10</v>
      </c>
      <c r="AN746" s="125">
        <f t="shared" si="774"/>
        <v>542.3611111</v>
      </c>
      <c r="AO746" s="112">
        <f t="shared" si="775"/>
        <v>0.28</v>
      </c>
      <c r="AP746" s="127">
        <v>0.28</v>
      </c>
      <c r="AQ746" s="128">
        <f t="shared" si="787"/>
        <v>438.9784946</v>
      </c>
      <c r="AR746" s="125">
        <f t="shared" si="776"/>
        <v>419.8924731</v>
      </c>
      <c r="AS746" s="126">
        <f t="shared" si="733"/>
        <v>0.247311828</v>
      </c>
      <c r="AT746" s="126">
        <f t="shared" si="777"/>
        <v>0.2258064516</v>
      </c>
      <c r="AU746" s="129"/>
      <c r="AV746" s="39" t="s">
        <v>2242</v>
      </c>
      <c r="AW746" s="130"/>
      <c r="AX746" s="130"/>
      <c r="AY746" s="130"/>
      <c r="AZ746" s="130"/>
      <c r="BA746" s="130"/>
      <c r="BB746" s="130"/>
      <c r="BC746" s="392">
        <v>355.0</v>
      </c>
      <c r="BD746" s="132">
        <f t="shared" si="788"/>
        <v>390.5</v>
      </c>
      <c r="BE746" s="393"/>
      <c r="BF746" s="134"/>
      <c r="BG746" s="49"/>
      <c r="BH746" s="118">
        <f t="shared" si="714"/>
        <v>1807.87037</v>
      </c>
      <c r="BI746" s="118">
        <f t="shared" si="715"/>
        <v>1084.722222</v>
      </c>
      <c r="BJ746" s="118">
        <f t="shared" si="716"/>
        <v>903.9351852</v>
      </c>
      <c r="BK746" s="118">
        <f t="shared" si="717"/>
        <v>723.1481481</v>
      </c>
      <c r="BL746" s="49"/>
      <c r="BM746" s="49"/>
      <c r="BN746" s="394"/>
      <c r="BO746" s="49"/>
      <c r="BP746" s="49"/>
      <c r="BQ746" s="49"/>
      <c r="BR746" s="49"/>
      <c r="BS746" s="49"/>
      <c r="BT746" s="49"/>
      <c r="BU746" s="49"/>
      <c r="BV746" s="49"/>
      <c r="BW746" s="49"/>
      <c r="BX746" s="49"/>
      <c r="BY746" s="49"/>
      <c r="BZ746" s="49"/>
      <c r="CA746" s="49"/>
      <c r="CB746" s="49"/>
      <c r="CC746" s="49"/>
      <c r="CD746" s="49"/>
      <c r="CE746" s="49"/>
      <c r="CF746" s="49"/>
    </row>
    <row r="747" ht="14.25" customHeight="1">
      <c r="A747" s="103" t="s">
        <v>84</v>
      </c>
      <c r="B747" s="103" t="s">
        <v>120</v>
      </c>
      <c r="C747" s="103" t="s">
        <v>120</v>
      </c>
      <c r="D747" s="103" t="s">
        <v>1266</v>
      </c>
      <c r="E747" s="103" t="s">
        <v>1948</v>
      </c>
      <c r="F747" s="104" t="s">
        <v>2008</v>
      </c>
      <c r="G747" s="110" t="s">
        <v>2150</v>
      </c>
      <c r="H747" s="390" t="s">
        <v>1957</v>
      </c>
      <c r="I747" s="391" t="s">
        <v>2738</v>
      </c>
      <c r="J747" s="220" t="s">
        <v>2739</v>
      </c>
      <c r="K747" s="220" t="str">
        <f>_xlfn.XLOOKUP(J747,[1]Sheet1!$A:$A,[1]Sheet1!$B:$B,"")</f>
        <v>#ERROR!</v>
      </c>
      <c r="L747" s="103" t="s">
        <v>2740</v>
      </c>
      <c r="M747" s="103" t="s">
        <v>2741</v>
      </c>
      <c r="N747" s="110" t="s">
        <v>201</v>
      </c>
      <c r="O747" s="104" t="s">
        <v>147</v>
      </c>
      <c r="P747" s="110"/>
      <c r="Q747" s="104" t="s">
        <v>1989</v>
      </c>
      <c r="R747" s="110" t="s">
        <v>1955</v>
      </c>
      <c r="S747" s="110">
        <v>2.0</v>
      </c>
      <c r="T747" s="110" t="e">
        <v>#N/A</v>
      </c>
      <c r="U747" s="110">
        <v>8.5447E9</v>
      </c>
      <c r="V747" s="112">
        <v>0.0</v>
      </c>
      <c r="W747" s="113">
        <v>30.0</v>
      </c>
      <c r="X747" s="110">
        <v>45.0</v>
      </c>
      <c r="Y747" s="110">
        <v>55.0</v>
      </c>
      <c r="Z747" s="110" t="s">
        <v>1938</v>
      </c>
      <c r="AA747" s="114">
        <f t="shared" si="786"/>
        <v>599.6428571</v>
      </c>
      <c r="AB747" s="115"/>
      <c r="AC747" s="116">
        <f t="shared" si="772"/>
        <v>557.6388889</v>
      </c>
      <c r="AD747" s="117">
        <f t="shared" si="783"/>
        <v>586.9883041</v>
      </c>
      <c r="AE747" s="116"/>
      <c r="AF747" s="116" t="str">
        <f t="shared" si="94"/>
        <v>#REF!</v>
      </c>
      <c r="AG747" s="210" t="str">
        <f t="shared" si="95"/>
        <v>#REF!</v>
      </c>
      <c r="AH747" s="120" t="str">
        <f t="shared" si="96"/>
        <v>#REF!</v>
      </c>
      <c r="AI747" s="121">
        <f t="shared" si="497"/>
        <v>0.07</v>
      </c>
      <c r="AJ747" s="121">
        <v>0.07</v>
      </c>
      <c r="AK747" s="122">
        <v>0.28</v>
      </c>
      <c r="AL747" s="123">
        <f t="shared" si="11"/>
        <v>156.1388889</v>
      </c>
      <c r="AM747" s="122" t="s">
        <v>10</v>
      </c>
      <c r="AN747" s="125">
        <f t="shared" si="774"/>
        <v>557.6388889</v>
      </c>
      <c r="AO747" s="112">
        <f t="shared" si="775"/>
        <v>0.28</v>
      </c>
      <c r="AP747" s="127">
        <v>0.28</v>
      </c>
      <c r="AQ747" s="128">
        <f t="shared" si="787"/>
        <v>451.344086</v>
      </c>
      <c r="AR747" s="125">
        <f t="shared" si="776"/>
        <v>431.7204301</v>
      </c>
      <c r="AS747" s="126">
        <f t="shared" si="733"/>
        <v>0.247311828</v>
      </c>
      <c r="AT747" s="126">
        <f t="shared" si="777"/>
        <v>0.2258064516</v>
      </c>
      <c r="AU747" s="129"/>
      <c r="AV747" s="39" t="s">
        <v>2242</v>
      </c>
      <c r="AW747" s="130"/>
      <c r="AX747" s="130"/>
      <c r="AY747" s="130"/>
      <c r="AZ747" s="130"/>
      <c r="BA747" s="130"/>
      <c r="BB747" s="130"/>
      <c r="BC747" s="392">
        <v>365.0</v>
      </c>
      <c r="BD747" s="132">
        <f t="shared" si="788"/>
        <v>401.5</v>
      </c>
      <c r="BE747" s="393"/>
      <c r="BF747" s="134"/>
      <c r="BG747" s="49"/>
      <c r="BH747" s="118">
        <f t="shared" si="714"/>
        <v>1858.796296</v>
      </c>
      <c r="BI747" s="118">
        <f t="shared" si="715"/>
        <v>1115.277778</v>
      </c>
      <c r="BJ747" s="118">
        <f t="shared" si="716"/>
        <v>929.3981481</v>
      </c>
      <c r="BK747" s="118">
        <f t="shared" si="717"/>
        <v>743.5185185</v>
      </c>
      <c r="BL747" s="49"/>
      <c r="BM747" s="49"/>
      <c r="BN747" s="394"/>
      <c r="BO747" s="49"/>
      <c r="BP747" s="49"/>
      <c r="BQ747" s="49"/>
      <c r="BR747" s="49"/>
      <c r="BS747" s="49"/>
      <c r="BT747" s="49"/>
      <c r="BU747" s="49"/>
      <c r="BV747" s="49"/>
      <c r="BW747" s="49"/>
      <c r="BX747" s="49"/>
      <c r="BY747" s="49"/>
      <c r="BZ747" s="49"/>
      <c r="CA747" s="49"/>
      <c r="CB747" s="49"/>
      <c r="CC747" s="49"/>
      <c r="CD747" s="49"/>
      <c r="CE747" s="49"/>
      <c r="CF747" s="49"/>
    </row>
    <row r="748" ht="14.25" customHeight="1">
      <c r="A748" s="103" t="s">
        <v>84</v>
      </c>
      <c r="B748" s="103" t="s">
        <v>120</v>
      </c>
      <c r="C748" s="103" t="s">
        <v>120</v>
      </c>
      <c r="D748" s="103" t="s">
        <v>1266</v>
      </c>
      <c r="E748" s="103" t="s">
        <v>1948</v>
      </c>
      <c r="F748" s="104" t="s">
        <v>2008</v>
      </c>
      <c r="G748" s="110" t="s">
        <v>2150</v>
      </c>
      <c r="H748" s="390" t="s">
        <v>1962</v>
      </c>
      <c r="I748" s="391" t="s">
        <v>2742</v>
      </c>
      <c r="J748" s="220" t="s">
        <v>2743</v>
      </c>
      <c r="K748" s="220" t="str">
        <f>_xlfn.XLOOKUP(J748,[1]Sheet1!$A:$A,[1]Sheet1!$B:$B,"")</f>
        <v>#ERROR!</v>
      </c>
      <c r="L748" s="103" t="s">
        <v>2744</v>
      </c>
      <c r="M748" s="103" t="s">
        <v>2745</v>
      </c>
      <c r="N748" s="110" t="s">
        <v>201</v>
      </c>
      <c r="O748" s="104" t="s">
        <v>147</v>
      </c>
      <c r="P748" s="110"/>
      <c r="Q748" s="104" t="s">
        <v>1989</v>
      </c>
      <c r="R748" s="110" t="s">
        <v>1955</v>
      </c>
      <c r="S748" s="110">
        <v>2.0</v>
      </c>
      <c r="T748" s="110" t="e">
        <v>#N/A</v>
      </c>
      <c r="U748" s="110">
        <v>8.5447E9</v>
      </c>
      <c r="V748" s="112">
        <v>0.0</v>
      </c>
      <c r="W748" s="113">
        <v>30.0</v>
      </c>
      <c r="X748" s="110">
        <v>45.0</v>
      </c>
      <c r="Y748" s="110">
        <v>55.0</v>
      </c>
      <c r="Z748" s="110" t="s">
        <v>1938</v>
      </c>
      <c r="AA748" s="114">
        <f t="shared" si="786"/>
        <v>665.3571429</v>
      </c>
      <c r="AB748" s="115"/>
      <c r="AC748" s="116">
        <f t="shared" si="772"/>
        <v>618.75</v>
      </c>
      <c r="AD748" s="117">
        <f t="shared" si="783"/>
        <v>651.3157895</v>
      </c>
      <c r="AE748" s="116"/>
      <c r="AF748" s="116" t="str">
        <f t="shared" si="94"/>
        <v>#REF!</v>
      </c>
      <c r="AG748" s="210" t="str">
        <f t="shared" si="95"/>
        <v>#REF!</v>
      </c>
      <c r="AH748" s="120" t="str">
        <f t="shared" si="96"/>
        <v>#REF!</v>
      </c>
      <c r="AI748" s="121">
        <f t="shared" si="497"/>
        <v>0.07</v>
      </c>
      <c r="AJ748" s="121">
        <v>0.07</v>
      </c>
      <c r="AK748" s="122">
        <v>0.28</v>
      </c>
      <c r="AL748" s="123">
        <f t="shared" si="11"/>
        <v>173.25</v>
      </c>
      <c r="AM748" s="122" t="s">
        <v>10</v>
      </c>
      <c r="AN748" s="125">
        <f t="shared" si="774"/>
        <v>618.75</v>
      </c>
      <c r="AO748" s="112">
        <f t="shared" si="775"/>
        <v>0.28</v>
      </c>
      <c r="AP748" s="127">
        <v>0.28</v>
      </c>
      <c r="AQ748" s="128">
        <f t="shared" si="787"/>
        <v>500.8064516</v>
      </c>
      <c r="AR748" s="125">
        <f t="shared" si="776"/>
        <v>479.0322581</v>
      </c>
      <c r="AS748" s="126">
        <f t="shared" si="733"/>
        <v>0.247311828</v>
      </c>
      <c r="AT748" s="126">
        <f t="shared" si="777"/>
        <v>0.2258064516</v>
      </c>
      <c r="AU748" s="129"/>
      <c r="AV748" s="39" t="s">
        <v>2242</v>
      </c>
      <c r="AW748" s="130"/>
      <c r="AX748" s="130"/>
      <c r="AY748" s="130"/>
      <c r="AZ748" s="130"/>
      <c r="BA748" s="130"/>
      <c r="BB748" s="130"/>
      <c r="BC748" s="392">
        <v>405.0</v>
      </c>
      <c r="BD748" s="132">
        <f t="shared" si="788"/>
        <v>445.5</v>
      </c>
      <c r="BE748" s="393"/>
      <c r="BF748" s="134"/>
      <c r="BG748" s="49"/>
      <c r="BH748" s="118">
        <f t="shared" si="714"/>
        <v>2062.5</v>
      </c>
      <c r="BI748" s="118">
        <f t="shared" si="715"/>
        <v>1237.5</v>
      </c>
      <c r="BJ748" s="118">
        <f t="shared" si="716"/>
        <v>1031.25</v>
      </c>
      <c r="BK748" s="118">
        <f t="shared" si="717"/>
        <v>825</v>
      </c>
      <c r="BL748" s="49"/>
      <c r="BM748" s="49"/>
      <c r="BN748" s="394"/>
      <c r="BO748" s="49"/>
      <c r="BP748" s="49"/>
      <c r="BQ748" s="49"/>
      <c r="BR748" s="49"/>
      <c r="BS748" s="49"/>
      <c r="BT748" s="49"/>
      <c r="BU748" s="49"/>
      <c r="BV748" s="49"/>
      <c r="BW748" s="49"/>
      <c r="BX748" s="49"/>
      <c r="BY748" s="49"/>
      <c r="BZ748" s="49"/>
      <c r="CA748" s="49"/>
      <c r="CB748" s="49"/>
      <c r="CC748" s="49"/>
      <c r="CD748" s="49"/>
      <c r="CE748" s="49"/>
      <c r="CF748" s="49"/>
    </row>
    <row r="749" ht="14.25" customHeight="1">
      <c r="A749" s="103" t="s">
        <v>84</v>
      </c>
      <c r="B749" s="103" t="s">
        <v>120</v>
      </c>
      <c r="C749" s="103" t="s">
        <v>120</v>
      </c>
      <c r="D749" s="103" t="s">
        <v>1266</v>
      </c>
      <c r="E749" s="103" t="s">
        <v>1948</v>
      </c>
      <c r="F749" s="104" t="s">
        <v>2008</v>
      </c>
      <c r="G749" s="110" t="s">
        <v>2150</v>
      </c>
      <c r="H749" s="390" t="s">
        <v>1967</v>
      </c>
      <c r="I749" s="391" t="s">
        <v>2746</v>
      </c>
      <c r="J749" s="220" t="s">
        <v>2747</v>
      </c>
      <c r="K749" s="220" t="str">
        <f>_xlfn.XLOOKUP(J749,[1]Sheet1!$A:$A,[1]Sheet1!$B:$B,"")</f>
        <v>#ERROR!</v>
      </c>
      <c r="L749" s="103" t="s">
        <v>2748</v>
      </c>
      <c r="M749" s="103" t="s">
        <v>2749</v>
      </c>
      <c r="N749" s="110" t="s">
        <v>201</v>
      </c>
      <c r="O749" s="104" t="s">
        <v>147</v>
      </c>
      <c r="P749" s="110"/>
      <c r="Q749" s="104" t="s">
        <v>1989</v>
      </c>
      <c r="R749" s="110" t="s">
        <v>1955</v>
      </c>
      <c r="S749" s="110">
        <v>2.0</v>
      </c>
      <c r="T749" s="110" t="e">
        <v>#N/A</v>
      </c>
      <c r="U749" s="110">
        <v>8.5447E9</v>
      </c>
      <c r="V749" s="112">
        <v>0.0</v>
      </c>
      <c r="W749" s="113">
        <v>30.0</v>
      </c>
      <c r="X749" s="110">
        <v>45.0</v>
      </c>
      <c r="Y749" s="110">
        <v>55.0</v>
      </c>
      <c r="Z749" s="110" t="s">
        <v>1938</v>
      </c>
      <c r="AA749" s="114">
        <f t="shared" si="786"/>
        <v>949.5714286</v>
      </c>
      <c r="AB749" s="115"/>
      <c r="AC749" s="116">
        <f t="shared" si="772"/>
        <v>883.0555556</v>
      </c>
      <c r="AD749" s="117">
        <f t="shared" si="783"/>
        <v>929.5321637</v>
      </c>
      <c r="AE749" s="116"/>
      <c r="AF749" s="116" t="str">
        <f t="shared" si="94"/>
        <v>#REF!</v>
      </c>
      <c r="AG749" s="210" t="str">
        <f t="shared" si="95"/>
        <v>#REF!</v>
      </c>
      <c r="AH749" s="120" t="str">
        <f t="shared" si="96"/>
        <v>#REF!</v>
      </c>
      <c r="AI749" s="121">
        <f t="shared" si="497"/>
        <v>0.07</v>
      </c>
      <c r="AJ749" s="121">
        <v>0.07</v>
      </c>
      <c r="AK749" s="122">
        <v>0.28</v>
      </c>
      <c r="AL749" s="123">
        <f t="shared" si="11"/>
        <v>247.2555556</v>
      </c>
      <c r="AM749" s="122" t="s">
        <v>10</v>
      </c>
      <c r="AN749" s="125">
        <f t="shared" si="774"/>
        <v>883.0555556</v>
      </c>
      <c r="AO749" s="112">
        <f t="shared" si="775"/>
        <v>0.28</v>
      </c>
      <c r="AP749" s="127">
        <v>0.28</v>
      </c>
      <c r="AQ749" s="128">
        <f t="shared" si="787"/>
        <v>714.7311828</v>
      </c>
      <c r="AR749" s="125">
        <f t="shared" si="776"/>
        <v>683.655914</v>
      </c>
      <c r="AS749" s="126">
        <f t="shared" si="733"/>
        <v>0.247311828</v>
      </c>
      <c r="AT749" s="126">
        <f t="shared" si="777"/>
        <v>0.2258064516</v>
      </c>
      <c r="AU749" s="129"/>
      <c r="AV749" s="39" t="s">
        <v>2242</v>
      </c>
      <c r="AW749" s="130"/>
      <c r="AX749" s="130"/>
      <c r="AY749" s="130"/>
      <c r="AZ749" s="130"/>
      <c r="BA749" s="130"/>
      <c r="BB749" s="130"/>
      <c r="BC749" s="392">
        <v>578.0</v>
      </c>
      <c r="BD749" s="132">
        <f t="shared" si="788"/>
        <v>635.8</v>
      </c>
      <c r="BE749" s="393"/>
      <c r="BF749" s="134"/>
      <c r="BG749" s="49"/>
      <c r="BH749" s="118">
        <f t="shared" si="714"/>
        <v>2943.518519</v>
      </c>
      <c r="BI749" s="118">
        <f t="shared" si="715"/>
        <v>1766.111111</v>
      </c>
      <c r="BJ749" s="118">
        <f t="shared" si="716"/>
        <v>1471.759259</v>
      </c>
      <c r="BK749" s="118">
        <f t="shared" si="717"/>
        <v>1177.407407</v>
      </c>
      <c r="BL749" s="49"/>
      <c r="BM749" s="49"/>
      <c r="BN749" s="394"/>
      <c r="BO749" s="49"/>
      <c r="BP749" s="49"/>
      <c r="BQ749" s="49"/>
      <c r="BR749" s="49"/>
      <c r="BS749" s="49"/>
      <c r="BT749" s="49"/>
      <c r="BU749" s="49"/>
      <c r="BV749" s="49"/>
      <c r="BW749" s="49"/>
      <c r="BX749" s="49"/>
      <c r="BY749" s="49"/>
      <c r="BZ749" s="49"/>
      <c r="CA749" s="49"/>
      <c r="CB749" s="49"/>
      <c r="CC749" s="49"/>
      <c r="CD749" s="49"/>
      <c r="CE749" s="49"/>
      <c r="CF749" s="49"/>
    </row>
    <row r="750" ht="14.25" customHeight="1">
      <c r="A750" s="103" t="s">
        <v>84</v>
      </c>
      <c r="B750" s="103" t="s">
        <v>85</v>
      </c>
      <c r="C750" s="103" t="s">
        <v>85</v>
      </c>
      <c r="D750" s="103" t="s">
        <v>1266</v>
      </c>
      <c r="E750" s="103" t="s">
        <v>1948</v>
      </c>
      <c r="F750" s="104" t="s">
        <v>2025</v>
      </c>
      <c r="G750" s="110" t="s">
        <v>2150</v>
      </c>
      <c r="H750" s="390" t="s">
        <v>1962</v>
      </c>
      <c r="I750" s="391" t="s">
        <v>2750</v>
      </c>
      <c r="J750" s="220" t="s">
        <v>2751</v>
      </c>
      <c r="K750" s="220" t="str">
        <f>_xlfn.XLOOKUP(J750,[1]Sheet1!$A:$A,[1]Sheet1!$B:$B,"")</f>
        <v>#ERROR!</v>
      </c>
      <c r="L750" s="149" t="s">
        <v>2752</v>
      </c>
      <c r="M750" s="149" t="s">
        <v>2753</v>
      </c>
      <c r="N750" s="110" t="s">
        <v>106</v>
      </c>
      <c r="O750" s="104" t="s">
        <v>147</v>
      </c>
      <c r="P750" s="110"/>
      <c r="Q750" s="104" t="s">
        <v>1989</v>
      </c>
      <c r="R750" s="110" t="s">
        <v>1955</v>
      </c>
      <c r="S750" s="110">
        <v>2.0</v>
      </c>
      <c r="T750" s="155" t="e">
        <v>#N/A</v>
      </c>
      <c r="U750" s="155">
        <v>8.5447E9</v>
      </c>
      <c r="V750" s="157">
        <v>0.0</v>
      </c>
      <c r="W750" s="158">
        <v>30.0</v>
      </c>
      <c r="X750" s="155">
        <v>45.0</v>
      </c>
      <c r="Y750" s="155">
        <v>55.0</v>
      </c>
      <c r="Z750" s="155" t="s">
        <v>1938</v>
      </c>
      <c r="AA750" s="114">
        <f t="shared" si="786"/>
        <v>870.4861111</v>
      </c>
      <c r="AB750" s="395"/>
      <c r="AC750" s="159">
        <f t="shared" si="772"/>
        <v>810.1351351</v>
      </c>
      <c r="AD750" s="117">
        <f t="shared" si="783"/>
        <v>852.7738265</v>
      </c>
      <c r="AE750" s="159"/>
      <c r="AF750" s="159" t="str">
        <f t="shared" si="94"/>
        <v>#REF!</v>
      </c>
      <c r="AG750" s="396" t="str">
        <f t="shared" si="95"/>
        <v>#REF!</v>
      </c>
      <c r="AH750" s="120" t="str">
        <f t="shared" si="96"/>
        <v>#REF!</v>
      </c>
      <c r="AI750" s="157">
        <f t="shared" si="497"/>
        <v>0.07</v>
      </c>
      <c r="AJ750" s="157">
        <v>0.07</v>
      </c>
      <c r="AK750" s="122">
        <v>0.26</v>
      </c>
      <c r="AL750" s="123">
        <f t="shared" si="11"/>
        <v>210.6351351</v>
      </c>
      <c r="AM750" s="157" t="s">
        <v>10</v>
      </c>
      <c r="AN750" s="161">
        <f t="shared" si="774"/>
        <v>810.1351351</v>
      </c>
      <c r="AO750" s="157">
        <f t="shared" si="775"/>
        <v>0.26</v>
      </c>
      <c r="AP750" s="127">
        <v>0.26</v>
      </c>
      <c r="AQ750" s="163">
        <f t="shared" si="787"/>
        <v>673.9247312</v>
      </c>
      <c r="AR750" s="161">
        <f t="shared" si="776"/>
        <v>644.6236559</v>
      </c>
      <c r="AS750" s="162">
        <f t="shared" si="733"/>
        <v>0.2258064516</v>
      </c>
      <c r="AT750" s="162">
        <f t="shared" si="777"/>
        <v>0.2043010753</v>
      </c>
      <c r="AU750" s="129"/>
      <c r="AV750" s="39" t="s">
        <v>2242</v>
      </c>
      <c r="AW750" s="130"/>
      <c r="AX750" s="130"/>
      <c r="AY750" s="130"/>
      <c r="AZ750" s="130"/>
      <c r="BA750" s="130"/>
      <c r="BB750" s="130"/>
      <c r="BC750" s="392">
        <v>545.0</v>
      </c>
      <c r="BD750" s="132">
        <f t="shared" si="788"/>
        <v>599.5</v>
      </c>
      <c r="BE750" s="393"/>
      <c r="BF750" s="134"/>
      <c r="BG750" s="49"/>
      <c r="BH750" s="118">
        <f t="shared" si="714"/>
        <v>2700.45045</v>
      </c>
      <c r="BI750" s="118">
        <f t="shared" si="715"/>
        <v>1620.27027</v>
      </c>
      <c r="BJ750" s="118">
        <f t="shared" si="716"/>
        <v>1350.225225</v>
      </c>
      <c r="BK750" s="118">
        <f t="shared" si="717"/>
        <v>1080.18018</v>
      </c>
      <c r="BL750" s="49"/>
      <c r="BM750" s="49"/>
      <c r="BN750" s="394"/>
      <c r="BO750" s="49"/>
      <c r="BP750" s="49"/>
      <c r="BQ750" s="49"/>
      <c r="BR750" s="49"/>
      <c r="BS750" s="49"/>
      <c r="BT750" s="49"/>
      <c r="BU750" s="49"/>
      <c r="BV750" s="49"/>
      <c r="BW750" s="49"/>
      <c r="BX750" s="49"/>
      <c r="BY750" s="49"/>
      <c r="BZ750" s="49"/>
      <c r="CA750" s="49"/>
      <c r="CB750" s="49"/>
      <c r="CC750" s="49"/>
      <c r="CD750" s="49"/>
      <c r="CE750" s="49"/>
      <c r="CF750" s="49"/>
    </row>
    <row r="751" ht="14.25" customHeight="1">
      <c r="A751" s="103" t="s">
        <v>84</v>
      </c>
      <c r="B751" s="103" t="s">
        <v>85</v>
      </c>
      <c r="C751" s="103" t="s">
        <v>85</v>
      </c>
      <c r="D751" s="103" t="s">
        <v>1266</v>
      </c>
      <c r="E751" s="103" t="s">
        <v>1948</v>
      </c>
      <c r="F751" s="104" t="s">
        <v>2025</v>
      </c>
      <c r="G751" s="110" t="s">
        <v>2150</v>
      </c>
      <c r="H751" s="390" t="s">
        <v>1967</v>
      </c>
      <c r="I751" s="391" t="s">
        <v>2754</v>
      </c>
      <c r="J751" s="220" t="s">
        <v>2755</v>
      </c>
      <c r="K751" s="220" t="str">
        <f>_xlfn.XLOOKUP(J751,[1]Sheet1!$A:$A,[1]Sheet1!$B:$B,"")</f>
        <v>#ERROR!</v>
      </c>
      <c r="L751" s="149" t="s">
        <v>2756</v>
      </c>
      <c r="M751" s="149" t="s">
        <v>2757</v>
      </c>
      <c r="N751" s="110" t="s">
        <v>106</v>
      </c>
      <c r="O751" s="104" t="s">
        <v>147</v>
      </c>
      <c r="P751" s="110"/>
      <c r="Q751" s="104" t="s">
        <v>1989</v>
      </c>
      <c r="R751" s="110" t="s">
        <v>1955</v>
      </c>
      <c r="S751" s="110">
        <v>2.0</v>
      </c>
      <c r="T751" s="155" t="e">
        <v>#N/A</v>
      </c>
      <c r="U751" s="155">
        <v>8.5447E9</v>
      </c>
      <c r="V751" s="157">
        <v>0.0</v>
      </c>
      <c r="W751" s="158">
        <v>30.0</v>
      </c>
      <c r="X751" s="155">
        <v>45.0</v>
      </c>
      <c r="Y751" s="155">
        <v>55.0</v>
      </c>
      <c r="Z751" s="155" t="s">
        <v>1938</v>
      </c>
      <c r="AA751" s="114">
        <f t="shared" si="786"/>
        <v>1030.208333</v>
      </c>
      <c r="AB751" s="395"/>
      <c r="AC751" s="159">
        <f t="shared" si="772"/>
        <v>958.7837838</v>
      </c>
      <c r="AD751" s="117">
        <f t="shared" si="783"/>
        <v>1009.246088</v>
      </c>
      <c r="AE751" s="159"/>
      <c r="AF751" s="159" t="str">
        <f t="shared" si="94"/>
        <v>#REF!</v>
      </c>
      <c r="AG751" s="396" t="str">
        <f t="shared" si="95"/>
        <v>#REF!</v>
      </c>
      <c r="AH751" s="120" t="str">
        <f t="shared" si="96"/>
        <v>#REF!</v>
      </c>
      <c r="AI751" s="157">
        <f t="shared" si="497"/>
        <v>0.07</v>
      </c>
      <c r="AJ751" s="157">
        <v>0.07</v>
      </c>
      <c r="AK751" s="122">
        <v>0.26</v>
      </c>
      <c r="AL751" s="123">
        <f t="shared" si="11"/>
        <v>249.2837838</v>
      </c>
      <c r="AM751" s="157" t="s">
        <v>10</v>
      </c>
      <c r="AN751" s="161">
        <f t="shared" si="774"/>
        <v>958.7837838</v>
      </c>
      <c r="AO751" s="157">
        <f t="shared" si="775"/>
        <v>0.26</v>
      </c>
      <c r="AP751" s="127">
        <v>0.26</v>
      </c>
      <c r="AQ751" s="163">
        <f t="shared" si="787"/>
        <v>797.5806452</v>
      </c>
      <c r="AR751" s="161">
        <f t="shared" si="776"/>
        <v>762.9032258</v>
      </c>
      <c r="AS751" s="162">
        <f t="shared" si="733"/>
        <v>0.2258064516</v>
      </c>
      <c r="AT751" s="162">
        <f t="shared" si="777"/>
        <v>0.2043010753</v>
      </c>
      <c r="AU751" s="129"/>
      <c r="AV751" s="39" t="s">
        <v>2242</v>
      </c>
      <c r="AW751" s="130"/>
      <c r="AX751" s="130"/>
      <c r="AY751" s="130"/>
      <c r="AZ751" s="130"/>
      <c r="BA751" s="130"/>
      <c r="BB751" s="130"/>
      <c r="BC751" s="392">
        <v>645.0</v>
      </c>
      <c r="BD751" s="132">
        <f t="shared" si="788"/>
        <v>709.5</v>
      </c>
      <c r="BE751" s="393"/>
      <c r="BF751" s="134"/>
      <c r="BG751" s="49"/>
      <c r="BH751" s="118">
        <f t="shared" si="714"/>
        <v>3195.945946</v>
      </c>
      <c r="BI751" s="118">
        <f t="shared" si="715"/>
        <v>1917.567568</v>
      </c>
      <c r="BJ751" s="118">
        <f t="shared" si="716"/>
        <v>1597.972973</v>
      </c>
      <c r="BK751" s="118">
        <f t="shared" si="717"/>
        <v>1278.378378</v>
      </c>
      <c r="BL751" s="49"/>
      <c r="BM751" s="49"/>
      <c r="BN751" s="394"/>
      <c r="BO751" s="49"/>
      <c r="BP751" s="49"/>
      <c r="BQ751" s="49"/>
      <c r="BR751" s="49"/>
      <c r="BS751" s="49"/>
      <c r="BT751" s="49"/>
      <c r="BU751" s="49"/>
      <c r="BV751" s="49"/>
      <c r="BW751" s="49"/>
      <c r="BX751" s="49"/>
      <c r="BY751" s="49"/>
      <c r="BZ751" s="49"/>
      <c r="CA751" s="49"/>
      <c r="CB751" s="49"/>
      <c r="CC751" s="49"/>
      <c r="CD751" s="49"/>
      <c r="CE751" s="49"/>
      <c r="CF751" s="49"/>
    </row>
    <row r="752" ht="14.25" customHeight="1">
      <c r="A752" s="103" t="s">
        <v>84</v>
      </c>
      <c r="B752" s="103" t="s">
        <v>85</v>
      </c>
      <c r="C752" s="103" t="s">
        <v>85</v>
      </c>
      <c r="D752" s="103" t="s">
        <v>1266</v>
      </c>
      <c r="E752" s="103" t="s">
        <v>1948</v>
      </c>
      <c r="F752" s="104" t="s">
        <v>2025</v>
      </c>
      <c r="G752" s="110" t="s">
        <v>2150</v>
      </c>
      <c r="H752" s="390" t="s">
        <v>2026</v>
      </c>
      <c r="I752" s="391" t="s">
        <v>2758</v>
      </c>
      <c r="J752" s="220" t="s">
        <v>2218</v>
      </c>
      <c r="K752" s="220" t="str">
        <f>_xlfn.XLOOKUP(J752,[1]Sheet1!$A:$A,[1]Sheet1!$B:$B,"")</f>
        <v>#ERROR!</v>
      </c>
      <c r="L752" s="103" t="s">
        <v>2219</v>
      </c>
      <c r="M752" s="103" t="s">
        <v>2220</v>
      </c>
      <c r="N752" s="110" t="s">
        <v>106</v>
      </c>
      <c r="O752" s="104" t="s">
        <v>147</v>
      </c>
      <c r="P752" s="110"/>
      <c r="Q752" s="104" t="s">
        <v>1989</v>
      </c>
      <c r="R752" s="110" t="s">
        <v>1955</v>
      </c>
      <c r="S752" s="110">
        <v>2.0</v>
      </c>
      <c r="T752" s="110" t="e">
        <v>#N/A</v>
      </c>
      <c r="U752" s="110">
        <v>8.5447E9</v>
      </c>
      <c r="V752" s="112">
        <v>0.0</v>
      </c>
      <c r="W752" s="113">
        <v>30.0</v>
      </c>
      <c r="X752" s="110">
        <v>45.0</v>
      </c>
      <c r="Y752" s="110">
        <v>55.0</v>
      </c>
      <c r="Z752" s="110" t="s">
        <v>1938</v>
      </c>
      <c r="AA752" s="114">
        <f t="shared" si="786"/>
        <v>1341.666667</v>
      </c>
      <c r="AB752" s="115"/>
      <c r="AC752" s="116">
        <f t="shared" si="772"/>
        <v>1248.648649</v>
      </c>
      <c r="AD752" s="117">
        <f t="shared" si="783"/>
        <v>1314.366999</v>
      </c>
      <c r="AE752" s="116"/>
      <c r="AF752" s="116" t="str">
        <f t="shared" si="94"/>
        <v>#REF!</v>
      </c>
      <c r="AG752" s="210" t="str">
        <f t="shared" si="95"/>
        <v>#REF!</v>
      </c>
      <c r="AH752" s="120" t="str">
        <f t="shared" si="96"/>
        <v>#REF!</v>
      </c>
      <c r="AI752" s="121">
        <f t="shared" si="497"/>
        <v>0.07</v>
      </c>
      <c r="AJ752" s="121">
        <v>0.07</v>
      </c>
      <c r="AK752" s="122">
        <v>0.26</v>
      </c>
      <c r="AL752" s="123">
        <f t="shared" si="11"/>
        <v>324.6486486</v>
      </c>
      <c r="AM752" s="122" t="s">
        <v>10</v>
      </c>
      <c r="AN752" s="125">
        <f t="shared" si="774"/>
        <v>1248.648649</v>
      </c>
      <c r="AO752" s="112">
        <f t="shared" si="775"/>
        <v>0.26</v>
      </c>
      <c r="AP752" s="127">
        <v>0.26</v>
      </c>
      <c r="AQ752" s="128">
        <f t="shared" si="787"/>
        <v>1038.709677</v>
      </c>
      <c r="AR752" s="125">
        <f t="shared" si="776"/>
        <v>993.5483871</v>
      </c>
      <c r="AS752" s="126">
        <f t="shared" si="733"/>
        <v>0.2258064516</v>
      </c>
      <c r="AT752" s="126">
        <f t="shared" si="777"/>
        <v>0.2043010753</v>
      </c>
      <c r="AU752" s="129"/>
      <c r="AV752" s="39" t="s">
        <v>2242</v>
      </c>
      <c r="AW752" s="130"/>
      <c r="AX752" s="130"/>
      <c r="AY752" s="130"/>
      <c r="AZ752" s="130"/>
      <c r="BA752" s="130"/>
      <c r="BB752" s="130"/>
      <c r="BC752" s="392">
        <v>840.0</v>
      </c>
      <c r="BD752" s="132">
        <f t="shared" si="788"/>
        <v>924</v>
      </c>
      <c r="BE752" s="393"/>
      <c r="BF752" s="134"/>
      <c r="BG752" s="49"/>
      <c r="BH752" s="118">
        <f t="shared" si="714"/>
        <v>4162.162162</v>
      </c>
      <c r="BI752" s="118">
        <f t="shared" si="715"/>
        <v>2497.297297</v>
      </c>
      <c r="BJ752" s="118">
        <f t="shared" si="716"/>
        <v>2081.081081</v>
      </c>
      <c r="BK752" s="118">
        <f t="shared" si="717"/>
        <v>1664.864865</v>
      </c>
      <c r="BL752" s="49"/>
      <c r="BM752" s="49"/>
      <c r="BN752" s="394"/>
      <c r="BO752" s="49"/>
      <c r="BP752" s="49"/>
      <c r="BQ752" s="49"/>
      <c r="BR752" s="49"/>
      <c r="BS752" s="49"/>
      <c r="BT752" s="49"/>
      <c r="BU752" s="49"/>
      <c r="BV752" s="49"/>
      <c r="BW752" s="49"/>
      <c r="BX752" s="49"/>
      <c r="BY752" s="49"/>
      <c r="BZ752" s="49"/>
      <c r="CA752" s="49"/>
      <c r="CB752" s="49"/>
      <c r="CC752" s="49"/>
      <c r="CD752" s="49"/>
      <c r="CE752" s="49"/>
      <c r="CF752" s="49"/>
    </row>
    <row r="753" ht="14.25" customHeight="1">
      <c r="A753" s="103" t="s">
        <v>84</v>
      </c>
      <c r="B753" s="103" t="s">
        <v>85</v>
      </c>
      <c r="C753" s="103" t="s">
        <v>85</v>
      </c>
      <c r="D753" s="103" t="s">
        <v>1266</v>
      </c>
      <c r="E753" s="103" t="s">
        <v>1948</v>
      </c>
      <c r="F753" s="104" t="s">
        <v>2025</v>
      </c>
      <c r="G753" s="110" t="s">
        <v>2150</v>
      </c>
      <c r="H753" s="390" t="s">
        <v>2333</v>
      </c>
      <c r="I753" s="391" t="s">
        <v>2759</v>
      </c>
      <c r="J753" s="220" t="s">
        <v>2760</v>
      </c>
      <c r="K753" s="220" t="str">
        <f>_xlfn.XLOOKUP(J753,[1]Sheet1!$A:$A,[1]Sheet1!$B:$B,"")</f>
        <v>#ERROR!</v>
      </c>
      <c r="L753" s="149" t="s">
        <v>2761</v>
      </c>
      <c r="M753" s="149" t="s">
        <v>2762</v>
      </c>
      <c r="N753" s="110" t="s">
        <v>106</v>
      </c>
      <c r="O753" s="104" t="s">
        <v>147</v>
      </c>
      <c r="P753" s="110"/>
      <c r="Q753" s="104" t="s">
        <v>1989</v>
      </c>
      <c r="R753" s="110" t="s">
        <v>1955</v>
      </c>
      <c r="S753" s="110">
        <v>2.0</v>
      </c>
      <c r="T753" s="155" t="e">
        <v>#N/A</v>
      </c>
      <c r="U753" s="155">
        <v>8.5447E9</v>
      </c>
      <c r="V753" s="157">
        <v>0.0</v>
      </c>
      <c r="W753" s="158">
        <v>30.0</v>
      </c>
      <c r="X753" s="155">
        <v>45.0</v>
      </c>
      <c r="Y753" s="155">
        <v>55.0</v>
      </c>
      <c r="Z753" s="155" t="s">
        <v>1938</v>
      </c>
      <c r="AA753" s="114">
        <f t="shared" si="786"/>
        <v>1677.083333</v>
      </c>
      <c r="AB753" s="395"/>
      <c r="AC753" s="159">
        <f t="shared" si="772"/>
        <v>1560.810811</v>
      </c>
      <c r="AD753" s="117">
        <f t="shared" si="783"/>
        <v>1642.958748</v>
      </c>
      <c r="AE753" s="159"/>
      <c r="AF753" s="159" t="str">
        <f t="shared" si="94"/>
        <v>#REF!</v>
      </c>
      <c r="AG753" s="396" t="str">
        <f t="shared" si="95"/>
        <v>#REF!</v>
      </c>
      <c r="AH753" s="120" t="str">
        <f t="shared" si="96"/>
        <v>#REF!</v>
      </c>
      <c r="AI753" s="157">
        <f t="shared" si="497"/>
        <v>0.07</v>
      </c>
      <c r="AJ753" s="157">
        <v>0.07</v>
      </c>
      <c r="AK753" s="122">
        <v>0.26</v>
      </c>
      <c r="AL753" s="123">
        <f t="shared" si="11"/>
        <v>405.8108108</v>
      </c>
      <c r="AM753" s="157" t="s">
        <v>10</v>
      </c>
      <c r="AN753" s="161">
        <f t="shared" si="774"/>
        <v>1560.810811</v>
      </c>
      <c r="AO753" s="157">
        <f t="shared" si="775"/>
        <v>0.26</v>
      </c>
      <c r="AP753" s="127">
        <v>0.26</v>
      </c>
      <c r="AQ753" s="163">
        <f t="shared" si="787"/>
        <v>1298.387097</v>
      </c>
      <c r="AR753" s="161">
        <f t="shared" si="776"/>
        <v>1241.935484</v>
      </c>
      <c r="AS753" s="162">
        <f t="shared" si="733"/>
        <v>0.2258064516</v>
      </c>
      <c r="AT753" s="162">
        <f t="shared" si="777"/>
        <v>0.2043010753</v>
      </c>
      <c r="AU753" s="129"/>
      <c r="AV753" s="39" t="s">
        <v>2242</v>
      </c>
      <c r="AW753" s="130"/>
      <c r="AX753" s="130"/>
      <c r="AY753" s="130"/>
      <c r="AZ753" s="130"/>
      <c r="BA753" s="130"/>
      <c r="BB753" s="130"/>
      <c r="BC753" s="392">
        <v>1050.0</v>
      </c>
      <c r="BD753" s="132">
        <f t="shared" si="788"/>
        <v>1155</v>
      </c>
      <c r="BE753" s="393"/>
      <c r="BF753" s="134"/>
      <c r="BG753" s="49"/>
      <c r="BH753" s="118">
        <f t="shared" si="714"/>
        <v>5202.702703</v>
      </c>
      <c r="BI753" s="118">
        <f t="shared" si="715"/>
        <v>3121.621622</v>
      </c>
      <c r="BJ753" s="118">
        <f t="shared" si="716"/>
        <v>2601.351351</v>
      </c>
      <c r="BK753" s="118">
        <f t="shared" si="717"/>
        <v>2081.081081</v>
      </c>
      <c r="BL753" s="49"/>
      <c r="BM753" s="49"/>
      <c r="BN753" s="394"/>
      <c r="BO753" s="49"/>
      <c r="BP753" s="49"/>
      <c r="BQ753" s="49"/>
      <c r="BR753" s="49"/>
      <c r="BS753" s="49"/>
      <c r="BT753" s="49"/>
      <c r="BU753" s="49"/>
      <c r="BV753" s="49"/>
      <c r="BW753" s="49"/>
      <c r="BX753" s="49"/>
      <c r="BY753" s="49"/>
      <c r="BZ753" s="49"/>
      <c r="CA753" s="49"/>
      <c r="CB753" s="49"/>
      <c r="CC753" s="49"/>
      <c r="CD753" s="49"/>
      <c r="CE753" s="49"/>
      <c r="CF753" s="49"/>
    </row>
    <row r="754" ht="14.25" customHeight="1">
      <c r="A754" s="103" t="s">
        <v>84</v>
      </c>
      <c r="B754" s="103" t="s">
        <v>85</v>
      </c>
      <c r="C754" s="103" t="s">
        <v>85</v>
      </c>
      <c r="D754" s="103" t="s">
        <v>1266</v>
      </c>
      <c r="E754" s="103" t="s">
        <v>1948</v>
      </c>
      <c r="F754" s="104" t="s">
        <v>2025</v>
      </c>
      <c r="G754" s="110" t="s">
        <v>2150</v>
      </c>
      <c r="H754" s="390" t="s">
        <v>2031</v>
      </c>
      <c r="I754" s="391" t="s">
        <v>2763</v>
      </c>
      <c r="J754" s="220" t="s">
        <v>2222</v>
      </c>
      <c r="K754" s="220" t="str">
        <f>_xlfn.XLOOKUP(J754,[1]Sheet1!$A:$A,[1]Sheet1!$B:$B,"")</f>
        <v>#ERROR!</v>
      </c>
      <c r="L754" s="103" t="s">
        <v>2223</v>
      </c>
      <c r="M754" s="103" t="s">
        <v>2224</v>
      </c>
      <c r="N754" s="110" t="s">
        <v>106</v>
      </c>
      <c r="O754" s="104" t="s">
        <v>147</v>
      </c>
      <c r="P754" s="110"/>
      <c r="Q754" s="104" t="s">
        <v>1989</v>
      </c>
      <c r="R754" s="110" t="s">
        <v>1955</v>
      </c>
      <c r="S754" s="110">
        <v>2.0</v>
      </c>
      <c r="T754" s="110" t="e">
        <v>#N/A</v>
      </c>
      <c r="U754" s="110">
        <v>8.5447E9</v>
      </c>
      <c r="V754" s="112">
        <v>0.0</v>
      </c>
      <c r="W754" s="113">
        <v>30.0</v>
      </c>
      <c r="X754" s="110">
        <v>45.0</v>
      </c>
      <c r="Y754" s="110">
        <v>55.0</v>
      </c>
      <c r="Z754" s="110" t="s">
        <v>1938</v>
      </c>
      <c r="AA754" s="114">
        <f t="shared" si="786"/>
        <v>2156.25</v>
      </c>
      <c r="AB754" s="115"/>
      <c r="AC754" s="116">
        <f t="shared" si="772"/>
        <v>2006.756757</v>
      </c>
      <c r="AD754" s="117">
        <f t="shared" si="783"/>
        <v>2112.375533</v>
      </c>
      <c r="AE754" s="116"/>
      <c r="AF754" s="116" t="str">
        <f t="shared" si="94"/>
        <v>#REF!</v>
      </c>
      <c r="AG754" s="210" t="str">
        <f t="shared" si="95"/>
        <v>#REF!</v>
      </c>
      <c r="AH754" s="120" t="str">
        <f t="shared" si="96"/>
        <v>#REF!</v>
      </c>
      <c r="AI754" s="121">
        <f t="shared" si="497"/>
        <v>0.07</v>
      </c>
      <c r="AJ754" s="121">
        <v>0.07</v>
      </c>
      <c r="AK754" s="122">
        <v>0.26</v>
      </c>
      <c r="AL754" s="123">
        <f t="shared" si="11"/>
        <v>521.7567568</v>
      </c>
      <c r="AM754" s="122" t="s">
        <v>10</v>
      </c>
      <c r="AN754" s="125">
        <f t="shared" si="774"/>
        <v>2006.756757</v>
      </c>
      <c r="AO754" s="112">
        <f t="shared" si="775"/>
        <v>0.26</v>
      </c>
      <c r="AP754" s="127">
        <v>0.26</v>
      </c>
      <c r="AQ754" s="128">
        <f t="shared" si="787"/>
        <v>1669.354839</v>
      </c>
      <c r="AR754" s="125">
        <f t="shared" si="776"/>
        <v>1596.774194</v>
      </c>
      <c r="AS754" s="126">
        <f t="shared" si="733"/>
        <v>0.2258064516</v>
      </c>
      <c r="AT754" s="126">
        <f t="shared" si="777"/>
        <v>0.2043010753</v>
      </c>
      <c r="AU754" s="129"/>
      <c r="AV754" s="39" t="s">
        <v>2242</v>
      </c>
      <c r="AW754" s="130"/>
      <c r="AX754" s="130"/>
      <c r="AY754" s="130"/>
      <c r="AZ754" s="130"/>
      <c r="BA754" s="130"/>
      <c r="BB754" s="130"/>
      <c r="BC754" s="392">
        <v>1350.0</v>
      </c>
      <c r="BD754" s="132">
        <f t="shared" si="788"/>
        <v>1485</v>
      </c>
      <c r="BE754" s="393"/>
      <c r="BF754" s="134"/>
      <c r="BG754" s="49"/>
      <c r="BH754" s="118">
        <f t="shared" si="714"/>
        <v>6689.189189</v>
      </c>
      <c r="BI754" s="118">
        <f t="shared" si="715"/>
        <v>4013.513514</v>
      </c>
      <c r="BJ754" s="118">
        <f t="shared" si="716"/>
        <v>3344.594595</v>
      </c>
      <c r="BK754" s="118">
        <f t="shared" si="717"/>
        <v>2675.675676</v>
      </c>
      <c r="BL754" s="49"/>
      <c r="BM754" s="49"/>
      <c r="BN754" s="394"/>
      <c r="BO754" s="49"/>
      <c r="BP754" s="49"/>
      <c r="BQ754" s="49"/>
      <c r="BR754" s="49"/>
      <c r="BS754" s="49"/>
      <c r="BT754" s="49"/>
      <c r="BU754" s="49"/>
      <c r="BV754" s="49"/>
      <c r="BW754" s="49"/>
      <c r="BX754" s="49"/>
      <c r="BY754" s="49"/>
      <c r="BZ754" s="49"/>
      <c r="CA754" s="49"/>
      <c r="CB754" s="49"/>
      <c r="CC754" s="49"/>
      <c r="CD754" s="49"/>
      <c r="CE754" s="49"/>
      <c r="CF754" s="49"/>
    </row>
    <row r="755" ht="14.25" customHeight="1">
      <c r="A755" s="103" t="s">
        <v>84</v>
      </c>
      <c r="B755" s="103" t="s">
        <v>85</v>
      </c>
      <c r="C755" s="103" t="s">
        <v>85</v>
      </c>
      <c r="D755" s="103" t="s">
        <v>1266</v>
      </c>
      <c r="E755" s="103" t="s">
        <v>1948</v>
      </c>
      <c r="F755" s="104" t="s">
        <v>2025</v>
      </c>
      <c r="G755" s="110" t="s">
        <v>2150</v>
      </c>
      <c r="H755" s="390" t="s">
        <v>2339</v>
      </c>
      <c r="I755" s="391" t="s">
        <v>2764</v>
      </c>
      <c r="J755" s="220" t="s">
        <v>2765</v>
      </c>
      <c r="K755" s="220" t="str">
        <f>_xlfn.XLOOKUP(J755,[1]Sheet1!$A:$A,[1]Sheet1!$B:$B,"")</f>
        <v>#ERROR!</v>
      </c>
      <c r="L755" s="149" t="s">
        <v>2766</v>
      </c>
      <c r="M755" s="149" t="s">
        <v>2767</v>
      </c>
      <c r="N755" s="110" t="s">
        <v>106</v>
      </c>
      <c r="O755" s="104" t="s">
        <v>147</v>
      </c>
      <c r="P755" s="110"/>
      <c r="Q755" s="104" t="s">
        <v>1989</v>
      </c>
      <c r="R755" s="110" t="s">
        <v>1955</v>
      </c>
      <c r="S755" s="110">
        <v>2.0</v>
      </c>
      <c r="T755" s="155" t="e">
        <v>#N/A</v>
      </c>
      <c r="U755" s="155">
        <v>8.5447E9</v>
      </c>
      <c r="V755" s="157">
        <v>0.0</v>
      </c>
      <c r="W755" s="158">
        <v>30.0</v>
      </c>
      <c r="X755" s="155">
        <v>45.0</v>
      </c>
      <c r="Y755" s="155">
        <v>55.0</v>
      </c>
      <c r="Z755" s="155" t="s">
        <v>1938</v>
      </c>
      <c r="AA755" s="114">
        <f t="shared" si="786"/>
        <v>2954.861111</v>
      </c>
      <c r="AB755" s="395"/>
      <c r="AC755" s="159">
        <f t="shared" si="772"/>
        <v>2750</v>
      </c>
      <c r="AD755" s="117">
        <f t="shared" si="783"/>
        <v>2894.736842</v>
      </c>
      <c r="AE755" s="159"/>
      <c r="AF755" s="159" t="str">
        <f t="shared" si="94"/>
        <v>#REF!</v>
      </c>
      <c r="AG755" s="396" t="str">
        <f t="shared" si="95"/>
        <v>#REF!</v>
      </c>
      <c r="AH755" s="120" t="str">
        <f t="shared" si="96"/>
        <v>#REF!</v>
      </c>
      <c r="AI755" s="157">
        <f t="shared" si="497"/>
        <v>0.07</v>
      </c>
      <c r="AJ755" s="157">
        <v>0.07</v>
      </c>
      <c r="AK755" s="122">
        <v>0.26</v>
      </c>
      <c r="AL755" s="123">
        <f t="shared" si="11"/>
        <v>715</v>
      </c>
      <c r="AM755" s="157" t="s">
        <v>10</v>
      </c>
      <c r="AN755" s="161">
        <f t="shared" si="774"/>
        <v>2750</v>
      </c>
      <c r="AO755" s="157">
        <f t="shared" si="775"/>
        <v>0.26</v>
      </c>
      <c r="AP755" s="127">
        <v>0.26</v>
      </c>
      <c r="AQ755" s="163">
        <f t="shared" si="787"/>
        <v>2287.634409</v>
      </c>
      <c r="AR755" s="161">
        <f t="shared" si="776"/>
        <v>2188.172043</v>
      </c>
      <c r="AS755" s="162">
        <f t="shared" si="733"/>
        <v>0.2258064516</v>
      </c>
      <c r="AT755" s="162">
        <f t="shared" si="777"/>
        <v>0.2043010753</v>
      </c>
      <c r="AU755" s="129"/>
      <c r="AV755" s="39" t="s">
        <v>2242</v>
      </c>
      <c r="AW755" s="130"/>
      <c r="AX755" s="130"/>
      <c r="AY755" s="130"/>
      <c r="AZ755" s="130"/>
      <c r="BA755" s="130"/>
      <c r="BB755" s="130"/>
      <c r="BC755" s="392">
        <v>1850.0</v>
      </c>
      <c r="BD755" s="132">
        <f t="shared" si="788"/>
        <v>2035</v>
      </c>
      <c r="BE755" s="393"/>
      <c r="BF755" s="134"/>
      <c r="BG755" s="49"/>
      <c r="BH755" s="118">
        <f t="shared" si="714"/>
        <v>9166.666667</v>
      </c>
      <c r="BI755" s="118">
        <f t="shared" si="715"/>
        <v>5500</v>
      </c>
      <c r="BJ755" s="118">
        <f t="shared" si="716"/>
        <v>4583.333333</v>
      </c>
      <c r="BK755" s="118">
        <f t="shared" si="717"/>
        <v>3666.666667</v>
      </c>
      <c r="BL755" s="49"/>
      <c r="BM755" s="49"/>
      <c r="BN755" s="394"/>
      <c r="BO755" s="49"/>
      <c r="BP755" s="49"/>
      <c r="BQ755" s="49"/>
      <c r="BR755" s="49"/>
      <c r="BS755" s="49"/>
      <c r="BT755" s="49"/>
      <c r="BU755" s="49"/>
      <c r="BV755" s="49"/>
      <c r="BW755" s="49"/>
      <c r="BX755" s="49"/>
      <c r="BY755" s="49"/>
      <c r="BZ755" s="49"/>
      <c r="CA755" s="49"/>
      <c r="CB755" s="49"/>
      <c r="CC755" s="49"/>
      <c r="CD755" s="49"/>
      <c r="CE755" s="49"/>
      <c r="CF755" s="49"/>
    </row>
    <row r="756" ht="14.25" customHeight="1">
      <c r="A756" s="103" t="s">
        <v>84</v>
      </c>
      <c r="B756" s="103" t="s">
        <v>85</v>
      </c>
      <c r="C756" s="103" t="s">
        <v>85</v>
      </c>
      <c r="D756" s="103" t="s">
        <v>1266</v>
      </c>
      <c r="E756" s="103" t="s">
        <v>1948</v>
      </c>
      <c r="F756" s="104" t="s">
        <v>2025</v>
      </c>
      <c r="G756" s="110" t="s">
        <v>2150</v>
      </c>
      <c r="H756" s="390" t="s">
        <v>2344</v>
      </c>
      <c r="I756" s="391" t="s">
        <v>2768</v>
      </c>
      <c r="J756" s="220" t="s">
        <v>2769</v>
      </c>
      <c r="K756" s="220" t="str">
        <f>_xlfn.XLOOKUP(J756,[1]Sheet1!$A:$A,[1]Sheet1!$B:$B,"")</f>
        <v>#ERROR!</v>
      </c>
      <c r="L756" s="149" t="s">
        <v>2770</v>
      </c>
      <c r="M756" s="149" t="s">
        <v>2771</v>
      </c>
      <c r="N756" s="110" t="s">
        <v>106</v>
      </c>
      <c r="O756" s="104" t="s">
        <v>147</v>
      </c>
      <c r="P756" s="110"/>
      <c r="Q756" s="104" t="s">
        <v>1989</v>
      </c>
      <c r="R756" s="110" t="s">
        <v>1955</v>
      </c>
      <c r="S756" s="110">
        <v>2.0</v>
      </c>
      <c r="T756" s="155" t="e">
        <v>#N/A</v>
      </c>
      <c r="U756" s="155">
        <v>8.5447E9</v>
      </c>
      <c r="V756" s="157">
        <v>0.0</v>
      </c>
      <c r="W756" s="158">
        <v>30.0</v>
      </c>
      <c r="X756" s="155">
        <v>45.0</v>
      </c>
      <c r="Y756" s="155">
        <v>55.0</v>
      </c>
      <c r="Z756" s="155" t="s">
        <v>1938</v>
      </c>
      <c r="AA756" s="114">
        <f t="shared" si="786"/>
        <v>5366.666667</v>
      </c>
      <c r="AB756" s="395"/>
      <c r="AC756" s="159">
        <f t="shared" si="772"/>
        <v>4994.594595</v>
      </c>
      <c r="AD756" s="117">
        <f t="shared" si="783"/>
        <v>5257.467994</v>
      </c>
      <c r="AE756" s="159"/>
      <c r="AF756" s="159" t="str">
        <f t="shared" si="94"/>
        <v>#REF!</v>
      </c>
      <c r="AG756" s="396" t="str">
        <f t="shared" si="95"/>
        <v>#REF!</v>
      </c>
      <c r="AH756" s="120" t="str">
        <f t="shared" si="96"/>
        <v>#REF!</v>
      </c>
      <c r="AI756" s="157">
        <f t="shared" si="497"/>
        <v>0.07</v>
      </c>
      <c r="AJ756" s="157">
        <v>0.07</v>
      </c>
      <c r="AK756" s="122">
        <v>0.26</v>
      </c>
      <c r="AL756" s="123">
        <f t="shared" si="11"/>
        <v>1298.594595</v>
      </c>
      <c r="AM756" s="157" t="s">
        <v>10</v>
      </c>
      <c r="AN756" s="161">
        <f t="shared" si="774"/>
        <v>4994.594595</v>
      </c>
      <c r="AO756" s="157">
        <f t="shared" si="775"/>
        <v>0.26</v>
      </c>
      <c r="AP756" s="127">
        <v>0.26</v>
      </c>
      <c r="AQ756" s="163">
        <f t="shared" si="787"/>
        <v>4154.83871</v>
      </c>
      <c r="AR756" s="161">
        <f t="shared" si="776"/>
        <v>3974.193548</v>
      </c>
      <c r="AS756" s="162">
        <f t="shared" si="733"/>
        <v>0.2258064516</v>
      </c>
      <c r="AT756" s="162">
        <f t="shared" si="777"/>
        <v>0.2043010753</v>
      </c>
      <c r="AU756" s="129"/>
      <c r="AV756" s="39" t="s">
        <v>2242</v>
      </c>
      <c r="AW756" s="130"/>
      <c r="AX756" s="130"/>
      <c r="AY756" s="130"/>
      <c r="AZ756" s="130"/>
      <c r="BA756" s="130"/>
      <c r="BB756" s="130"/>
      <c r="BC756" s="392">
        <v>3360.0</v>
      </c>
      <c r="BD756" s="132">
        <f t="shared" si="788"/>
        <v>3696</v>
      </c>
      <c r="BE756" s="393"/>
      <c r="BF756" s="134"/>
      <c r="BG756" s="49"/>
      <c r="BH756" s="118">
        <f t="shared" si="714"/>
        <v>16648.64865</v>
      </c>
      <c r="BI756" s="118">
        <f t="shared" si="715"/>
        <v>9989.189189</v>
      </c>
      <c r="BJ756" s="118">
        <f t="shared" si="716"/>
        <v>8324.324324</v>
      </c>
      <c r="BK756" s="118">
        <f t="shared" si="717"/>
        <v>6659.459459</v>
      </c>
      <c r="BL756" s="49"/>
      <c r="BM756" s="49"/>
      <c r="BN756" s="394"/>
      <c r="BO756" s="49"/>
      <c r="BP756" s="49"/>
      <c r="BQ756" s="49"/>
      <c r="BR756" s="49"/>
      <c r="BS756" s="49"/>
      <c r="BT756" s="49"/>
      <c r="BU756" s="49"/>
      <c r="BV756" s="49"/>
      <c r="BW756" s="49"/>
      <c r="BX756" s="49"/>
      <c r="BY756" s="49"/>
      <c r="BZ756" s="49"/>
      <c r="CA756" s="49"/>
      <c r="CB756" s="49"/>
      <c r="CC756" s="49"/>
      <c r="CD756" s="49"/>
      <c r="CE756" s="49"/>
      <c r="CF756" s="49"/>
    </row>
    <row r="757" ht="14.25" customHeight="1">
      <c r="A757" s="103" t="s">
        <v>84</v>
      </c>
      <c r="B757" s="103" t="s">
        <v>120</v>
      </c>
      <c r="C757" s="103" t="s">
        <v>120</v>
      </c>
      <c r="D757" s="103" t="s">
        <v>1266</v>
      </c>
      <c r="E757" s="103" t="s">
        <v>1948</v>
      </c>
      <c r="F757" s="104" t="s">
        <v>2025</v>
      </c>
      <c r="G757" s="110" t="s">
        <v>2150</v>
      </c>
      <c r="H757" s="390" t="s">
        <v>1962</v>
      </c>
      <c r="I757" s="391" t="s">
        <v>2772</v>
      </c>
      <c r="J757" s="220" t="s">
        <v>2773</v>
      </c>
      <c r="K757" s="220" t="str">
        <f>_xlfn.XLOOKUP(J757,[1]Sheet1!$A:$A,[1]Sheet1!$B:$B,"")</f>
        <v>#ERROR!</v>
      </c>
      <c r="L757" s="149" t="s">
        <v>2774</v>
      </c>
      <c r="M757" s="149" t="s">
        <v>2775</v>
      </c>
      <c r="N757" s="110" t="s">
        <v>162</v>
      </c>
      <c r="O757" s="104" t="s">
        <v>147</v>
      </c>
      <c r="P757" s="110"/>
      <c r="Q757" s="104" t="s">
        <v>1989</v>
      </c>
      <c r="R757" s="110" t="s">
        <v>1955</v>
      </c>
      <c r="S757" s="110">
        <v>2.0</v>
      </c>
      <c r="T757" s="155" t="e">
        <v>#N/A</v>
      </c>
      <c r="U757" s="155">
        <v>8.5447E9</v>
      </c>
      <c r="V757" s="157">
        <v>0.0</v>
      </c>
      <c r="W757" s="158">
        <v>30.0</v>
      </c>
      <c r="X757" s="155">
        <v>45.0</v>
      </c>
      <c r="Y757" s="155">
        <v>55.0</v>
      </c>
      <c r="Z757" s="155" t="s">
        <v>1938</v>
      </c>
      <c r="AA757" s="114">
        <f t="shared" si="786"/>
        <v>982.2916667</v>
      </c>
      <c r="AB757" s="395"/>
      <c r="AC757" s="159">
        <f t="shared" si="772"/>
        <v>914.1891892</v>
      </c>
      <c r="AD757" s="117">
        <f t="shared" si="783"/>
        <v>962.3044097</v>
      </c>
      <c r="AE757" s="159"/>
      <c r="AF757" s="159" t="str">
        <f t="shared" si="94"/>
        <v>#REF!</v>
      </c>
      <c r="AG757" s="396" t="str">
        <f t="shared" si="95"/>
        <v>#REF!</v>
      </c>
      <c r="AH757" s="120" t="str">
        <f t="shared" si="96"/>
        <v>#REF!</v>
      </c>
      <c r="AI757" s="157">
        <f t="shared" si="497"/>
        <v>0.07</v>
      </c>
      <c r="AJ757" s="157">
        <v>0.07</v>
      </c>
      <c r="AK757" s="122">
        <v>0.26</v>
      </c>
      <c r="AL757" s="123">
        <f t="shared" si="11"/>
        <v>237.6891892</v>
      </c>
      <c r="AM757" s="157" t="s">
        <v>10</v>
      </c>
      <c r="AN757" s="161">
        <f t="shared" si="774"/>
        <v>914.1891892</v>
      </c>
      <c r="AO757" s="157">
        <f t="shared" si="775"/>
        <v>0.26</v>
      </c>
      <c r="AP757" s="127">
        <v>0.26</v>
      </c>
      <c r="AQ757" s="163">
        <f t="shared" si="787"/>
        <v>760.483871</v>
      </c>
      <c r="AR757" s="161">
        <f t="shared" si="776"/>
        <v>727.4193548</v>
      </c>
      <c r="AS757" s="162">
        <f t="shared" si="733"/>
        <v>0.2258064516</v>
      </c>
      <c r="AT757" s="162">
        <f t="shared" si="777"/>
        <v>0.2043010753</v>
      </c>
      <c r="AU757" s="129"/>
      <c r="AV757" s="39" t="s">
        <v>2242</v>
      </c>
      <c r="AW757" s="130"/>
      <c r="AX757" s="130"/>
      <c r="AY757" s="130"/>
      <c r="AZ757" s="130"/>
      <c r="BA757" s="130"/>
      <c r="BB757" s="130"/>
      <c r="BC757" s="392">
        <v>615.0</v>
      </c>
      <c r="BD757" s="132">
        <f t="shared" si="788"/>
        <v>676.5</v>
      </c>
      <c r="BE757" s="393"/>
      <c r="BF757" s="134"/>
      <c r="BG757" s="49"/>
      <c r="BH757" s="118">
        <f t="shared" si="714"/>
        <v>3047.297297</v>
      </c>
      <c r="BI757" s="118">
        <f t="shared" si="715"/>
        <v>1828.378378</v>
      </c>
      <c r="BJ757" s="118">
        <f t="shared" si="716"/>
        <v>1523.648649</v>
      </c>
      <c r="BK757" s="118">
        <f t="shared" si="717"/>
        <v>1218.918919</v>
      </c>
      <c r="BL757" s="49"/>
      <c r="BM757" s="49"/>
      <c r="BN757" s="394"/>
      <c r="BO757" s="49"/>
      <c r="BP757" s="49"/>
      <c r="BQ757" s="49"/>
      <c r="BR757" s="49"/>
      <c r="BS757" s="49"/>
      <c r="BT757" s="49"/>
      <c r="BU757" s="49"/>
      <c r="BV757" s="49"/>
      <c r="BW757" s="49"/>
      <c r="BX757" s="49"/>
      <c r="BY757" s="49"/>
      <c r="BZ757" s="49"/>
      <c r="CA757" s="49"/>
      <c r="CB757" s="49"/>
      <c r="CC757" s="49"/>
      <c r="CD757" s="49"/>
      <c r="CE757" s="49"/>
      <c r="CF757" s="49"/>
    </row>
    <row r="758" ht="14.25" customHeight="1">
      <c r="A758" s="103" t="s">
        <v>84</v>
      </c>
      <c r="B758" s="103" t="s">
        <v>120</v>
      </c>
      <c r="C758" s="103" t="s">
        <v>120</v>
      </c>
      <c r="D758" s="103" t="s">
        <v>1266</v>
      </c>
      <c r="E758" s="103" t="s">
        <v>1948</v>
      </c>
      <c r="F758" s="104" t="s">
        <v>2025</v>
      </c>
      <c r="G758" s="110" t="s">
        <v>2150</v>
      </c>
      <c r="H758" s="390" t="s">
        <v>1967</v>
      </c>
      <c r="I758" s="391" t="s">
        <v>2776</v>
      </c>
      <c r="J758" s="220" t="s">
        <v>2777</v>
      </c>
      <c r="K758" s="220" t="str">
        <f>_xlfn.XLOOKUP(J758,[1]Sheet1!$A:$A,[1]Sheet1!$B:$B,"")</f>
        <v>#ERROR!</v>
      </c>
      <c r="L758" s="149" t="s">
        <v>2778</v>
      </c>
      <c r="M758" s="149" t="s">
        <v>2779</v>
      </c>
      <c r="N758" s="110" t="s">
        <v>162</v>
      </c>
      <c r="O758" s="104" t="s">
        <v>147</v>
      </c>
      <c r="P758" s="110"/>
      <c r="Q758" s="104" t="s">
        <v>1989</v>
      </c>
      <c r="R758" s="110" t="s">
        <v>1955</v>
      </c>
      <c r="S758" s="110">
        <v>2.0</v>
      </c>
      <c r="T758" s="155" t="e">
        <v>#N/A</v>
      </c>
      <c r="U758" s="155">
        <v>8.5447E9</v>
      </c>
      <c r="V758" s="157">
        <v>0.0</v>
      </c>
      <c r="W758" s="158">
        <v>30.0</v>
      </c>
      <c r="X758" s="155">
        <v>45.0</v>
      </c>
      <c r="Y758" s="155">
        <v>55.0</v>
      </c>
      <c r="Z758" s="155" t="s">
        <v>1938</v>
      </c>
      <c r="AA758" s="114">
        <f t="shared" si="786"/>
        <v>1157.986111</v>
      </c>
      <c r="AB758" s="395"/>
      <c r="AC758" s="159">
        <f t="shared" si="772"/>
        <v>1077.702703</v>
      </c>
      <c r="AD758" s="117">
        <f t="shared" si="783"/>
        <v>1134.423898</v>
      </c>
      <c r="AE758" s="159"/>
      <c r="AF758" s="159" t="str">
        <f t="shared" si="94"/>
        <v>#REF!</v>
      </c>
      <c r="AG758" s="396" t="str">
        <f t="shared" si="95"/>
        <v>#REF!</v>
      </c>
      <c r="AH758" s="120" t="str">
        <f t="shared" si="96"/>
        <v>#REF!</v>
      </c>
      <c r="AI758" s="157">
        <f t="shared" si="497"/>
        <v>0.07</v>
      </c>
      <c r="AJ758" s="157">
        <v>0.07</v>
      </c>
      <c r="AK758" s="122">
        <v>0.26</v>
      </c>
      <c r="AL758" s="123">
        <f t="shared" si="11"/>
        <v>280.2027027</v>
      </c>
      <c r="AM758" s="157" t="s">
        <v>10</v>
      </c>
      <c r="AN758" s="161">
        <f t="shared" si="774"/>
        <v>1077.702703</v>
      </c>
      <c r="AO758" s="157">
        <f t="shared" si="775"/>
        <v>0.26</v>
      </c>
      <c r="AP758" s="127">
        <v>0.26</v>
      </c>
      <c r="AQ758" s="163">
        <f t="shared" si="787"/>
        <v>896.5053763</v>
      </c>
      <c r="AR758" s="161">
        <f t="shared" si="776"/>
        <v>857.5268817</v>
      </c>
      <c r="AS758" s="162">
        <f t="shared" si="733"/>
        <v>0.2258064516</v>
      </c>
      <c r="AT758" s="162">
        <f t="shared" si="777"/>
        <v>0.2043010753</v>
      </c>
      <c r="AU758" s="129"/>
      <c r="AV758" s="39" t="s">
        <v>2242</v>
      </c>
      <c r="AW758" s="130"/>
      <c r="AX758" s="130"/>
      <c r="AY758" s="130"/>
      <c r="AZ758" s="130"/>
      <c r="BA758" s="130"/>
      <c r="BB758" s="130"/>
      <c r="BC758" s="392">
        <v>725.0</v>
      </c>
      <c r="BD758" s="132">
        <f t="shared" si="788"/>
        <v>797.5</v>
      </c>
      <c r="BE758" s="393"/>
      <c r="BF758" s="134"/>
      <c r="BG758" s="49"/>
      <c r="BH758" s="118">
        <f t="shared" si="714"/>
        <v>3592.342342</v>
      </c>
      <c r="BI758" s="118">
        <f t="shared" si="715"/>
        <v>2155.405405</v>
      </c>
      <c r="BJ758" s="118">
        <f t="shared" si="716"/>
        <v>1796.171171</v>
      </c>
      <c r="BK758" s="118">
        <f t="shared" si="717"/>
        <v>1436.936937</v>
      </c>
      <c r="BL758" s="49"/>
      <c r="BM758" s="49"/>
      <c r="BN758" s="394"/>
      <c r="BO758" s="49"/>
      <c r="BP758" s="49"/>
      <c r="BQ758" s="49"/>
      <c r="BR758" s="49"/>
      <c r="BS758" s="49"/>
      <c r="BT758" s="49"/>
      <c r="BU758" s="49"/>
      <c r="BV758" s="49"/>
      <c r="BW758" s="49"/>
      <c r="BX758" s="49"/>
      <c r="BY758" s="49"/>
      <c r="BZ758" s="49"/>
      <c r="CA758" s="49"/>
      <c r="CB758" s="49"/>
      <c r="CC758" s="49"/>
      <c r="CD758" s="49"/>
      <c r="CE758" s="49"/>
      <c r="CF758" s="49"/>
    </row>
    <row r="759" ht="14.25" customHeight="1">
      <c r="A759" s="103" t="s">
        <v>84</v>
      </c>
      <c r="B759" s="103" t="s">
        <v>120</v>
      </c>
      <c r="C759" s="103" t="s">
        <v>120</v>
      </c>
      <c r="D759" s="103" t="s">
        <v>1266</v>
      </c>
      <c r="E759" s="103" t="s">
        <v>1948</v>
      </c>
      <c r="F759" s="104" t="s">
        <v>2025</v>
      </c>
      <c r="G759" s="110" t="s">
        <v>2150</v>
      </c>
      <c r="H759" s="390" t="s">
        <v>2026</v>
      </c>
      <c r="I759" s="391" t="s">
        <v>2780</v>
      </c>
      <c r="J759" s="220" t="s">
        <v>2781</v>
      </c>
      <c r="K759" s="220" t="s">
        <v>2782</v>
      </c>
      <c r="L759" s="103" t="s">
        <v>2783</v>
      </c>
      <c r="M759" s="103" t="s">
        <v>2784</v>
      </c>
      <c r="N759" s="110" t="s">
        <v>162</v>
      </c>
      <c r="O759" s="104" t="s">
        <v>147</v>
      </c>
      <c r="P759" s="110"/>
      <c r="Q759" s="104" t="s">
        <v>1989</v>
      </c>
      <c r="R759" s="110" t="s">
        <v>1955</v>
      </c>
      <c r="S759" s="110">
        <v>2.0</v>
      </c>
      <c r="T759" s="110" t="e">
        <v>#N/A</v>
      </c>
      <c r="U759" s="110">
        <v>8.5447E9</v>
      </c>
      <c r="V759" s="112">
        <v>0.0</v>
      </c>
      <c r="W759" s="113">
        <v>30.0</v>
      </c>
      <c r="X759" s="110">
        <v>45.0</v>
      </c>
      <c r="Y759" s="110">
        <v>55.0</v>
      </c>
      <c r="Z759" s="110" t="s">
        <v>1938</v>
      </c>
      <c r="AA759" s="114">
        <f t="shared" si="786"/>
        <v>1493.402778</v>
      </c>
      <c r="AB759" s="115"/>
      <c r="AC759" s="116">
        <f t="shared" si="772"/>
        <v>1389.864865</v>
      </c>
      <c r="AD759" s="117">
        <f t="shared" si="783"/>
        <v>1463.015647</v>
      </c>
      <c r="AE759" s="116"/>
      <c r="AF759" s="116" t="str">
        <f t="shared" si="94"/>
        <v>#REF!</v>
      </c>
      <c r="AG759" s="210" t="str">
        <f t="shared" si="95"/>
        <v>#REF!</v>
      </c>
      <c r="AH759" s="120" t="str">
        <f t="shared" si="96"/>
        <v>#REF!</v>
      </c>
      <c r="AI759" s="121">
        <f t="shared" si="497"/>
        <v>0.07</v>
      </c>
      <c r="AJ759" s="121">
        <v>0.07</v>
      </c>
      <c r="AK759" s="122">
        <v>0.26</v>
      </c>
      <c r="AL759" s="123">
        <f t="shared" si="11"/>
        <v>361.3648649</v>
      </c>
      <c r="AM759" s="122" t="s">
        <v>10</v>
      </c>
      <c r="AN759" s="125">
        <f t="shared" si="774"/>
        <v>1389.864865</v>
      </c>
      <c r="AO759" s="112">
        <f t="shared" si="775"/>
        <v>0.26</v>
      </c>
      <c r="AP759" s="127">
        <v>0.26</v>
      </c>
      <c r="AQ759" s="128">
        <f t="shared" si="787"/>
        <v>1156.182796</v>
      </c>
      <c r="AR759" s="125">
        <f t="shared" si="776"/>
        <v>1105.913978</v>
      </c>
      <c r="AS759" s="126">
        <f t="shared" si="733"/>
        <v>0.2258064516</v>
      </c>
      <c r="AT759" s="126">
        <f t="shared" si="777"/>
        <v>0.2043010753</v>
      </c>
      <c r="AU759" s="129">
        <v>646.61</v>
      </c>
      <c r="AV759" s="39" t="s">
        <v>2242</v>
      </c>
      <c r="AW759" s="130"/>
      <c r="AX759" s="130"/>
      <c r="AY759" s="130"/>
      <c r="AZ759" s="130"/>
      <c r="BA759" s="130"/>
      <c r="BB759" s="130"/>
      <c r="BC759" s="392">
        <v>935.0</v>
      </c>
      <c r="BD759" s="132">
        <f t="shared" si="788"/>
        <v>1028.5</v>
      </c>
      <c r="BE759" s="393"/>
      <c r="BF759" s="134"/>
      <c r="BG759" s="49"/>
      <c r="BH759" s="118">
        <f t="shared" si="714"/>
        <v>4632.882883</v>
      </c>
      <c r="BI759" s="118">
        <f t="shared" si="715"/>
        <v>2779.72973</v>
      </c>
      <c r="BJ759" s="118">
        <f t="shared" si="716"/>
        <v>2316.441441</v>
      </c>
      <c r="BK759" s="118">
        <f t="shared" si="717"/>
        <v>1853.153153</v>
      </c>
      <c r="BL759" s="49"/>
      <c r="BM759" s="49"/>
      <c r="BN759" s="394"/>
      <c r="BO759" s="49"/>
      <c r="BP759" s="49"/>
      <c r="BQ759" s="49"/>
      <c r="BR759" s="49"/>
      <c r="BS759" s="49"/>
      <c r="BT759" s="49"/>
      <c r="BU759" s="49"/>
      <c r="BV759" s="49"/>
      <c r="BW759" s="49"/>
      <c r="BX759" s="49"/>
      <c r="BY759" s="49"/>
      <c r="BZ759" s="49"/>
      <c r="CA759" s="49"/>
      <c r="CB759" s="49"/>
      <c r="CC759" s="49"/>
      <c r="CD759" s="49"/>
      <c r="CE759" s="49"/>
      <c r="CF759" s="49"/>
    </row>
    <row r="760" ht="14.25" customHeight="1">
      <c r="A760" s="103" t="s">
        <v>84</v>
      </c>
      <c r="B760" s="103" t="s">
        <v>120</v>
      </c>
      <c r="C760" s="103" t="s">
        <v>120</v>
      </c>
      <c r="D760" s="103" t="s">
        <v>1266</v>
      </c>
      <c r="E760" s="103" t="s">
        <v>1948</v>
      </c>
      <c r="F760" s="104" t="s">
        <v>2025</v>
      </c>
      <c r="G760" s="110" t="s">
        <v>2150</v>
      </c>
      <c r="H760" s="390" t="s">
        <v>2333</v>
      </c>
      <c r="I760" s="391" t="s">
        <v>2785</v>
      </c>
      <c r="J760" s="220" t="s">
        <v>2786</v>
      </c>
      <c r="K760" s="220" t="str">
        <f>_xlfn.XLOOKUP(J760,[1]Sheet1!$A:$A,[1]Sheet1!$B:$B,"")</f>
        <v>#ERROR!</v>
      </c>
      <c r="L760" s="149" t="s">
        <v>2787</v>
      </c>
      <c r="M760" s="149" t="s">
        <v>2788</v>
      </c>
      <c r="N760" s="110" t="s">
        <v>162</v>
      </c>
      <c r="O760" s="104" t="s">
        <v>147</v>
      </c>
      <c r="P760" s="110"/>
      <c r="Q760" s="104" t="s">
        <v>1989</v>
      </c>
      <c r="R760" s="110" t="s">
        <v>1955</v>
      </c>
      <c r="S760" s="110">
        <v>2.0</v>
      </c>
      <c r="T760" s="155" t="e">
        <v>#N/A</v>
      </c>
      <c r="U760" s="155">
        <v>8.5447E9</v>
      </c>
      <c r="V760" s="157">
        <v>0.0</v>
      </c>
      <c r="W760" s="158">
        <v>30.0</v>
      </c>
      <c r="X760" s="155">
        <v>45.0</v>
      </c>
      <c r="Y760" s="155">
        <v>55.0</v>
      </c>
      <c r="Z760" s="155" t="s">
        <v>1938</v>
      </c>
      <c r="AA760" s="114">
        <f t="shared" si="786"/>
        <v>1796.875</v>
      </c>
      <c r="AB760" s="395"/>
      <c r="AC760" s="159">
        <f t="shared" si="772"/>
        <v>1672.297297</v>
      </c>
      <c r="AD760" s="117">
        <f t="shared" si="783"/>
        <v>1760.312945</v>
      </c>
      <c r="AE760" s="159"/>
      <c r="AF760" s="159" t="str">
        <f t="shared" si="94"/>
        <v>#REF!</v>
      </c>
      <c r="AG760" s="396" t="str">
        <f t="shared" si="95"/>
        <v>#REF!</v>
      </c>
      <c r="AH760" s="120" t="str">
        <f t="shared" si="96"/>
        <v>#REF!</v>
      </c>
      <c r="AI760" s="157">
        <f t="shared" si="497"/>
        <v>0.07</v>
      </c>
      <c r="AJ760" s="157">
        <v>0.07</v>
      </c>
      <c r="AK760" s="122">
        <v>0.26</v>
      </c>
      <c r="AL760" s="123">
        <f t="shared" si="11"/>
        <v>434.7972973</v>
      </c>
      <c r="AM760" s="157" t="s">
        <v>10</v>
      </c>
      <c r="AN760" s="161">
        <f t="shared" si="774"/>
        <v>1672.297297</v>
      </c>
      <c r="AO760" s="157">
        <f t="shared" si="775"/>
        <v>0.26</v>
      </c>
      <c r="AP760" s="127">
        <v>0.26</v>
      </c>
      <c r="AQ760" s="163">
        <f t="shared" si="787"/>
        <v>1391.129032</v>
      </c>
      <c r="AR760" s="161">
        <f t="shared" si="776"/>
        <v>1330.645161</v>
      </c>
      <c r="AS760" s="162">
        <f t="shared" si="733"/>
        <v>0.2258064516</v>
      </c>
      <c r="AT760" s="162">
        <f t="shared" si="777"/>
        <v>0.2043010753</v>
      </c>
      <c r="AU760" s="129"/>
      <c r="AV760" s="39" t="s">
        <v>2242</v>
      </c>
      <c r="AW760" s="130"/>
      <c r="AX760" s="130"/>
      <c r="AY760" s="130"/>
      <c r="AZ760" s="130"/>
      <c r="BA760" s="130"/>
      <c r="BB760" s="130"/>
      <c r="BC760" s="392">
        <v>1125.0</v>
      </c>
      <c r="BD760" s="132">
        <f t="shared" si="788"/>
        <v>1237.5</v>
      </c>
      <c r="BE760" s="393"/>
      <c r="BF760" s="134"/>
      <c r="BG760" s="49"/>
      <c r="BH760" s="118">
        <f t="shared" si="714"/>
        <v>5574.324324</v>
      </c>
      <c r="BI760" s="118">
        <f t="shared" si="715"/>
        <v>3344.594595</v>
      </c>
      <c r="BJ760" s="118">
        <f t="shared" si="716"/>
        <v>2787.162162</v>
      </c>
      <c r="BK760" s="118">
        <f t="shared" si="717"/>
        <v>2229.72973</v>
      </c>
      <c r="BL760" s="49"/>
      <c r="BM760" s="49"/>
      <c r="BN760" s="394"/>
      <c r="BO760" s="49"/>
      <c r="BP760" s="49"/>
      <c r="BQ760" s="49"/>
      <c r="BR760" s="49"/>
      <c r="BS760" s="49"/>
      <c r="BT760" s="49"/>
      <c r="BU760" s="49"/>
      <c r="BV760" s="49"/>
      <c r="BW760" s="49"/>
      <c r="BX760" s="49"/>
      <c r="BY760" s="49"/>
      <c r="BZ760" s="49"/>
      <c r="CA760" s="49"/>
      <c r="CB760" s="49"/>
      <c r="CC760" s="49"/>
      <c r="CD760" s="49"/>
      <c r="CE760" s="49"/>
      <c r="CF760" s="49"/>
    </row>
    <row r="761" ht="14.25" customHeight="1">
      <c r="A761" s="103" t="s">
        <v>84</v>
      </c>
      <c r="B761" s="103" t="s">
        <v>120</v>
      </c>
      <c r="C761" s="103" t="s">
        <v>120</v>
      </c>
      <c r="D761" s="103" t="s">
        <v>1266</v>
      </c>
      <c r="E761" s="103" t="s">
        <v>1948</v>
      </c>
      <c r="F761" s="104" t="s">
        <v>2025</v>
      </c>
      <c r="G761" s="110" t="s">
        <v>2150</v>
      </c>
      <c r="H761" s="390" t="s">
        <v>2031</v>
      </c>
      <c r="I761" s="391" t="s">
        <v>2789</v>
      </c>
      <c r="J761" s="220" t="s">
        <v>2790</v>
      </c>
      <c r="K761" s="220" t="str">
        <f>_xlfn.XLOOKUP(J761,[1]Sheet1!$A:$A,[1]Sheet1!$B:$B,"")</f>
        <v>#ERROR!</v>
      </c>
      <c r="L761" s="149" t="s">
        <v>2791</v>
      </c>
      <c r="M761" s="149" t="s">
        <v>2792</v>
      </c>
      <c r="N761" s="110" t="s">
        <v>162</v>
      </c>
      <c r="O761" s="104" t="s">
        <v>147</v>
      </c>
      <c r="P761" s="110"/>
      <c r="Q761" s="104" t="s">
        <v>1989</v>
      </c>
      <c r="R761" s="110" t="s">
        <v>1955</v>
      </c>
      <c r="S761" s="110">
        <v>2.0</v>
      </c>
      <c r="T761" s="155" t="e">
        <v>#N/A</v>
      </c>
      <c r="U761" s="155">
        <v>8.5447E9</v>
      </c>
      <c r="V761" s="157">
        <v>0.0</v>
      </c>
      <c r="W761" s="158">
        <v>30.0</v>
      </c>
      <c r="X761" s="155">
        <v>45.0</v>
      </c>
      <c r="Y761" s="155">
        <v>55.0</v>
      </c>
      <c r="Z761" s="155" t="s">
        <v>1938</v>
      </c>
      <c r="AA761" s="114">
        <f t="shared" si="786"/>
        <v>2363.888889</v>
      </c>
      <c r="AB761" s="395"/>
      <c r="AC761" s="159">
        <f t="shared" si="772"/>
        <v>2200</v>
      </c>
      <c r="AD761" s="117">
        <f t="shared" si="783"/>
        <v>2315.789474</v>
      </c>
      <c r="AE761" s="159"/>
      <c r="AF761" s="159" t="str">
        <f t="shared" si="94"/>
        <v>#REF!</v>
      </c>
      <c r="AG761" s="396" t="str">
        <f t="shared" si="95"/>
        <v>#REF!</v>
      </c>
      <c r="AH761" s="120" t="str">
        <f t="shared" si="96"/>
        <v>#REF!</v>
      </c>
      <c r="AI761" s="157">
        <f t="shared" si="497"/>
        <v>0.07</v>
      </c>
      <c r="AJ761" s="157">
        <v>0.07</v>
      </c>
      <c r="AK761" s="122">
        <v>0.26</v>
      </c>
      <c r="AL761" s="123">
        <f t="shared" si="11"/>
        <v>572</v>
      </c>
      <c r="AM761" s="157" t="s">
        <v>10</v>
      </c>
      <c r="AN761" s="161">
        <f t="shared" si="774"/>
        <v>2200</v>
      </c>
      <c r="AO761" s="157">
        <f t="shared" si="775"/>
        <v>0.26</v>
      </c>
      <c r="AP761" s="127">
        <v>0.26</v>
      </c>
      <c r="AQ761" s="163">
        <f t="shared" si="787"/>
        <v>1830.107527</v>
      </c>
      <c r="AR761" s="161">
        <f t="shared" si="776"/>
        <v>1750.537634</v>
      </c>
      <c r="AS761" s="162">
        <f t="shared" si="733"/>
        <v>0.2258064516</v>
      </c>
      <c r="AT761" s="162">
        <f t="shared" si="777"/>
        <v>0.2043010753</v>
      </c>
      <c r="AU761" s="129"/>
      <c r="AV761" s="39" t="s">
        <v>2242</v>
      </c>
      <c r="AW761" s="130"/>
      <c r="AX761" s="130"/>
      <c r="AY761" s="130"/>
      <c r="AZ761" s="130"/>
      <c r="BA761" s="130"/>
      <c r="BB761" s="130"/>
      <c r="BC761" s="392">
        <v>1480.0</v>
      </c>
      <c r="BD761" s="132">
        <f t="shared" si="788"/>
        <v>1628</v>
      </c>
      <c r="BE761" s="393"/>
      <c r="BF761" s="134"/>
      <c r="BG761" s="49"/>
      <c r="BH761" s="118">
        <f t="shared" si="714"/>
        <v>7333.333333</v>
      </c>
      <c r="BI761" s="118">
        <f t="shared" si="715"/>
        <v>4400</v>
      </c>
      <c r="BJ761" s="118">
        <f t="shared" si="716"/>
        <v>3666.666667</v>
      </c>
      <c r="BK761" s="118">
        <f t="shared" si="717"/>
        <v>2933.333333</v>
      </c>
      <c r="BL761" s="49"/>
      <c r="BM761" s="49"/>
      <c r="BN761" s="394"/>
      <c r="BO761" s="49"/>
      <c r="BP761" s="49"/>
      <c r="BQ761" s="49"/>
      <c r="BR761" s="49"/>
      <c r="BS761" s="49"/>
      <c r="BT761" s="49"/>
      <c r="BU761" s="49"/>
      <c r="BV761" s="49"/>
      <c r="BW761" s="49"/>
      <c r="BX761" s="49"/>
      <c r="BY761" s="49"/>
      <c r="BZ761" s="49"/>
      <c r="CA761" s="49"/>
      <c r="CB761" s="49"/>
      <c r="CC761" s="49"/>
      <c r="CD761" s="49"/>
      <c r="CE761" s="49"/>
      <c r="CF761" s="49"/>
    </row>
    <row r="762" ht="14.25" customHeight="1">
      <c r="A762" s="103" t="s">
        <v>84</v>
      </c>
      <c r="B762" s="103" t="s">
        <v>120</v>
      </c>
      <c r="C762" s="103" t="s">
        <v>120</v>
      </c>
      <c r="D762" s="103" t="s">
        <v>1266</v>
      </c>
      <c r="E762" s="103" t="s">
        <v>1948</v>
      </c>
      <c r="F762" s="104" t="s">
        <v>2025</v>
      </c>
      <c r="G762" s="110" t="s">
        <v>2150</v>
      </c>
      <c r="H762" s="390" t="s">
        <v>2339</v>
      </c>
      <c r="I762" s="391" t="s">
        <v>2793</v>
      </c>
      <c r="J762" s="220" t="s">
        <v>2794</v>
      </c>
      <c r="K762" s="220" t="str">
        <f>_xlfn.XLOOKUP(J762,[1]Sheet1!$A:$A,[1]Sheet1!$B:$B,"")</f>
        <v>#ERROR!</v>
      </c>
      <c r="L762" s="149" t="s">
        <v>2795</v>
      </c>
      <c r="M762" s="149" t="s">
        <v>2796</v>
      </c>
      <c r="N762" s="110" t="s">
        <v>162</v>
      </c>
      <c r="O762" s="104" t="s">
        <v>147</v>
      </c>
      <c r="P762" s="110"/>
      <c r="Q762" s="104" t="s">
        <v>1989</v>
      </c>
      <c r="R762" s="110" t="s">
        <v>1955</v>
      </c>
      <c r="S762" s="110">
        <v>2.0</v>
      </c>
      <c r="T762" s="155" t="e">
        <v>#N/A</v>
      </c>
      <c r="U762" s="155">
        <v>8.5447E9</v>
      </c>
      <c r="V762" s="157">
        <v>0.0</v>
      </c>
      <c r="W762" s="158">
        <v>30.0</v>
      </c>
      <c r="X762" s="155">
        <v>45.0</v>
      </c>
      <c r="Y762" s="155">
        <v>55.0</v>
      </c>
      <c r="Z762" s="155" t="s">
        <v>1938</v>
      </c>
      <c r="AA762" s="114">
        <f t="shared" si="786"/>
        <v>3106.597222</v>
      </c>
      <c r="AB762" s="395"/>
      <c r="AC762" s="159">
        <f t="shared" si="772"/>
        <v>2891.216216</v>
      </c>
      <c r="AD762" s="117">
        <f t="shared" si="783"/>
        <v>3043.385491</v>
      </c>
      <c r="AE762" s="159"/>
      <c r="AF762" s="159" t="str">
        <f t="shared" si="94"/>
        <v>#REF!</v>
      </c>
      <c r="AG762" s="396" t="str">
        <f t="shared" si="95"/>
        <v>#REF!</v>
      </c>
      <c r="AH762" s="120" t="str">
        <f t="shared" si="96"/>
        <v>#REF!</v>
      </c>
      <c r="AI762" s="157">
        <f t="shared" si="497"/>
        <v>0.07</v>
      </c>
      <c r="AJ762" s="157">
        <v>0.07</v>
      </c>
      <c r="AK762" s="122">
        <v>0.26</v>
      </c>
      <c r="AL762" s="123">
        <f t="shared" si="11"/>
        <v>751.7162162</v>
      </c>
      <c r="AM762" s="157" t="s">
        <v>10</v>
      </c>
      <c r="AN762" s="161">
        <f t="shared" si="774"/>
        <v>2891.216216</v>
      </c>
      <c r="AO762" s="157">
        <f t="shared" si="775"/>
        <v>0.26</v>
      </c>
      <c r="AP762" s="127">
        <v>0.26</v>
      </c>
      <c r="AQ762" s="163">
        <f t="shared" si="787"/>
        <v>2405.107527</v>
      </c>
      <c r="AR762" s="161">
        <f t="shared" si="776"/>
        <v>2300.537634</v>
      </c>
      <c r="AS762" s="162">
        <f t="shared" si="733"/>
        <v>0.2258064516</v>
      </c>
      <c r="AT762" s="162">
        <f t="shared" si="777"/>
        <v>0.2043010753</v>
      </c>
      <c r="AU762" s="129"/>
      <c r="AV762" s="39" t="s">
        <v>2242</v>
      </c>
      <c r="AW762" s="130"/>
      <c r="AX762" s="130"/>
      <c r="AY762" s="130"/>
      <c r="AZ762" s="130"/>
      <c r="BA762" s="130"/>
      <c r="BB762" s="130"/>
      <c r="BC762" s="392">
        <v>1945.0</v>
      </c>
      <c r="BD762" s="132">
        <f t="shared" si="788"/>
        <v>2139.5</v>
      </c>
      <c r="BE762" s="393"/>
      <c r="BF762" s="134"/>
      <c r="BG762" s="49"/>
      <c r="BH762" s="118">
        <f t="shared" si="714"/>
        <v>9637.387387</v>
      </c>
      <c r="BI762" s="118">
        <f t="shared" si="715"/>
        <v>5782.432432</v>
      </c>
      <c r="BJ762" s="118">
        <f t="shared" si="716"/>
        <v>4818.693694</v>
      </c>
      <c r="BK762" s="118">
        <f t="shared" si="717"/>
        <v>3854.954955</v>
      </c>
      <c r="BL762" s="49"/>
      <c r="BM762" s="49"/>
      <c r="BN762" s="394"/>
      <c r="BO762" s="49"/>
      <c r="BP762" s="49"/>
      <c r="BQ762" s="49"/>
      <c r="BR762" s="49"/>
      <c r="BS762" s="49"/>
      <c r="BT762" s="49"/>
      <c r="BU762" s="49"/>
      <c r="BV762" s="49"/>
      <c r="BW762" s="49"/>
      <c r="BX762" s="49"/>
      <c r="BY762" s="49"/>
      <c r="BZ762" s="49"/>
      <c r="CA762" s="49"/>
      <c r="CB762" s="49"/>
      <c r="CC762" s="49"/>
      <c r="CD762" s="49"/>
      <c r="CE762" s="49"/>
      <c r="CF762" s="49"/>
    </row>
    <row r="763" ht="14.25" customHeight="1">
      <c r="A763" s="103" t="s">
        <v>84</v>
      </c>
      <c r="B763" s="103" t="s">
        <v>120</v>
      </c>
      <c r="C763" s="103" t="s">
        <v>120</v>
      </c>
      <c r="D763" s="103" t="s">
        <v>1266</v>
      </c>
      <c r="E763" s="103" t="s">
        <v>1948</v>
      </c>
      <c r="F763" s="104" t="s">
        <v>2025</v>
      </c>
      <c r="G763" s="110" t="s">
        <v>2150</v>
      </c>
      <c r="H763" s="390" t="s">
        <v>2344</v>
      </c>
      <c r="I763" s="391" t="s">
        <v>2797</v>
      </c>
      <c r="J763" s="220" t="s">
        <v>2798</v>
      </c>
      <c r="K763" s="220" t="str">
        <f>_xlfn.XLOOKUP(J763,[1]Sheet1!$A:$A,[1]Sheet1!$B:$B,"")</f>
        <v>#ERROR!</v>
      </c>
      <c r="L763" s="149" t="s">
        <v>2799</v>
      </c>
      <c r="M763" s="149" t="s">
        <v>2800</v>
      </c>
      <c r="N763" s="110" t="s">
        <v>162</v>
      </c>
      <c r="O763" s="104" t="s">
        <v>147</v>
      </c>
      <c r="P763" s="110"/>
      <c r="Q763" s="104" t="s">
        <v>1989</v>
      </c>
      <c r="R763" s="110" t="s">
        <v>1955</v>
      </c>
      <c r="S763" s="110">
        <v>2.0</v>
      </c>
      <c r="T763" s="155" t="e">
        <v>#N/A</v>
      </c>
      <c r="U763" s="155">
        <v>8.5447E9</v>
      </c>
      <c r="V763" s="157">
        <v>0.0</v>
      </c>
      <c r="W763" s="158">
        <v>30.0</v>
      </c>
      <c r="X763" s="155">
        <v>45.0</v>
      </c>
      <c r="Y763" s="155">
        <v>55.0</v>
      </c>
      <c r="Z763" s="155" t="s">
        <v>1938</v>
      </c>
      <c r="AA763" s="114">
        <f t="shared" si="786"/>
        <v>5606.25</v>
      </c>
      <c r="AB763" s="395"/>
      <c r="AC763" s="159">
        <f t="shared" si="772"/>
        <v>5217.567568</v>
      </c>
      <c r="AD763" s="117">
        <f t="shared" si="783"/>
        <v>5492.176387</v>
      </c>
      <c r="AE763" s="159"/>
      <c r="AF763" s="159" t="str">
        <f t="shared" si="94"/>
        <v>#REF!</v>
      </c>
      <c r="AG763" s="396" t="str">
        <f t="shared" si="95"/>
        <v>#REF!</v>
      </c>
      <c r="AH763" s="120" t="str">
        <f t="shared" si="96"/>
        <v>#REF!</v>
      </c>
      <c r="AI763" s="157">
        <f t="shared" si="497"/>
        <v>0.07</v>
      </c>
      <c r="AJ763" s="157">
        <v>0.07</v>
      </c>
      <c r="AK763" s="122">
        <v>0.26</v>
      </c>
      <c r="AL763" s="123">
        <f t="shared" si="11"/>
        <v>1356.567568</v>
      </c>
      <c r="AM763" s="157" t="s">
        <v>10</v>
      </c>
      <c r="AN763" s="161">
        <f t="shared" si="774"/>
        <v>5217.567568</v>
      </c>
      <c r="AO763" s="157">
        <f t="shared" si="775"/>
        <v>0.26</v>
      </c>
      <c r="AP763" s="127">
        <v>0.26</v>
      </c>
      <c r="AQ763" s="163">
        <f t="shared" si="787"/>
        <v>4340.322581</v>
      </c>
      <c r="AR763" s="161">
        <f t="shared" si="776"/>
        <v>4151.612903</v>
      </c>
      <c r="AS763" s="162">
        <f t="shared" si="733"/>
        <v>0.2258064516</v>
      </c>
      <c r="AT763" s="162">
        <f t="shared" si="777"/>
        <v>0.2043010753</v>
      </c>
      <c r="AU763" s="129"/>
      <c r="AV763" s="39" t="s">
        <v>2242</v>
      </c>
      <c r="AW763" s="130"/>
      <c r="AX763" s="130"/>
      <c r="AY763" s="130"/>
      <c r="AZ763" s="130"/>
      <c r="BA763" s="130"/>
      <c r="BB763" s="130"/>
      <c r="BC763" s="392">
        <v>3510.0</v>
      </c>
      <c r="BD763" s="132">
        <f t="shared" si="788"/>
        <v>3861</v>
      </c>
      <c r="BE763" s="393"/>
      <c r="BF763" s="134"/>
      <c r="BG763" s="49"/>
      <c r="BH763" s="118">
        <f t="shared" si="714"/>
        <v>17391.89189</v>
      </c>
      <c r="BI763" s="118">
        <f t="shared" si="715"/>
        <v>10435.13514</v>
      </c>
      <c r="BJ763" s="118">
        <f t="shared" si="716"/>
        <v>8695.945946</v>
      </c>
      <c r="BK763" s="118">
        <f t="shared" si="717"/>
        <v>6956.756757</v>
      </c>
      <c r="BL763" s="49"/>
      <c r="BM763" s="49"/>
      <c r="BN763" s="394"/>
      <c r="BO763" s="49"/>
      <c r="BP763" s="49"/>
      <c r="BQ763" s="49"/>
      <c r="BR763" s="49"/>
      <c r="BS763" s="49"/>
      <c r="BT763" s="49"/>
      <c r="BU763" s="49"/>
      <c r="BV763" s="49"/>
      <c r="BW763" s="49"/>
      <c r="BX763" s="49"/>
      <c r="BY763" s="49"/>
      <c r="BZ763" s="49"/>
      <c r="CA763" s="49"/>
      <c r="CB763" s="49"/>
      <c r="CC763" s="49"/>
      <c r="CD763" s="49"/>
      <c r="CE763" s="49"/>
      <c r="CF763" s="49"/>
    </row>
    <row r="764" ht="14.25" customHeight="1">
      <c r="A764" s="103" t="s">
        <v>84</v>
      </c>
      <c r="B764" s="103" t="s">
        <v>120</v>
      </c>
      <c r="C764" s="103" t="s">
        <v>120</v>
      </c>
      <c r="D764" s="103" t="s">
        <v>1266</v>
      </c>
      <c r="E764" s="103" t="s">
        <v>1948</v>
      </c>
      <c r="F764" s="104" t="s">
        <v>2036</v>
      </c>
      <c r="G764" s="110" t="s">
        <v>2150</v>
      </c>
      <c r="H764" s="390" t="s">
        <v>2031</v>
      </c>
      <c r="I764" s="391" t="s">
        <v>2801</v>
      </c>
      <c r="J764" s="220" t="s">
        <v>2230</v>
      </c>
      <c r="K764" s="220" t="str">
        <f>_xlfn.XLOOKUP(J764,[1]Sheet1!$A:$A,[1]Sheet1!$B:$B,"")</f>
        <v>#ERROR!</v>
      </c>
      <c r="L764" s="103" t="s">
        <v>2231</v>
      </c>
      <c r="M764" s="103" t="s">
        <v>2232</v>
      </c>
      <c r="N764" s="110" t="s">
        <v>206</v>
      </c>
      <c r="O764" s="104" t="s">
        <v>147</v>
      </c>
      <c r="P764" s="110"/>
      <c r="Q764" s="104" t="s">
        <v>1989</v>
      </c>
      <c r="R764" s="110" t="s">
        <v>1955</v>
      </c>
      <c r="S764" s="110">
        <v>2.0</v>
      </c>
      <c r="T764" s="110" t="e">
        <v>#N/A</v>
      </c>
      <c r="U764" s="110">
        <v>8.5447E9</v>
      </c>
      <c r="V764" s="112">
        <v>0.0</v>
      </c>
      <c r="W764" s="113">
        <v>30.0</v>
      </c>
      <c r="X764" s="110">
        <v>45.0</v>
      </c>
      <c r="Y764" s="110">
        <v>55.0</v>
      </c>
      <c r="Z764" s="110" t="s">
        <v>1938</v>
      </c>
      <c r="AA764" s="114">
        <f t="shared" si="786"/>
        <v>1900.694444</v>
      </c>
      <c r="AB764" s="115"/>
      <c r="AC764" s="116">
        <f t="shared" si="772"/>
        <v>1768.918919</v>
      </c>
      <c r="AD764" s="117">
        <f t="shared" si="783"/>
        <v>1862.019915</v>
      </c>
      <c r="AE764" s="116"/>
      <c r="AF764" s="116" t="str">
        <f t="shared" si="94"/>
        <v>#REF!</v>
      </c>
      <c r="AG764" s="210" t="str">
        <f t="shared" si="95"/>
        <v>#REF!</v>
      </c>
      <c r="AH764" s="120" t="str">
        <f t="shared" si="96"/>
        <v>#REF!</v>
      </c>
      <c r="AI764" s="121">
        <f t="shared" si="497"/>
        <v>0.07</v>
      </c>
      <c r="AJ764" s="121">
        <v>0.07</v>
      </c>
      <c r="AK764" s="122">
        <v>0.26</v>
      </c>
      <c r="AL764" s="123">
        <f t="shared" si="11"/>
        <v>459.9189189</v>
      </c>
      <c r="AM764" s="122" t="s">
        <v>10</v>
      </c>
      <c r="AN764" s="125">
        <f t="shared" si="774"/>
        <v>1768.918919</v>
      </c>
      <c r="AO764" s="112">
        <f t="shared" si="775"/>
        <v>0.26</v>
      </c>
      <c r="AP764" s="127">
        <v>0.26</v>
      </c>
      <c r="AQ764" s="128">
        <f t="shared" si="787"/>
        <v>1471.505376</v>
      </c>
      <c r="AR764" s="125">
        <f t="shared" si="776"/>
        <v>1407.526882</v>
      </c>
      <c r="AS764" s="126">
        <f t="shared" si="733"/>
        <v>0.2258064516</v>
      </c>
      <c r="AT764" s="126">
        <f t="shared" si="777"/>
        <v>0.2043010753</v>
      </c>
      <c r="AU764" s="129"/>
      <c r="AV764" s="39" t="s">
        <v>2242</v>
      </c>
      <c r="AW764" s="130"/>
      <c r="AX764" s="130"/>
      <c r="AY764" s="130"/>
      <c r="AZ764" s="130"/>
      <c r="BA764" s="130"/>
      <c r="BB764" s="130"/>
      <c r="BC764" s="392">
        <v>1190.0</v>
      </c>
      <c r="BD764" s="132">
        <f t="shared" si="788"/>
        <v>1309</v>
      </c>
      <c r="BE764" s="393"/>
      <c r="BF764" s="134"/>
      <c r="BG764" s="49"/>
      <c r="BH764" s="118">
        <f t="shared" si="714"/>
        <v>5896.396396</v>
      </c>
      <c r="BI764" s="118">
        <f t="shared" si="715"/>
        <v>3537.837838</v>
      </c>
      <c r="BJ764" s="118">
        <f t="shared" si="716"/>
        <v>2948.198198</v>
      </c>
      <c r="BK764" s="118">
        <f t="shared" si="717"/>
        <v>2358.558559</v>
      </c>
      <c r="BL764" s="49"/>
      <c r="BM764" s="49"/>
      <c r="BN764" s="394"/>
      <c r="BO764" s="49"/>
      <c r="BP764" s="49"/>
      <c r="BQ764" s="49"/>
      <c r="BR764" s="49"/>
      <c r="BS764" s="49"/>
      <c r="BT764" s="49"/>
      <c r="BU764" s="49"/>
      <c r="BV764" s="49"/>
      <c r="BW764" s="49"/>
      <c r="BX764" s="49"/>
      <c r="BY764" s="49"/>
      <c r="BZ764" s="49"/>
      <c r="CA764" s="49"/>
      <c r="CB764" s="49"/>
      <c r="CC764" s="49"/>
      <c r="CD764" s="49"/>
      <c r="CE764" s="49"/>
      <c r="CF764" s="49"/>
    </row>
    <row r="765" ht="14.25" customHeight="1">
      <c r="A765" s="103" t="s">
        <v>84</v>
      </c>
      <c r="B765" s="103" t="s">
        <v>120</v>
      </c>
      <c r="C765" s="103" t="s">
        <v>120</v>
      </c>
      <c r="D765" s="103" t="s">
        <v>1266</v>
      </c>
      <c r="E765" s="103" t="s">
        <v>1948</v>
      </c>
      <c r="F765" s="104" t="s">
        <v>2036</v>
      </c>
      <c r="G765" s="110" t="s">
        <v>2150</v>
      </c>
      <c r="H765" s="390" t="s">
        <v>2026</v>
      </c>
      <c r="I765" s="391" t="s">
        <v>2802</v>
      </c>
      <c r="J765" s="220" t="s">
        <v>2226</v>
      </c>
      <c r="K765" s="220" t="str">
        <f>_xlfn.XLOOKUP(J765,[1]Sheet1!$A:$A,[1]Sheet1!$B:$B,"")</f>
        <v>#ERROR!</v>
      </c>
      <c r="L765" s="103" t="s">
        <v>2227</v>
      </c>
      <c r="M765" s="103" t="s">
        <v>2228</v>
      </c>
      <c r="N765" s="110" t="s">
        <v>206</v>
      </c>
      <c r="O765" s="104" t="s">
        <v>147</v>
      </c>
      <c r="P765" s="110"/>
      <c r="Q765" s="104" t="s">
        <v>1989</v>
      </c>
      <c r="R765" s="110" t="s">
        <v>1955</v>
      </c>
      <c r="S765" s="110">
        <v>2.0</v>
      </c>
      <c r="T765" s="110" t="e">
        <v>#N/A</v>
      </c>
      <c r="U765" s="110">
        <v>8.5447E9</v>
      </c>
      <c r="V765" s="112">
        <v>0.0</v>
      </c>
      <c r="W765" s="113">
        <v>30.0</v>
      </c>
      <c r="X765" s="110">
        <v>45.0</v>
      </c>
      <c r="Y765" s="110">
        <v>55.0</v>
      </c>
      <c r="Z765" s="110" t="s">
        <v>1938</v>
      </c>
      <c r="AA765" s="114">
        <f t="shared" si="786"/>
        <v>1150</v>
      </c>
      <c r="AB765" s="115"/>
      <c r="AC765" s="116">
        <f t="shared" si="772"/>
        <v>1070.27027</v>
      </c>
      <c r="AD765" s="117">
        <f t="shared" si="783"/>
        <v>1126.600284</v>
      </c>
      <c r="AE765" s="116"/>
      <c r="AF765" s="116" t="str">
        <f t="shared" si="94"/>
        <v>#REF!</v>
      </c>
      <c r="AG765" s="210" t="str">
        <f t="shared" si="95"/>
        <v>#REF!</v>
      </c>
      <c r="AH765" s="120" t="str">
        <f t="shared" si="96"/>
        <v>#REF!</v>
      </c>
      <c r="AI765" s="121">
        <f t="shared" si="497"/>
        <v>0.07</v>
      </c>
      <c r="AJ765" s="121">
        <v>0.07</v>
      </c>
      <c r="AK765" s="122">
        <v>0.26</v>
      </c>
      <c r="AL765" s="123">
        <f t="shared" si="11"/>
        <v>278.2702703</v>
      </c>
      <c r="AM765" s="122" t="s">
        <v>10</v>
      </c>
      <c r="AN765" s="125">
        <f t="shared" si="774"/>
        <v>1070.27027</v>
      </c>
      <c r="AO765" s="112">
        <f t="shared" si="775"/>
        <v>0.26</v>
      </c>
      <c r="AP765" s="127">
        <v>0.26</v>
      </c>
      <c r="AQ765" s="128">
        <f t="shared" si="787"/>
        <v>890.3225806</v>
      </c>
      <c r="AR765" s="125">
        <f t="shared" si="776"/>
        <v>851.6129032</v>
      </c>
      <c r="AS765" s="126">
        <f t="shared" si="733"/>
        <v>0.2258064516</v>
      </c>
      <c r="AT765" s="126">
        <f t="shared" si="777"/>
        <v>0.2043010753</v>
      </c>
      <c r="AU765" s="129"/>
      <c r="AV765" s="39" t="s">
        <v>2242</v>
      </c>
      <c r="AW765" s="130"/>
      <c r="AX765" s="130"/>
      <c r="AY765" s="130"/>
      <c r="AZ765" s="130"/>
      <c r="BA765" s="130"/>
      <c r="BB765" s="130"/>
      <c r="BC765" s="392">
        <v>720.0</v>
      </c>
      <c r="BD765" s="132">
        <f t="shared" si="788"/>
        <v>792</v>
      </c>
      <c r="BE765" s="393"/>
      <c r="BF765" s="134"/>
      <c r="BG765" s="49"/>
      <c r="BH765" s="118">
        <f t="shared" si="714"/>
        <v>3567.567568</v>
      </c>
      <c r="BI765" s="118">
        <f t="shared" si="715"/>
        <v>2140.540541</v>
      </c>
      <c r="BJ765" s="118">
        <f t="shared" si="716"/>
        <v>1783.783784</v>
      </c>
      <c r="BK765" s="118">
        <f t="shared" si="717"/>
        <v>1427.027027</v>
      </c>
      <c r="BL765" s="49"/>
      <c r="BM765" s="49"/>
      <c r="BN765" s="394"/>
      <c r="BO765" s="49"/>
      <c r="BP765" s="49"/>
      <c r="BQ765" s="49"/>
      <c r="BR765" s="49"/>
      <c r="BS765" s="49"/>
      <c r="BT765" s="49"/>
      <c r="BU765" s="49"/>
      <c r="BV765" s="49"/>
      <c r="BW765" s="49"/>
      <c r="BX765" s="49"/>
      <c r="BY765" s="49"/>
      <c r="BZ765" s="49"/>
      <c r="CA765" s="49"/>
      <c r="CB765" s="49"/>
      <c r="CC765" s="49"/>
      <c r="CD765" s="49"/>
      <c r="CE765" s="49"/>
      <c r="CF765" s="49"/>
    </row>
    <row r="766" ht="14.25" customHeight="1">
      <c r="A766" s="103" t="s">
        <v>84</v>
      </c>
      <c r="B766" s="103" t="s">
        <v>120</v>
      </c>
      <c r="C766" s="103" t="s">
        <v>120</v>
      </c>
      <c r="D766" s="103" t="s">
        <v>1266</v>
      </c>
      <c r="E766" s="103" t="s">
        <v>1948</v>
      </c>
      <c r="F766" s="104" t="s">
        <v>2036</v>
      </c>
      <c r="G766" s="110" t="s">
        <v>2150</v>
      </c>
      <c r="H766" s="390" t="s">
        <v>1967</v>
      </c>
      <c r="I766" s="391" t="s">
        <v>2803</v>
      </c>
      <c r="J766" s="220" t="s">
        <v>2804</v>
      </c>
      <c r="K766" s="220" t="str">
        <f>_xlfn.XLOOKUP(J766,[1]Sheet1!$A:$A,[1]Sheet1!$B:$B,"")</f>
        <v>#ERROR!</v>
      </c>
      <c r="L766" s="103" t="s">
        <v>2805</v>
      </c>
      <c r="M766" s="103" t="s">
        <v>2806</v>
      </c>
      <c r="N766" s="110" t="s">
        <v>206</v>
      </c>
      <c r="O766" s="104" t="s">
        <v>147</v>
      </c>
      <c r="P766" s="110"/>
      <c r="Q766" s="104" t="s">
        <v>1989</v>
      </c>
      <c r="R766" s="110" t="s">
        <v>1955</v>
      </c>
      <c r="S766" s="110">
        <v>2.0</v>
      </c>
      <c r="T766" s="110" t="e">
        <v>#N/A</v>
      </c>
      <c r="U766" s="110">
        <v>8.5447E9</v>
      </c>
      <c r="V766" s="112">
        <v>0.0</v>
      </c>
      <c r="W766" s="113">
        <v>30.0</v>
      </c>
      <c r="X766" s="110">
        <v>45.0</v>
      </c>
      <c r="Y766" s="110">
        <v>55.0</v>
      </c>
      <c r="Z766" s="110" t="s">
        <v>1938</v>
      </c>
      <c r="AA766" s="114">
        <f t="shared" si="786"/>
        <v>830.5555556</v>
      </c>
      <c r="AB766" s="115"/>
      <c r="AC766" s="116">
        <f t="shared" si="772"/>
        <v>772.972973</v>
      </c>
      <c r="AD766" s="117">
        <f t="shared" si="783"/>
        <v>813.655761</v>
      </c>
      <c r="AE766" s="116"/>
      <c r="AF766" s="116" t="str">
        <f t="shared" si="94"/>
        <v>#REF!</v>
      </c>
      <c r="AG766" s="210" t="str">
        <f t="shared" si="95"/>
        <v>#REF!</v>
      </c>
      <c r="AH766" s="120" t="str">
        <f t="shared" si="96"/>
        <v>#REF!</v>
      </c>
      <c r="AI766" s="121">
        <f t="shared" si="497"/>
        <v>0.07</v>
      </c>
      <c r="AJ766" s="121">
        <v>0.07</v>
      </c>
      <c r="AK766" s="122">
        <v>0.26</v>
      </c>
      <c r="AL766" s="123">
        <f t="shared" si="11"/>
        <v>200.972973</v>
      </c>
      <c r="AM766" s="122" t="s">
        <v>10</v>
      </c>
      <c r="AN766" s="125">
        <f t="shared" si="774"/>
        <v>772.972973</v>
      </c>
      <c r="AO766" s="112">
        <f t="shared" si="775"/>
        <v>0.26</v>
      </c>
      <c r="AP766" s="127">
        <v>0.26</v>
      </c>
      <c r="AQ766" s="128">
        <f t="shared" si="787"/>
        <v>643.0107527</v>
      </c>
      <c r="AR766" s="125">
        <f t="shared" si="776"/>
        <v>615.0537634</v>
      </c>
      <c r="AS766" s="126">
        <f t="shared" si="733"/>
        <v>0.2258064516</v>
      </c>
      <c r="AT766" s="126">
        <f t="shared" si="777"/>
        <v>0.2043010753</v>
      </c>
      <c r="AU766" s="129"/>
      <c r="AV766" s="39" t="s">
        <v>2242</v>
      </c>
      <c r="AW766" s="130"/>
      <c r="AX766" s="130"/>
      <c r="AY766" s="130"/>
      <c r="AZ766" s="130"/>
      <c r="BA766" s="130"/>
      <c r="BB766" s="130"/>
      <c r="BC766" s="392">
        <v>520.0</v>
      </c>
      <c r="BD766" s="132">
        <f t="shared" si="788"/>
        <v>572</v>
      </c>
      <c r="BE766" s="393"/>
      <c r="BF766" s="134"/>
      <c r="BG766" s="49"/>
      <c r="BH766" s="118">
        <f t="shared" si="714"/>
        <v>2576.576577</v>
      </c>
      <c r="BI766" s="118">
        <f t="shared" si="715"/>
        <v>1545.945946</v>
      </c>
      <c r="BJ766" s="118">
        <f t="shared" si="716"/>
        <v>1288.288288</v>
      </c>
      <c r="BK766" s="118">
        <f t="shared" si="717"/>
        <v>1030.630631</v>
      </c>
      <c r="BL766" s="49"/>
      <c r="BM766" s="49"/>
      <c r="BN766" s="394"/>
      <c r="BO766" s="49"/>
      <c r="BP766" s="49"/>
      <c r="BQ766" s="49"/>
      <c r="BR766" s="49"/>
      <c r="BS766" s="49"/>
      <c r="BT766" s="49"/>
      <c r="BU766" s="49"/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</row>
    <row r="767" ht="14.25" customHeight="1">
      <c r="A767" s="103" t="s">
        <v>84</v>
      </c>
      <c r="B767" s="103" t="s">
        <v>120</v>
      </c>
      <c r="C767" s="103" t="s">
        <v>120</v>
      </c>
      <c r="D767" s="103" t="s">
        <v>1266</v>
      </c>
      <c r="E767" s="103" t="s">
        <v>1948</v>
      </c>
      <c r="F767" s="104" t="s">
        <v>2045</v>
      </c>
      <c r="G767" s="110" t="s">
        <v>2150</v>
      </c>
      <c r="H767" s="390" t="s">
        <v>2026</v>
      </c>
      <c r="I767" s="391" t="s">
        <v>2807</v>
      </c>
      <c r="J767" s="220" t="s">
        <v>2234</v>
      </c>
      <c r="K767" s="220" t="str">
        <f>_xlfn.XLOOKUP(J767,[1]Sheet1!$A:$A,[1]Sheet1!$B:$B,"")</f>
        <v>#ERROR!</v>
      </c>
      <c r="L767" s="103" t="s">
        <v>2235</v>
      </c>
      <c r="M767" s="103" t="s">
        <v>2236</v>
      </c>
      <c r="N767" s="110" t="s">
        <v>206</v>
      </c>
      <c r="O767" s="104" t="s">
        <v>147</v>
      </c>
      <c r="P767" s="110"/>
      <c r="Q767" s="104" t="s">
        <v>1989</v>
      </c>
      <c r="R767" s="110" t="s">
        <v>1955</v>
      </c>
      <c r="S767" s="110">
        <v>2.0</v>
      </c>
      <c r="T767" s="110" t="e">
        <v>#N/A</v>
      </c>
      <c r="U767" s="110">
        <v>8.5447E9</v>
      </c>
      <c r="V767" s="112">
        <v>0.0</v>
      </c>
      <c r="W767" s="113">
        <v>30.0</v>
      </c>
      <c r="X767" s="110">
        <v>45.0</v>
      </c>
      <c r="Y767" s="110">
        <v>55.0</v>
      </c>
      <c r="Z767" s="110" t="s">
        <v>1938</v>
      </c>
      <c r="AA767" s="114">
        <f t="shared" si="786"/>
        <v>1389.583333</v>
      </c>
      <c r="AB767" s="115"/>
      <c r="AC767" s="116">
        <f t="shared" si="772"/>
        <v>1293.243243</v>
      </c>
      <c r="AD767" s="117">
        <f t="shared" si="783"/>
        <v>1361.308677</v>
      </c>
      <c r="AE767" s="116"/>
      <c r="AF767" s="116" t="str">
        <f t="shared" si="94"/>
        <v>#REF!</v>
      </c>
      <c r="AG767" s="210" t="str">
        <f t="shared" si="95"/>
        <v>#REF!</v>
      </c>
      <c r="AH767" s="120" t="str">
        <f t="shared" si="96"/>
        <v>#REF!</v>
      </c>
      <c r="AI767" s="121">
        <f t="shared" si="497"/>
        <v>0.07</v>
      </c>
      <c r="AJ767" s="121">
        <v>0.07</v>
      </c>
      <c r="AK767" s="122">
        <v>0.26</v>
      </c>
      <c r="AL767" s="123">
        <f t="shared" si="11"/>
        <v>336.2432432</v>
      </c>
      <c r="AM767" s="122" t="s">
        <v>10</v>
      </c>
      <c r="AN767" s="125">
        <f t="shared" si="774"/>
        <v>1293.243243</v>
      </c>
      <c r="AO767" s="112">
        <f t="shared" si="775"/>
        <v>0.26</v>
      </c>
      <c r="AP767" s="127">
        <v>0.26</v>
      </c>
      <c r="AQ767" s="128">
        <f t="shared" si="787"/>
        <v>1075.806452</v>
      </c>
      <c r="AR767" s="125">
        <f t="shared" si="776"/>
        <v>1029.032258</v>
      </c>
      <c r="AS767" s="126">
        <f t="shared" si="733"/>
        <v>0.2258064516</v>
      </c>
      <c r="AT767" s="126">
        <f t="shared" si="777"/>
        <v>0.2043010753</v>
      </c>
      <c r="AU767" s="129"/>
      <c r="AV767" s="39" t="s">
        <v>2242</v>
      </c>
      <c r="AW767" s="130"/>
      <c r="AX767" s="130"/>
      <c r="AY767" s="130"/>
      <c r="AZ767" s="130"/>
      <c r="BA767" s="130"/>
      <c r="BB767" s="130"/>
      <c r="BC767" s="392">
        <v>870.0</v>
      </c>
      <c r="BD767" s="132">
        <f t="shared" si="788"/>
        <v>957</v>
      </c>
      <c r="BE767" s="393"/>
      <c r="BF767" s="134"/>
      <c r="BG767" s="49"/>
      <c r="BH767" s="118">
        <f t="shared" si="714"/>
        <v>4310.810811</v>
      </c>
      <c r="BI767" s="118">
        <f t="shared" si="715"/>
        <v>2586.486486</v>
      </c>
      <c r="BJ767" s="118">
        <f t="shared" si="716"/>
        <v>2155.405405</v>
      </c>
      <c r="BK767" s="118">
        <f t="shared" si="717"/>
        <v>1724.324324</v>
      </c>
      <c r="BL767" s="49"/>
      <c r="BM767" s="49"/>
      <c r="BN767" s="394"/>
      <c r="BO767" s="49"/>
      <c r="BP767" s="49"/>
      <c r="BQ767" s="49"/>
      <c r="BR767" s="49"/>
      <c r="BS767" s="49"/>
      <c r="BT767" s="49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</row>
    <row r="768" ht="14.25" customHeight="1">
      <c r="A768" s="103" t="s">
        <v>84</v>
      </c>
      <c r="B768" s="103" t="s">
        <v>120</v>
      </c>
      <c r="C768" s="103" t="s">
        <v>120</v>
      </c>
      <c r="D768" s="103" t="s">
        <v>1266</v>
      </c>
      <c r="E768" s="103" t="s">
        <v>1948</v>
      </c>
      <c r="F768" s="104" t="s">
        <v>2045</v>
      </c>
      <c r="G768" s="110" t="s">
        <v>2150</v>
      </c>
      <c r="H768" s="390" t="s">
        <v>2031</v>
      </c>
      <c r="I768" s="391" t="s">
        <v>2808</v>
      </c>
      <c r="J768" s="220" t="s">
        <v>2238</v>
      </c>
      <c r="K768" s="220" t="str">
        <f>_xlfn.XLOOKUP(J768,[1]Sheet1!$A:$A,[1]Sheet1!$B:$B,"")</f>
        <v>#ERROR!</v>
      </c>
      <c r="L768" s="103" t="s">
        <v>2239</v>
      </c>
      <c r="M768" s="103" t="s">
        <v>2240</v>
      </c>
      <c r="N768" s="110" t="s">
        <v>206</v>
      </c>
      <c r="O768" s="104" t="s">
        <v>147</v>
      </c>
      <c r="P768" s="110"/>
      <c r="Q768" s="104" t="s">
        <v>1989</v>
      </c>
      <c r="R768" s="110" t="s">
        <v>1955</v>
      </c>
      <c r="S768" s="110">
        <v>2.0</v>
      </c>
      <c r="T768" s="110" t="e">
        <v>#N/A</v>
      </c>
      <c r="U768" s="110">
        <v>8.5447E9</v>
      </c>
      <c r="V768" s="112">
        <v>0.0</v>
      </c>
      <c r="W768" s="113">
        <v>30.0</v>
      </c>
      <c r="X768" s="110">
        <v>45.0</v>
      </c>
      <c r="Y768" s="110">
        <v>55.0</v>
      </c>
      <c r="Z768" s="110" t="s">
        <v>1938</v>
      </c>
      <c r="AA768" s="114">
        <f t="shared" si="786"/>
        <v>2172.222222</v>
      </c>
      <c r="AB768" s="115"/>
      <c r="AC768" s="116">
        <f t="shared" si="772"/>
        <v>2021.621622</v>
      </c>
      <c r="AD768" s="117">
        <f t="shared" si="783"/>
        <v>2128.02276</v>
      </c>
      <c r="AE768" s="116"/>
      <c r="AF768" s="116" t="str">
        <f t="shared" si="94"/>
        <v>#REF!</v>
      </c>
      <c r="AG768" s="210" t="str">
        <f t="shared" si="95"/>
        <v>#REF!</v>
      </c>
      <c r="AH768" s="120" t="str">
        <f t="shared" si="96"/>
        <v>#REF!</v>
      </c>
      <c r="AI768" s="121">
        <f t="shared" si="497"/>
        <v>0.07</v>
      </c>
      <c r="AJ768" s="121">
        <v>0.07</v>
      </c>
      <c r="AK768" s="122">
        <v>0.26</v>
      </c>
      <c r="AL768" s="123">
        <f t="shared" si="11"/>
        <v>525.6216216</v>
      </c>
      <c r="AM768" s="122" t="s">
        <v>10</v>
      </c>
      <c r="AN768" s="125">
        <f t="shared" si="774"/>
        <v>2021.621622</v>
      </c>
      <c r="AO768" s="112">
        <f t="shared" si="775"/>
        <v>0.26</v>
      </c>
      <c r="AP768" s="127">
        <v>0.26</v>
      </c>
      <c r="AQ768" s="128">
        <f t="shared" si="787"/>
        <v>1681.72043</v>
      </c>
      <c r="AR768" s="125">
        <f t="shared" si="776"/>
        <v>1608.602151</v>
      </c>
      <c r="AS768" s="126">
        <f t="shared" si="733"/>
        <v>0.2258064516</v>
      </c>
      <c r="AT768" s="126">
        <f t="shared" si="777"/>
        <v>0.2043010753</v>
      </c>
      <c r="AU768" s="129"/>
      <c r="AV768" s="39" t="s">
        <v>2242</v>
      </c>
      <c r="AW768" s="130"/>
      <c r="AX768" s="130"/>
      <c r="AY768" s="130"/>
      <c r="AZ768" s="130"/>
      <c r="BA768" s="130"/>
      <c r="BB768" s="130"/>
      <c r="BC768" s="392">
        <v>1360.0</v>
      </c>
      <c r="BD768" s="132">
        <f t="shared" si="788"/>
        <v>1496</v>
      </c>
      <c r="BE768" s="393"/>
      <c r="BF768" s="134"/>
      <c r="BG768" s="49"/>
      <c r="BH768" s="118">
        <f t="shared" si="714"/>
        <v>6738.738739</v>
      </c>
      <c r="BI768" s="118">
        <f t="shared" si="715"/>
        <v>4043.243243</v>
      </c>
      <c r="BJ768" s="118">
        <f t="shared" si="716"/>
        <v>3369.369369</v>
      </c>
      <c r="BK768" s="118">
        <f t="shared" si="717"/>
        <v>2695.495495</v>
      </c>
      <c r="BL768" s="49"/>
      <c r="BM768" s="49"/>
      <c r="BN768" s="394"/>
      <c r="BO768" s="49"/>
      <c r="BP768" s="49"/>
      <c r="BQ768" s="49"/>
      <c r="BR768" s="49"/>
      <c r="BS768" s="49"/>
      <c r="BT768" s="49"/>
      <c r="BU768" s="49"/>
      <c r="BV768" s="49"/>
      <c r="BW768" s="49"/>
      <c r="BX768" s="49"/>
      <c r="BY768" s="49"/>
      <c r="BZ768" s="49"/>
      <c r="CA768" s="49"/>
      <c r="CB768" s="49"/>
      <c r="CC768" s="49"/>
      <c r="CD768" s="49"/>
      <c r="CE768" s="49"/>
      <c r="CF768" s="49"/>
    </row>
    <row r="769" ht="14.25" customHeight="1">
      <c r="A769" s="103" t="s">
        <v>84</v>
      </c>
      <c r="B769" s="103" t="s">
        <v>120</v>
      </c>
      <c r="C769" s="103" t="s">
        <v>120</v>
      </c>
      <c r="D769" s="103" t="s">
        <v>1266</v>
      </c>
      <c r="E769" s="103" t="s">
        <v>1948</v>
      </c>
      <c r="F769" s="104" t="s">
        <v>2545</v>
      </c>
      <c r="G769" s="110" t="s">
        <v>2150</v>
      </c>
      <c r="H769" s="390" t="s">
        <v>2026</v>
      </c>
      <c r="I769" s="391" t="s">
        <v>2809</v>
      </c>
      <c r="J769" s="220" t="s">
        <v>2810</v>
      </c>
      <c r="K769" s="220" t="str">
        <f>_xlfn.XLOOKUP(J769,[1]Sheet1!$A:$A,[1]Sheet1!$B:$B,"")</f>
        <v>#ERROR!</v>
      </c>
      <c r="L769" s="103" t="s">
        <v>2811</v>
      </c>
      <c r="M769" s="103" t="s">
        <v>2812</v>
      </c>
      <c r="N769" s="110" t="s">
        <v>94</v>
      </c>
      <c r="O769" s="104" t="s">
        <v>147</v>
      </c>
      <c r="P769" s="110"/>
      <c r="Q769" s="104" t="s">
        <v>1989</v>
      </c>
      <c r="R769" s="110" t="s">
        <v>1955</v>
      </c>
      <c r="S769" s="110">
        <v>2.0</v>
      </c>
      <c r="T769" s="110" t="e">
        <v>#N/A</v>
      </c>
      <c r="U769" s="110">
        <v>8.5447E9</v>
      </c>
      <c r="V769" s="112">
        <v>0.0</v>
      </c>
      <c r="W769" s="113">
        <v>30.0</v>
      </c>
      <c r="X769" s="110">
        <v>45.0</v>
      </c>
      <c r="Y769" s="110">
        <v>55.0</v>
      </c>
      <c r="Z769" s="110" t="s">
        <v>1938</v>
      </c>
      <c r="AA769" s="114">
        <f t="shared" si="786"/>
        <v>1102.083333</v>
      </c>
      <c r="AB769" s="115"/>
      <c r="AC769" s="116">
        <f t="shared" si="772"/>
        <v>1025.675676</v>
      </c>
      <c r="AD769" s="117">
        <f t="shared" si="783"/>
        <v>1079.658606</v>
      </c>
      <c r="AE769" s="116"/>
      <c r="AF769" s="116" t="str">
        <f t="shared" si="94"/>
        <v>#REF!</v>
      </c>
      <c r="AG769" s="210" t="str">
        <f t="shared" si="95"/>
        <v>#REF!</v>
      </c>
      <c r="AH769" s="120" t="str">
        <f t="shared" si="96"/>
        <v>#REF!</v>
      </c>
      <c r="AI769" s="121">
        <f t="shared" si="497"/>
        <v>0.07</v>
      </c>
      <c r="AJ769" s="121">
        <v>0.07</v>
      </c>
      <c r="AK769" s="122">
        <v>0.26</v>
      </c>
      <c r="AL769" s="123">
        <f t="shared" si="11"/>
        <v>266.6756757</v>
      </c>
      <c r="AM769" s="122" t="s">
        <v>10</v>
      </c>
      <c r="AN769" s="125">
        <f t="shared" si="774"/>
        <v>1025.675676</v>
      </c>
      <c r="AO769" s="112">
        <f t="shared" si="775"/>
        <v>0.26</v>
      </c>
      <c r="AP769" s="127">
        <v>0.26</v>
      </c>
      <c r="AQ769" s="128">
        <f t="shared" si="787"/>
        <v>853.2258065</v>
      </c>
      <c r="AR769" s="125">
        <f t="shared" si="776"/>
        <v>816.1290323</v>
      </c>
      <c r="AS769" s="126">
        <f t="shared" si="733"/>
        <v>0.2258064516</v>
      </c>
      <c r="AT769" s="126">
        <f t="shared" si="777"/>
        <v>0.2043010753</v>
      </c>
      <c r="AU769" s="129"/>
      <c r="AV769" s="39" t="s">
        <v>2242</v>
      </c>
      <c r="AW769" s="130"/>
      <c r="AX769" s="130"/>
      <c r="AY769" s="130"/>
      <c r="AZ769" s="130"/>
      <c r="BA769" s="130"/>
      <c r="BB769" s="130"/>
      <c r="BC769" s="392">
        <v>690.0</v>
      </c>
      <c r="BD769" s="132">
        <f t="shared" si="788"/>
        <v>759</v>
      </c>
      <c r="BE769" s="393"/>
      <c r="BF769" s="134"/>
      <c r="BG769" s="49"/>
      <c r="BH769" s="118">
        <f t="shared" si="714"/>
        <v>3418.918919</v>
      </c>
      <c r="BI769" s="118">
        <f t="shared" si="715"/>
        <v>2051.351351</v>
      </c>
      <c r="BJ769" s="118">
        <f t="shared" si="716"/>
        <v>1709.459459</v>
      </c>
      <c r="BK769" s="118">
        <f t="shared" si="717"/>
        <v>1367.567568</v>
      </c>
      <c r="BL769" s="49"/>
      <c r="BM769" s="49"/>
      <c r="BN769" s="394"/>
      <c r="BO769" s="49"/>
      <c r="BP769" s="49"/>
      <c r="BQ769" s="49"/>
      <c r="BR769" s="49"/>
      <c r="BS769" s="49"/>
      <c r="BT769" s="4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</row>
    <row r="770" ht="14.25" customHeight="1">
      <c r="A770" s="103" t="s">
        <v>84</v>
      </c>
      <c r="B770" s="103" t="s">
        <v>120</v>
      </c>
      <c r="C770" s="103" t="s">
        <v>120</v>
      </c>
      <c r="D770" s="103" t="s">
        <v>1266</v>
      </c>
      <c r="E770" s="103" t="s">
        <v>1948</v>
      </c>
      <c r="F770" s="104" t="s">
        <v>2545</v>
      </c>
      <c r="G770" s="110" t="s">
        <v>2150</v>
      </c>
      <c r="H770" s="390" t="s">
        <v>1962</v>
      </c>
      <c r="I770" s="391" t="s">
        <v>2813</v>
      </c>
      <c r="J770" s="220" t="s">
        <v>2814</v>
      </c>
      <c r="K770" s="220" t="str">
        <f>_xlfn.XLOOKUP(J770,[1]Sheet1!$A:$A,[1]Sheet1!$B:$B,"")</f>
        <v>#ERROR!</v>
      </c>
      <c r="L770" s="103" t="s">
        <v>2815</v>
      </c>
      <c r="M770" s="103" t="s">
        <v>2816</v>
      </c>
      <c r="N770" s="110" t="s">
        <v>201</v>
      </c>
      <c r="O770" s="104" t="s">
        <v>147</v>
      </c>
      <c r="P770" s="110"/>
      <c r="Q770" s="104" t="s">
        <v>1989</v>
      </c>
      <c r="R770" s="110" t="s">
        <v>1955</v>
      </c>
      <c r="S770" s="110">
        <v>2.0</v>
      </c>
      <c r="T770" s="110" t="e">
        <v>#N/A</v>
      </c>
      <c r="U770" s="110">
        <v>8.5447E9</v>
      </c>
      <c r="V770" s="112">
        <v>0.0</v>
      </c>
      <c r="W770" s="113">
        <v>30.0</v>
      </c>
      <c r="X770" s="110">
        <v>45.0</v>
      </c>
      <c r="Y770" s="110">
        <v>55.0</v>
      </c>
      <c r="Z770" s="110" t="s">
        <v>1938</v>
      </c>
      <c r="AA770" s="114">
        <f t="shared" si="786"/>
        <v>1134.027778</v>
      </c>
      <c r="AB770" s="115"/>
      <c r="AC770" s="116">
        <f t="shared" si="772"/>
        <v>1055.405405</v>
      </c>
      <c r="AD770" s="117">
        <f t="shared" si="783"/>
        <v>1110.953058</v>
      </c>
      <c r="AE770" s="116"/>
      <c r="AF770" s="116" t="str">
        <f t="shared" si="94"/>
        <v>#REF!</v>
      </c>
      <c r="AG770" s="210" t="str">
        <f t="shared" si="95"/>
        <v>#REF!</v>
      </c>
      <c r="AH770" s="120" t="str">
        <f t="shared" si="96"/>
        <v>#REF!</v>
      </c>
      <c r="AI770" s="121">
        <f t="shared" si="497"/>
        <v>0.07</v>
      </c>
      <c r="AJ770" s="121">
        <v>0.07</v>
      </c>
      <c r="AK770" s="122">
        <v>0.26</v>
      </c>
      <c r="AL770" s="123">
        <f t="shared" si="11"/>
        <v>274.4054054</v>
      </c>
      <c r="AM770" s="122" t="s">
        <v>10</v>
      </c>
      <c r="AN770" s="125">
        <f t="shared" si="774"/>
        <v>1055.405405</v>
      </c>
      <c r="AO770" s="112">
        <f t="shared" si="775"/>
        <v>0.26</v>
      </c>
      <c r="AP770" s="127">
        <v>0.26</v>
      </c>
      <c r="AQ770" s="128">
        <f t="shared" si="787"/>
        <v>877.9569892</v>
      </c>
      <c r="AR770" s="125">
        <f t="shared" si="776"/>
        <v>839.7849462</v>
      </c>
      <c r="AS770" s="126">
        <f t="shared" si="733"/>
        <v>0.2258064516</v>
      </c>
      <c r="AT770" s="126">
        <f t="shared" si="777"/>
        <v>0.2043010753</v>
      </c>
      <c r="AU770" s="129"/>
      <c r="AV770" s="39" t="s">
        <v>2242</v>
      </c>
      <c r="AW770" s="130"/>
      <c r="AX770" s="130"/>
      <c r="AY770" s="130"/>
      <c r="AZ770" s="130"/>
      <c r="BA770" s="130"/>
      <c r="BB770" s="130"/>
      <c r="BC770" s="392">
        <v>710.0</v>
      </c>
      <c r="BD770" s="132">
        <f t="shared" si="788"/>
        <v>781</v>
      </c>
      <c r="BE770" s="393"/>
      <c r="BF770" s="134"/>
      <c r="BG770" s="49"/>
      <c r="BH770" s="118">
        <f t="shared" si="714"/>
        <v>3518.018018</v>
      </c>
      <c r="BI770" s="118">
        <f t="shared" si="715"/>
        <v>2110.810811</v>
      </c>
      <c r="BJ770" s="118">
        <f t="shared" si="716"/>
        <v>1759.009009</v>
      </c>
      <c r="BK770" s="118">
        <f t="shared" si="717"/>
        <v>1407.207207</v>
      </c>
      <c r="BL770" s="49"/>
      <c r="BM770" s="49"/>
      <c r="BN770" s="394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</row>
    <row r="771" ht="14.25" customHeight="1">
      <c r="A771" s="103" t="s">
        <v>84</v>
      </c>
      <c r="B771" s="103" t="s">
        <v>120</v>
      </c>
      <c r="C771" s="103" t="s">
        <v>120</v>
      </c>
      <c r="D771" s="103" t="s">
        <v>1266</v>
      </c>
      <c r="E771" s="103" t="s">
        <v>1948</v>
      </c>
      <c r="F771" s="104" t="s">
        <v>2545</v>
      </c>
      <c r="G771" s="110" t="s">
        <v>2150</v>
      </c>
      <c r="H771" s="390" t="s">
        <v>1967</v>
      </c>
      <c r="I771" s="391" t="s">
        <v>2817</v>
      </c>
      <c r="J771" s="220" t="s">
        <v>2818</v>
      </c>
      <c r="K771" s="220" t="str">
        <f>_xlfn.XLOOKUP(J771,[1]Sheet1!$A:$A,[1]Sheet1!$B:$B,"")</f>
        <v>#ERROR!</v>
      </c>
      <c r="L771" s="103" t="s">
        <v>2819</v>
      </c>
      <c r="M771" s="103" t="s">
        <v>2820</v>
      </c>
      <c r="N771" s="110" t="s">
        <v>201</v>
      </c>
      <c r="O771" s="104" t="s">
        <v>147</v>
      </c>
      <c r="P771" s="110"/>
      <c r="Q771" s="104" t="s">
        <v>1989</v>
      </c>
      <c r="R771" s="110" t="s">
        <v>1955</v>
      </c>
      <c r="S771" s="110">
        <v>2.0</v>
      </c>
      <c r="T771" s="110" t="e">
        <v>#N/A</v>
      </c>
      <c r="U771" s="110">
        <v>8.5447E9</v>
      </c>
      <c r="V771" s="112">
        <v>0.0</v>
      </c>
      <c r="W771" s="113">
        <v>30.0</v>
      </c>
      <c r="X771" s="110">
        <v>45.0</v>
      </c>
      <c r="Y771" s="110">
        <v>55.0</v>
      </c>
      <c r="Z771" s="110" t="s">
        <v>1938</v>
      </c>
      <c r="AA771" s="114">
        <f t="shared" si="786"/>
        <v>1229.861111</v>
      </c>
      <c r="AB771" s="115"/>
      <c r="AC771" s="116">
        <f t="shared" si="772"/>
        <v>1144.594595</v>
      </c>
      <c r="AD771" s="117">
        <f t="shared" si="783"/>
        <v>1204.836415</v>
      </c>
      <c r="AE771" s="116"/>
      <c r="AF771" s="116" t="str">
        <f t="shared" si="94"/>
        <v>#REF!</v>
      </c>
      <c r="AG771" s="210" t="str">
        <f t="shared" si="95"/>
        <v>#REF!</v>
      </c>
      <c r="AH771" s="120" t="str">
        <f t="shared" si="96"/>
        <v>#REF!</v>
      </c>
      <c r="AI771" s="121">
        <f t="shared" si="497"/>
        <v>0.07</v>
      </c>
      <c r="AJ771" s="121">
        <v>0.07</v>
      </c>
      <c r="AK771" s="122">
        <v>0.26</v>
      </c>
      <c r="AL771" s="123">
        <f t="shared" si="11"/>
        <v>297.5945946</v>
      </c>
      <c r="AM771" s="122" t="s">
        <v>10</v>
      </c>
      <c r="AN771" s="125">
        <f t="shared" si="774"/>
        <v>1144.594595</v>
      </c>
      <c r="AO771" s="112">
        <f t="shared" si="775"/>
        <v>0.26</v>
      </c>
      <c r="AP771" s="127">
        <v>0.26</v>
      </c>
      <c r="AQ771" s="128">
        <f t="shared" si="787"/>
        <v>952.1505376</v>
      </c>
      <c r="AR771" s="125">
        <f t="shared" si="776"/>
        <v>910.7526882</v>
      </c>
      <c r="AS771" s="126">
        <f t="shared" si="733"/>
        <v>0.2258064516</v>
      </c>
      <c r="AT771" s="126">
        <f t="shared" si="777"/>
        <v>0.2043010753</v>
      </c>
      <c r="AU771" s="129"/>
      <c r="AV771" s="39" t="s">
        <v>2242</v>
      </c>
      <c r="AW771" s="130"/>
      <c r="AX771" s="130"/>
      <c r="AY771" s="130"/>
      <c r="AZ771" s="130"/>
      <c r="BA771" s="130"/>
      <c r="BB771" s="130"/>
      <c r="BC771" s="392">
        <v>770.0</v>
      </c>
      <c r="BD771" s="132">
        <f t="shared" si="788"/>
        <v>847</v>
      </c>
      <c r="BE771" s="393"/>
      <c r="BF771" s="134"/>
      <c r="BG771" s="49"/>
      <c r="BH771" s="118">
        <f t="shared" si="714"/>
        <v>3815.315315</v>
      </c>
      <c r="BI771" s="118">
        <f t="shared" si="715"/>
        <v>2289.189189</v>
      </c>
      <c r="BJ771" s="118">
        <f t="shared" si="716"/>
        <v>1907.657658</v>
      </c>
      <c r="BK771" s="118">
        <f t="shared" si="717"/>
        <v>1526.126126</v>
      </c>
      <c r="BL771" s="49"/>
      <c r="BM771" s="49"/>
      <c r="BN771" s="394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</row>
    <row r="772" ht="14.25" customHeight="1">
      <c r="A772" s="103" t="s">
        <v>84</v>
      </c>
      <c r="B772" s="103" t="s">
        <v>120</v>
      </c>
      <c r="C772" s="103" t="s">
        <v>120</v>
      </c>
      <c r="D772" s="103" t="s">
        <v>1266</v>
      </c>
      <c r="E772" s="103" t="s">
        <v>1948</v>
      </c>
      <c r="F772" s="104" t="s">
        <v>2545</v>
      </c>
      <c r="G772" s="110" t="s">
        <v>2150</v>
      </c>
      <c r="H772" s="390" t="s">
        <v>2026</v>
      </c>
      <c r="I772" s="391" t="s">
        <v>2821</v>
      </c>
      <c r="J772" s="220" t="s">
        <v>2822</v>
      </c>
      <c r="K772" s="220" t="str">
        <f>_xlfn.XLOOKUP(J772,[1]Sheet1!$A:$A,[1]Sheet1!$B:$B,"")</f>
        <v>#ERROR!</v>
      </c>
      <c r="L772" s="103" t="s">
        <v>2823</v>
      </c>
      <c r="M772" s="103" t="s">
        <v>2824</v>
      </c>
      <c r="N772" s="110" t="s">
        <v>201</v>
      </c>
      <c r="O772" s="104" t="s">
        <v>147</v>
      </c>
      <c r="P772" s="110"/>
      <c r="Q772" s="104" t="s">
        <v>1989</v>
      </c>
      <c r="R772" s="110" t="s">
        <v>1955</v>
      </c>
      <c r="S772" s="110">
        <v>2.0</v>
      </c>
      <c r="T772" s="110" t="e">
        <v>#N/A</v>
      </c>
      <c r="U772" s="110">
        <v>8.5447E9</v>
      </c>
      <c r="V772" s="112">
        <v>0.0</v>
      </c>
      <c r="W772" s="113">
        <v>30.0</v>
      </c>
      <c r="X772" s="110">
        <v>45.0</v>
      </c>
      <c r="Y772" s="110">
        <v>55.0</v>
      </c>
      <c r="Z772" s="110" t="s">
        <v>1938</v>
      </c>
      <c r="AA772" s="114">
        <f t="shared" si="786"/>
        <v>1525.347222</v>
      </c>
      <c r="AB772" s="115"/>
      <c r="AC772" s="116">
        <f t="shared" si="772"/>
        <v>1419.594595</v>
      </c>
      <c r="AD772" s="117">
        <f t="shared" si="783"/>
        <v>1494.3101</v>
      </c>
      <c r="AE772" s="116"/>
      <c r="AF772" s="116" t="str">
        <f t="shared" si="94"/>
        <v>#REF!</v>
      </c>
      <c r="AG772" s="210" t="str">
        <f t="shared" si="95"/>
        <v>#REF!</v>
      </c>
      <c r="AH772" s="120" t="str">
        <f t="shared" si="96"/>
        <v>#REF!</v>
      </c>
      <c r="AI772" s="121">
        <f t="shared" si="497"/>
        <v>0.07</v>
      </c>
      <c r="AJ772" s="121">
        <v>0.07</v>
      </c>
      <c r="AK772" s="122">
        <v>0.26</v>
      </c>
      <c r="AL772" s="123">
        <f t="shared" si="11"/>
        <v>369.0945946</v>
      </c>
      <c r="AM772" s="122" t="s">
        <v>10</v>
      </c>
      <c r="AN772" s="125">
        <f t="shared" si="774"/>
        <v>1419.594595</v>
      </c>
      <c r="AO772" s="112">
        <f t="shared" si="775"/>
        <v>0.26</v>
      </c>
      <c r="AP772" s="127">
        <v>0.26</v>
      </c>
      <c r="AQ772" s="128">
        <f t="shared" si="787"/>
        <v>1180.913978</v>
      </c>
      <c r="AR772" s="125">
        <f t="shared" si="776"/>
        <v>1129.569892</v>
      </c>
      <c r="AS772" s="126">
        <f t="shared" si="733"/>
        <v>0.2258064516</v>
      </c>
      <c r="AT772" s="126">
        <f t="shared" si="777"/>
        <v>0.2043010753</v>
      </c>
      <c r="AU772" s="129"/>
      <c r="AV772" s="39" t="s">
        <v>2242</v>
      </c>
      <c r="AW772" s="130"/>
      <c r="AX772" s="130"/>
      <c r="AY772" s="130"/>
      <c r="AZ772" s="130"/>
      <c r="BA772" s="130"/>
      <c r="BB772" s="130"/>
      <c r="BC772" s="392">
        <v>955.0</v>
      </c>
      <c r="BD772" s="132">
        <f t="shared" si="788"/>
        <v>1050.5</v>
      </c>
      <c r="BE772" s="393"/>
      <c r="BF772" s="134"/>
      <c r="BG772" s="49"/>
      <c r="BH772" s="118">
        <f t="shared" si="714"/>
        <v>4731.981982</v>
      </c>
      <c r="BI772" s="118">
        <f t="shared" si="715"/>
        <v>2839.189189</v>
      </c>
      <c r="BJ772" s="118">
        <f t="shared" si="716"/>
        <v>2365.990991</v>
      </c>
      <c r="BK772" s="118">
        <f t="shared" si="717"/>
        <v>1892.792793</v>
      </c>
      <c r="BL772" s="49"/>
      <c r="BM772" s="49"/>
      <c r="BN772" s="394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</row>
    <row r="773" ht="14.25" customHeight="1">
      <c r="A773" s="103" t="s">
        <v>84</v>
      </c>
      <c r="B773" s="103" t="s">
        <v>120</v>
      </c>
      <c r="C773" s="103" t="s">
        <v>120</v>
      </c>
      <c r="D773" s="103" t="s">
        <v>1266</v>
      </c>
      <c r="E773" s="103" t="s">
        <v>1948</v>
      </c>
      <c r="F773" s="104" t="s">
        <v>2545</v>
      </c>
      <c r="G773" s="110" t="s">
        <v>2150</v>
      </c>
      <c r="H773" s="390" t="s">
        <v>2339</v>
      </c>
      <c r="I773" s="391" t="s">
        <v>2825</v>
      </c>
      <c r="J773" s="220" t="s">
        <v>2826</v>
      </c>
      <c r="K773" s="220" t="str">
        <f>_xlfn.XLOOKUP(J773,[1]Sheet1!$A:$A,[1]Sheet1!$B:$B,"")</f>
        <v>#ERROR!</v>
      </c>
      <c r="L773" s="103" t="s">
        <v>2827</v>
      </c>
      <c r="M773" s="103" t="s">
        <v>2828</v>
      </c>
      <c r="N773" s="110" t="s">
        <v>201</v>
      </c>
      <c r="O773" s="104" t="s">
        <v>147</v>
      </c>
      <c r="P773" s="110"/>
      <c r="Q773" s="104" t="s">
        <v>1989</v>
      </c>
      <c r="R773" s="110" t="s">
        <v>1955</v>
      </c>
      <c r="S773" s="110">
        <v>2.0</v>
      </c>
      <c r="T773" s="110" t="e">
        <v>#N/A</v>
      </c>
      <c r="U773" s="110">
        <v>8.5447E9</v>
      </c>
      <c r="V773" s="112">
        <v>0.0</v>
      </c>
      <c r="W773" s="113">
        <v>30.0</v>
      </c>
      <c r="X773" s="110">
        <v>45.0</v>
      </c>
      <c r="Y773" s="110">
        <v>55.0</v>
      </c>
      <c r="Z773" s="110" t="s">
        <v>1938</v>
      </c>
      <c r="AA773" s="114">
        <f t="shared" si="786"/>
        <v>3426.041667</v>
      </c>
      <c r="AB773" s="115"/>
      <c r="AC773" s="116">
        <f t="shared" si="772"/>
        <v>3188.513514</v>
      </c>
      <c r="AD773" s="117">
        <f t="shared" si="783"/>
        <v>3356.330014</v>
      </c>
      <c r="AE773" s="116"/>
      <c r="AF773" s="116" t="str">
        <f t="shared" si="94"/>
        <v>#REF!</v>
      </c>
      <c r="AG773" s="210" t="str">
        <f t="shared" si="95"/>
        <v>#REF!</v>
      </c>
      <c r="AH773" s="120" t="str">
        <f t="shared" si="96"/>
        <v>#REF!</v>
      </c>
      <c r="AI773" s="121">
        <f t="shared" si="497"/>
        <v>0.07</v>
      </c>
      <c r="AJ773" s="121">
        <v>0.07</v>
      </c>
      <c r="AK773" s="122">
        <v>0.26</v>
      </c>
      <c r="AL773" s="123">
        <f t="shared" si="11"/>
        <v>829.0135135</v>
      </c>
      <c r="AM773" s="122" t="s">
        <v>10</v>
      </c>
      <c r="AN773" s="125">
        <f t="shared" si="774"/>
        <v>3188.513514</v>
      </c>
      <c r="AO773" s="112">
        <f t="shared" si="775"/>
        <v>0.26</v>
      </c>
      <c r="AP773" s="127">
        <v>0.26</v>
      </c>
      <c r="AQ773" s="128">
        <f t="shared" si="787"/>
        <v>2652.419355</v>
      </c>
      <c r="AR773" s="125">
        <f t="shared" si="776"/>
        <v>2537.096774</v>
      </c>
      <c r="AS773" s="126">
        <f t="shared" si="733"/>
        <v>0.2258064516</v>
      </c>
      <c r="AT773" s="126">
        <f t="shared" si="777"/>
        <v>0.2043010753</v>
      </c>
      <c r="AU773" s="129"/>
      <c r="AV773" s="39" t="s">
        <v>2242</v>
      </c>
      <c r="AW773" s="130"/>
      <c r="AX773" s="130"/>
      <c r="AY773" s="130"/>
      <c r="AZ773" s="130"/>
      <c r="BA773" s="130"/>
      <c r="BB773" s="130"/>
      <c r="BC773" s="392">
        <v>2145.0</v>
      </c>
      <c r="BD773" s="132">
        <f t="shared" si="788"/>
        <v>2359.5</v>
      </c>
      <c r="BE773" s="393"/>
      <c r="BF773" s="134"/>
      <c r="BG773" s="49"/>
      <c r="BH773" s="118">
        <f t="shared" si="714"/>
        <v>10628.37838</v>
      </c>
      <c r="BI773" s="118">
        <f t="shared" si="715"/>
        <v>6377.027027</v>
      </c>
      <c r="BJ773" s="118">
        <f t="shared" si="716"/>
        <v>5314.189189</v>
      </c>
      <c r="BK773" s="118">
        <f t="shared" si="717"/>
        <v>4251.351351</v>
      </c>
      <c r="BL773" s="49"/>
      <c r="BM773" s="49"/>
      <c r="BN773" s="394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</row>
    <row r="774" ht="14.25" customHeight="1">
      <c r="A774" s="103" t="s">
        <v>84</v>
      </c>
      <c r="B774" s="103" t="s">
        <v>120</v>
      </c>
      <c r="C774" s="103" t="s">
        <v>120</v>
      </c>
      <c r="D774" s="103" t="s">
        <v>1266</v>
      </c>
      <c r="E774" s="103" t="s">
        <v>1948</v>
      </c>
      <c r="F774" s="104" t="s">
        <v>2545</v>
      </c>
      <c r="G774" s="110" t="s">
        <v>2150</v>
      </c>
      <c r="H774" s="390" t="s">
        <v>2344</v>
      </c>
      <c r="I774" s="391" t="s">
        <v>2829</v>
      </c>
      <c r="J774" s="220" t="s">
        <v>2830</v>
      </c>
      <c r="K774" s="220" t="str">
        <f>_xlfn.XLOOKUP(J774,[1]Sheet1!$A:$A,[1]Sheet1!$B:$B,"")</f>
        <v>#ERROR!</v>
      </c>
      <c r="L774" s="103" t="s">
        <v>2831</v>
      </c>
      <c r="M774" s="103" t="s">
        <v>2832</v>
      </c>
      <c r="N774" s="110" t="s">
        <v>201</v>
      </c>
      <c r="O774" s="104" t="s">
        <v>147</v>
      </c>
      <c r="P774" s="110"/>
      <c r="Q774" s="104" t="s">
        <v>1989</v>
      </c>
      <c r="R774" s="110" t="s">
        <v>1955</v>
      </c>
      <c r="S774" s="110">
        <v>2.0</v>
      </c>
      <c r="T774" s="110" t="e">
        <v>#N/A</v>
      </c>
      <c r="U774" s="110">
        <v>8.5447E9</v>
      </c>
      <c r="V774" s="112">
        <v>0.0</v>
      </c>
      <c r="W774" s="113">
        <v>30.0</v>
      </c>
      <c r="X774" s="110">
        <v>45.0</v>
      </c>
      <c r="Y774" s="110">
        <v>55.0</v>
      </c>
      <c r="Z774" s="110" t="s">
        <v>1938</v>
      </c>
      <c r="AA774" s="114">
        <f t="shared" si="786"/>
        <v>5869.791667</v>
      </c>
      <c r="AB774" s="115"/>
      <c r="AC774" s="116">
        <f t="shared" si="772"/>
        <v>5462.837838</v>
      </c>
      <c r="AD774" s="117">
        <f t="shared" si="783"/>
        <v>5750.355619</v>
      </c>
      <c r="AE774" s="116"/>
      <c r="AF774" s="116" t="str">
        <f t="shared" si="94"/>
        <v>#REF!</v>
      </c>
      <c r="AG774" s="210" t="str">
        <f t="shared" si="95"/>
        <v>#REF!</v>
      </c>
      <c r="AH774" s="120" t="str">
        <f t="shared" si="96"/>
        <v>#REF!</v>
      </c>
      <c r="AI774" s="121">
        <f t="shared" si="497"/>
        <v>0.07</v>
      </c>
      <c r="AJ774" s="121">
        <v>0.07</v>
      </c>
      <c r="AK774" s="122">
        <v>0.26</v>
      </c>
      <c r="AL774" s="123">
        <f t="shared" si="11"/>
        <v>1420.337838</v>
      </c>
      <c r="AM774" s="122" t="s">
        <v>10</v>
      </c>
      <c r="AN774" s="125">
        <f t="shared" si="774"/>
        <v>5462.837838</v>
      </c>
      <c r="AO774" s="112">
        <f t="shared" si="775"/>
        <v>0.26</v>
      </c>
      <c r="AP774" s="127">
        <v>0.26</v>
      </c>
      <c r="AQ774" s="128">
        <f t="shared" si="787"/>
        <v>4544.354839</v>
      </c>
      <c r="AR774" s="125">
        <f t="shared" si="776"/>
        <v>4346.774194</v>
      </c>
      <c r="AS774" s="126">
        <f t="shared" si="733"/>
        <v>0.2258064516</v>
      </c>
      <c r="AT774" s="126">
        <f t="shared" si="777"/>
        <v>0.2043010753</v>
      </c>
      <c r="AU774" s="129"/>
      <c r="AV774" s="39" t="s">
        <v>2242</v>
      </c>
      <c r="AW774" s="130"/>
      <c r="AX774" s="130"/>
      <c r="AY774" s="130"/>
      <c r="AZ774" s="130"/>
      <c r="BA774" s="130"/>
      <c r="BB774" s="130"/>
      <c r="BC774" s="392">
        <v>3675.0</v>
      </c>
      <c r="BD774" s="132">
        <f t="shared" si="788"/>
        <v>4042.5</v>
      </c>
      <c r="BE774" s="393"/>
      <c r="BF774" s="134"/>
      <c r="BG774" s="49"/>
      <c r="BH774" s="118">
        <f t="shared" si="714"/>
        <v>18209.45946</v>
      </c>
      <c r="BI774" s="118">
        <f t="shared" si="715"/>
        <v>10925.67568</v>
      </c>
      <c r="BJ774" s="118">
        <f t="shared" si="716"/>
        <v>9104.72973</v>
      </c>
      <c r="BK774" s="118">
        <f t="shared" si="717"/>
        <v>7283.783784</v>
      </c>
      <c r="BL774" s="49"/>
      <c r="BM774" s="49"/>
      <c r="BN774" s="394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</row>
    <row r="775" ht="14.25" customHeight="1">
      <c r="A775" s="103" t="s">
        <v>84</v>
      </c>
      <c r="B775" s="103" t="s">
        <v>120</v>
      </c>
      <c r="C775" s="103" t="s">
        <v>120</v>
      </c>
      <c r="D775" s="103" t="s">
        <v>1266</v>
      </c>
      <c r="E775" s="103" t="s">
        <v>1948</v>
      </c>
      <c r="F775" s="104" t="s">
        <v>2394</v>
      </c>
      <c r="G775" s="110" t="s">
        <v>2150</v>
      </c>
      <c r="H775" s="390" t="s">
        <v>2026</v>
      </c>
      <c r="I775" s="391" t="s">
        <v>2833</v>
      </c>
      <c r="J775" s="220" t="s">
        <v>2834</v>
      </c>
      <c r="K775" s="220" t="str">
        <f>_xlfn.XLOOKUP(J775,[1]Sheet1!$A:$A,[1]Sheet1!$B:$B,"")</f>
        <v>#ERROR!</v>
      </c>
      <c r="L775" s="103" t="s">
        <v>2835</v>
      </c>
      <c r="M775" s="103" t="s">
        <v>2836</v>
      </c>
      <c r="N775" s="110" t="s">
        <v>201</v>
      </c>
      <c r="O775" s="104" t="s">
        <v>147</v>
      </c>
      <c r="P775" s="110"/>
      <c r="Q775" s="104" t="s">
        <v>1989</v>
      </c>
      <c r="R775" s="110" t="s">
        <v>1955</v>
      </c>
      <c r="S775" s="110">
        <v>2.0</v>
      </c>
      <c r="T775" s="110" t="e">
        <v>#N/A</v>
      </c>
      <c r="U775" s="110">
        <v>8.5447E9</v>
      </c>
      <c r="V775" s="112">
        <v>0.0</v>
      </c>
      <c r="W775" s="113">
        <v>30.0</v>
      </c>
      <c r="X775" s="110">
        <v>45.0</v>
      </c>
      <c r="Y775" s="110">
        <v>55.0</v>
      </c>
      <c r="Z775" s="110" t="s">
        <v>1938</v>
      </c>
      <c r="AA775" s="114">
        <f t="shared" si="786"/>
        <v>1910.277778</v>
      </c>
      <c r="AB775" s="115"/>
      <c r="AC775" s="116">
        <f t="shared" si="772"/>
        <v>1777.837838</v>
      </c>
      <c r="AD775" s="117">
        <f t="shared" si="783"/>
        <v>1871.40825</v>
      </c>
      <c r="AE775" s="116"/>
      <c r="AF775" s="116" t="str">
        <f t="shared" si="94"/>
        <v>#REF!</v>
      </c>
      <c r="AG775" s="210" t="str">
        <f t="shared" si="95"/>
        <v>#REF!</v>
      </c>
      <c r="AH775" s="120" t="str">
        <f t="shared" si="96"/>
        <v>#REF!</v>
      </c>
      <c r="AI775" s="121">
        <f t="shared" si="497"/>
        <v>0.07</v>
      </c>
      <c r="AJ775" s="121">
        <v>0.07</v>
      </c>
      <c r="AK775" s="122">
        <v>0.26</v>
      </c>
      <c r="AL775" s="123">
        <f t="shared" si="11"/>
        <v>462.2378378</v>
      </c>
      <c r="AM775" s="122" t="s">
        <v>10</v>
      </c>
      <c r="AN775" s="125">
        <f t="shared" si="774"/>
        <v>1777.837838</v>
      </c>
      <c r="AO775" s="112">
        <f t="shared" si="775"/>
        <v>0.26</v>
      </c>
      <c r="AP775" s="127">
        <v>0.26</v>
      </c>
      <c r="AQ775" s="128">
        <f t="shared" si="787"/>
        <v>1478.924731</v>
      </c>
      <c r="AR775" s="125">
        <f t="shared" si="776"/>
        <v>1414.623656</v>
      </c>
      <c r="AS775" s="126">
        <f t="shared" si="733"/>
        <v>0.2258064516</v>
      </c>
      <c r="AT775" s="126">
        <f t="shared" si="777"/>
        <v>0.2043010753</v>
      </c>
      <c r="AU775" s="129"/>
      <c r="AV775" s="39" t="s">
        <v>2242</v>
      </c>
      <c r="AW775" s="130"/>
      <c r="AX775" s="130"/>
      <c r="AY775" s="130"/>
      <c r="AZ775" s="130"/>
      <c r="BA775" s="130"/>
      <c r="BB775" s="130"/>
      <c r="BC775" s="392">
        <v>1196.0</v>
      </c>
      <c r="BD775" s="132">
        <f t="shared" si="788"/>
        <v>1315.6</v>
      </c>
      <c r="BE775" s="393"/>
      <c r="BF775" s="134"/>
      <c r="BG775" s="49"/>
      <c r="BH775" s="118">
        <f t="shared" si="714"/>
        <v>5926.126126</v>
      </c>
      <c r="BI775" s="118">
        <f t="shared" si="715"/>
        <v>3555.675676</v>
      </c>
      <c r="BJ775" s="118">
        <f t="shared" si="716"/>
        <v>2963.063063</v>
      </c>
      <c r="BK775" s="118">
        <f t="shared" si="717"/>
        <v>2370.45045</v>
      </c>
      <c r="BL775" s="49"/>
      <c r="BM775" s="49"/>
      <c r="BN775" s="394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</row>
    <row r="776" ht="14.25" customHeight="1">
      <c r="A776" s="103" t="s">
        <v>84</v>
      </c>
      <c r="B776" s="103" t="s">
        <v>120</v>
      </c>
      <c r="C776" s="103" t="s">
        <v>120</v>
      </c>
      <c r="D776" s="103" t="s">
        <v>1266</v>
      </c>
      <c r="E776" s="103" t="s">
        <v>1948</v>
      </c>
      <c r="F776" s="104" t="s">
        <v>2394</v>
      </c>
      <c r="G776" s="110" t="s">
        <v>2150</v>
      </c>
      <c r="H776" s="390" t="s">
        <v>1962</v>
      </c>
      <c r="I776" s="391" t="s">
        <v>2837</v>
      </c>
      <c r="J776" s="220" t="s">
        <v>2838</v>
      </c>
      <c r="K776" s="220" t="s">
        <v>2839</v>
      </c>
      <c r="L776" s="211" t="s">
        <v>2840</v>
      </c>
      <c r="M776" s="211" t="s">
        <v>2841</v>
      </c>
      <c r="N776" s="110" t="s">
        <v>201</v>
      </c>
      <c r="O776" s="104" t="s">
        <v>147</v>
      </c>
      <c r="P776" s="110"/>
      <c r="Q776" s="104" t="s">
        <v>1989</v>
      </c>
      <c r="R776" s="110" t="s">
        <v>1955</v>
      </c>
      <c r="S776" s="110">
        <v>2.0</v>
      </c>
      <c r="T776" s="110" t="e">
        <v>#N/A</v>
      </c>
      <c r="U776" s="110">
        <v>8.5447E9</v>
      </c>
      <c r="V776" s="112">
        <v>0.0</v>
      </c>
      <c r="W776" s="113">
        <v>30.0</v>
      </c>
      <c r="X776" s="110">
        <v>45.0</v>
      </c>
      <c r="Y776" s="110">
        <v>55.0</v>
      </c>
      <c r="Z776" s="110" t="s">
        <v>1938</v>
      </c>
      <c r="AA776" s="114">
        <f t="shared" si="786"/>
        <v>1349.652778</v>
      </c>
      <c r="AB776" s="115"/>
      <c r="AC776" s="116">
        <f t="shared" si="772"/>
        <v>1256.081081</v>
      </c>
      <c r="AD776" s="117">
        <f t="shared" si="783"/>
        <v>1322.190612</v>
      </c>
      <c r="AE776" s="116"/>
      <c r="AF776" s="116" t="str">
        <f t="shared" si="94"/>
        <v>#REF!</v>
      </c>
      <c r="AG776" s="210" t="str">
        <f t="shared" si="95"/>
        <v>#REF!</v>
      </c>
      <c r="AH776" s="120" t="str">
        <f t="shared" si="96"/>
        <v>#REF!</v>
      </c>
      <c r="AI776" s="121">
        <f t="shared" si="497"/>
        <v>0.07</v>
      </c>
      <c r="AJ776" s="121">
        <v>0.07</v>
      </c>
      <c r="AK776" s="122">
        <v>0.26</v>
      </c>
      <c r="AL776" s="123">
        <f t="shared" si="11"/>
        <v>326.5810811</v>
      </c>
      <c r="AM776" s="122" t="s">
        <v>10</v>
      </c>
      <c r="AN776" s="125">
        <f t="shared" si="774"/>
        <v>1256.081081</v>
      </c>
      <c r="AO776" s="112">
        <f t="shared" si="775"/>
        <v>0.26</v>
      </c>
      <c r="AP776" s="127">
        <v>0.26</v>
      </c>
      <c r="AQ776" s="128">
        <f t="shared" si="787"/>
        <v>1044.892473</v>
      </c>
      <c r="AR776" s="125">
        <f t="shared" si="776"/>
        <v>999.4623656</v>
      </c>
      <c r="AS776" s="126">
        <f t="shared" si="733"/>
        <v>0.2258064516</v>
      </c>
      <c r="AT776" s="126">
        <f t="shared" si="777"/>
        <v>0.2043010753</v>
      </c>
      <c r="AU776" s="129"/>
      <c r="AV776" s="39" t="s">
        <v>2242</v>
      </c>
      <c r="AW776" s="130"/>
      <c r="AX776" s="130"/>
      <c r="AY776" s="130"/>
      <c r="AZ776" s="130"/>
      <c r="BA776" s="130"/>
      <c r="BB776" s="130"/>
      <c r="BC776" s="392">
        <v>845.0</v>
      </c>
      <c r="BD776" s="132">
        <f t="shared" si="788"/>
        <v>929.5</v>
      </c>
      <c r="BE776" s="393"/>
      <c r="BF776" s="134"/>
      <c r="BG776" s="49"/>
      <c r="BH776" s="118">
        <f t="shared" si="714"/>
        <v>4186.936937</v>
      </c>
      <c r="BI776" s="118">
        <f t="shared" si="715"/>
        <v>2512.162162</v>
      </c>
      <c r="BJ776" s="118">
        <f t="shared" si="716"/>
        <v>2093.468468</v>
      </c>
      <c r="BK776" s="118">
        <f t="shared" si="717"/>
        <v>1674.774775</v>
      </c>
      <c r="BL776" s="49"/>
      <c r="BM776" s="49"/>
      <c r="BN776" s="394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</row>
    <row r="777" ht="14.25" customHeight="1">
      <c r="A777" s="103" t="s">
        <v>84</v>
      </c>
      <c r="B777" s="103" t="s">
        <v>120</v>
      </c>
      <c r="C777" s="103" t="s">
        <v>120</v>
      </c>
      <c r="D777" s="103" t="s">
        <v>1266</v>
      </c>
      <c r="E777" s="103" t="s">
        <v>1948</v>
      </c>
      <c r="F777" s="104" t="s">
        <v>2394</v>
      </c>
      <c r="G777" s="110" t="s">
        <v>2150</v>
      </c>
      <c r="H777" s="390" t="s">
        <v>1967</v>
      </c>
      <c r="I777" s="391" t="s">
        <v>2842</v>
      </c>
      <c r="J777" s="220" t="s">
        <v>2843</v>
      </c>
      <c r="K777" s="220" t="s">
        <v>2844</v>
      </c>
      <c r="L777" s="211" t="s">
        <v>2845</v>
      </c>
      <c r="M777" s="211" t="s">
        <v>2846</v>
      </c>
      <c r="N777" s="110" t="s">
        <v>201</v>
      </c>
      <c r="O777" s="104" t="s">
        <v>147</v>
      </c>
      <c r="P777" s="110"/>
      <c r="Q777" s="104" t="s">
        <v>1989</v>
      </c>
      <c r="R777" s="110" t="s">
        <v>1955</v>
      </c>
      <c r="S777" s="110">
        <v>2.0</v>
      </c>
      <c r="T777" s="110" t="e">
        <v>#N/A</v>
      </c>
      <c r="U777" s="110">
        <v>8.5447E9</v>
      </c>
      <c r="V777" s="112">
        <v>0.0</v>
      </c>
      <c r="W777" s="113">
        <v>30.0</v>
      </c>
      <c r="X777" s="110">
        <v>45.0</v>
      </c>
      <c r="Y777" s="110">
        <v>55.0</v>
      </c>
      <c r="Z777" s="110" t="s">
        <v>1938</v>
      </c>
      <c r="AA777" s="114">
        <f t="shared" si="786"/>
        <v>1501.388889</v>
      </c>
      <c r="AB777" s="115"/>
      <c r="AC777" s="116">
        <f t="shared" si="772"/>
        <v>1397.297297</v>
      </c>
      <c r="AD777" s="117">
        <f t="shared" si="783"/>
        <v>1470.83926</v>
      </c>
      <c r="AE777" s="116"/>
      <c r="AF777" s="116" t="str">
        <f t="shared" si="94"/>
        <v>#REF!</v>
      </c>
      <c r="AG777" s="210" t="str">
        <f t="shared" si="95"/>
        <v>#REF!</v>
      </c>
      <c r="AH777" s="120" t="str">
        <f t="shared" si="96"/>
        <v>#REF!</v>
      </c>
      <c r="AI777" s="121">
        <f t="shared" si="497"/>
        <v>0.07</v>
      </c>
      <c r="AJ777" s="121">
        <v>0.07</v>
      </c>
      <c r="AK777" s="122">
        <v>0.26</v>
      </c>
      <c r="AL777" s="123">
        <f t="shared" si="11"/>
        <v>363.2972973</v>
      </c>
      <c r="AM777" s="122" t="s">
        <v>10</v>
      </c>
      <c r="AN777" s="125">
        <f t="shared" si="774"/>
        <v>1397.297297</v>
      </c>
      <c r="AO777" s="112">
        <f t="shared" si="775"/>
        <v>0.26</v>
      </c>
      <c r="AP777" s="127">
        <v>0.26</v>
      </c>
      <c r="AQ777" s="128">
        <f t="shared" si="787"/>
        <v>1162.365591</v>
      </c>
      <c r="AR777" s="125">
        <f t="shared" si="776"/>
        <v>1111.827957</v>
      </c>
      <c r="AS777" s="126">
        <f t="shared" si="733"/>
        <v>0.2258064516</v>
      </c>
      <c r="AT777" s="126">
        <f t="shared" si="777"/>
        <v>0.2043010753</v>
      </c>
      <c r="AU777" s="129">
        <v>988.97</v>
      </c>
      <c r="AV777" s="39" t="s">
        <v>2242</v>
      </c>
      <c r="AW777" s="130"/>
      <c r="AX777" s="130"/>
      <c r="AY777" s="130"/>
      <c r="AZ777" s="130"/>
      <c r="BA777" s="130"/>
      <c r="BB777" s="130"/>
      <c r="BC777" s="392">
        <v>940.0</v>
      </c>
      <c r="BD777" s="132">
        <f t="shared" si="788"/>
        <v>1034</v>
      </c>
      <c r="BE777" s="393"/>
      <c r="BF777" s="134"/>
      <c r="BG777" s="49"/>
      <c r="BH777" s="118">
        <f t="shared" si="714"/>
        <v>4657.657658</v>
      </c>
      <c r="BI777" s="118">
        <f t="shared" si="715"/>
        <v>2794.594595</v>
      </c>
      <c r="BJ777" s="118">
        <f t="shared" si="716"/>
        <v>2328.828829</v>
      </c>
      <c r="BK777" s="118">
        <f t="shared" si="717"/>
        <v>1863.063063</v>
      </c>
      <c r="BL777" s="49"/>
      <c r="BM777" s="49"/>
      <c r="BN777" s="394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</row>
    <row r="778" ht="14.25" customHeight="1">
      <c r="A778" s="103" t="s">
        <v>84</v>
      </c>
      <c r="B778" s="103" t="s">
        <v>120</v>
      </c>
      <c r="C778" s="103" t="s">
        <v>120</v>
      </c>
      <c r="D778" s="103" t="s">
        <v>1266</v>
      </c>
      <c r="E778" s="103" t="s">
        <v>1948</v>
      </c>
      <c r="F778" s="104" t="s">
        <v>2394</v>
      </c>
      <c r="G778" s="110" t="s">
        <v>2150</v>
      </c>
      <c r="H778" s="390" t="s">
        <v>2026</v>
      </c>
      <c r="I778" s="391" t="s">
        <v>2847</v>
      </c>
      <c r="J778" s="220" t="s">
        <v>2848</v>
      </c>
      <c r="K778" s="220" t="s">
        <v>2849</v>
      </c>
      <c r="L778" s="211" t="s">
        <v>2850</v>
      </c>
      <c r="M778" s="211" t="s">
        <v>2851</v>
      </c>
      <c r="N778" s="110" t="s">
        <v>201</v>
      </c>
      <c r="O778" s="104" t="s">
        <v>147</v>
      </c>
      <c r="P778" s="110"/>
      <c r="Q778" s="104" t="s">
        <v>1989</v>
      </c>
      <c r="R778" s="110" t="s">
        <v>1955</v>
      </c>
      <c r="S778" s="110">
        <v>2.0</v>
      </c>
      <c r="T778" s="110" t="e">
        <v>#N/A</v>
      </c>
      <c r="U778" s="110">
        <v>8.5447E9</v>
      </c>
      <c r="V778" s="112">
        <v>0.0</v>
      </c>
      <c r="W778" s="113">
        <v>30.0</v>
      </c>
      <c r="X778" s="110">
        <v>45.0</v>
      </c>
      <c r="Y778" s="110">
        <v>55.0</v>
      </c>
      <c r="Z778" s="110" t="s">
        <v>1938</v>
      </c>
      <c r="AA778" s="114">
        <f t="shared" si="786"/>
        <v>1725</v>
      </c>
      <c r="AB778" s="115"/>
      <c r="AC778" s="116">
        <f t="shared" si="772"/>
        <v>1605.405405</v>
      </c>
      <c r="AD778" s="117">
        <f t="shared" si="783"/>
        <v>1689.900427</v>
      </c>
      <c r="AE778" s="116"/>
      <c r="AF778" s="116" t="str">
        <f t="shared" si="94"/>
        <v>#REF!</v>
      </c>
      <c r="AG778" s="210" t="str">
        <f t="shared" si="95"/>
        <v>#REF!</v>
      </c>
      <c r="AH778" s="120" t="str">
        <f t="shared" si="96"/>
        <v>#REF!</v>
      </c>
      <c r="AI778" s="121">
        <f t="shared" si="497"/>
        <v>0.07</v>
      </c>
      <c r="AJ778" s="121">
        <v>0.07</v>
      </c>
      <c r="AK778" s="122">
        <v>0.26</v>
      </c>
      <c r="AL778" s="123">
        <f t="shared" si="11"/>
        <v>417.4054054</v>
      </c>
      <c r="AM778" s="122" t="s">
        <v>10</v>
      </c>
      <c r="AN778" s="125">
        <f t="shared" si="774"/>
        <v>1605.405405</v>
      </c>
      <c r="AO778" s="112">
        <f t="shared" si="775"/>
        <v>0.26</v>
      </c>
      <c r="AP778" s="127">
        <v>0.26</v>
      </c>
      <c r="AQ778" s="128">
        <f t="shared" si="787"/>
        <v>1335.483871</v>
      </c>
      <c r="AR778" s="125">
        <f t="shared" si="776"/>
        <v>1277.419355</v>
      </c>
      <c r="AS778" s="126">
        <f t="shared" si="733"/>
        <v>0.2258064516</v>
      </c>
      <c r="AT778" s="126">
        <f t="shared" si="777"/>
        <v>0.2043010753</v>
      </c>
      <c r="AU778" s="129">
        <v>1085.29</v>
      </c>
      <c r="AV778" s="39" t="s">
        <v>2242</v>
      </c>
      <c r="AW778" s="130"/>
      <c r="AX778" s="130"/>
      <c r="AY778" s="130"/>
      <c r="AZ778" s="130"/>
      <c r="BA778" s="130"/>
      <c r="BB778" s="130"/>
      <c r="BC778" s="392">
        <v>1080.0</v>
      </c>
      <c r="BD778" s="132">
        <f t="shared" si="788"/>
        <v>1188</v>
      </c>
      <c r="BE778" s="393"/>
      <c r="BF778" s="134"/>
      <c r="BG778" s="49"/>
      <c r="BH778" s="118">
        <f t="shared" si="714"/>
        <v>5351.351351</v>
      </c>
      <c r="BI778" s="118">
        <f t="shared" si="715"/>
        <v>3210.810811</v>
      </c>
      <c r="BJ778" s="118">
        <f t="shared" si="716"/>
        <v>2675.675676</v>
      </c>
      <c r="BK778" s="118">
        <f t="shared" si="717"/>
        <v>2140.540541</v>
      </c>
      <c r="BL778" s="49"/>
      <c r="BM778" s="49"/>
      <c r="BN778" s="394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</row>
    <row r="779" ht="14.25" customHeight="1">
      <c r="A779" s="103" t="s">
        <v>84</v>
      </c>
      <c r="B779" s="103" t="s">
        <v>120</v>
      </c>
      <c r="C779" s="103" t="s">
        <v>120</v>
      </c>
      <c r="D779" s="103" t="s">
        <v>1266</v>
      </c>
      <c r="E779" s="103" t="s">
        <v>1948</v>
      </c>
      <c r="F779" s="104" t="s">
        <v>2394</v>
      </c>
      <c r="G779" s="110" t="s">
        <v>2150</v>
      </c>
      <c r="H779" s="390" t="s">
        <v>2339</v>
      </c>
      <c r="I779" s="391" t="s">
        <v>2852</v>
      </c>
      <c r="J779" s="220" t="s">
        <v>2853</v>
      </c>
      <c r="K779" s="220" t="str">
        <f>_xlfn.XLOOKUP(J779,[1]Sheet1!$A:$A,[1]Sheet1!$B:$B,"")</f>
        <v>#ERROR!</v>
      </c>
      <c r="L779" s="103" t="s">
        <v>2854</v>
      </c>
      <c r="M779" s="103" t="s">
        <v>2855</v>
      </c>
      <c r="N779" s="110" t="s">
        <v>201</v>
      </c>
      <c r="O779" s="104" t="s">
        <v>147</v>
      </c>
      <c r="P779" s="110"/>
      <c r="Q779" s="104" t="s">
        <v>1989</v>
      </c>
      <c r="R779" s="110" t="s">
        <v>1955</v>
      </c>
      <c r="S779" s="110">
        <v>2.0</v>
      </c>
      <c r="T779" s="110" t="e">
        <v>#N/A</v>
      </c>
      <c r="U779" s="110">
        <v>8.5447E9</v>
      </c>
      <c r="V779" s="112">
        <v>0.0</v>
      </c>
      <c r="W779" s="113">
        <v>30.0</v>
      </c>
      <c r="X779" s="110">
        <v>45.0</v>
      </c>
      <c r="Y779" s="110">
        <v>55.0</v>
      </c>
      <c r="Z779" s="110" t="s">
        <v>1938</v>
      </c>
      <c r="AA779" s="114">
        <f t="shared" si="786"/>
        <v>3354.166667</v>
      </c>
      <c r="AB779" s="115"/>
      <c r="AC779" s="116">
        <f t="shared" si="772"/>
        <v>3121.621622</v>
      </c>
      <c r="AD779" s="117">
        <f t="shared" si="783"/>
        <v>3285.917496</v>
      </c>
      <c r="AE779" s="116"/>
      <c r="AF779" s="116" t="str">
        <f t="shared" si="94"/>
        <v>#REF!</v>
      </c>
      <c r="AG779" s="210" t="str">
        <f t="shared" si="95"/>
        <v>#REF!</v>
      </c>
      <c r="AH779" s="120" t="str">
        <f t="shared" si="96"/>
        <v>#REF!</v>
      </c>
      <c r="AI779" s="121">
        <f t="shared" si="497"/>
        <v>0.07</v>
      </c>
      <c r="AJ779" s="121">
        <v>0.07</v>
      </c>
      <c r="AK779" s="122">
        <v>0.26</v>
      </c>
      <c r="AL779" s="123">
        <f t="shared" si="11"/>
        <v>811.6216216</v>
      </c>
      <c r="AM779" s="122" t="s">
        <v>10</v>
      </c>
      <c r="AN779" s="125">
        <f t="shared" si="774"/>
        <v>3121.621622</v>
      </c>
      <c r="AO779" s="112">
        <f t="shared" si="775"/>
        <v>0.26</v>
      </c>
      <c r="AP779" s="127">
        <v>0.26</v>
      </c>
      <c r="AQ779" s="128">
        <f t="shared" si="787"/>
        <v>2596.774194</v>
      </c>
      <c r="AR779" s="125">
        <f t="shared" si="776"/>
        <v>2483.870968</v>
      </c>
      <c r="AS779" s="126">
        <f t="shared" si="733"/>
        <v>0.2258064516</v>
      </c>
      <c r="AT779" s="126">
        <f t="shared" si="777"/>
        <v>0.2043010753</v>
      </c>
      <c r="AU779" s="129"/>
      <c r="AV779" s="39" t="s">
        <v>2242</v>
      </c>
      <c r="AW779" s="130"/>
      <c r="AX779" s="130"/>
      <c r="AY779" s="130"/>
      <c r="AZ779" s="130"/>
      <c r="BA779" s="130"/>
      <c r="BB779" s="130"/>
      <c r="BC779" s="392">
        <v>2100.0</v>
      </c>
      <c r="BD779" s="132">
        <f t="shared" si="788"/>
        <v>2310</v>
      </c>
      <c r="BE779" s="393"/>
      <c r="BF779" s="134"/>
      <c r="BG779" s="49"/>
      <c r="BH779" s="118">
        <f t="shared" si="714"/>
        <v>10405.40541</v>
      </c>
      <c r="BI779" s="118">
        <f t="shared" si="715"/>
        <v>6243.243243</v>
      </c>
      <c r="BJ779" s="118">
        <f t="shared" si="716"/>
        <v>5202.702703</v>
      </c>
      <c r="BK779" s="118">
        <f t="shared" si="717"/>
        <v>4162.162162</v>
      </c>
      <c r="BL779" s="49"/>
      <c r="BM779" s="49"/>
      <c r="BN779" s="394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</row>
    <row r="780" ht="14.25" customHeight="1">
      <c r="A780" s="103" t="s">
        <v>84</v>
      </c>
      <c r="B780" s="103" t="s">
        <v>120</v>
      </c>
      <c r="C780" s="103" t="s">
        <v>120</v>
      </c>
      <c r="D780" s="103" t="s">
        <v>1266</v>
      </c>
      <c r="E780" s="103" t="s">
        <v>1948</v>
      </c>
      <c r="F780" s="104" t="s">
        <v>2394</v>
      </c>
      <c r="G780" s="110" t="s">
        <v>2150</v>
      </c>
      <c r="H780" s="390" t="s">
        <v>2344</v>
      </c>
      <c r="I780" s="391" t="s">
        <v>2856</v>
      </c>
      <c r="J780" s="220" t="s">
        <v>2857</v>
      </c>
      <c r="K780" s="220" t="str">
        <f>_xlfn.XLOOKUP(J780,[1]Sheet1!$A:$A,[1]Sheet1!$B:$B,"")</f>
        <v>#ERROR!</v>
      </c>
      <c r="L780" s="103" t="s">
        <v>2858</v>
      </c>
      <c r="M780" s="103" t="s">
        <v>2859</v>
      </c>
      <c r="N780" s="110" t="s">
        <v>201</v>
      </c>
      <c r="O780" s="104" t="s">
        <v>147</v>
      </c>
      <c r="P780" s="110"/>
      <c r="Q780" s="104" t="s">
        <v>1989</v>
      </c>
      <c r="R780" s="110" t="s">
        <v>1955</v>
      </c>
      <c r="S780" s="110">
        <v>2.0</v>
      </c>
      <c r="T780" s="110" t="e">
        <v>#N/A</v>
      </c>
      <c r="U780" s="110">
        <v>8.5447E9</v>
      </c>
      <c r="V780" s="112">
        <v>0.0</v>
      </c>
      <c r="W780" s="113">
        <v>30.0</v>
      </c>
      <c r="X780" s="110">
        <v>45.0</v>
      </c>
      <c r="Y780" s="110">
        <v>55.0</v>
      </c>
      <c r="Z780" s="110" t="s">
        <v>1938</v>
      </c>
      <c r="AA780" s="114">
        <f t="shared" si="786"/>
        <v>5614.236111</v>
      </c>
      <c r="AB780" s="115"/>
      <c r="AC780" s="116">
        <f t="shared" si="772"/>
        <v>5225</v>
      </c>
      <c r="AD780" s="117">
        <f t="shared" si="783"/>
        <v>5500</v>
      </c>
      <c r="AE780" s="116"/>
      <c r="AF780" s="116" t="str">
        <f t="shared" si="94"/>
        <v>#REF!</v>
      </c>
      <c r="AG780" s="210" t="str">
        <f t="shared" si="95"/>
        <v>#REF!</v>
      </c>
      <c r="AH780" s="120" t="str">
        <f t="shared" si="96"/>
        <v>#REF!</v>
      </c>
      <c r="AI780" s="121">
        <f t="shared" si="497"/>
        <v>0.07</v>
      </c>
      <c r="AJ780" s="121">
        <v>0.07</v>
      </c>
      <c r="AK780" s="122">
        <v>0.26</v>
      </c>
      <c r="AL780" s="123">
        <f t="shared" si="11"/>
        <v>1358.5</v>
      </c>
      <c r="AM780" s="122" t="s">
        <v>10</v>
      </c>
      <c r="AN780" s="125">
        <f t="shared" si="774"/>
        <v>5225</v>
      </c>
      <c r="AO780" s="112">
        <f t="shared" si="775"/>
        <v>0.26</v>
      </c>
      <c r="AP780" s="127">
        <v>0.26</v>
      </c>
      <c r="AQ780" s="128">
        <f t="shared" si="787"/>
        <v>4346.505376</v>
      </c>
      <c r="AR780" s="125">
        <f t="shared" si="776"/>
        <v>4157.526882</v>
      </c>
      <c r="AS780" s="126">
        <f t="shared" si="733"/>
        <v>0.2258064516</v>
      </c>
      <c r="AT780" s="126">
        <f t="shared" si="777"/>
        <v>0.2043010753</v>
      </c>
      <c r="AU780" s="129"/>
      <c r="AV780" s="39" t="s">
        <v>2242</v>
      </c>
      <c r="AW780" s="130"/>
      <c r="AX780" s="130"/>
      <c r="AY780" s="130"/>
      <c r="AZ780" s="130"/>
      <c r="BA780" s="130"/>
      <c r="BB780" s="130"/>
      <c r="BC780" s="392">
        <v>3515.0</v>
      </c>
      <c r="BD780" s="132">
        <f t="shared" si="788"/>
        <v>3866.5</v>
      </c>
      <c r="BE780" s="393"/>
      <c r="BF780" s="134"/>
      <c r="BG780" s="49"/>
      <c r="BH780" s="118">
        <f t="shared" si="714"/>
        <v>17416.66667</v>
      </c>
      <c r="BI780" s="118">
        <f t="shared" si="715"/>
        <v>10450</v>
      </c>
      <c r="BJ780" s="118">
        <f t="shared" si="716"/>
        <v>8708.333333</v>
      </c>
      <c r="BK780" s="118">
        <f t="shared" si="717"/>
        <v>6966.666667</v>
      </c>
      <c r="BL780" s="49"/>
      <c r="BM780" s="49"/>
      <c r="BN780" s="394"/>
      <c r="BO780" s="49"/>
      <c r="BP780" s="49"/>
      <c r="BQ780" s="49"/>
      <c r="BR780" s="49"/>
      <c r="BS780" s="49"/>
      <c r="BT780" s="49"/>
      <c r="BU780" s="49"/>
      <c r="BV780" s="49"/>
      <c r="BW780" s="49"/>
      <c r="BX780" s="49"/>
      <c r="BY780" s="49"/>
      <c r="BZ780" s="49"/>
      <c r="CA780" s="49"/>
      <c r="CB780" s="49"/>
      <c r="CC780" s="49"/>
      <c r="CD780" s="49"/>
      <c r="CE780" s="49"/>
      <c r="CF780" s="49"/>
    </row>
    <row r="781" ht="14.25" customHeight="1">
      <c r="A781" s="103" t="s">
        <v>2860</v>
      </c>
      <c r="B781" s="103" t="s">
        <v>85</v>
      </c>
      <c r="C781" s="103" t="s">
        <v>85</v>
      </c>
      <c r="D781" s="103" t="s">
        <v>1886</v>
      </c>
      <c r="E781" s="103" t="s">
        <v>1932</v>
      </c>
      <c r="F781" s="104" t="s">
        <v>1932</v>
      </c>
      <c r="G781" s="110"/>
      <c r="H781" s="110"/>
      <c r="I781" s="391"/>
      <c r="J781" s="220" t="s">
        <v>2861</v>
      </c>
      <c r="K781" s="220" t="str">
        <f>_xlfn.XLOOKUP(J781,[1]Sheet1!$A:$A,[1]Sheet1!$B:$B,"")</f>
        <v>#ERROR!</v>
      </c>
      <c r="L781" s="103" t="s">
        <v>1946</v>
      </c>
      <c r="M781" s="103" t="s">
        <v>1947</v>
      </c>
      <c r="N781" s="110"/>
      <c r="O781" s="104" t="s">
        <v>95</v>
      </c>
      <c r="P781" s="110"/>
      <c r="Q781" s="104" t="s">
        <v>554</v>
      </c>
      <c r="R781" s="110" t="s">
        <v>1637</v>
      </c>
      <c r="S781" s="110">
        <v>240.0</v>
      </c>
      <c r="T781" s="110" t="e">
        <v>#N/A</v>
      </c>
      <c r="U781" s="110" t="s">
        <v>1937</v>
      </c>
      <c r="V781" s="112">
        <v>0.033</v>
      </c>
      <c r="W781" s="113">
        <v>45.0</v>
      </c>
      <c r="X781" s="110">
        <v>45.0</v>
      </c>
      <c r="Y781" s="110">
        <v>55.0</v>
      </c>
      <c r="Z781" s="110" t="s">
        <v>1938</v>
      </c>
      <c r="AA781" s="114">
        <f>AQ781/(1-(AK781+2%))</f>
        <v>41.25999132</v>
      </c>
      <c r="AB781" s="115"/>
      <c r="AC781" s="212">
        <f t="shared" si="772"/>
        <v>33.08593392</v>
      </c>
      <c r="AD781" s="213">
        <f>AC781/0.93</f>
        <v>35.57627303</v>
      </c>
      <c r="AE781" s="116"/>
      <c r="AF781" s="212" t="str">
        <f t="shared" si="94"/>
        <v>#REF!</v>
      </c>
      <c r="AG781" s="210" t="str">
        <f t="shared" si="95"/>
        <v>#REF!</v>
      </c>
      <c r="AH781" s="120" t="str">
        <f t="shared" si="96"/>
        <v>#REF!</v>
      </c>
      <c r="AI781" s="121">
        <f t="shared" si="497"/>
        <v>0.1</v>
      </c>
      <c r="AJ781" s="121">
        <v>0.1</v>
      </c>
      <c r="AK781" s="122">
        <v>0.41000000000000003</v>
      </c>
      <c r="AL781" s="123">
        <f t="shared" si="11"/>
        <v>13.56523291</v>
      </c>
      <c r="AM781" s="122" t="s">
        <v>10</v>
      </c>
      <c r="AN781" s="125">
        <f t="shared" si="774"/>
        <v>33.08593392</v>
      </c>
      <c r="AO781" s="112">
        <f t="shared" si="775"/>
        <v>0.41</v>
      </c>
      <c r="AP781" s="127"/>
      <c r="AQ781" s="128">
        <f t="shared" ref="AQ781:AR781" si="789">BC781/(1-AI781)</f>
        <v>23.51819505</v>
      </c>
      <c r="AR781" s="139">
        <f t="shared" si="789"/>
        <v>21.68966779</v>
      </c>
      <c r="AS781" s="126">
        <f t="shared" si="733"/>
        <v>0.43</v>
      </c>
      <c r="AT781" s="126">
        <f t="shared" si="777"/>
        <v>0.3444444444</v>
      </c>
      <c r="AU781" s="129">
        <v>20.51</v>
      </c>
      <c r="AV781" s="39" t="s">
        <v>1939</v>
      </c>
      <c r="AW781" s="214"/>
      <c r="AX781" s="214"/>
      <c r="AY781" s="214"/>
      <c r="AZ781" s="214">
        <f>0.23*7.1</f>
        <v>1.633</v>
      </c>
      <c r="BA781" s="214">
        <v>143.78</v>
      </c>
      <c r="BB781" s="130">
        <f>AZ781+BA781</f>
        <v>145.413</v>
      </c>
      <c r="BC781" s="131">
        <f>(AZ781+BA781)/$F$5</f>
        <v>21.16637555</v>
      </c>
      <c r="BD781" s="132">
        <f>(BC781/$F$6)+(($F$9+$G$9)/40/S781)+BC781*V781</f>
        <v>19.52070101</v>
      </c>
      <c r="BE781" s="133"/>
      <c r="BF781" s="361" t="s">
        <v>1940</v>
      </c>
      <c r="BG781" s="49"/>
      <c r="BH781" s="212">
        <f t="shared" si="714"/>
        <v>110.2864464</v>
      </c>
      <c r="BI781" s="212">
        <f t="shared" si="715"/>
        <v>66.17186784</v>
      </c>
      <c r="BJ781" s="212">
        <f t="shared" si="716"/>
        <v>55.1432232</v>
      </c>
      <c r="BK781" s="212">
        <f t="shared" si="717"/>
        <v>44.11457856</v>
      </c>
      <c r="BL781" s="49"/>
      <c r="BM781" s="49"/>
      <c r="BN781" s="49"/>
      <c r="BO781" s="49"/>
      <c r="BP781" s="49"/>
      <c r="BQ781" s="49"/>
      <c r="BR781" s="49"/>
      <c r="BS781" s="49"/>
      <c r="BT781" s="49"/>
      <c r="BU781" s="49"/>
      <c r="BV781" s="49"/>
      <c r="BW781" s="49"/>
      <c r="BX781" s="49"/>
      <c r="BY781" s="49"/>
      <c r="BZ781" s="49"/>
      <c r="CA781" s="49"/>
      <c r="CB781" s="49"/>
      <c r="CC781" s="49"/>
      <c r="CD781" s="49"/>
      <c r="CE781" s="49"/>
      <c r="CF781" s="49"/>
    </row>
    <row r="782" ht="14.25" customHeight="1">
      <c r="A782" s="103" t="s">
        <v>2860</v>
      </c>
      <c r="B782" s="103" t="s">
        <v>85</v>
      </c>
      <c r="C782" s="103" t="s">
        <v>85</v>
      </c>
      <c r="D782" s="103" t="s">
        <v>86</v>
      </c>
      <c r="E782" s="104" t="s">
        <v>87</v>
      </c>
      <c r="F782" s="105" t="s">
        <v>207</v>
      </c>
      <c r="G782" s="106" t="s">
        <v>299</v>
      </c>
      <c r="H782" s="106">
        <v>23.0</v>
      </c>
      <c r="I782" s="107" t="s">
        <v>2862</v>
      </c>
      <c r="J782" s="138" t="s">
        <v>2863</v>
      </c>
      <c r="K782" s="108" t="str">
        <f>_xlfn.XLOOKUP(J782,[1]Sheet1!$A:$A,[1]Sheet1!$B:$B,"")</f>
        <v>#ERROR!</v>
      </c>
      <c r="L782" s="105" t="s">
        <v>325</v>
      </c>
      <c r="M782" s="105" t="s">
        <v>326</v>
      </c>
      <c r="N782" s="106" t="s">
        <v>162</v>
      </c>
      <c r="O782" s="109" t="s">
        <v>147</v>
      </c>
      <c r="P782" s="110">
        <v>19.0</v>
      </c>
      <c r="Q782" s="103" t="s">
        <v>96</v>
      </c>
      <c r="R782" s="110" t="s">
        <v>97</v>
      </c>
      <c r="S782" s="110">
        <v>9.0</v>
      </c>
      <c r="T782" s="111"/>
      <c r="U782" s="106" t="s">
        <v>98</v>
      </c>
      <c r="V782" s="112">
        <v>0.0</v>
      </c>
      <c r="W782" s="113">
        <v>60.0</v>
      </c>
      <c r="X782" s="113">
        <v>14.0</v>
      </c>
      <c r="Y782" s="113">
        <v>14.0</v>
      </c>
      <c r="Z782" s="113" t="s">
        <v>148</v>
      </c>
      <c r="AA782" s="114">
        <f t="shared" ref="AA782:AA785" si="790">(BC782/(1-(AK782+2%)))*$F$6</f>
        <v>512.6506024</v>
      </c>
      <c r="AB782" s="115" t="str">
        <f t="shared" ref="AB782:AB785" si="791">VLOOKUP(J782,'[2]PO &amp; SC Sept 2025'!$I$14:$BK$660,55,FALSE)+(($F$3/1000)-1.5)*P782</f>
        <v>#REF!</v>
      </c>
      <c r="AC782" s="116">
        <f t="shared" si="772"/>
        <v>443.8192668</v>
      </c>
      <c r="AD782" s="117">
        <f t="shared" ref="AD782:AD785" si="792">AC782/0.95</f>
        <v>467.1781756</v>
      </c>
      <c r="AE782" s="116"/>
      <c r="AF782" s="118" t="str">
        <f t="shared" si="94"/>
        <v>#REF!</v>
      </c>
      <c r="AG782" s="119" t="str">
        <f t="shared" si="95"/>
        <v>#REF!</v>
      </c>
      <c r="AH782" s="120" t="str">
        <f t="shared" si="96"/>
        <v>#REF!</v>
      </c>
      <c r="AI782" s="121">
        <f t="shared" si="497"/>
        <v>0.07</v>
      </c>
      <c r="AJ782" s="121">
        <v>0.07</v>
      </c>
      <c r="AK782" s="122">
        <v>0.15</v>
      </c>
      <c r="AL782" s="123">
        <f t="shared" si="11"/>
        <v>66.57289003</v>
      </c>
      <c r="AM782" s="122" t="s">
        <v>10</v>
      </c>
      <c r="AN782" s="125">
        <f t="shared" si="774"/>
        <v>443.8192668</v>
      </c>
      <c r="AO782" s="112">
        <f t="shared" si="775"/>
        <v>0.15</v>
      </c>
      <c r="AP782" s="127"/>
      <c r="AQ782" s="128">
        <f t="shared" ref="AQ782:AQ785" si="793">BC782/(1-AI782)*$F$6</f>
        <v>457.5268817</v>
      </c>
      <c r="AR782" s="125">
        <f t="shared" ref="AR782:AR785" si="794">BD782/(1-AJ782)</f>
        <v>405.6412654</v>
      </c>
      <c r="AS782" s="126">
        <f t="shared" si="733"/>
        <v>0.1075268817</v>
      </c>
      <c r="AT782" s="126">
        <f t="shared" si="777"/>
        <v>0.08602150538</v>
      </c>
      <c r="AU782" s="129"/>
      <c r="AV782" s="39" t="s">
        <v>149</v>
      </c>
      <c r="AW782" s="130"/>
      <c r="AX782" s="130"/>
      <c r="AY782" s="139">
        <v>199.0</v>
      </c>
      <c r="AZ782" s="130"/>
      <c r="BA782" s="130"/>
      <c r="BB782" s="130"/>
      <c r="BC782" s="137">
        <f t="shared" ref="BC782:BC785" si="795">AY782+($F$4-1500)/1000*P782</f>
        <v>370</v>
      </c>
      <c r="BD782" s="132">
        <f t="shared" ref="BD782:BD785" si="796">(AY782+($F$4-1500)/1000*P782)+($F$10/40/S782/$F$6)</f>
        <v>377.2463768</v>
      </c>
      <c r="BE782" s="39"/>
      <c r="BF782" s="134" t="s">
        <v>101</v>
      </c>
      <c r="BG782" s="49"/>
      <c r="BH782" s="116">
        <f t="shared" si="714"/>
        <v>1479.397556</v>
      </c>
      <c r="BI782" s="116">
        <f t="shared" si="715"/>
        <v>887.6385337</v>
      </c>
      <c r="BJ782" s="116">
        <f t="shared" si="716"/>
        <v>739.6987781</v>
      </c>
      <c r="BK782" s="116">
        <f t="shared" si="717"/>
        <v>591.7590224</v>
      </c>
      <c r="BL782" s="49"/>
      <c r="BM782" s="49"/>
      <c r="BN782" s="49"/>
      <c r="BO782" s="49"/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49"/>
      <c r="CA782" s="49"/>
      <c r="CB782" s="49"/>
      <c r="CC782" s="49"/>
      <c r="CD782" s="49"/>
      <c r="CE782" s="49"/>
      <c r="CF782" s="49"/>
    </row>
    <row r="783" ht="14.25" customHeight="1">
      <c r="A783" s="103" t="s">
        <v>2860</v>
      </c>
      <c r="B783" s="103" t="s">
        <v>85</v>
      </c>
      <c r="C783" s="103" t="s">
        <v>85</v>
      </c>
      <c r="D783" s="103" t="s">
        <v>86</v>
      </c>
      <c r="E783" s="104" t="s">
        <v>87</v>
      </c>
      <c r="F783" s="105" t="s">
        <v>207</v>
      </c>
      <c r="G783" s="106" t="s">
        <v>299</v>
      </c>
      <c r="H783" s="106">
        <v>23.0</v>
      </c>
      <c r="I783" s="107" t="s">
        <v>2864</v>
      </c>
      <c r="J783" s="138" t="s">
        <v>2865</v>
      </c>
      <c r="K783" s="108" t="str">
        <f>_xlfn.XLOOKUP(J783,[1]Sheet1!$A:$A,[1]Sheet1!$B:$B,"")</f>
        <v>#ERROR!</v>
      </c>
      <c r="L783" s="105" t="s">
        <v>330</v>
      </c>
      <c r="M783" s="105" t="s">
        <v>331</v>
      </c>
      <c r="N783" s="106" t="s">
        <v>162</v>
      </c>
      <c r="O783" s="109" t="s">
        <v>147</v>
      </c>
      <c r="P783" s="110">
        <v>37.0</v>
      </c>
      <c r="Q783" s="103" t="s">
        <v>96</v>
      </c>
      <c r="R783" s="110" t="s">
        <v>97</v>
      </c>
      <c r="S783" s="110">
        <v>4.0</v>
      </c>
      <c r="T783" s="111"/>
      <c r="U783" s="106" t="s">
        <v>98</v>
      </c>
      <c r="V783" s="112">
        <v>0.0</v>
      </c>
      <c r="W783" s="113">
        <v>60.0</v>
      </c>
      <c r="X783" s="113">
        <v>14.0</v>
      </c>
      <c r="Y783" s="113">
        <v>14.0</v>
      </c>
      <c r="Z783" s="113" t="s">
        <v>148</v>
      </c>
      <c r="AA783" s="114">
        <f t="shared" si="790"/>
        <v>1031.556886</v>
      </c>
      <c r="AB783" s="115" t="str">
        <f t="shared" si="791"/>
        <v>#REF!</v>
      </c>
      <c r="AC783" s="116">
        <f t="shared" si="772"/>
        <v>895.0928045</v>
      </c>
      <c r="AD783" s="117">
        <f t="shared" si="792"/>
        <v>942.2029521</v>
      </c>
      <c r="AE783" s="116"/>
      <c r="AF783" s="118" t="str">
        <f t="shared" si="94"/>
        <v>#REF!</v>
      </c>
      <c r="AG783" s="119" t="str">
        <f t="shared" si="95"/>
        <v>#REF!</v>
      </c>
      <c r="AH783" s="120" t="str">
        <f t="shared" si="96"/>
        <v>#REF!</v>
      </c>
      <c r="AI783" s="121">
        <f t="shared" si="497"/>
        <v>0.07</v>
      </c>
      <c r="AJ783" s="121">
        <v>0.07</v>
      </c>
      <c r="AK783" s="122">
        <v>0.145</v>
      </c>
      <c r="AL783" s="123">
        <f t="shared" si="11"/>
        <v>129.7884566</v>
      </c>
      <c r="AM783" s="122" t="s">
        <v>10</v>
      </c>
      <c r="AN783" s="125">
        <f t="shared" si="774"/>
        <v>895.0928045</v>
      </c>
      <c r="AO783" s="112">
        <f t="shared" si="775"/>
        <v>0.145</v>
      </c>
      <c r="AP783" s="127"/>
      <c r="AQ783" s="128">
        <f t="shared" si="793"/>
        <v>926.1827957</v>
      </c>
      <c r="AR783" s="125">
        <f t="shared" si="794"/>
        <v>822.9079009</v>
      </c>
      <c r="AS783" s="126">
        <f t="shared" si="733"/>
        <v>0.1021505376</v>
      </c>
      <c r="AT783" s="126">
        <f t="shared" si="777"/>
        <v>0.08064516129</v>
      </c>
      <c r="AU783" s="129"/>
      <c r="AV783" s="39" t="s">
        <v>149</v>
      </c>
      <c r="AW783" s="130"/>
      <c r="AX783" s="130"/>
      <c r="AY783" s="139">
        <v>416.0</v>
      </c>
      <c r="AZ783" s="130"/>
      <c r="BA783" s="130"/>
      <c r="BB783" s="130"/>
      <c r="BC783" s="137">
        <f t="shared" si="795"/>
        <v>749</v>
      </c>
      <c r="BD783" s="132">
        <f t="shared" si="796"/>
        <v>765.3043478</v>
      </c>
      <c r="BE783" s="39"/>
      <c r="BF783" s="134" t="s">
        <v>101</v>
      </c>
      <c r="BG783" s="49"/>
      <c r="BH783" s="116">
        <f t="shared" si="714"/>
        <v>2983.642682</v>
      </c>
      <c r="BI783" s="116">
        <f t="shared" si="715"/>
        <v>1790.185609</v>
      </c>
      <c r="BJ783" s="116">
        <f t="shared" si="716"/>
        <v>1491.821341</v>
      </c>
      <c r="BK783" s="116">
        <f t="shared" si="717"/>
        <v>1193.457073</v>
      </c>
      <c r="BL783" s="49"/>
      <c r="BM783" s="49"/>
      <c r="BN783" s="49"/>
      <c r="BO783" s="49"/>
      <c r="BP783" s="49"/>
      <c r="BQ783" s="49"/>
      <c r="BR783" s="49"/>
      <c r="BS783" s="49"/>
      <c r="BT783" s="49"/>
      <c r="BU783" s="49"/>
      <c r="BV783" s="49"/>
      <c r="BW783" s="49"/>
      <c r="BX783" s="49"/>
      <c r="BY783" s="49"/>
      <c r="BZ783" s="49"/>
      <c r="CA783" s="49"/>
      <c r="CB783" s="49"/>
      <c r="CC783" s="49"/>
      <c r="CD783" s="49"/>
      <c r="CE783" s="49"/>
      <c r="CF783" s="49"/>
    </row>
    <row r="784" ht="14.25" customHeight="1">
      <c r="A784" s="103" t="s">
        <v>2860</v>
      </c>
      <c r="B784" s="103" t="s">
        <v>85</v>
      </c>
      <c r="C784" s="103" t="s">
        <v>85</v>
      </c>
      <c r="D784" s="103" t="s">
        <v>86</v>
      </c>
      <c r="E784" s="104" t="s">
        <v>87</v>
      </c>
      <c r="F784" s="105" t="s">
        <v>207</v>
      </c>
      <c r="G784" s="106" t="s">
        <v>299</v>
      </c>
      <c r="H784" s="106">
        <v>23.0</v>
      </c>
      <c r="I784" s="107" t="s">
        <v>2866</v>
      </c>
      <c r="J784" s="138" t="s">
        <v>2867</v>
      </c>
      <c r="K784" s="108" t="str">
        <f>_xlfn.XLOOKUP(J784,[1]Sheet1!$A:$A,[1]Sheet1!$B:$B,"")</f>
        <v>#ERROR!</v>
      </c>
      <c r="L784" s="105" t="s">
        <v>2868</v>
      </c>
      <c r="M784" s="105" t="s">
        <v>2869</v>
      </c>
      <c r="N784" s="106" t="s">
        <v>106</v>
      </c>
      <c r="O784" s="109" t="s">
        <v>147</v>
      </c>
      <c r="P784" s="110">
        <v>19.0</v>
      </c>
      <c r="Q784" s="103" t="s">
        <v>96</v>
      </c>
      <c r="R784" s="110" t="s">
        <v>97</v>
      </c>
      <c r="S784" s="110">
        <v>9.0</v>
      </c>
      <c r="T784" s="110"/>
      <c r="U784" s="106" t="s">
        <v>98</v>
      </c>
      <c r="V784" s="112">
        <v>0.0</v>
      </c>
      <c r="W784" s="113">
        <v>60.0</v>
      </c>
      <c r="X784" s="113">
        <v>14.0</v>
      </c>
      <c r="Y784" s="113">
        <v>14.0</v>
      </c>
      <c r="Z784" s="113" t="s">
        <v>148</v>
      </c>
      <c r="AA784" s="114">
        <f t="shared" si="790"/>
        <v>491.8674699</v>
      </c>
      <c r="AB784" s="115" t="str">
        <f t="shared" si="791"/>
        <v>#REF!</v>
      </c>
      <c r="AC784" s="116">
        <f t="shared" si="772"/>
        <v>426.172208</v>
      </c>
      <c r="AD784" s="117">
        <f t="shared" si="792"/>
        <v>448.6023242</v>
      </c>
      <c r="AE784" s="116"/>
      <c r="AF784" s="118" t="str">
        <f t="shared" si="94"/>
        <v>#REF!</v>
      </c>
      <c r="AG784" s="119" t="str">
        <f t="shared" si="95"/>
        <v>#REF!</v>
      </c>
      <c r="AH784" s="120" t="str">
        <f t="shared" si="96"/>
        <v>#REF!</v>
      </c>
      <c r="AI784" s="121">
        <f t="shared" si="497"/>
        <v>0.07</v>
      </c>
      <c r="AJ784" s="121">
        <v>0.07</v>
      </c>
      <c r="AK784" s="122">
        <v>0.15</v>
      </c>
      <c r="AL784" s="123">
        <f t="shared" si="11"/>
        <v>63.9258312</v>
      </c>
      <c r="AM784" s="122" t="s">
        <v>10</v>
      </c>
      <c r="AN784" s="125">
        <f t="shared" si="774"/>
        <v>426.172208</v>
      </c>
      <c r="AO784" s="112">
        <f t="shared" si="775"/>
        <v>0.15</v>
      </c>
      <c r="AP784" s="127"/>
      <c r="AQ784" s="128">
        <f t="shared" si="793"/>
        <v>438.9784946</v>
      </c>
      <c r="AR784" s="125">
        <f t="shared" si="794"/>
        <v>389.5122331</v>
      </c>
      <c r="AS784" s="126">
        <f t="shared" si="733"/>
        <v>0.1075268817</v>
      </c>
      <c r="AT784" s="126">
        <f t="shared" si="777"/>
        <v>0.08602150538</v>
      </c>
      <c r="AU784" s="129">
        <v>351.16</v>
      </c>
      <c r="AV784" s="39" t="s">
        <v>149</v>
      </c>
      <c r="AW784" s="130"/>
      <c r="AX784" s="130"/>
      <c r="AY784" s="139">
        <v>184.0</v>
      </c>
      <c r="AZ784" s="130"/>
      <c r="BA784" s="130"/>
      <c r="BB784" s="130"/>
      <c r="BC784" s="137">
        <f t="shared" si="795"/>
        <v>355</v>
      </c>
      <c r="BD784" s="132">
        <f t="shared" si="796"/>
        <v>362.2463768</v>
      </c>
      <c r="BE784" s="39"/>
      <c r="BF784" s="134" t="s">
        <v>101</v>
      </c>
      <c r="BG784" s="49"/>
      <c r="BH784" s="116">
        <f t="shared" si="714"/>
        <v>1420.574027</v>
      </c>
      <c r="BI784" s="116">
        <f t="shared" si="715"/>
        <v>852.344416</v>
      </c>
      <c r="BJ784" s="116">
        <f t="shared" si="716"/>
        <v>710.2870134</v>
      </c>
      <c r="BK784" s="116">
        <f t="shared" si="717"/>
        <v>568.2296107</v>
      </c>
      <c r="BL784" s="49"/>
      <c r="BM784" s="49"/>
      <c r="BN784" s="49"/>
      <c r="BO784" s="49"/>
      <c r="BP784" s="49"/>
      <c r="BQ784" s="49"/>
      <c r="BR784" s="49"/>
      <c r="BS784" s="49"/>
      <c r="BT784" s="49"/>
      <c r="BU784" s="49"/>
      <c r="BV784" s="49"/>
      <c r="BW784" s="49"/>
      <c r="BX784" s="49"/>
      <c r="BY784" s="49"/>
      <c r="BZ784" s="49"/>
      <c r="CA784" s="49"/>
      <c r="CB784" s="49"/>
      <c r="CC784" s="49"/>
      <c r="CD784" s="49"/>
      <c r="CE784" s="49"/>
      <c r="CF784" s="49"/>
    </row>
    <row r="785" ht="14.25" customHeight="1">
      <c r="A785" s="103" t="s">
        <v>2860</v>
      </c>
      <c r="B785" s="103" t="s">
        <v>85</v>
      </c>
      <c r="C785" s="103" t="s">
        <v>85</v>
      </c>
      <c r="D785" s="103" t="s">
        <v>86</v>
      </c>
      <c r="E785" s="104" t="s">
        <v>87</v>
      </c>
      <c r="F785" s="105" t="s">
        <v>207</v>
      </c>
      <c r="G785" s="106" t="s">
        <v>299</v>
      </c>
      <c r="H785" s="106">
        <v>23.0</v>
      </c>
      <c r="I785" s="107" t="s">
        <v>2870</v>
      </c>
      <c r="J785" s="138" t="s">
        <v>2871</v>
      </c>
      <c r="K785" s="108" t="s">
        <v>2872</v>
      </c>
      <c r="L785" s="105" t="s">
        <v>2873</v>
      </c>
      <c r="M785" s="105" t="s">
        <v>2874</v>
      </c>
      <c r="N785" s="106" t="s">
        <v>106</v>
      </c>
      <c r="O785" s="109" t="s">
        <v>147</v>
      </c>
      <c r="P785" s="110">
        <v>37.0</v>
      </c>
      <c r="Q785" s="103" t="s">
        <v>96</v>
      </c>
      <c r="R785" s="110" t="s">
        <v>97</v>
      </c>
      <c r="S785" s="110">
        <v>4.0</v>
      </c>
      <c r="T785" s="110"/>
      <c r="U785" s="106" t="s">
        <v>98</v>
      </c>
      <c r="V785" s="112">
        <v>0.0</v>
      </c>
      <c r="W785" s="113">
        <v>60.0</v>
      </c>
      <c r="X785" s="113">
        <v>14.0</v>
      </c>
      <c r="Y785" s="113">
        <v>14.0</v>
      </c>
      <c r="Z785" s="113" t="s">
        <v>148</v>
      </c>
      <c r="AA785" s="114">
        <f t="shared" si="790"/>
        <v>1015.02994</v>
      </c>
      <c r="AB785" s="115" t="str">
        <f t="shared" si="791"/>
        <v>#REF!</v>
      </c>
      <c r="AC785" s="116">
        <f t="shared" si="772"/>
        <v>881.0577168</v>
      </c>
      <c r="AD785" s="117">
        <f t="shared" si="792"/>
        <v>927.4291755</v>
      </c>
      <c r="AE785" s="116"/>
      <c r="AF785" s="118" t="str">
        <f t="shared" si="94"/>
        <v>#REF!</v>
      </c>
      <c r="AG785" s="119" t="str">
        <f t="shared" si="95"/>
        <v>#REF!</v>
      </c>
      <c r="AH785" s="120" t="str">
        <f t="shared" si="96"/>
        <v>#REF!</v>
      </c>
      <c r="AI785" s="121">
        <f t="shared" si="497"/>
        <v>0.07</v>
      </c>
      <c r="AJ785" s="121">
        <v>0.07</v>
      </c>
      <c r="AK785" s="122">
        <v>0.145</v>
      </c>
      <c r="AL785" s="123">
        <f t="shared" si="11"/>
        <v>127.7533689</v>
      </c>
      <c r="AM785" s="122" t="s">
        <v>10</v>
      </c>
      <c r="AN785" s="125">
        <f t="shared" si="774"/>
        <v>881.0577168</v>
      </c>
      <c r="AO785" s="112">
        <f t="shared" si="775"/>
        <v>0.145</v>
      </c>
      <c r="AP785" s="127"/>
      <c r="AQ785" s="128">
        <f t="shared" si="793"/>
        <v>911.344086</v>
      </c>
      <c r="AR785" s="125">
        <f t="shared" si="794"/>
        <v>810.0046751</v>
      </c>
      <c r="AS785" s="126">
        <f t="shared" si="733"/>
        <v>0.1021505376</v>
      </c>
      <c r="AT785" s="126">
        <f t="shared" si="777"/>
        <v>0.08064516129</v>
      </c>
      <c r="AU785" s="129">
        <v>755.5</v>
      </c>
      <c r="AV785" s="39" t="s">
        <v>149</v>
      </c>
      <c r="AW785" s="130"/>
      <c r="AX785" s="130"/>
      <c r="AY785" s="139">
        <v>404.0</v>
      </c>
      <c r="AZ785" s="130"/>
      <c r="BA785" s="130"/>
      <c r="BB785" s="130"/>
      <c r="BC785" s="137">
        <f t="shared" si="795"/>
        <v>737</v>
      </c>
      <c r="BD785" s="132">
        <f t="shared" si="796"/>
        <v>753.3043478</v>
      </c>
      <c r="BE785" s="39"/>
      <c r="BF785" s="134" t="s">
        <v>101</v>
      </c>
      <c r="BG785" s="49"/>
      <c r="BH785" s="116">
        <f t="shared" si="714"/>
        <v>2936.859056</v>
      </c>
      <c r="BI785" s="116">
        <f t="shared" si="715"/>
        <v>1762.115434</v>
      </c>
      <c r="BJ785" s="116">
        <f t="shared" si="716"/>
        <v>1468.429528</v>
      </c>
      <c r="BK785" s="116">
        <f t="shared" si="717"/>
        <v>1174.743622</v>
      </c>
      <c r="BL785" s="49"/>
      <c r="BM785" s="49"/>
      <c r="BN785" s="49"/>
      <c r="BO785" s="49"/>
      <c r="BP785" s="49"/>
      <c r="BQ785" s="49"/>
      <c r="BR785" s="49"/>
      <c r="BS785" s="49"/>
      <c r="BT785" s="49"/>
      <c r="BU785" s="49"/>
      <c r="BV785" s="49"/>
      <c r="BW785" s="49"/>
      <c r="BX785" s="49"/>
      <c r="BY785" s="49"/>
      <c r="BZ785" s="49"/>
      <c r="CA785" s="49"/>
      <c r="CB785" s="49"/>
      <c r="CC785" s="49"/>
      <c r="CD785" s="49"/>
      <c r="CE785" s="49"/>
      <c r="CF785" s="49"/>
    </row>
    <row r="786" ht="14.25" customHeight="1">
      <c r="A786" s="103" t="s">
        <v>2860</v>
      </c>
      <c r="B786" s="103" t="s">
        <v>85</v>
      </c>
      <c r="C786" s="103" t="s">
        <v>85</v>
      </c>
      <c r="D786" s="103" t="s">
        <v>86</v>
      </c>
      <c r="E786" s="109" t="s">
        <v>788</v>
      </c>
      <c r="F786" s="105" t="s">
        <v>840</v>
      </c>
      <c r="G786" s="106" t="s">
        <v>577</v>
      </c>
      <c r="H786" s="110">
        <v>26.0</v>
      </c>
      <c r="I786" s="107"/>
      <c r="J786" s="108" t="s">
        <v>2875</v>
      </c>
      <c r="K786" s="108" t="str">
        <f>_xlfn.XLOOKUP(J786,[1]Sheet1!$A:$A,[1]Sheet1!$B:$B,"")</f>
        <v>#ERROR!</v>
      </c>
      <c r="L786" s="109" t="s">
        <v>2876</v>
      </c>
      <c r="M786" s="104"/>
      <c r="N786" s="110"/>
      <c r="O786" s="109" t="s">
        <v>95</v>
      </c>
      <c r="P786" s="106"/>
      <c r="Q786" s="103" t="s">
        <v>2877</v>
      </c>
      <c r="R786" s="398" t="s">
        <v>2878</v>
      </c>
      <c r="S786" s="110">
        <v>14400.0</v>
      </c>
      <c r="T786" s="110"/>
      <c r="U786" s="110" t="s">
        <v>796</v>
      </c>
      <c r="V786" s="112">
        <v>0.0</v>
      </c>
      <c r="W786" s="110">
        <v>60.0</v>
      </c>
      <c r="X786" s="110">
        <v>55.0</v>
      </c>
      <c r="Y786" s="110">
        <v>55.0</v>
      </c>
      <c r="Z786" s="113" t="s">
        <v>99</v>
      </c>
      <c r="AA786" s="114">
        <f t="shared" ref="AA786:AA830" si="798">BC786/(1-(AK786+2%))</f>
        <v>0.3762102829</v>
      </c>
      <c r="AB786" s="115"/>
      <c r="AC786" s="212">
        <f t="shared" si="772"/>
        <v>0.327655645</v>
      </c>
      <c r="AD786" s="213">
        <f t="shared" ref="AD786:AD1102" si="799">AC786/0.93</f>
        <v>0.3523178978</v>
      </c>
      <c r="AE786" s="116"/>
      <c r="AF786" s="212" t="str">
        <f t="shared" si="94"/>
        <v>#REF!</v>
      </c>
      <c r="AG786" s="210" t="str">
        <f t="shared" si="95"/>
        <v>#REF!</v>
      </c>
      <c r="AH786" s="120" t="str">
        <f t="shared" si="96"/>
        <v>#REF!</v>
      </c>
      <c r="AI786" s="399">
        <f t="shared" si="497"/>
        <v>0.1</v>
      </c>
      <c r="AJ786" s="399">
        <v>0.1</v>
      </c>
      <c r="AK786" s="400">
        <v>0.222</v>
      </c>
      <c r="AL786" s="123">
        <f t="shared" si="11"/>
        <v>0.07273955319</v>
      </c>
      <c r="AM786" s="401" t="s">
        <v>6</v>
      </c>
      <c r="AN786" s="111">
        <f t="shared" ref="AN786:AN832" si="800">AC786*(1-$AN$3)</f>
        <v>0.2948900805</v>
      </c>
      <c r="AO786" s="402">
        <f t="shared" si="775"/>
        <v>0.1355555556</v>
      </c>
      <c r="AP786" s="127"/>
      <c r="AQ786" s="403">
        <f t="shared" ref="AQ786:AR786" si="797">BC786/(1-AI786)</f>
        <v>0.3168526605</v>
      </c>
      <c r="AR786" s="404">
        <f t="shared" si="797"/>
        <v>0.283240102</v>
      </c>
      <c r="AS786" s="405">
        <f t="shared" si="733"/>
        <v>0.1577777778</v>
      </c>
      <c r="AT786" s="405">
        <f t="shared" si="777"/>
        <v>0.1355555556</v>
      </c>
      <c r="AU786" s="129"/>
      <c r="AV786" s="48" t="s">
        <v>2879</v>
      </c>
      <c r="AW786" s="406">
        <f t="shared" ref="AW786:AW787" si="802">0.001*6.85</f>
        <v>0.00685</v>
      </c>
      <c r="AX786" s="406">
        <f>0.273*6.85-AW786/2</f>
        <v>1.866625</v>
      </c>
      <c r="AY786" s="134"/>
      <c r="AZ786" s="214"/>
      <c r="BA786" s="244">
        <f t="shared" ref="BA786:BA815" si="803">($F$2-70000)/2000*AW786+AX786</f>
        <v>1.9591</v>
      </c>
      <c r="BB786" s="227"/>
      <c r="BC786" s="245">
        <f t="shared" ref="BC786:BC815" si="804">(AZ786+BA786)/$F$5</f>
        <v>0.2851673945</v>
      </c>
      <c r="BD786" s="132">
        <f t="shared" ref="BD786:BD815" si="805">(BC786/$F$6)+(($F$9+$G$9)/40/S786)+BC786*V786</f>
        <v>0.2549160918</v>
      </c>
      <c r="BE786" s="215"/>
      <c r="BF786" s="48"/>
      <c r="BG786" s="49"/>
      <c r="BH786" s="224">
        <f t="shared" si="714"/>
        <v>1.092185483</v>
      </c>
      <c r="BI786" s="224">
        <f t="shared" si="715"/>
        <v>0.65531129</v>
      </c>
      <c r="BJ786" s="224">
        <f t="shared" si="716"/>
        <v>0.5460927417</v>
      </c>
      <c r="BK786" s="224">
        <f t="shared" si="717"/>
        <v>0.4368741933</v>
      </c>
      <c r="BL786" s="49"/>
      <c r="BM786" s="49"/>
      <c r="BN786" s="49"/>
      <c r="BO786" s="49"/>
      <c r="BP786" s="49"/>
      <c r="BQ786" s="49"/>
      <c r="BR786" s="49"/>
      <c r="BS786" s="49"/>
      <c r="BT786" s="49"/>
      <c r="BU786" s="49"/>
      <c r="BV786" s="49"/>
      <c r="BW786" s="49"/>
      <c r="BX786" s="49"/>
      <c r="BY786" s="49"/>
      <c r="BZ786" s="49"/>
      <c r="CA786" s="49"/>
      <c r="CB786" s="49"/>
      <c r="CC786" s="49"/>
      <c r="CD786" s="49"/>
      <c r="CE786" s="49"/>
      <c r="CF786" s="49"/>
    </row>
    <row r="787" ht="14.25" customHeight="1">
      <c r="A787" s="103" t="s">
        <v>2860</v>
      </c>
      <c r="B787" s="103" t="s">
        <v>85</v>
      </c>
      <c r="C787" s="103" t="s">
        <v>85</v>
      </c>
      <c r="D787" s="103" t="s">
        <v>86</v>
      </c>
      <c r="E787" s="109" t="s">
        <v>788</v>
      </c>
      <c r="F787" s="105" t="s">
        <v>840</v>
      </c>
      <c r="G787" s="106" t="s">
        <v>577</v>
      </c>
      <c r="H787" s="110">
        <v>26.0</v>
      </c>
      <c r="I787" s="107"/>
      <c r="J787" s="108" t="s">
        <v>2880</v>
      </c>
      <c r="K787" s="108" t="str">
        <f>_xlfn.XLOOKUP(J787,[1]Sheet1!$A:$A,[1]Sheet1!$B:$B,"")</f>
        <v>#ERROR!</v>
      </c>
      <c r="L787" s="109" t="s">
        <v>842</v>
      </c>
      <c r="M787" s="104"/>
      <c r="N787" s="110"/>
      <c r="O787" s="109" t="s">
        <v>95</v>
      </c>
      <c r="P787" s="106"/>
      <c r="Q787" s="103" t="s">
        <v>2877</v>
      </c>
      <c r="R787" s="407"/>
      <c r="S787" s="110">
        <v>12800.0</v>
      </c>
      <c r="T787" s="110"/>
      <c r="U787" s="110" t="s">
        <v>796</v>
      </c>
      <c r="V787" s="112">
        <v>0.0</v>
      </c>
      <c r="W787" s="110">
        <v>60.0</v>
      </c>
      <c r="X787" s="110">
        <v>55.0</v>
      </c>
      <c r="Y787" s="110">
        <v>55.0</v>
      </c>
      <c r="Z787" s="113" t="s">
        <v>99</v>
      </c>
      <c r="AA787" s="114">
        <f t="shared" si="798"/>
        <v>0.4130420589</v>
      </c>
      <c r="AB787" s="115"/>
      <c r="AC787" s="212">
        <f t="shared" si="772"/>
        <v>0.3599756965</v>
      </c>
      <c r="AD787" s="213">
        <f t="shared" si="799"/>
        <v>0.3870706414</v>
      </c>
      <c r="AE787" s="116"/>
      <c r="AF787" s="212" t="str">
        <f t="shared" si="94"/>
        <v>#REF!</v>
      </c>
      <c r="AG787" s="210" t="str">
        <f t="shared" si="95"/>
        <v>#REF!</v>
      </c>
      <c r="AH787" s="120" t="str">
        <f t="shared" si="96"/>
        <v>#REF!</v>
      </c>
      <c r="AI787" s="399">
        <f t="shared" si="497"/>
        <v>0.1</v>
      </c>
      <c r="AJ787" s="399">
        <v>0.1</v>
      </c>
      <c r="AK787" s="400">
        <v>0.222</v>
      </c>
      <c r="AL787" s="123">
        <f t="shared" si="11"/>
        <v>0.07991460462</v>
      </c>
      <c r="AM787" s="401" t="s">
        <v>6</v>
      </c>
      <c r="AN787" s="111">
        <f t="shared" si="800"/>
        <v>0.3239781268</v>
      </c>
      <c r="AO787" s="402">
        <f t="shared" si="775"/>
        <v>0.1355555556</v>
      </c>
      <c r="AP787" s="127"/>
      <c r="AQ787" s="403">
        <f t="shared" ref="AQ787:AR787" si="801">BC787/(1-AI787)</f>
        <v>0.3478732007</v>
      </c>
      <c r="AR787" s="404">
        <f t="shared" si="801"/>
        <v>0.311178991</v>
      </c>
      <c r="AS787" s="405">
        <f t="shared" si="733"/>
        <v>0.1577777778</v>
      </c>
      <c r="AT787" s="405">
        <f t="shared" si="777"/>
        <v>0.1355555556</v>
      </c>
      <c r="AU787" s="129"/>
      <c r="AV787" s="48" t="s">
        <v>2879</v>
      </c>
      <c r="AW787" s="406">
        <f t="shared" si="802"/>
        <v>0.00685</v>
      </c>
      <c r="AX787" s="406">
        <f>0.301*6.85-AW787/2</f>
        <v>2.058425</v>
      </c>
      <c r="AY787" s="134"/>
      <c r="AZ787" s="214"/>
      <c r="BA787" s="244">
        <f t="shared" si="803"/>
        <v>2.1509</v>
      </c>
      <c r="BB787" s="227"/>
      <c r="BC787" s="245">
        <f t="shared" si="804"/>
        <v>0.3130858806</v>
      </c>
      <c r="BD787" s="132">
        <f t="shared" si="805"/>
        <v>0.2800610919</v>
      </c>
      <c r="BE787" s="215"/>
      <c r="BF787" s="48"/>
      <c r="BG787" s="49"/>
      <c r="BH787" s="224">
        <f t="shared" si="714"/>
        <v>1.199918988</v>
      </c>
      <c r="BI787" s="224">
        <f t="shared" si="715"/>
        <v>0.719951393</v>
      </c>
      <c r="BJ787" s="224">
        <f t="shared" si="716"/>
        <v>0.5999594941</v>
      </c>
      <c r="BK787" s="224">
        <f t="shared" si="717"/>
        <v>0.4799675953</v>
      </c>
      <c r="BL787" s="49"/>
      <c r="BM787" s="49"/>
      <c r="BN787" s="49"/>
      <c r="BO787" s="49"/>
      <c r="BP787" s="49"/>
      <c r="BQ787" s="49"/>
      <c r="BR787" s="49"/>
      <c r="BS787" s="49"/>
      <c r="BT787" s="49"/>
      <c r="BU787" s="49"/>
      <c r="BV787" s="49"/>
      <c r="BW787" s="49"/>
      <c r="BX787" s="49"/>
      <c r="BY787" s="49"/>
      <c r="BZ787" s="49"/>
      <c r="CA787" s="49"/>
      <c r="CB787" s="49"/>
      <c r="CC787" s="49"/>
      <c r="CD787" s="49"/>
      <c r="CE787" s="49"/>
      <c r="CF787" s="49"/>
    </row>
    <row r="788" ht="14.25" customHeight="1">
      <c r="A788" s="103" t="s">
        <v>2860</v>
      </c>
      <c r="B788" s="103" t="s">
        <v>85</v>
      </c>
      <c r="C788" s="103" t="s">
        <v>85</v>
      </c>
      <c r="D788" s="103" t="s">
        <v>86</v>
      </c>
      <c r="E788" s="109" t="s">
        <v>788</v>
      </c>
      <c r="F788" s="105" t="s">
        <v>840</v>
      </c>
      <c r="G788" s="106" t="s">
        <v>577</v>
      </c>
      <c r="H788" s="110">
        <v>26.0</v>
      </c>
      <c r="I788" s="107"/>
      <c r="J788" s="108" t="s">
        <v>2881</v>
      </c>
      <c r="K788" s="108" t="str">
        <f>_xlfn.XLOOKUP(J788,[1]Sheet1!$A:$A,[1]Sheet1!$B:$B,"")</f>
        <v>#ERROR!</v>
      </c>
      <c r="L788" s="109" t="s">
        <v>846</v>
      </c>
      <c r="M788" s="104"/>
      <c r="N788" s="110"/>
      <c r="O788" s="109" t="s">
        <v>95</v>
      </c>
      <c r="P788" s="106"/>
      <c r="Q788" s="103" t="s">
        <v>2877</v>
      </c>
      <c r="R788" s="407"/>
      <c r="S788" s="110">
        <v>8000.0</v>
      </c>
      <c r="T788" s="110"/>
      <c r="U788" s="110" t="s">
        <v>796</v>
      </c>
      <c r="V788" s="112">
        <v>0.0</v>
      </c>
      <c r="W788" s="110">
        <v>60.0</v>
      </c>
      <c r="X788" s="110">
        <v>55.0</v>
      </c>
      <c r="Y788" s="110">
        <v>55.0</v>
      </c>
      <c r="Z788" s="113" t="s">
        <v>99</v>
      </c>
      <c r="AA788" s="114">
        <f t="shared" si="798"/>
        <v>0.4722359845</v>
      </c>
      <c r="AB788" s="115"/>
      <c r="AC788" s="212">
        <f t="shared" si="772"/>
        <v>0.4161505267</v>
      </c>
      <c r="AD788" s="213">
        <f t="shared" si="799"/>
        <v>0.4474736847</v>
      </c>
      <c r="AE788" s="116"/>
      <c r="AF788" s="212" t="str">
        <f t="shared" si="94"/>
        <v>#REF!</v>
      </c>
      <c r="AG788" s="210" t="str">
        <f t="shared" si="95"/>
        <v>#REF!</v>
      </c>
      <c r="AH788" s="120" t="str">
        <f t="shared" si="96"/>
        <v>#REF!</v>
      </c>
      <c r="AI788" s="399">
        <f t="shared" si="497"/>
        <v>0.1</v>
      </c>
      <c r="AJ788" s="399">
        <v>0.1</v>
      </c>
      <c r="AK788" s="400">
        <v>0.222</v>
      </c>
      <c r="AL788" s="123">
        <f t="shared" si="11"/>
        <v>0.09238541694</v>
      </c>
      <c r="AM788" s="401" t="s">
        <v>6</v>
      </c>
      <c r="AN788" s="111">
        <f t="shared" si="800"/>
        <v>0.3745354741</v>
      </c>
      <c r="AO788" s="402">
        <f t="shared" si="775"/>
        <v>0.1355555556</v>
      </c>
      <c r="AP788" s="127"/>
      <c r="AQ788" s="403">
        <f t="shared" ref="AQ788:AR788" si="806">BC788/(1-AI788)</f>
        <v>0.3977276403</v>
      </c>
      <c r="AR788" s="404">
        <f t="shared" si="806"/>
        <v>0.3597390109</v>
      </c>
      <c r="AS788" s="405">
        <f t="shared" si="733"/>
        <v>0.1577777778</v>
      </c>
      <c r="AT788" s="405">
        <f t="shared" si="777"/>
        <v>0.1355555556</v>
      </c>
      <c r="AU788" s="129"/>
      <c r="AV788" s="48" t="s">
        <v>2879</v>
      </c>
      <c r="AW788" s="406">
        <f>0.002*6.85</f>
        <v>0.0137</v>
      </c>
      <c r="AX788" s="406">
        <f>0.333*6.85-AW788/2</f>
        <v>2.2742</v>
      </c>
      <c r="AY788" s="134"/>
      <c r="AZ788" s="214"/>
      <c r="BA788" s="244">
        <f t="shared" si="803"/>
        <v>2.45915</v>
      </c>
      <c r="BB788" s="227"/>
      <c r="BC788" s="245">
        <f t="shared" si="804"/>
        <v>0.3579548763</v>
      </c>
      <c r="BD788" s="132">
        <f t="shared" si="805"/>
        <v>0.3237651098</v>
      </c>
      <c r="BE788" s="215"/>
      <c r="BF788" s="48"/>
      <c r="BG788" s="49"/>
      <c r="BH788" s="224">
        <f t="shared" si="714"/>
        <v>1.387168422</v>
      </c>
      <c r="BI788" s="224">
        <f t="shared" si="715"/>
        <v>0.8323010535</v>
      </c>
      <c r="BJ788" s="224">
        <f t="shared" si="716"/>
        <v>0.6935842112</v>
      </c>
      <c r="BK788" s="224">
        <f t="shared" si="717"/>
        <v>0.554867369</v>
      </c>
      <c r="BL788" s="49"/>
      <c r="BM788" s="49"/>
      <c r="BN788" s="49"/>
      <c r="BO788" s="49"/>
      <c r="BP788" s="49"/>
      <c r="BQ788" s="49"/>
      <c r="BR788" s="49"/>
      <c r="BS788" s="49"/>
      <c r="BT788" s="49"/>
      <c r="BU788" s="49"/>
      <c r="BV788" s="49"/>
      <c r="BW788" s="49"/>
      <c r="BX788" s="49"/>
      <c r="BY788" s="49"/>
      <c r="BZ788" s="49"/>
      <c r="CA788" s="49"/>
      <c r="CB788" s="49"/>
      <c r="CC788" s="49"/>
      <c r="CD788" s="49"/>
      <c r="CE788" s="49"/>
      <c r="CF788" s="49"/>
    </row>
    <row r="789" ht="14.25" customHeight="1">
      <c r="A789" s="103" t="s">
        <v>2860</v>
      </c>
      <c r="B789" s="103" t="s">
        <v>85</v>
      </c>
      <c r="C789" s="103" t="s">
        <v>85</v>
      </c>
      <c r="D789" s="103" t="s">
        <v>86</v>
      </c>
      <c r="E789" s="109" t="s">
        <v>788</v>
      </c>
      <c r="F789" s="105" t="s">
        <v>840</v>
      </c>
      <c r="G789" s="106" t="s">
        <v>577</v>
      </c>
      <c r="H789" s="110">
        <v>26.0</v>
      </c>
      <c r="I789" s="107"/>
      <c r="J789" s="108" t="s">
        <v>2882</v>
      </c>
      <c r="K789" s="108" t="str">
        <f>_xlfn.XLOOKUP(J789,[1]Sheet1!$A:$A,[1]Sheet1!$B:$B,"")</f>
        <v>#ERROR!</v>
      </c>
      <c r="L789" s="109" t="s">
        <v>850</v>
      </c>
      <c r="M789" s="104"/>
      <c r="N789" s="110"/>
      <c r="O789" s="109" t="s">
        <v>95</v>
      </c>
      <c r="P789" s="106"/>
      <c r="Q789" s="103" t="s">
        <v>2877</v>
      </c>
      <c r="R789" s="407"/>
      <c r="S789" s="110">
        <v>4480.0</v>
      </c>
      <c r="T789" s="110"/>
      <c r="U789" s="110" t="s">
        <v>796</v>
      </c>
      <c r="V789" s="112">
        <v>0.0</v>
      </c>
      <c r="W789" s="110">
        <v>60.0</v>
      </c>
      <c r="X789" s="110">
        <v>55.0</v>
      </c>
      <c r="Y789" s="110">
        <v>55.0</v>
      </c>
      <c r="Z789" s="113" t="s">
        <v>99</v>
      </c>
      <c r="AA789" s="114">
        <f t="shared" si="798"/>
        <v>0.6116705649</v>
      </c>
      <c r="AB789" s="115"/>
      <c r="AC789" s="212">
        <f t="shared" si="772"/>
        <v>0.5469050308</v>
      </c>
      <c r="AD789" s="213">
        <f t="shared" si="799"/>
        <v>0.5880699256</v>
      </c>
      <c r="AE789" s="212"/>
      <c r="AF789" s="212" t="str">
        <f t="shared" si="94"/>
        <v>#REF!</v>
      </c>
      <c r="AG789" s="210" t="str">
        <f t="shared" si="95"/>
        <v>#REF!</v>
      </c>
      <c r="AH789" s="120" t="str">
        <f t="shared" si="96"/>
        <v>#REF!</v>
      </c>
      <c r="AI789" s="399">
        <f t="shared" si="497"/>
        <v>0.1</v>
      </c>
      <c r="AJ789" s="399">
        <v>0.1</v>
      </c>
      <c r="AK789" s="400">
        <v>0.222</v>
      </c>
      <c r="AL789" s="123">
        <f t="shared" si="11"/>
        <v>0.1214129168</v>
      </c>
      <c r="AM789" s="401" t="s">
        <v>6</v>
      </c>
      <c r="AN789" s="111">
        <f t="shared" si="800"/>
        <v>0.4922145277</v>
      </c>
      <c r="AO789" s="402">
        <f t="shared" si="775"/>
        <v>0.1355555556</v>
      </c>
      <c r="AP789" s="127"/>
      <c r="AQ789" s="403">
        <f t="shared" ref="AQ789:AR789" si="807">BC789/(1-AI789)</f>
        <v>0.5151625425</v>
      </c>
      <c r="AR789" s="404">
        <f t="shared" si="807"/>
        <v>0.4727690155</v>
      </c>
      <c r="AS789" s="405">
        <f t="shared" si="733"/>
        <v>0.1577777778</v>
      </c>
      <c r="AT789" s="405">
        <f t="shared" si="777"/>
        <v>0.1355555556</v>
      </c>
      <c r="AU789" s="129"/>
      <c r="AV789" s="48" t="s">
        <v>2879</v>
      </c>
      <c r="AW789" s="406">
        <f>0.003*6.85</f>
        <v>0.02055</v>
      </c>
      <c r="AX789" s="406">
        <f>0.426*6.85-AW789/2</f>
        <v>2.907825</v>
      </c>
      <c r="AY789" s="134"/>
      <c r="AZ789" s="214"/>
      <c r="BA789" s="244">
        <f t="shared" si="803"/>
        <v>3.18525</v>
      </c>
      <c r="BB789" s="227"/>
      <c r="BC789" s="245">
        <f t="shared" si="804"/>
        <v>0.4636462882</v>
      </c>
      <c r="BD789" s="132">
        <f t="shared" si="805"/>
        <v>0.425492114</v>
      </c>
      <c r="BE789" s="215"/>
      <c r="BF789" s="48"/>
      <c r="BG789" s="49"/>
      <c r="BH789" s="224">
        <f t="shared" si="714"/>
        <v>1.823016769</v>
      </c>
      <c r="BI789" s="224">
        <f t="shared" si="715"/>
        <v>1.093810062</v>
      </c>
      <c r="BJ789" s="224">
        <f t="shared" si="716"/>
        <v>0.9115083847</v>
      </c>
      <c r="BK789" s="224">
        <f t="shared" si="717"/>
        <v>0.7292067077</v>
      </c>
      <c r="BL789" s="49"/>
      <c r="BM789" s="49"/>
      <c r="BN789" s="49"/>
      <c r="BO789" s="49"/>
      <c r="BP789" s="49"/>
      <c r="BQ789" s="49"/>
      <c r="BR789" s="49"/>
      <c r="BS789" s="49"/>
      <c r="BT789" s="49"/>
      <c r="BU789" s="49"/>
      <c r="BV789" s="49"/>
      <c r="BW789" s="49"/>
      <c r="BX789" s="49"/>
      <c r="BY789" s="49"/>
      <c r="BZ789" s="49"/>
      <c r="CA789" s="49"/>
      <c r="CB789" s="49"/>
      <c r="CC789" s="49"/>
      <c r="CD789" s="49"/>
      <c r="CE789" s="49"/>
      <c r="CF789" s="49"/>
    </row>
    <row r="790" ht="14.25" customHeight="1">
      <c r="A790" s="103" t="s">
        <v>2860</v>
      </c>
      <c r="B790" s="103" t="s">
        <v>85</v>
      </c>
      <c r="C790" s="103" t="s">
        <v>85</v>
      </c>
      <c r="D790" s="103" t="s">
        <v>86</v>
      </c>
      <c r="E790" s="109" t="s">
        <v>788</v>
      </c>
      <c r="F790" s="105" t="s">
        <v>840</v>
      </c>
      <c r="G790" s="106" t="s">
        <v>577</v>
      </c>
      <c r="H790" s="110">
        <v>26.0</v>
      </c>
      <c r="I790" s="107"/>
      <c r="J790" s="108" t="s">
        <v>2883</v>
      </c>
      <c r="K790" s="108" t="str">
        <f>_xlfn.XLOOKUP(J790,[1]Sheet1!$A:$A,[1]Sheet1!$B:$B,"")</f>
        <v>#ERROR!</v>
      </c>
      <c r="L790" s="109" t="s">
        <v>854</v>
      </c>
      <c r="M790" s="104"/>
      <c r="N790" s="110"/>
      <c r="O790" s="109" t="s">
        <v>95</v>
      </c>
      <c r="P790" s="106"/>
      <c r="Q790" s="103" t="s">
        <v>2877</v>
      </c>
      <c r="R790" s="407"/>
      <c r="S790" s="110">
        <v>3200.0</v>
      </c>
      <c r="T790" s="110"/>
      <c r="U790" s="110" t="s">
        <v>796</v>
      </c>
      <c r="V790" s="112">
        <v>0.0</v>
      </c>
      <c r="W790" s="110">
        <v>60.0</v>
      </c>
      <c r="X790" s="110">
        <v>55.0</v>
      </c>
      <c r="Y790" s="110">
        <v>55.0</v>
      </c>
      <c r="Z790" s="113" t="s">
        <v>99</v>
      </c>
      <c r="AA790" s="114">
        <f t="shared" si="798"/>
        <v>0.8668621554</v>
      </c>
      <c r="AB790" s="115"/>
      <c r="AC790" s="212">
        <f t="shared" si="772"/>
        <v>0.7745825571</v>
      </c>
      <c r="AD790" s="213">
        <f t="shared" si="799"/>
        <v>0.83288447</v>
      </c>
      <c r="AE790" s="212"/>
      <c r="AF790" s="212" t="str">
        <f t="shared" si="94"/>
        <v>#REF!</v>
      </c>
      <c r="AG790" s="210" t="str">
        <f t="shared" si="95"/>
        <v>#REF!</v>
      </c>
      <c r="AH790" s="120" t="str">
        <f t="shared" si="96"/>
        <v>#REF!</v>
      </c>
      <c r="AI790" s="399">
        <f t="shared" si="497"/>
        <v>0.1</v>
      </c>
      <c r="AJ790" s="399">
        <v>0.1</v>
      </c>
      <c r="AK790" s="400">
        <v>0.222</v>
      </c>
      <c r="AL790" s="123">
        <f t="shared" si="11"/>
        <v>0.1719573277</v>
      </c>
      <c r="AM790" s="401" t="s">
        <v>6</v>
      </c>
      <c r="AN790" s="111">
        <f t="shared" si="800"/>
        <v>0.6971243014</v>
      </c>
      <c r="AO790" s="402">
        <f t="shared" si="775"/>
        <v>0.1355555556</v>
      </c>
      <c r="AP790" s="127"/>
      <c r="AQ790" s="403">
        <f t="shared" ref="AQ790:AR790" si="808">BC790/(1-AI790)</f>
        <v>0.7300905709</v>
      </c>
      <c r="AR790" s="404">
        <f t="shared" si="808"/>
        <v>0.6695835882</v>
      </c>
      <c r="AS790" s="405">
        <f t="shared" si="733"/>
        <v>0.1577777778</v>
      </c>
      <c r="AT790" s="405">
        <f t="shared" si="777"/>
        <v>0.1355555556</v>
      </c>
      <c r="AU790" s="129"/>
      <c r="AV790" s="48" t="s">
        <v>2879</v>
      </c>
      <c r="AW790" s="406">
        <f>0.006*6.85</f>
        <v>0.0411</v>
      </c>
      <c r="AX790" s="406">
        <f>0.581*6.85-AW790/2</f>
        <v>3.9593</v>
      </c>
      <c r="AY790" s="134"/>
      <c r="AZ790" s="214"/>
      <c r="BA790" s="244">
        <f t="shared" si="803"/>
        <v>4.51415</v>
      </c>
      <c r="BB790" s="227"/>
      <c r="BC790" s="245">
        <f t="shared" si="804"/>
        <v>0.6570815138</v>
      </c>
      <c r="BD790" s="132">
        <f t="shared" si="805"/>
        <v>0.6026252294</v>
      </c>
      <c r="BE790" s="215"/>
      <c r="BF790" s="48"/>
      <c r="BG790" s="49"/>
      <c r="BH790" s="224">
        <f t="shared" si="714"/>
        <v>2.581941857</v>
      </c>
      <c r="BI790" s="224">
        <f t="shared" si="715"/>
        <v>1.549165114</v>
      </c>
      <c r="BJ790" s="224">
        <f t="shared" si="716"/>
        <v>1.290970928</v>
      </c>
      <c r="BK790" s="224">
        <f t="shared" si="717"/>
        <v>1.032776743</v>
      </c>
      <c r="BL790" s="49"/>
      <c r="BM790" s="49"/>
      <c r="BN790" s="49"/>
      <c r="BO790" s="49"/>
      <c r="BP790" s="49"/>
      <c r="BQ790" s="49"/>
      <c r="BR790" s="49"/>
      <c r="BS790" s="49"/>
      <c r="BT790" s="49"/>
      <c r="BU790" s="49"/>
      <c r="BV790" s="49"/>
      <c r="BW790" s="49"/>
      <c r="BX790" s="49"/>
      <c r="BY790" s="49"/>
      <c r="BZ790" s="49"/>
      <c r="CA790" s="49"/>
      <c r="CB790" s="49"/>
      <c r="CC790" s="49"/>
      <c r="CD790" s="49"/>
      <c r="CE790" s="49"/>
      <c r="CF790" s="49"/>
    </row>
    <row r="791" ht="14.25" customHeight="1">
      <c r="A791" s="103" t="s">
        <v>2860</v>
      </c>
      <c r="B791" s="103" t="s">
        <v>85</v>
      </c>
      <c r="C791" s="103" t="s">
        <v>85</v>
      </c>
      <c r="D791" s="103" t="s">
        <v>86</v>
      </c>
      <c r="E791" s="109" t="s">
        <v>788</v>
      </c>
      <c r="F791" s="105" t="s">
        <v>840</v>
      </c>
      <c r="G791" s="106" t="s">
        <v>577</v>
      </c>
      <c r="H791" s="110">
        <v>26.0</v>
      </c>
      <c r="I791" s="107"/>
      <c r="J791" s="108" t="s">
        <v>2884</v>
      </c>
      <c r="K791" s="108" t="str">
        <f>_xlfn.XLOOKUP(J791,[1]Sheet1!$A:$A,[1]Sheet1!$B:$B,"")</f>
        <v>#ERROR!</v>
      </c>
      <c r="L791" s="109" t="s">
        <v>858</v>
      </c>
      <c r="M791" s="104"/>
      <c r="N791" s="110"/>
      <c r="O791" s="109" t="s">
        <v>95</v>
      </c>
      <c r="P791" s="106"/>
      <c r="Q791" s="103" t="s">
        <v>2877</v>
      </c>
      <c r="R791" s="407"/>
      <c r="S791" s="110">
        <v>2560.0</v>
      </c>
      <c r="T791" s="110"/>
      <c r="U791" s="110" t="s">
        <v>796</v>
      </c>
      <c r="V791" s="112">
        <v>0.0</v>
      </c>
      <c r="W791" s="110">
        <v>60.0</v>
      </c>
      <c r="X791" s="110">
        <v>55.0</v>
      </c>
      <c r="Y791" s="110">
        <v>55.0</v>
      </c>
      <c r="Z791" s="113" t="s">
        <v>99</v>
      </c>
      <c r="AA791" s="114">
        <f t="shared" si="798"/>
        <v>1.173355148</v>
      </c>
      <c r="AB791" s="115"/>
      <c r="AC791" s="212">
        <f t="shared" si="772"/>
        <v>1.044288675</v>
      </c>
      <c r="AD791" s="213">
        <f t="shared" si="799"/>
        <v>1.122891048</v>
      </c>
      <c r="AE791" s="212"/>
      <c r="AF791" s="212" t="str">
        <f t="shared" si="94"/>
        <v>#REF!</v>
      </c>
      <c r="AG791" s="210" t="str">
        <f t="shared" si="95"/>
        <v>#REF!</v>
      </c>
      <c r="AH791" s="120" t="str">
        <f t="shared" si="96"/>
        <v>#REF!</v>
      </c>
      <c r="AI791" s="399">
        <f t="shared" si="497"/>
        <v>0.1</v>
      </c>
      <c r="AJ791" s="399">
        <v>0.1</v>
      </c>
      <c r="AK791" s="400">
        <v>0.222</v>
      </c>
      <c r="AL791" s="123">
        <f t="shared" si="11"/>
        <v>0.2318320858</v>
      </c>
      <c r="AM791" s="401" t="s">
        <v>6</v>
      </c>
      <c r="AN791" s="111">
        <f t="shared" si="800"/>
        <v>0.9398598073</v>
      </c>
      <c r="AO791" s="402">
        <f t="shared" si="775"/>
        <v>0.1355555556</v>
      </c>
      <c r="AP791" s="127"/>
      <c r="AQ791" s="403">
        <f t="shared" ref="AQ791:AR791" si="809">BC791/(1-AI791)</f>
        <v>0.9882257804</v>
      </c>
      <c r="AR791" s="404">
        <f t="shared" si="809"/>
        <v>0.9027295433</v>
      </c>
      <c r="AS791" s="405">
        <f t="shared" si="733"/>
        <v>0.1577777778</v>
      </c>
      <c r="AT791" s="405">
        <f t="shared" si="777"/>
        <v>0.1355555556</v>
      </c>
      <c r="AU791" s="129"/>
      <c r="AV791" s="48" t="s">
        <v>2879</v>
      </c>
      <c r="AW791" s="406">
        <f>0.009*6.85</f>
        <v>0.06165</v>
      </c>
      <c r="AX791" s="406">
        <f>0.775*6.85-AW791/2</f>
        <v>5.277925</v>
      </c>
      <c r="AY791" s="134"/>
      <c r="AZ791" s="214"/>
      <c r="BA791" s="244">
        <f t="shared" si="803"/>
        <v>6.1102</v>
      </c>
      <c r="BB791" s="227"/>
      <c r="BC791" s="245">
        <f t="shared" si="804"/>
        <v>0.8894032023</v>
      </c>
      <c r="BD791" s="132">
        <f t="shared" si="805"/>
        <v>0.812456589</v>
      </c>
      <c r="BE791" s="215"/>
      <c r="BF791" s="48"/>
      <c r="BG791" s="49"/>
      <c r="BH791" s="224">
        <f t="shared" si="714"/>
        <v>3.480962249</v>
      </c>
      <c r="BI791" s="224">
        <f t="shared" si="715"/>
        <v>2.08857735</v>
      </c>
      <c r="BJ791" s="224">
        <f t="shared" si="716"/>
        <v>1.740481125</v>
      </c>
      <c r="BK791" s="224">
        <f t="shared" si="717"/>
        <v>1.3923849</v>
      </c>
      <c r="BL791" s="49"/>
      <c r="BM791" s="49"/>
      <c r="BN791" s="49"/>
      <c r="BO791" s="49"/>
      <c r="BP791" s="49"/>
      <c r="BQ791" s="49"/>
      <c r="BR791" s="49"/>
      <c r="BS791" s="49"/>
      <c r="BT791" s="49"/>
      <c r="BU791" s="49"/>
      <c r="BV791" s="49"/>
      <c r="BW791" s="49"/>
      <c r="BX791" s="49"/>
      <c r="BY791" s="49"/>
      <c r="BZ791" s="49"/>
      <c r="CA791" s="49"/>
      <c r="CB791" s="49"/>
      <c r="CC791" s="49"/>
      <c r="CD791" s="49"/>
      <c r="CE791" s="49"/>
      <c r="CF791" s="49"/>
    </row>
    <row r="792" ht="14.25" customHeight="1">
      <c r="A792" s="103" t="s">
        <v>2860</v>
      </c>
      <c r="B792" s="103" t="s">
        <v>85</v>
      </c>
      <c r="C792" s="103" t="s">
        <v>85</v>
      </c>
      <c r="D792" s="103" t="s">
        <v>86</v>
      </c>
      <c r="E792" s="109" t="s">
        <v>788</v>
      </c>
      <c r="F792" s="105" t="s">
        <v>840</v>
      </c>
      <c r="G792" s="106" t="s">
        <v>577</v>
      </c>
      <c r="H792" s="110">
        <v>26.0</v>
      </c>
      <c r="I792" s="107"/>
      <c r="J792" s="108" t="s">
        <v>2885</v>
      </c>
      <c r="K792" s="108" t="str">
        <f>_xlfn.XLOOKUP(J792,[1]Sheet1!$A:$A,[1]Sheet1!$B:$B,"")</f>
        <v>#ERROR!</v>
      </c>
      <c r="L792" s="109" t="s">
        <v>862</v>
      </c>
      <c r="M792" s="104"/>
      <c r="N792" s="110"/>
      <c r="O792" s="109" t="s">
        <v>95</v>
      </c>
      <c r="P792" s="106"/>
      <c r="Q792" s="103" t="s">
        <v>2877</v>
      </c>
      <c r="R792" s="407"/>
      <c r="S792" s="110">
        <v>1600.0</v>
      </c>
      <c r="T792" s="110"/>
      <c r="U792" s="110" t="s">
        <v>796</v>
      </c>
      <c r="V792" s="112">
        <v>0.0</v>
      </c>
      <c r="W792" s="110">
        <v>60.0</v>
      </c>
      <c r="X792" s="110">
        <v>55.0</v>
      </c>
      <c r="Y792" s="110">
        <v>55.0</v>
      </c>
      <c r="Z792" s="113" t="s">
        <v>99</v>
      </c>
      <c r="AA792" s="114">
        <f t="shared" si="798"/>
        <v>1.744247675</v>
      </c>
      <c r="AB792" s="115"/>
      <c r="AC792" s="212">
        <f t="shared" si="772"/>
        <v>1.558080628</v>
      </c>
      <c r="AD792" s="213">
        <f t="shared" si="799"/>
        <v>1.675355514</v>
      </c>
      <c r="AE792" s="212"/>
      <c r="AF792" s="212" t="str">
        <f t="shared" si="94"/>
        <v>#REF!</v>
      </c>
      <c r="AG792" s="210" t="str">
        <f t="shared" si="95"/>
        <v>#REF!</v>
      </c>
      <c r="AH792" s="120" t="str">
        <f t="shared" si="96"/>
        <v>#REF!</v>
      </c>
      <c r="AI792" s="399">
        <f t="shared" si="497"/>
        <v>0.1</v>
      </c>
      <c r="AJ792" s="399">
        <v>0.1</v>
      </c>
      <c r="AK792" s="400">
        <v>0.222</v>
      </c>
      <c r="AL792" s="123">
        <f t="shared" si="11"/>
        <v>0.3458938994</v>
      </c>
      <c r="AM792" s="401" t="s">
        <v>6</v>
      </c>
      <c r="AN792" s="111">
        <f t="shared" si="800"/>
        <v>1.402272565</v>
      </c>
      <c r="AO792" s="402">
        <f t="shared" si="775"/>
        <v>0.1355555556</v>
      </c>
      <c r="AP792" s="127"/>
      <c r="AQ792" s="403">
        <f t="shared" ref="AQ792:AR792" si="810">BC792/(1-AI792)</f>
        <v>1.469044153</v>
      </c>
      <c r="AR792" s="404">
        <f t="shared" si="810"/>
        <v>1.346874143</v>
      </c>
      <c r="AS792" s="405">
        <f t="shared" si="733"/>
        <v>0.1577777778</v>
      </c>
      <c r="AT792" s="405">
        <f t="shared" si="777"/>
        <v>0.1355555556</v>
      </c>
      <c r="AU792" s="129"/>
      <c r="AV792" s="48" t="s">
        <v>2879</v>
      </c>
      <c r="AW792" s="406">
        <f>0.015*6.85</f>
        <v>0.10275</v>
      </c>
      <c r="AX792" s="406">
        <f>1.131*6.85-AW792/2</f>
        <v>7.695975</v>
      </c>
      <c r="AY792" s="134"/>
      <c r="AZ792" s="214"/>
      <c r="BA792" s="244">
        <f t="shared" si="803"/>
        <v>9.0831</v>
      </c>
      <c r="BB792" s="227"/>
      <c r="BC792" s="245">
        <f t="shared" si="804"/>
        <v>1.322139738</v>
      </c>
      <c r="BD792" s="132">
        <f t="shared" si="805"/>
        <v>1.212186729</v>
      </c>
      <c r="BE792" s="215"/>
      <c r="BF792" s="48"/>
      <c r="BG792" s="49"/>
      <c r="BH792" s="224">
        <f t="shared" si="714"/>
        <v>5.193602094</v>
      </c>
      <c r="BI792" s="224">
        <f t="shared" si="715"/>
        <v>3.116161256</v>
      </c>
      <c r="BJ792" s="224">
        <f t="shared" si="716"/>
        <v>2.596801047</v>
      </c>
      <c r="BK792" s="224">
        <f t="shared" si="717"/>
        <v>2.077440838</v>
      </c>
      <c r="BL792" s="49"/>
      <c r="BM792" s="49"/>
      <c r="BN792" s="49"/>
      <c r="BO792" s="49"/>
      <c r="BP792" s="49"/>
      <c r="BQ792" s="49"/>
      <c r="BR792" s="49"/>
      <c r="BS792" s="49"/>
      <c r="BT792" s="49"/>
      <c r="BU792" s="49"/>
      <c r="BV792" s="49"/>
      <c r="BW792" s="49"/>
      <c r="BX792" s="49"/>
      <c r="BY792" s="49"/>
      <c r="BZ792" s="49"/>
      <c r="CA792" s="49"/>
      <c r="CB792" s="49"/>
      <c r="CC792" s="49"/>
      <c r="CD792" s="49"/>
      <c r="CE792" s="49"/>
      <c r="CF792" s="49"/>
    </row>
    <row r="793" ht="14.25" customHeight="1">
      <c r="A793" s="103" t="s">
        <v>2860</v>
      </c>
      <c r="B793" s="103" t="s">
        <v>85</v>
      </c>
      <c r="C793" s="103" t="s">
        <v>85</v>
      </c>
      <c r="D793" s="103" t="s">
        <v>86</v>
      </c>
      <c r="E793" s="109" t="s">
        <v>788</v>
      </c>
      <c r="F793" s="105" t="s">
        <v>840</v>
      </c>
      <c r="G793" s="106" t="s">
        <v>577</v>
      </c>
      <c r="H793" s="110">
        <v>26.0</v>
      </c>
      <c r="I793" s="107"/>
      <c r="J793" s="108" t="s">
        <v>2886</v>
      </c>
      <c r="K793" s="108" t="str">
        <f>_xlfn.XLOOKUP(J793,[1]Sheet1!$A:$A,[1]Sheet1!$B:$B,"")</f>
        <v>#ERROR!</v>
      </c>
      <c r="L793" s="109" t="s">
        <v>866</v>
      </c>
      <c r="M793" s="104"/>
      <c r="N793" s="110"/>
      <c r="O793" s="109" t="s">
        <v>95</v>
      </c>
      <c r="P793" s="106"/>
      <c r="Q793" s="103" t="s">
        <v>2877</v>
      </c>
      <c r="R793" s="407"/>
      <c r="S793" s="110">
        <v>960.0</v>
      </c>
      <c r="T793" s="110"/>
      <c r="U793" s="110" t="s">
        <v>796</v>
      </c>
      <c r="V793" s="112">
        <v>0.0</v>
      </c>
      <c r="W793" s="110">
        <v>60.0</v>
      </c>
      <c r="X793" s="110">
        <v>55.0</v>
      </c>
      <c r="Y793" s="110">
        <v>55.0</v>
      </c>
      <c r="Z793" s="113" t="s">
        <v>99</v>
      </c>
      <c r="AA793" s="114">
        <f t="shared" si="798"/>
        <v>3.200418246</v>
      </c>
      <c r="AB793" s="115"/>
      <c r="AC793" s="212">
        <f t="shared" si="772"/>
        <v>2.845320998</v>
      </c>
      <c r="AD793" s="213">
        <f t="shared" si="799"/>
        <v>3.059484944</v>
      </c>
      <c r="AE793" s="212"/>
      <c r="AF793" s="212" t="str">
        <f t="shared" si="94"/>
        <v>#REF!</v>
      </c>
      <c r="AG793" s="210" t="str">
        <f t="shared" si="95"/>
        <v>#REF!</v>
      </c>
      <c r="AH793" s="120" t="str">
        <f t="shared" si="96"/>
        <v>#REF!</v>
      </c>
      <c r="AI793" s="399">
        <f t="shared" si="497"/>
        <v>0.1</v>
      </c>
      <c r="AJ793" s="399">
        <v>0.1</v>
      </c>
      <c r="AK793" s="400">
        <v>0.222</v>
      </c>
      <c r="AL793" s="123">
        <f t="shared" si="11"/>
        <v>0.6316612616</v>
      </c>
      <c r="AM793" s="401" t="s">
        <v>6</v>
      </c>
      <c r="AN793" s="111">
        <f t="shared" si="800"/>
        <v>2.560788899</v>
      </c>
      <c r="AO793" s="402">
        <f t="shared" si="775"/>
        <v>0.1355555556</v>
      </c>
      <c r="AP793" s="127"/>
      <c r="AQ793" s="403">
        <f t="shared" ref="AQ793:AR793" si="811">BC793/(1-AI793)</f>
        <v>2.695463367</v>
      </c>
      <c r="AR793" s="404">
        <f t="shared" si="811"/>
        <v>2.45962193</v>
      </c>
      <c r="AS793" s="405">
        <f t="shared" si="733"/>
        <v>0.1577777778</v>
      </c>
      <c r="AT793" s="405">
        <f t="shared" si="777"/>
        <v>0.1355555556</v>
      </c>
      <c r="AU793" s="129"/>
      <c r="AV793" s="48" t="s">
        <v>2879</v>
      </c>
      <c r="AW793" s="406">
        <f>0.031*6.85</f>
        <v>0.21235</v>
      </c>
      <c r="AX793" s="406">
        <f>2.03*6.85-AW793/2</f>
        <v>13.799325</v>
      </c>
      <c r="AY793" s="134"/>
      <c r="AZ793" s="214"/>
      <c r="BA793" s="244">
        <f t="shared" si="803"/>
        <v>16.66605</v>
      </c>
      <c r="BB793" s="227"/>
      <c r="BC793" s="245">
        <f t="shared" si="804"/>
        <v>2.425917031</v>
      </c>
      <c r="BD793" s="132">
        <f t="shared" si="805"/>
        <v>2.213659737</v>
      </c>
      <c r="BE793" s="215"/>
      <c r="BF793" s="48"/>
      <c r="BG793" s="49"/>
      <c r="BH793" s="224">
        <f t="shared" si="714"/>
        <v>9.484403328</v>
      </c>
      <c r="BI793" s="224">
        <f t="shared" si="715"/>
        <v>5.690641997</v>
      </c>
      <c r="BJ793" s="224">
        <f t="shared" si="716"/>
        <v>4.742201664</v>
      </c>
      <c r="BK793" s="224">
        <f t="shared" si="717"/>
        <v>3.793761331</v>
      </c>
      <c r="BL793" s="49"/>
      <c r="BM793" s="49"/>
      <c r="BN793" s="49"/>
      <c r="BO793" s="49"/>
      <c r="BP793" s="49"/>
      <c r="BQ793" s="49"/>
      <c r="BR793" s="49"/>
      <c r="BS793" s="49"/>
      <c r="BT793" s="49"/>
      <c r="BU793" s="49"/>
      <c r="BV793" s="49"/>
      <c r="BW793" s="49"/>
      <c r="BX793" s="49"/>
      <c r="BY793" s="49"/>
      <c r="BZ793" s="49"/>
      <c r="CA793" s="49"/>
      <c r="CB793" s="49"/>
      <c r="CC793" s="49"/>
      <c r="CD793" s="49"/>
      <c r="CE793" s="49"/>
      <c r="CF793" s="49"/>
    </row>
    <row r="794" ht="14.25" customHeight="1">
      <c r="A794" s="103" t="s">
        <v>2860</v>
      </c>
      <c r="B794" s="103" t="s">
        <v>85</v>
      </c>
      <c r="C794" s="103" t="s">
        <v>85</v>
      </c>
      <c r="D794" s="103" t="s">
        <v>86</v>
      </c>
      <c r="E794" s="109" t="s">
        <v>788</v>
      </c>
      <c r="F794" s="105" t="s">
        <v>840</v>
      </c>
      <c r="G794" s="106" t="s">
        <v>577</v>
      </c>
      <c r="H794" s="110">
        <v>26.0</v>
      </c>
      <c r="I794" s="107"/>
      <c r="J794" s="108" t="s">
        <v>2887</v>
      </c>
      <c r="K794" s="108" t="str">
        <f>_xlfn.XLOOKUP(J794,[1]Sheet1!$A:$A,[1]Sheet1!$B:$B,"")</f>
        <v>#ERROR!</v>
      </c>
      <c r="L794" s="109" t="s">
        <v>2888</v>
      </c>
      <c r="M794" s="104"/>
      <c r="N794" s="110"/>
      <c r="O794" s="109" t="s">
        <v>95</v>
      </c>
      <c r="P794" s="106"/>
      <c r="Q794" s="103" t="s">
        <v>2877</v>
      </c>
      <c r="R794" s="407"/>
      <c r="S794" s="110">
        <v>640.0</v>
      </c>
      <c r="T794" s="110"/>
      <c r="U794" s="110" t="s">
        <v>796</v>
      </c>
      <c r="V794" s="112">
        <v>0.0</v>
      </c>
      <c r="W794" s="110">
        <v>60.0</v>
      </c>
      <c r="X794" s="110">
        <v>55.0</v>
      </c>
      <c r="Y794" s="110">
        <v>55.0</v>
      </c>
      <c r="Z794" s="113" t="s">
        <v>99</v>
      </c>
      <c r="AA794" s="114">
        <f t="shared" si="798"/>
        <v>4.542147227</v>
      </c>
      <c r="AB794" s="115"/>
      <c r="AC794" s="212">
        <f t="shared" si="772"/>
        <v>4.048994186</v>
      </c>
      <c r="AD794" s="213">
        <f t="shared" si="799"/>
        <v>4.353757189</v>
      </c>
      <c r="AE794" s="212"/>
      <c r="AF794" s="212" t="str">
        <f t="shared" si="94"/>
        <v>#REF!</v>
      </c>
      <c r="AG794" s="210" t="str">
        <f t="shared" si="95"/>
        <v>#REF!</v>
      </c>
      <c r="AH794" s="120" t="str">
        <f t="shared" si="96"/>
        <v>#REF!</v>
      </c>
      <c r="AI794" s="399">
        <f t="shared" si="497"/>
        <v>0.1</v>
      </c>
      <c r="AJ794" s="399">
        <v>0.1</v>
      </c>
      <c r="AK794" s="400">
        <v>0.222</v>
      </c>
      <c r="AL794" s="123">
        <f t="shared" si="11"/>
        <v>0.8988767093</v>
      </c>
      <c r="AM794" s="401" t="s">
        <v>6</v>
      </c>
      <c r="AN794" s="111">
        <f t="shared" si="800"/>
        <v>3.644094767</v>
      </c>
      <c r="AO794" s="402">
        <f t="shared" si="775"/>
        <v>0.1355555556</v>
      </c>
      <c r="AP794" s="127"/>
      <c r="AQ794" s="403">
        <f t="shared" ref="AQ794:AR794" si="812">BC794/(1-AI794)</f>
        <v>3.825497331</v>
      </c>
      <c r="AR794" s="404">
        <f t="shared" si="812"/>
        <v>3.50013053</v>
      </c>
      <c r="AS794" s="405">
        <f t="shared" si="733"/>
        <v>0.1577777778</v>
      </c>
      <c r="AT794" s="405">
        <f t="shared" si="777"/>
        <v>0.1355555556</v>
      </c>
      <c r="AU794" s="129"/>
      <c r="AV794" s="48" t="s">
        <v>2879</v>
      </c>
      <c r="AW794" s="406">
        <f>0.045*6.85</f>
        <v>0.30825</v>
      </c>
      <c r="AX794" s="406">
        <f>2.868*6.85-AW794/2</f>
        <v>19.491675</v>
      </c>
      <c r="AY794" s="134"/>
      <c r="AZ794" s="214"/>
      <c r="BA794" s="244">
        <f t="shared" si="803"/>
        <v>23.65305</v>
      </c>
      <c r="BB794" s="227"/>
      <c r="BC794" s="245">
        <f t="shared" si="804"/>
        <v>3.442947598</v>
      </c>
      <c r="BD794" s="132">
        <f t="shared" si="805"/>
        <v>3.150117477</v>
      </c>
      <c r="BE794" s="215"/>
      <c r="BF794" s="48"/>
      <c r="BG794" s="49"/>
      <c r="BH794" s="224">
        <f t="shared" si="714"/>
        <v>13.49664729</v>
      </c>
      <c r="BI794" s="224">
        <f t="shared" si="715"/>
        <v>8.097988372</v>
      </c>
      <c r="BJ794" s="224">
        <f t="shared" si="716"/>
        <v>6.748323643</v>
      </c>
      <c r="BK794" s="224">
        <f t="shared" si="717"/>
        <v>5.398658915</v>
      </c>
      <c r="BL794" s="49"/>
      <c r="BM794" s="49"/>
      <c r="BN794" s="49"/>
      <c r="BO794" s="49"/>
      <c r="BP794" s="49"/>
      <c r="BQ794" s="49"/>
      <c r="BR794" s="49"/>
      <c r="BS794" s="49"/>
      <c r="BT794" s="49"/>
      <c r="BU794" s="49"/>
      <c r="BV794" s="49"/>
      <c r="BW794" s="49"/>
      <c r="BX794" s="49"/>
      <c r="BY794" s="49"/>
      <c r="BZ794" s="49"/>
      <c r="CA794" s="49"/>
      <c r="CB794" s="49"/>
      <c r="CC794" s="49"/>
      <c r="CD794" s="49"/>
      <c r="CE794" s="49"/>
      <c r="CF794" s="49"/>
    </row>
    <row r="795" ht="14.25" customHeight="1">
      <c r="A795" s="103" t="s">
        <v>2860</v>
      </c>
      <c r="B795" s="103" t="s">
        <v>85</v>
      </c>
      <c r="C795" s="103" t="s">
        <v>85</v>
      </c>
      <c r="D795" s="103" t="s">
        <v>86</v>
      </c>
      <c r="E795" s="109" t="s">
        <v>788</v>
      </c>
      <c r="F795" s="105" t="s">
        <v>840</v>
      </c>
      <c r="G795" s="106" t="s">
        <v>577</v>
      </c>
      <c r="H795" s="110">
        <v>26.0</v>
      </c>
      <c r="I795" s="107"/>
      <c r="J795" s="108" t="s">
        <v>2889</v>
      </c>
      <c r="K795" s="108" t="str">
        <f>_xlfn.XLOOKUP(J795,[1]Sheet1!$A:$A,[1]Sheet1!$B:$B,"")</f>
        <v>#ERROR!</v>
      </c>
      <c r="L795" s="109" t="s">
        <v>2890</v>
      </c>
      <c r="M795" s="104"/>
      <c r="N795" s="110"/>
      <c r="O795" s="109" t="s">
        <v>95</v>
      </c>
      <c r="P795" s="106"/>
      <c r="Q795" s="103" t="s">
        <v>2877</v>
      </c>
      <c r="R795" s="407"/>
      <c r="S795" s="110">
        <v>480.0</v>
      </c>
      <c r="T795" s="110"/>
      <c r="U795" s="110" t="s">
        <v>796</v>
      </c>
      <c r="V795" s="112">
        <v>0.0</v>
      </c>
      <c r="W795" s="110">
        <v>60.0</v>
      </c>
      <c r="X795" s="110">
        <v>55.0</v>
      </c>
      <c r="Y795" s="110">
        <v>55.0</v>
      </c>
      <c r="Z795" s="113" t="s">
        <v>99</v>
      </c>
      <c r="AA795" s="114">
        <f t="shared" si="798"/>
        <v>6.121967331</v>
      </c>
      <c r="AB795" s="115"/>
      <c r="AC795" s="212">
        <f t="shared" si="772"/>
        <v>5.454380877</v>
      </c>
      <c r="AD795" s="213">
        <f t="shared" si="799"/>
        <v>5.864925674</v>
      </c>
      <c r="AE795" s="212"/>
      <c r="AF795" s="212" t="str">
        <f t="shared" si="94"/>
        <v>#REF!</v>
      </c>
      <c r="AG795" s="210" t="str">
        <f t="shared" si="95"/>
        <v>#REF!</v>
      </c>
      <c r="AH795" s="120" t="str">
        <f t="shared" si="96"/>
        <v>#REF!</v>
      </c>
      <c r="AI795" s="399">
        <f t="shared" si="497"/>
        <v>0.1</v>
      </c>
      <c r="AJ795" s="399">
        <v>0.1</v>
      </c>
      <c r="AK795" s="400">
        <v>0.222</v>
      </c>
      <c r="AL795" s="123">
        <f t="shared" si="11"/>
        <v>1.210872555</v>
      </c>
      <c r="AM795" s="401" t="s">
        <v>6</v>
      </c>
      <c r="AN795" s="111">
        <f t="shared" si="800"/>
        <v>4.908942789</v>
      </c>
      <c r="AO795" s="402">
        <f t="shared" si="775"/>
        <v>0.1355555556</v>
      </c>
      <c r="AP795" s="127"/>
      <c r="AQ795" s="403">
        <f t="shared" ref="AQ795:AR795" si="813">BC795/(1-AI795)</f>
        <v>5.15605693</v>
      </c>
      <c r="AR795" s="404">
        <f t="shared" si="813"/>
        <v>4.715009247</v>
      </c>
      <c r="AS795" s="405">
        <f t="shared" si="733"/>
        <v>0.1577777778</v>
      </c>
      <c r="AT795" s="405">
        <f t="shared" si="777"/>
        <v>0.1355555556</v>
      </c>
      <c r="AU795" s="129"/>
      <c r="AV795" s="48" t="s">
        <v>2879</v>
      </c>
      <c r="AW795" s="406">
        <f>0.062*6.85</f>
        <v>0.4247</v>
      </c>
      <c r="AX795" s="406">
        <f>3.848*6.85-AW795/2</f>
        <v>26.14645</v>
      </c>
      <c r="AY795" s="134"/>
      <c r="AZ795" s="214"/>
      <c r="BA795" s="244">
        <f t="shared" si="803"/>
        <v>31.8799</v>
      </c>
      <c r="BB795" s="227"/>
      <c r="BC795" s="245">
        <f t="shared" si="804"/>
        <v>4.640451237</v>
      </c>
      <c r="BD795" s="132">
        <f t="shared" si="805"/>
        <v>4.243508322</v>
      </c>
      <c r="BE795" s="215"/>
      <c r="BF795" s="48"/>
      <c r="BG795" s="49"/>
      <c r="BH795" s="224">
        <f t="shared" si="714"/>
        <v>18.18126959</v>
      </c>
      <c r="BI795" s="224">
        <f t="shared" si="715"/>
        <v>10.90876175</v>
      </c>
      <c r="BJ795" s="224">
        <f t="shared" si="716"/>
        <v>9.090634795</v>
      </c>
      <c r="BK795" s="224">
        <f t="shared" si="717"/>
        <v>7.272507836</v>
      </c>
      <c r="BL795" s="49"/>
      <c r="BM795" s="49"/>
      <c r="BN795" s="49"/>
      <c r="BO795" s="49"/>
      <c r="BP795" s="49"/>
      <c r="BQ795" s="49"/>
      <c r="BR795" s="49"/>
      <c r="BS795" s="49"/>
      <c r="BT795" s="49"/>
      <c r="BU795" s="49"/>
      <c r="BV795" s="49"/>
      <c r="BW795" s="49"/>
      <c r="BX795" s="49"/>
      <c r="BY795" s="49"/>
      <c r="BZ795" s="49"/>
      <c r="CA795" s="49"/>
      <c r="CB795" s="49"/>
      <c r="CC795" s="49"/>
      <c r="CD795" s="49"/>
      <c r="CE795" s="49"/>
      <c r="CF795" s="49"/>
    </row>
    <row r="796" ht="14.25" customHeight="1">
      <c r="A796" s="103" t="s">
        <v>2860</v>
      </c>
      <c r="B796" s="103" t="s">
        <v>85</v>
      </c>
      <c r="C796" s="103" t="s">
        <v>85</v>
      </c>
      <c r="D796" s="103" t="s">
        <v>86</v>
      </c>
      <c r="E796" s="109" t="s">
        <v>788</v>
      </c>
      <c r="F796" s="105" t="s">
        <v>840</v>
      </c>
      <c r="G796" s="106" t="s">
        <v>577</v>
      </c>
      <c r="H796" s="110">
        <v>26.0</v>
      </c>
      <c r="I796" s="107"/>
      <c r="J796" s="108" t="s">
        <v>2891</v>
      </c>
      <c r="K796" s="108" t="str">
        <f>_xlfn.XLOOKUP(J796,[1]Sheet1!$A:$A,[1]Sheet1!$B:$B,"")</f>
        <v>#ERROR!</v>
      </c>
      <c r="L796" s="109" t="s">
        <v>2892</v>
      </c>
      <c r="M796" s="104"/>
      <c r="N796" s="110"/>
      <c r="O796" s="109" t="s">
        <v>95</v>
      </c>
      <c r="P796" s="106"/>
      <c r="Q796" s="103" t="s">
        <v>2877</v>
      </c>
      <c r="R796" s="407"/>
      <c r="S796" s="110">
        <v>480.0</v>
      </c>
      <c r="T796" s="110"/>
      <c r="U796" s="110" t="s">
        <v>796</v>
      </c>
      <c r="V796" s="112">
        <v>0.0</v>
      </c>
      <c r="W796" s="110">
        <v>60.0</v>
      </c>
      <c r="X796" s="110">
        <v>55.0</v>
      </c>
      <c r="Y796" s="110">
        <v>55.0</v>
      </c>
      <c r="Z796" s="113" t="s">
        <v>99</v>
      </c>
      <c r="AA796" s="114">
        <f t="shared" si="798"/>
        <v>7.54919865</v>
      </c>
      <c r="AB796" s="115"/>
      <c r="AC796" s="212">
        <f t="shared" si="772"/>
        <v>6.663547457</v>
      </c>
      <c r="AD796" s="213">
        <f t="shared" si="799"/>
        <v>7.165104792</v>
      </c>
      <c r="AE796" s="212"/>
      <c r="AF796" s="212" t="str">
        <f t="shared" si="94"/>
        <v>#REF!</v>
      </c>
      <c r="AG796" s="210" t="str">
        <f t="shared" si="95"/>
        <v>#REF!</v>
      </c>
      <c r="AH796" s="120" t="str">
        <f t="shared" si="96"/>
        <v>#REF!</v>
      </c>
      <c r="AI796" s="399">
        <f t="shared" si="497"/>
        <v>0.1</v>
      </c>
      <c r="AJ796" s="399">
        <v>0.1</v>
      </c>
      <c r="AK796" s="400">
        <v>0.222</v>
      </c>
      <c r="AL796" s="123">
        <f t="shared" si="11"/>
        <v>1.479307535</v>
      </c>
      <c r="AM796" s="401" t="s">
        <v>6</v>
      </c>
      <c r="AN796" s="111">
        <f t="shared" si="800"/>
        <v>5.997192711</v>
      </c>
      <c r="AO796" s="402">
        <f t="shared" si="775"/>
        <v>0.1355555556</v>
      </c>
      <c r="AP796" s="127"/>
      <c r="AQ796" s="403">
        <f t="shared" ref="AQ796:AR796" si="814">BC796/(1-AI796)</f>
        <v>6.358102863</v>
      </c>
      <c r="AR796" s="404">
        <f t="shared" si="814"/>
        <v>5.760266579</v>
      </c>
      <c r="AS796" s="405">
        <f t="shared" si="733"/>
        <v>0.1577777778</v>
      </c>
      <c r="AT796" s="405">
        <f t="shared" si="777"/>
        <v>0.1355555556</v>
      </c>
      <c r="AU796" s="129"/>
      <c r="AV796" s="48" t="s">
        <v>2879</v>
      </c>
      <c r="AW796" s="406">
        <f>0.077*6.85</f>
        <v>0.52745</v>
      </c>
      <c r="AX796" s="406">
        <f>4.738*6.85-AW796/2</f>
        <v>32.191575</v>
      </c>
      <c r="AY796" s="134"/>
      <c r="AZ796" s="214"/>
      <c r="BA796" s="244">
        <f t="shared" si="803"/>
        <v>39.31215</v>
      </c>
      <c r="BB796" s="227"/>
      <c r="BC796" s="245">
        <f t="shared" si="804"/>
        <v>5.722292576</v>
      </c>
      <c r="BD796" s="132">
        <f t="shared" si="805"/>
        <v>5.184239922</v>
      </c>
      <c r="BE796" s="215"/>
      <c r="BF796" s="48"/>
      <c r="BG796" s="49"/>
      <c r="BH796" s="224">
        <f t="shared" si="714"/>
        <v>22.21182486</v>
      </c>
      <c r="BI796" s="224">
        <f t="shared" si="715"/>
        <v>13.32709491</v>
      </c>
      <c r="BJ796" s="224">
        <f t="shared" si="716"/>
        <v>11.10591243</v>
      </c>
      <c r="BK796" s="224">
        <f t="shared" si="717"/>
        <v>8.884729943</v>
      </c>
      <c r="BL796" s="49"/>
      <c r="BM796" s="49"/>
      <c r="BN796" s="49"/>
      <c r="BO796" s="49"/>
      <c r="BP796" s="49"/>
      <c r="BQ796" s="49"/>
      <c r="BR796" s="49"/>
      <c r="BS796" s="49"/>
      <c r="BT796" s="49"/>
      <c r="BU796" s="49"/>
      <c r="BV796" s="49"/>
      <c r="BW796" s="49"/>
      <c r="BX796" s="49"/>
      <c r="BY796" s="49"/>
      <c r="BZ796" s="49"/>
      <c r="CA796" s="49"/>
      <c r="CB796" s="49"/>
      <c r="CC796" s="49"/>
      <c r="CD796" s="49"/>
      <c r="CE796" s="49"/>
      <c r="CF796" s="49"/>
    </row>
    <row r="797" ht="14.25" customHeight="1">
      <c r="A797" s="103" t="s">
        <v>2860</v>
      </c>
      <c r="B797" s="103" t="s">
        <v>85</v>
      </c>
      <c r="C797" s="103" t="s">
        <v>85</v>
      </c>
      <c r="D797" s="103" t="s">
        <v>86</v>
      </c>
      <c r="E797" s="109" t="s">
        <v>788</v>
      </c>
      <c r="F797" s="105" t="s">
        <v>840</v>
      </c>
      <c r="G797" s="106" t="s">
        <v>577</v>
      </c>
      <c r="H797" s="110">
        <v>26.0</v>
      </c>
      <c r="I797" s="107"/>
      <c r="J797" s="108" t="s">
        <v>2893</v>
      </c>
      <c r="K797" s="108" t="str">
        <f>_xlfn.XLOOKUP(J797,[1]Sheet1!$A:$A,[1]Sheet1!$B:$B,"")</f>
        <v>#ERROR!</v>
      </c>
      <c r="L797" s="109" t="s">
        <v>2894</v>
      </c>
      <c r="M797" s="104"/>
      <c r="N797" s="110"/>
      <c r="O797" s="109" t="s">
        <v>95</v>
      </c>
      <c r="P797" s="106"/>
      <c r="Q797" s="103" t="s">
        <v>2877</v>
      </c>
      <c r="R797" s="407"/>
      <c r="S797" s="110">
        <v>320.0</v>
      </c>
      <c r="T797" s="110"/>
      <c r="U797" s="110" t="s">
        <v>796</v>
      </c>
      <c r="V797" s="112">
        <v>0.0</v>
      </c>
      <c r="W797" s="110">
        <v>60.0</v>
      </c>
      <c r="X797" s="110">
        <v>55.0</v>
      </c>
      <c r="Y797" s="110">
        <v>55.0</v>
      </c>
      <c r="Z797" s="113" t="s">
        <v>99</v>
      </c>
      <c r="AA797" s="114">
        <f t="shared" si="798"/>
        <v>8.973799127</v>
      </c>
      <c r="AB797" s="115"/>
      <c r="AC797" s="212">
        <f t="shared" si="772"/>
        <v>8.004375476</v>
      </c>
      <c r="AD797" s="213">
        <f t="shared" si="799"/>
        <v>8.60685535</v>
      </c>
      <c r="AE797" s="212"/>
      <c r="AF797" s="212" t="str">
        <f t="shared" si="94"/>
        <v>#REF!</v>
      </c>
      <c r="AG797" s="210" t="str">
        <f t="shared" si="95"/>
        <v>#REF!</v>
      </c>
      <c r="AH797" s="120" t="str">
        <f t="shared" si="96"/>
        <v>#REF!</v>
      </c>
      <c r="AI797" s="399">
        <f t="shared" si="497"/>
        <v>0.1</v>
      </c>
      <c r="AJ797" s="399">
        <v>0.1</v>
      </c>
      <c r="AK797" s="400">
        <v>0.222</v>
      </c>
      <c r="AL797" s="123">
        <f t="shared" si="11"/>
        <v>1.776971356</v>
      </c>
      <c r="AM797" s="401" t="s">
        <v>6</v>
      </c>
      <c r="AN797" s="111">
        <f t="shared" si="800"/>
        <v>7.203937928</v>
      </c>
      <c r="AO797" s="402">
        <f t="shared" si="775"/>
        <v>0.1355555556</v>
      </c>
      <c r="AP797" s="127"/>
      <c r="AQ797" s="403">
        <f t="shared" ref="AQ797:AR797" si="815">BC797/(1-AI797)</f>
        <v>7.557933042</v>
      </c>
      <c r="AR797" s="404">
        <f t="shared" si="815"/>
        <v>6.919337911</v>
      </c>
      <c r="AS797" s="405">
        <f t="shared" si="733"/>
        <v>0.1577777778</v>
      </c>
      <c r="AT797" s="405">
        <f t="shared" si="777"/>
        <v>0.1355555556</v>
      </c>
      <c r="AU797" s="129"/>
      <c r="AV797" s="48" t="s">
        <v>2879</v>
      </c>
      <c r="AW797" s="406">
        <f>0.092*6.85</f>
        <v>0.6302</v>
      </c>
      <c r="AX797" s="406">
        <f>5.626*6.85-AW797/2</f>
        <v>38.223</v>
      </c>
      <c r="AY797" s="134"/>
      <c r="AZ797" s="214"/>
      <c r="BA797" s="244">
        <f t="shared" si="803"/>
        <v>46.7307</v>
      </c>
      <c r="BB797" s="227"/>
      <c r="BC797" s="245">
        <f t="shared" si="804"/>
        <v>6.802139738</v>
      </c>
      <c r="BD797" s="132">
        <f t="shared" si="805"/>
        <v>6.22740412</v>
      </c>
      <c r="BE797" s="215"/>
      <c r="BF797" s="48"/>
      <c r="BG797" s="49"/>
      <c r="BH797" s="224">
        <f t="shared" si="714"/>
        <v>26.68125159</v>
      </c>
      <c r="BI797" s="224">
        <f t="shared" si="715"/>
        <v>16.00875095</v>
      </c>
      <c r="BJ797" s="224">
        <f t="shared" si="716"/>
        <v>13.34062579</v>
      </c>
      <c r="BK797" s="224">
        <f t="shared" si="717"/>
        <v>10.67250063</v>
      </c>
      <c r="BL797" s="49"/>
      <c r="BM797" s="49"/>
      <c r="BN797" s="49"/>
      <c r="BO797" s="49"/>
      <c r="BP797" s="49"/>
      <c r="BQ797" s="49"/>
      <c r="BR797" s="49"/>
      <c r="BS797" s="49"/>
      <c r="BT797" s="49"/>
      <c r="BU797" s="49"/>
      <c r="BV797" s="49"/>
      <c r="BW797" s="49"/>
      <c r="BX797" s="49"/>
      <c r="BY797" s="49"/>
      <c r="BZ797" s="49"/>
      <c r="CA797" s="49"/>
      <c r="CB797" s="49"/>
      <c r="CC797" s="49"/>
      <c r="CD797" s="49"/>
      <c r="CE797" s="49"/>
      <c r="CF797" s="49"/>
    </row>
    <row r="798" ht="14.25" customHeight="1">
      <c r="A798" s="103" t="s">
        <v>2860</v>
      </c>
      <c r="B798" s="103" t="s">
        <v>85</v>
      </c>
      <c r="C798" s="103" t="s">
        <v>85</v>
      </c>
      <c r="D798" s="103" t="s">
        <v>86</v>
      </c>
      <c r="E798" s="109" t="s">
        <v>788</v>
      </c>
      <c r="F798" s="105" t="s">
        <v>840</v>
      </c>
      <c r="G798" s="106" t="s">
        <v>577</v>
      </c>
      <c r="H798" s="110">
        <v>26.0</v>
      </c>
      <c r="I798" s="107"/>
      <c r="J798" s="108" t="s">
        <v>2895</v>
      </c>
      <c r="K798" s="108" t="str">
        <f>_xlfn.XLOOKUP(J798,[1]Sheet1!$A:$A,[1]Sheet1!$B:$B,"")</f>
        <v>#ERROR!</v>
      </c>
      <c r="L798" s="109" t="s">
        <v>2896</v>
      </c>
      <c r="M798" s="104"/>
      <c r="N798" s="110"/>
      <c r="O798" s="109" t="s">
        <v>95</v>
      </c>
      <c r="P798" s="106"/>
      <c r="Q798" s="103" t="s">
        <v>2877</v>
      </c>
      <c r="R798" s="408"/>
      <c r="S798" s="110">
        <v>256.0</v>
      </c>
      <c r="T798" s="110"/>
      <c r="U798" s="110" t="s">
        <v>796</v>
      </c>
      <c r="V798" s="112">
        <v>0.0</v>
      </c>
      <c r="W798" s="110">
        <v>60.0</v>
      </c>
      <c r="X798" s="110">
        <v>55.0</v>
      </c>
      <c r="Y798" s="110">
        <v>55.0</v>
      </c>
      <c r="Z798" s="113" t="s">
        <v>99</v>
      </c>
      <c r="AA798" s="114">
        <f t="shared" si="798"/>
        <v>14.62747674</v>
      </c>
      <c r="AB798" s="115"/>
      <c r="AC798" s="212">
        <f t="shared" si="772"/>
        <v>12.89465309</v>
      </c>
      <c r="AD798" s="213">
        <f t="shared" si="799"/>
        <v>13.86521837</v>
      </c>
      <c r="AE798" s="212"/>
      <c r="AF798" s="212" t="str">
        <f t="shared" si="94"/>
        <v>#REF!</v>
      </c>
      <c r="AG798" s="210" t="str">
        <f t="shared" si="95"/>
        <v>#REF!</v>
      </c>
      <c r="AH798" s="120" t="str">
        <f t="shared" si="96"/>
        <v>#REF!</v>
      </c>
      <c r="AI798" s="399">
        <f t="shared" si="497"/>
        <v>0.1</v>
      </c>
      <c r="AJ798" s="399">
        <v>0.1</v>
      </c>
      <c r="AK798" s="400">
        <v>0.222</v>
      </c>
      <c r="AL798" s="123">
        <f t="shared" si="11"/>
        <v>2.862612985</v>
      </c>
      <c r="AM798" s="401" t="s">
        <v>6</v>
      </c>
      <c r="AN798" s="111">
        <f t="shared" si="800"/>
        <v>11.60518778</v>
      </c>
      <c r="AO798" s="402">
        <f t="shared" si="775"/>
        <v>0.1355555556</v>
      </c>
      <c r="AP798" s="127"/>
      <c r="AQ798" s="403">
        <f t="shared" ref="AQ798:AR798" si="816">BC798/(1-AI798)</f>
        <v>12.31958596</v>
      </c>
      <c r="AR798" s="404">
        <f t="shared" si="816"/>
        <v>11.14671122</v>
      </c>
      <c r="AS798" s="405">
        <f t="shared" si="733"/>
        <v>0.1577777778</v>
      </c>
      <c r="AT798" s="405">
        <f t="shared" si="777"/>
        <v>0.1355555556</v>
      </c>
      <c r="AU798" s="129"/>
      <c r="AV798" s="48" t="s">
        <v>2879</v>
      </c>
      <c r="AW798" s="406">
        <f>0.153*6.85</f>
        <v>1.04805</v>
      </c>
      <c r="AX798" s="406">
        <f>9.131*6.85-AW798/2</f>
        <v>62.023325</v>
      </c>
      <c r="AY798" s="134"/>
      <c r="AZ798" s="214"/>
      <c r="BA798" s="244">
        <f t="shared" si="803"/>
        <v>76.172</v>
      </c>
      <c r="BB798" s="227"/>
      <c r="BC798" s="245">
        <f t="shared" si="804"/>
        <v>11.08762737</v>
      </c>
      <c r="BD798" s="132">
        <f t="shared" si="805"/>
        <v>10.0320401</v>
      </c>
      <c r="BE798" s="215"/>
      <c r="BF798" s="48"/>
      <c r="BG798" s="49"/>
      <c r="BH798" s="224">
        <f t="shared" si="714"/>
        <v>42.98217695</v>
      </c>
      <c r="BI798" s="224">
        <f t="shared" si="715"/>
        <v>25.78930617</v>
      </c>
      <c r="BJ798" s="224">
        <f t="shared" si="716"/>
        <v>21.49108848</v>
      </c>
      <c r="BK798" s="224">
        <f t="shared" si="717"/>
        <v>17.19287078</v>
      </c>
      <c r="BL798" s="49"/>
      <c r="BM798" s="49"/>
      <c r="BN798" s="49"/>
      <c r="BO798" s="49"/>
      <c r="BP798" s="49"/>
      <c r="BQ798" s="49"/>
      <c r="BR798" s="49"/>
      <c r="BS798" s="49"/>
      <c r="BT798" s="49"/>
      <c r="BU798" s="49"/>
      <c r="BV798" s="49"/>
      <c r="BW798" s="49"/>
      <c r="BX798" s="49"/>
      <c r="BY798" s="49"/>
      <c r="BZ798" s="49"/>
      <c r="CA798" s="49"/>
      <c r="CB798" s="49"/>
      <c r="CC798" s="49"/>
      <c r="CD798" s="49"/>
      <c r="CE798" s="49"/>
      <c r="CF798" s="49"/>
    </row>
    <row r="799" ht="14.25" customHeight="1">
      <c r="A799" s="103" t="s">
        <v>2860</v>
      </c>
      <c r="B799" s="103" t="s">
        <v>85</v>
      </c>
      <c r="C799" s="103" t="s">
        <v>85</v>
      </c>
      <c r="D799" s="103" t="s">
        <v>86</v>
      </c>
      <c r="E799" s="109" t="s">
        <v>788</v>
      </c>
      <c r="F799" s="105" t="s">
        <v>973</v>
      </c>
      <c r="G799" s="110" t="s">
        <v>577</v>
      </c>
      <c r="H799" s="110">
        <v>26.0</v>
      </c>
      <c r="I799" s="107"/>
      <c r="J799" s="108" t="s">
        <v>2897</v>
      </c>
      <c r="K799" s="108" t="str">
        <f>_xlfn.XLOOKUP(J799,[1]Sheet1!$A:$A,[1]Sheet1!$B:$B,"")</f>
        <v>#ERROR!</v>
      </c>
      <c r="L799" s="109" t="s">
        <v>2898</v>
      </c>
      <c r="M799" s="104"/>
      <c r="N799" s="110"/>
      <c r="O799" s="109" t="s">
        <v>95</v>
      </c>
      <c r="P799" s="106"/>
      <c r="Q799" s="103" t="s">
        <v>2877</v>
      </c>
      <c r="R799" s="250" t="s">
        <v>2878</v>
      </c>
      <c r="S799" s="110">
        <v>14400.0</v>
      </c>
      <c r="T799" s="110"/>
      <c r="U799" s="110" t="s">
        <v>796</v>
      </c>
      <c r="V799" s="112">
        <v>0.0</v>
      </c>
      <c r="W799" s="110">
        <v>60.0</v>
      </c>
      <c r="X799" s="110">
        <v>55.0</v>
      </c>
      <c r="Y799" s="110">
        <v>55.0</v>
      </c>
      <c r="Z799" s="113" t="s">
        <v>99</v>
      </c>
      <c r="AA799" s="114">
        <f t="shared" si="798"/>
        <v>0.424584513</v>
      </c>
      <c r="AB799" s="115"/>
      <c r="AC799" s="212">
        <f t="shared" si="772"/>
        <v>0.3686161783</v>
      </c>
      <c r="AD799" s="213">
        <f t="shared" si="799"/>
        <v>0.3963614821</v>
      </c>
      <c r="AE799" s="212"/>
      <c r="AF799" s="212" t="str">
        <f t="shared" si="94"/>
        <v>#REF!</v>
      </c>
      <c r="AG799" s="210" t="str">
        <f t="shared" si="95"/>
        <v>#REF!</v>
      </c>
      <c r="AH799" s="120" t="str">
        <f t="shared" si="96"/>
        <v>#REF!</v>
      </c>
      <c r="AI799" s="399">
        <f t="shared" si="497"/>
        <v>0.1</v>
      </c>
      <c r="AJ799" s="399">
        <v>0.1</v>
      </c>
      <c r="AK799" s="122">
        <v>0.252</v>
      </c>
      <c r="AL799" s="123">
        <f t="shared" si="11"/>
        <v>0.09289127693</v>
      </c>
      <c r="AM799" s="401" t="s">
        <v>6</v>
      </c>
      <c r="AN799" s="111">
        <f t="shared" si="800"/>
        <v>0.3317545605</v>
      </c>
      <c r="AO799" s="402">
        <f t="shared" si="775"/>
        <v>0.1688888889</v>
      </c>
      <c r="AP799" s="127"/>
      <c r="AQ799" s="403">
        <f t="shared" ref="AQ799:AR799" si="817">BC799/(1-AI799)</f>
        <v>0.343441695</v>
      </c>
      <c r="AR799" s="404">
        <f t="shared" si="817"/>
        <v>0.3063610015</v>
      </c>
      <c r="AS799" s="405">
        <f t="shared" si="733"/>
        <v>0.1911111111</v>
      </c>
      <c r="AT799" s="405">
        <f t="shared" si="777"/>
        <v>0.1688888889</v>
      </c>
      <c r="AU799" s="129"/>
      <c r="AV799" s="48" t="s">
        <v>2879</v>
      </c>
      <c r="AW799" s="406">
        <f t="shared" ref="AW799:AW800" si="819">0.001*6.85</f>
        <v>0.00685</v>
      </c>
      <c r="AX799" s="406">
        <f>0.297*6.85-AW799/2</f>
        <v>2.031025</v>
      </c>
      <c r="AY799" s="134"/>
      <c r="AZ799" s="214"/>
      <c r="BA799" s="244">
        <f t="shared" si="803"/>
        <v>2.1235</v>
      </c>
      <c r="BB799" s="227"/>
      <c r="BC799" s="245">
        <f t="shared" si="804"/>
        <v>0.3090975255</v>
      </c>
      <c r="BD799" s="132">
        <f t="shared" si="805"/>
        <v>0.2757249014</v>
      </c>
      <c r="BE799" s="215"/>
      <c r="BF799" s="48"/>
      <c r="BG799" s="49"/>
      <c r="BH799" s="224">
        <f t="shared" si="714"/>
        <v>1.228720594</v>
      </c>
      <c r="BI799" s="224">
        <f t="shared" si="715"/>
        <v>0.7372323566</v>
      </c>
      <c r="BJ799" s="224">
        <f t="shared" si="716"/>
        <v>0.6143602972</v>
      </c>
      <c r="BK799" s="224">
        <f t="shared" si="717"/>
        <v>0.4914882377</v>
      </c>
      <c r="BL799" s="49"/>
      <c r="BM799" s="49"/>
      <c r="BN799" s="49"/>
      <c r="BO799" s="49"/>
      <c r="BP799" s="49"/>
      <c r="BQ799" s="49"/>
      <c r="BR799" s="49"/>
      <c r="BS799" s="49"/>
      <c r="BT799" s="49"/>
      <c r="BU799" s="49"/>
      <c r="BV799" s="49"/>
      <c r="BW799" s="49"/>
      <c r="BX799" s="49"/>
      <c r="BY799" s="49"/>
      <c r="BZ799" s="49"/>
      <c r="CA799" s="49"/>
      <c r="CB799" s="49"/>
      <c r="CC799" s="49"/>
      <c r="CD799" s="49"/>
      <c r="CE799" s="49"/>
      <c r="CF799" s="49"/>
    </row>
    <row r="800" ht="14.25" customHeight="1">
      <c r="A800" s="103" t="s">
        <v>2860</v>
      </c>
      <c r="B800" s="103" t="s">
        <v>85</v>
      </c>
      <c r="C800" s="103" t="s">
        <v>85</v>
      </c>
      <c r="D800" s="103" t="s">
        <v>86</v>
      </c>
      <c r="E800" s="109" t="s">
        <v>788</v>
      </c>
      <c r="F800" s="105" t="s">
        <v>973</v>
      </c>
      <c r="G800" s="110" t="s">
        <v>577</v>
      </c>
      <c r="H800" s="110">
        <v>26.0</v>
      </c>
      <c r="I800" s="107"/>
      <c r="J800" s="108" t="s">
        <v>2899</v>
      </c>
      <c r="K800" s="108" t="str">
        <f>_xlfn.XLOOKUP(J800,[1]Sheet1!$A:$A,[1]Sheet1!$B:$B,"")</f>
        <v>#ERROR!</v>
      </c>
      <c r="L800" s="109" t="s">
        <v>976</v>
      </c>
      <c r="M800" s="104"/>
      <c r="N800" s="110"/>
      <c r="O800" s="109" t="s">
        <v>95</v>
      </c>
      <c r="P800" s="106"/>
      <c r="Q800" s="103" t="s">
        <v>2877</v>
      </c>
      <c r="R800" s="407"/>
      <c r="S800" s="110">
        <v>12800.0</v>
      </c>
      <c r="T800" s="110"/>
      <c r="U800" s="110" t="s">
        <v>796</v>
      </c>
      <c r="V800" s="112">
        <v>0.0</v>
      </c>
      <c r="W800" s="110">
        <v>60.0</v>
      </c>
      <c r="X800" s="110">
        <v>55.0</v>
      </c>
      <c r="Y800" s="110">
        <v>55.0</v>
      </c>
      <c r="Z800" s="113" t="s">
        <v>99</v>
      </c>
      <c r="AA800" s="114">
        <f t="shared" si="798"/>
        <v>0.4725214742</v>
      </c>
      <c r="AB800" s="115"/>
      <c r="AC800" s="212">
        <f t="shared" si="772"/>
        <v>0.4103464406</v>
      </c>
      <c r="AD800" s="213">
        <f t="shared" si="799"/>
        <v>0.4412327318</v>
      </c>
      <c r="AE800" s="212"/>
      <c r="AF800" s="212" t="str">
        <f t="shared" si="94"/>
        <v>#REF!</v>
      </c>
      <c r="AG800" s="210" t="str">
        <f t="shared" si="95"/>
        <v>#REF!</v>
      </c>
      <c r="AH800" s="120" t="str">
        <f t="shared" si="96"/>
        <v>#REF!</v>
      </c>
      <c r="AI800" s="399">
        <f t="shared" si="497"/>
        <v>0.1</v>
      </c>
      <c r="AJ800" s="399">
        <v>0.1</v>
      </c>
      <c r="AK800" s="122">
        <v>0.252</v>
      </c>
      <c r="AL800" s="123">
        <f t="shared" si="11"/>
        <v>0.103407303</v>
      </c>
      <c r="AM800" s="401" t="s">
        <v>6</v>
      </c>
      <c r="AN800" s="111">
        <f t="shared" si="800"/>
        <v>0.3693117965</v>
      </c>
      <c r="AO800" s="402">
        <f t="shared" si="775"/>
        <v>0.1688888889</v>
      </c>
      <c r="AP800" s="127"/>
      <c r="AQ800" s="403">
        <f t="shared" ref="AQ800:AR800" si="818">BC800/(1-AI800)</f>
        <v>0.3822173702</v>
      </c>
      <c r="AR800" s="404">
        <f t="shared" si="818"/>
        <v>0.3410434862</v>
      </c>
      <c r="AS800" s="405">
        <f t="shared" si="733"/>
        <v>0.1911111111</v>
      </c>
      <c r="AT800" s="405">
        <f t="shared" si="777"/>
        <v>0.1688888889</v>
      </c>
      <c r="AU800" s="129"/>
      <c r="AV800" s="48" t="s">
        <v>2879</v>
      </c>
      <c r="AW800" s="406">
        <f t="shared" si="819"/>
        <v>0.00685</v>
      </c>
      <c r="AX800" s="406">
        <f>0.332*6.85-AW800/2</f>
        <v>2.270775</v>
      </c>
      <c r="AY800" s="134"/>
      <c r="AZ800" s="214"/>
      <c r="BA800" s="244">
        <f t="shared" si="803"/>
        <v>2.36325</v>
      </c>
      <c r="BB800" s="227"/>
      <c r="BC800" s="245">
        <f t="shared" si="804"/>
        <v>0.3439956332</v>
      </c>
      <c r="BD800" s="132">
        <f t="shared" si="805"/>
        <v>0.3069391376</v>
      </c>
      <c r="BE800" s="215"/>
      <c r="BF800" s="48"/>
      <c r="BG800" s="49"/>
      <c r="BH800" s="224">
        <f t="shared" si="714"/>
        <v>1.367821469</v>
      </c>
      <c r="BI800" s="224">
        <f t="shared" si="715"/>
        <v>0.8206928812</v>
      </c>
      <c r="BJ800" s="224">
        <f t="shared" si="716"/>
        <v>0.6839107343</v>
      </c>
      <c r="BK800" s="224">
        <f t="shared" si="717"/>
        <v>0.5471285874</v>
      </c>
      <c r="BL800" s="49"/>
      <c r="BM800" s="49"/>
      <c r="BN800" s="49"/>
      <c r="BO800" s="49"/>
      <c r="BP800" s="49"/>
      <c r="BQ800" s="49"/>
      <c r="BR800" s="49"/>
      <c r="BS800" s="49"/>
      <c r="BT800" s="49"/>
      <c r="BU800" s="49"/>
      <c r="BV800" s="49"/>
      <c r="BW800" s="49"/>
      <c r="BX800" s="49"/>
      <c r="BY800" s="49"/>
      <c r="BZ800" s="49"/>
      <c r="CA800" s="49"/>
      <c r="CB800" s="49"/>
      <c r="CC800" s="49"/>
      <c r="CD800" s="49"/>
      <c r="CE800" s="49"/>
      <c r="CF800" s="49"/>
    </row>
    <row r="801" ht="14.25" customHeight="1">
      <c r="A801" s="103" t="s">
        <v>2860</v>
      </c>
      <c r="B801" s="103" t="s">
        <v>85</v>
      </c>
      <c r="C801" s="103" t="s">
        <v>85</v>
      </c>
      <c r="D801" s="103" t="s">
        <v>86</v>
      </c>
      <c r="E801" s="109" t="s">
        <v>788</v>
      </c>
      <c r="F801" s="105" t="s">
        <v>973</v>
      </c>
      <c r="G801" s="110" t="s">
        <v>577</v>
      </c>
      <c r="H801" s="110">
        <v>26.0</v>
      </c>
      <c r="I801" s="107"/>
      <c r="J801" s="108" t="s">
        <v>2900</v>
      </c>
      <c r="K801" s="108" t="str">
        <f>_xlfn.XLOOKUP(J801,[1]Sheet1!$A:$A,[1]Sheet1!$B:$B,"")</f>
        <v>#ERROR!</v>
      </c>
      <c r="L801" s="109" t="s">
        <v>981</v>
      </c>
      <c r="M801" s="104"/>
      <c r="N801" s="110"/>
      <c r="O801" s="109" t="s">
        <v>95</v>
      </c>
      <c r="P801" s="106"/>
      <c r="Q801" s="103" t="s">
        <v>2877</v>
      </c>
      <c r="R801" s="407"/>
      <c r="S801" s="110">
        <v>8000.0</v>
      </c>
      <c r="T801" s="110"/>
      <c r="U801" s="110" t="s">
        <v>796</v>
      </c>
      <c r="V801" s="112">
        <v>0.0</v>
      </c>
      <c r="W801" s="110">
        <v>60.0</v>
      </c>
      <c r="X801" s="110">
        <v>55.0</v>
      </c>
      <c r="Y801" s="110">
        <v>55.0</v>
      </c>
      <c r="Z801" s="113" t="s">
        <v>99</v>
      </c>
      <c r="AA801" s="114">
        <f t="shared" si="798"/>
        <v>0.5629168866</v>
      </c>
      <c r="AB801" s="115"/>
      <c r="AC801" s="212">
        <f t="shared" si="772"/>
        <v>0.4931161282</v>
      </c>
      <c r="AD801" s="213">
        <f t="shared" si="799"/>
        <v>0.5302323959</v>
      </c>
      <c r="AE801" s="212"/>
      <c r="AF801" s="212" t="str">
        <f t="shared" si="94"/>
        <v>#REF!</v>
      </c>
      <c r="AG801" s="210" t="str">
        <f t="shared" si="95"/>
        <v>#REF!</v>
      </c>
      <c r="AH801" s="120" t="str">
        <f t="shared" si="96"/>
        <v>#REF!</v>
      </c>
      <c r="AI801" s="399">
        <f t="shared" si="497"/>
        <v>0.1</v>
      </c>
      <c r="AJ801" s="399">
        <v>0.1</v>
      </c>
      <c r="AK801" s="122">
        <v>0.252</v>
      </c>
      <c r="AL801" s="123">
        <f t="shared" si="11"/>
        <v>0.1242652643</v>
      </c>
      <c r="AM801" s="401" t="s">
        <v>6</v>
      </c>
      <c r="AN801" s="111">
        <f t="shared" si="800"/>
        <v>0.4438045154</v>
      </c>
      <c r="AO801" s="402">
        <f t="shared" si="775"/>
        <v>0.1688888889</v>
      </c>
      <c r="AP801" s="127"/>
      <c r="AQ801" s="403">
        <f t="shared" ref="AQ801:AR801" si="820">BC801/(1-AI801)</f>
        <v>0.4553372149</v>
      </c>
      <c r="AR801" s="404">
        <f t="shared" si="820"/>
        <v>0.4098342932</v>
      </c>
      <c r="AS801" s="405">
        <f t="shared" si="733"/>
        <v>0.1911111111</v>
      </c>
      <c r="AT801" s="405">
        <f t="shared" si="777"/>
        <v>0.1688888889</v>
      </c>
      <c r="AU801" s="129"/>
      <c r="AV801" s="48" t="s">
        <v>2879</v>
      </c>
      <c r="AW801" s="406">
        <f>0.002*6.85</f>
        <v>0.0137</v>
      </c>
      <c r="AX801" s="406">
        <f>0.385*6.85-AW801/2</f>
        <v>2.6304</v>
      </c>
      <c r="AY801" s="134"/>
      <c r="AZ801" s="214"/>
      <c r="BA801" s="244">
        <f t="shared" si="803"/>
        <v>2.81535</v>
      </c>
      <c r="BB801" s="227"/>
      <c r="BC801" s="245">
        <f t="shared" si="804"/>
        <v>0.4098034934</v>
      </c>
      <c r="BD801" s="132">
        <f t="shared" si="805"/>
        <v>0.3688508639</v>
      </c>
      <c r="BE801" s="215"/>
      <c r="BF801" s="48"/>
      <c r="BG801" s="49"/>
      <c r="BH801" s="224">
        <f t="shared" si="714"/>
        <v>1.643720427</v>
      </c>
      <c r="BI801" s="224">
        <f t="shared" si="715"/>
        <v>0.9862322563</v>
      </c>
      <c r="BJ801" s="224">
        <f t="shared" si="716"/>
        <v>0.8218602136</v>
      </c>
      <c r="BK801" s="224">
        <f t="shared" si="717"/>
        <v>0.6574881709</v>
      </c>
      <c r="BL801" s="49"/>
      <c r="BM801" s="49"/>
      <c r="BN801" s="49"/>
      <c r="BO801" s="49"/>
      <c r="BP801" s="49"/>
      <c r="BQ801" s="49"/>
      <c r="BR801" s="49"/>
      <c r="BS801" s="49"/>
      <c r="BT801" s="49"/>
      <c r="BU801" s="49"/>
      <c r="BV801" s="49"/>
      <c r="BW801" s="49"/>
      <c r="BX801" s="49"/>
      <c r="BY801" s="49"/>
      <c r="BZ801" s="49"/>
      <c r="CA801" s="49"/>
      <c r="CB801" s="49"/>
      <c r="CC801" s="49"/>
      <c r="CD801" s="49"/>
      <c r="CE801" s="49"/>
      <c r="CF801" s="49"/>
    </row>
    <row r="802" ht="14.25" customHeight="1">
      <c r="A802" s="103" t="s">
        <v>2860</v>
      </c>
      <c r="B802" s="103" t="s">
        <v>85</v>
      </c>
      <c r="C802" s="103" t="s">
        <v>85</v>
      </c>
      <c r="D802" s="103" t="s">
        <v>86</v>
      </c>
      <c r="E802" s="109" t="s">
        <v>788</v>
      </c>
      <c r="F802" s="105" t="s">
        <v>973</v>
      </c>
      <c r="G802" s="110" t="s">
        <v>577</v>
      </c>
      <c r="H802" s="110">
        <v>26.0</v>
      </c>
      <c r="I802" s="107"/>
      <c r="J802" s="108" t="s">
        <v>2901</v>
      </c>
      <c r="K802" s="108" t="str">
        <f>_xlfn.XLOOKUP(J802,[1]Sheet1!$A:$A,[1]Sheet1!$B:$B,"")</f>
        <v>#ERROR!</v>
      </c>
      <c r="L802" s="109" t="s">
        <v>985</v>
      </c>
      <c r="M802" s="104"/>
      <c r="N802" s="110"/>
      <c r="O802" s="109" t="s">
        <v>95</v>
      </c>
      <c r="P802" s="106"/>
      <c r="Q802" s="103" t="s">
        <v>2877</v>
      </c>
      <c r="R802" s="407"/>
      <c r="S802" s="110">
        <v>4480.0</v>
      </c>
      <c r="T802" s="110"/>
      <c r="U802" s="110" t="s">
        <v>796</v>
      </c>
      <c r="V802" s="112">
        <v>0.0</v>
      </c>
      <c r="W802" s="110">
        <v>60.0</v>
      </c>
      <c r="X802" s="110">
        <v>55.0</v>
      </c>
      <c r="Y802" s="110">
        <v>55.0</v>
      </c>
      <c r="Z802" s="113" t="s">
        <v>99</v>
      </c>
      <c r="AA802" s="114">
        <f t="shared" si="798"/>
        <v>0.742338084</v>
      </c>
      <c r="AB802" s="115"/>
      <c r="AC802" s="212">
        <f t="shared" si="772"/>
        <v>0.658093197</v>
      </c>
      <c r="AD802" s="213">
        <f t="shared" si="799"/>
        <v>0.7076270935</v>
      </c>
      <c r="AE802" s="212"/>
      <c r="AF802" s="212" t="str">
        <f t="shared" si="94"/>
        <v>#REF!</v>
      </c>
      <c r="AG802" s="210" t="str">
        <f t="shared" si="95"/>
        <v>#REF!</v>
      </c>
      <c r="AH802" s="120" t="str">
        <f t="shared" si="96"/>
        <v>#REF!</v>
      </c>
      <c r="AI802" s="399">
        <f t="shared" si="497"/>
        <v>0.1</v>
      </c>
      <c r="AJ802" s="399">
        <v>0.1</v>
      </c>
      <c r="AK802" s="122">
        <v>0.252</v>
      </c>
      <c r="AL802" s="123">
        <f t="shared" si="11"/>
        <v>0.1658394856</v>
      </c>
      <c r="AM802" s="401" t="s">
        <v>6</v>
      </c>
      <c r="AN802" s="111">
        <f t="shared" si="800"/>
        <v>0.5922838773</v>
      </c>
      <c r="AO802" s="402">
        <f t="shared" si="775"/>
        <v>0.1688888889</v>
      </c>
      <c r="AP802" s="127"/>
      <c r="AQ802" s="403">
        <f t="shared" ref="AQ802:AR802" si="821">BC802/(1-AI802)</f>
        <v>0.600469028</v>
      </c>
      <c r="AR802" s="404">
        <f t="shared" si="821"/>
        <v>0.5469485682</v>
      </c>
      <c r="AS802" s="405">
        <f t="shared" si="733"/>
        <v>0.1911111111</v>
      </c>
      <c r="AT802" s="405">
        <f t="shared" si="777"/>
        <v>0.1688888889</v>
      </c>
      <c r="AU802" s="129"/>
      <c r="AV802" s="48" t="s">
        <v>2879</v>
      </c>
      <c r="AW802" s="406">
        <f>0.003*6.85</f>
        <v>0.02055</v>
      </c>
      <c r="AX802" s="406">
        <f>0.503*6.85-AW802/2</f>
        <v>3.435275</v>
      </c>
      <c r="AY802" s="134"/>
      <c r="AZ802" s="214"/>
      <c r="BA802" s="244">
        <f t="shared" si="803"/>
        <v>3.7127</v>
      </c>
      <c r="BB802" s="227"/>
      <c r="BC802" s="245">
        <f t="shared" si="804"/>
        <v>0.5404221252</v>
      </c>
      <c r="BD802" s="132">
        <f t="shared" si="805"/>
        <v>0.4922537113</v>
      </c>
      <c r="BE802" s="215"/>
      <c r="BF802" s="48"/>
      <c r="BG802" s="49"/>
      <c r="BH802" s="224">
        <f t="shared" si="714"/>
        <v>2.19364399</v>
      </c>
      <c r="BI802" s="224">
        <f t="shared" si="715"/>
        <v>1.316186394</v>
      </c>
      <c r="BJ802" s="224">
        <f t="shared" si="716"/>
        <v>1.096821995</v>
      </c>
      <c r="BK802" s="224">
        <f t="shared" si="717"/>
        <v>0.877457596</v>
      </c>
      <c r="BL802" s="49"/>
      <c r="BM802" s="49"/>
      <c r="BN802" s="49"/>
      <c r="BO802" s="49"/>
      <c r="BP802" s="49"/>
      <c r="BQ802" s="49"/>
      <c r="BR802" s="49"/>
      <c r="BS802" s="49"/>
      <c r="BT802" s="49"/>
      <c r="BU802" s="49"/>
      <c r="BV802" s="49"/>
      <c r="BW802" s="49"/>
      <c r="BX802" s="49"/>
      <c r="BY802" s="49"/>
      <c r="BZ802" s="49"/>
      <c r="CA802" s="49"/>
      <c r="CB802" s="49"/>
      <c r="CC802" s="49"/>
      <c r="CD802" s="49"/>
      <c r="CE802" s="49"/>
      <c r="CF802" s="49"/>
    </row>
    <row r="803" ht="14.25" customHeight="1">
      <c r="A803" s="103" t="s">
        <v>2860</v>
      </c>
      <c r="B803" s="103" t="s">
        <v>85</v>
      </c>
      <c r="C803" s="103" t="s">
        <v>85</v>
      </c>
      <c r="D803" s="103" t="s">
        <v>86</v>
      </c>
      <c r="E803" s="109" t="s">
        <v>788</v>
      </c>
      <c r="F803" s="105" t="s">
        <v>973</v>
      </c>
      <c r="G803" s="110" t="s">
        <v>577</v>
      </c>
      <c r="H803" s="110">
        <v>26.0</v>
      </c>
      <c r="I803" s="107"/>
      <c r="J803" s="108" t="s">
        <v>2902</v>
      </c>
      <c r="K803" s="108" t="str">
        <f>_xlfn.XLOOKUP(J803,[1]Sheet1!$A:$A,[1]Sheet1!$B:$B,"")</f>
        <v>#ERROR!</v>
      </c>
      <c r="L803" s="109" t="s">
        <v>989</v>
      </c>
      <c r="M803" s="104"/>
      <c r="N803" s="110"/>
      <c r="O803" s="109" t="s">
        <v>95</v>
      </c>
      <c r="P803" s="106"/>
      <c r="Q803" s="103" t="s">
        <v>2877</v>
      </c>
      <c r="R803" s="407"/>
      <c r="S803" s="110">
        <v>3200.0</v>
      </c>
      <c r="T803" s="110"/>
      <c r="U803" s="110" t="s">
        <v>796</v>
      </c>
      <c r="V803" s="112">
        <v>0.0</v>
      </c>
      <c r="W803" s="110">
        <v>60.0</v>
      </c>
      <c r="X803" s="110">
        <v>55.0</v>
      </c>
      <c r="Y803" s="110">
        <v>55.0</v>
      </c>
      <c r="Z803" s="113" t="s">
        <v>99</v>
      </c>
      <c r="AA803" s="114">
        <f t="shared" si="798"/>
        <v>1.120355263</v>
      </c>
      <c r="AB803" s="115"/>
      <c r="AC803" s="212">
        <f t="shared" si="772"/>
        <v>0.9899513273</v>
      </c>
      <c r="AD803" s="213">
        <f t="shared" si="799"/>
        <v>1.064463793</v>
      </c>
      <c r="AE803" s="212"/>
      <c r="AF803" s="212" t="str">
        <f t="shared" si="94"/>
        <v>#REF!</v>
      </c>
      <c r="AG803" s="210" t="str">
        <f t="shared" si="95"/>
        <v>#REF!</v>
      </c>
      <c r="AH803" s="120" t="str">
        <f t="shared" si="96"/>
        <v>#REF!</v>
      </c>
      <c r="AI803" s="399">
        <f t="shared" si="497"/>
        <v>0.1</v>
      </c>
      <c r="AJ803" s="399">
        <v>0.1</v>
      </c>
      <c r="AK803" s="122">
        <v>0.252</v>
      </c>
      <c r="AL803" s="123">
        <f t="shared" si="11"/>
        <v>0.2494677345</v>
      </c>
      <c r="AM803" s="401" t="s">
        <v>6</v>
      </c>
      <c r="AN803" s="111">
        <f t="shared" si="800"/>
        <v>0.8909561946</v>
      </c>
      <c r="AO803" s="402">
        <f t="shared" si="775"/>
        <v>0.1688888889</v>
      </c>
      <c r="AP803" s="127"/>
      <c r="AQ803" s="403">
        <f t="shared" ref="AQ803:AR803" si="822">BC803/(1-AI803)</f>
        <v>0.9062429241</v>
      </c>
      <c r="AR803" s="404">
        <f t="shared" si="822"/>
        <v>0.8227595476</v>
      </c>
      <c r="AS803" s="405">
        <f t="shared" si="733"/>
        <v>0.1911111111</v>
      </c>
      <c r="AT803" s="405">
        <f t="shared" si="777"/>
        <v>0.1688888889</v>
      </c>
      <c r="AU803" s="129"/>
      <c r="AV803" s="48" t="s">
        <v>2879</v>
      </c>
      <c r="AW803" s="406">
        <f>0.006*6.85</f>
        <v>0.0411</v>
      </c>
      <c r="AX803" s="406">
        <f>0.74*6.85-AW803/2</f>
        <v>5.04845</v>
      </c>
      <c r="AY803" s="134"/>
      <c r="AZ803" s="214"/>
      <c r="BA803" s="244">
        <f t="shared" si="803"/>
        <v>5.6033</v>
      </c>
      <c r="BB803" s="227"/>
      <c r="BC803" s="245">
        <f t="shared" si="804"/>
        <v>0.8156186317</v>
      </c>
      <c r="BD803" s="132">
        <f t="shared" si="805"/>
        <v>0.7404835928</v>
      </c>
      <c r="BE803" s="215"/>
      <c r="BF803" s="48"/>
      <c r="BG803" s="49"/>
      <c r="BH803" s="224">
        <f t="shared" si="714"/>
        <v>3.299837758</v>
      </c>
      <c r="BI803" s="224">
        <f t="shared" si="715"/>
        <v>1.979902655</v>
      </c>
      <c r="BJ803" s="224">
        <f t="shared" si="716"/>
        <v>1.649918879</v>
      </c>
      <c r="BK803" s="224">
        <f t="shared" si="717"/>
        <v>1.319935103</v>
      </c>
      <c r="BL803" s="49"/>
      <c r="BM803" s="49"/>
      <c r="BN803" s="49"/>
      <c r="BO803" s="49"/>
      <c r="BP803" s="49"/>
      <c r="BQ803" s="49"/>
      <c r="BR803" s="49"/>
      <c r="BS803" s="49"/>
      <c r="BT803" s="49"/>
      <c r="BU803" s="49"/>
      <c r="BV803" s="49"/>
      <c r="BW803" s="49"/>
      <c r="BX803" s="49"/>
      <c r="BY803" s="49"/>
      <c r="BZ803" s="49"/>
      <c r="CA803" s="49"/>
      <c r="CB803" s="49"/>
      <c r="CC803" s="49"/>
      <c r="CD803" s="49"/>
      <c r="CE803" s="49"/>
      <c r="CF803" s="49"/>
    </row>
    <row r="804" ht="14.25" customHeight="1">
      <c r="A804" s="103" t="s">
        <v>2860</v>
      </c>
      <c r="B804" s="103" t="s">
        <v>85</v>
      </c>
      <c r="C804" s="103" t="s">
        <v>85</v>
      </c>
      <c r="D804" s="103" t="s">
        <v>86</v>
      </c>
      <c r="E804" s="109" t="s">
        <v>788</v>
      </c>
      <c r="F804" s="105" t="s">
        <v>973</v>
      </c>
      <c r="G804" s="110" t="s">
        <v>577</v>
      </c>
      <c r="H804" s="110">
        <v>26.0</v>
      </c>
      <c r="I804" s="107"/>
      <c r="J804" s="108" t="s">
        <v>2903</v>
      </c>
      <c r="K804" s="108" t="str">
        <f>_xlfn.XLOOKUP(J804,[1]Sheet1!$A:$A,[1]Sheet1!$B:$B,"")</f>
        <v>#ERROR!</v>
      </c>
      <c r="L804" s="109" t="s">
        <v>993</v>
      </c>
      <c r="M804" s="104"/>
      <c r="N804" s="110"/>
      <c r="O804" s="109" t="s">
        <v>95</v>
      </c>
      <c r="P804" s="106"/>
      <c r="Q804" s="103" t="s">
        <v>2877</v>
      </c>
      <c r="R804" s="407"/>
      <c r="S804" s="110">
        <v>2560.0</v>
      </c>
      <c r="T804" s="110"/>
      <c r="U804" s="110" t="s">
        <v>796</v>
      </c>
      <c r="V804" s="112">
        <v>0.0</v>
      </c>
      <c r="W804" s="110">
        <v>60.0</v>
      </c>
      <c r="X804" s="110">
        <v>55.0</v>
      </c>
      <c r="Y804" s="110">
        <v>55.0</v>
      </c>
      <c r="Z804" s="113" t="s">
        <v>99</v>
      </c>
      <c r="AA804" s="114">
        <f t="shared" si="798"/>
        <v>1.513438345</v>
      </c>
      <c r="AB804" s="115"/>
      <c r="AC804" s="212">
        <f t="shared" si="772"/>
        <v>1.33306788</v>
      </c>
      <c r="AD804" s="213">
        <f t="shared" si="799"/>
        <v>1.433406322</v>
      </c>
      <c r="AE804" s="212"/>
      <c r="AF804" s="212" t="str">
        <f t="shared" si="94"/>
        <v>#REF!</v>
      </c>
      <c r="AG804" s="210" t="str">
        <f t="shared" si="95"/>
        <v>#REF!</v>
      </c>
      <c r="AH804" s="120" t="str">
        <f t="shared" si="96"/>
        <v>#REF!</v>
      </c>
      <c r="AI804" s="399">
        <f t="shared" si="497"/>
        <v>0.1</v>
      </c>
      <c r="AJ804" s="399">
        <v>0.1</v>
      </c>
      <c r="AK804" s="122">
        <v>0.252</v>
      </c>
      <c r="AL804" s="123">
        <f t="shared" si="11"/>
        <v>0.3359331056</v>
      </c>
      <c r="AM804" s="401" t="s">
        <v>6</v>
      </c>
      <c r="AN804" s="111">
        <f t="shared" si="800"/>
        <v>1.199761092</v>
      </c>
      <c r="AO804" s="402">
        <f t="shared" si="775"/>
        <v>0.1688888889</v>
      </c>
      <c r="AP804" s="127"/>
      <c r="AQ804" s="403">
        <f t="shared" ref="AQ804:AR804" si="823">BC804/(1-AI804)</f>
        <v>1.224203461</v>
      </c>
      <c r="AR804" s="404">
        <f t="shared" si="823"/>
        <v>1.107927527</v>
      </c>
      <c r="AS804" s="405">
        <f t="shared" si="733"/>
        <v>0.1911111111</v>
      </c>
      <c r="AT804" s="405">
        <f t="shared" si="777"/>
        <v>0.1688888889</v>
      </c>
      <c r="AU804" s="129"/>
      <c r="AV804" s="48" t="s">
        <v>2879</v>
      </c>
      <c r="AW804" s="406">
        <f>0.009*6.85</f>
        <v>0.06165</v>
      </c>
      <c r="AX804" s="406">
        <f>0.988*6.85-AW804/2</f>
        <v>6.736975</v>
      </c>
      <c r="AY804" s="134"/>
      <c r="AZ804" s="214"/>
      <c r="BA804" s="244">
        <f t="shared" si="803"/>
        <v>7.56925</v>
      </c>
      <c r="BB804" s="227"/>
      <c r="BC804" s="245">
        <f t="shared" si="804"/>
        <v>1.101783115</v>
      </c>
      <c r="BD804" s="132">
        <f t="shared" si="805"/>
        <v>0.9971347739</v>
      </c>
      <c r="BE804" s="215"/>
      <c r="BF804" s="48"/>
      <c r="BG804" s="49"/>
      <c r="BH804" s="224">
        <f t="shared" si="714"/>
        <v>4.443559599</v>
      </c>
      <c r="BI804" s="224">
        <f t="shared" si="715"/>
        <v>2.666135759</v>
      </c>
      <c r="BJ804" s="224">
        <f t="shared" si="716"/>
        <v>2.221779799</v>
      </c>
      <c r="BK804" s="224">
        <f t="shared" si="717"/>
        <v>1.777423839</v>
      </c>
      <c r="BL804" s="49"/>
      <c r="BM804" s="49"/>
      <c r="BN804" s="49"/>
      <c r="BO804" s="49"/>
      <c r="BP804" s="49"/>
      <c r="BQ804" s="49"/>
      <c r="BR804" s="49"/>
      <c r="BS804" s="49"/>
      <c r="BT804" s="49"/>
      <c r="BU804" s="49"/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</row>
    <row r="805" ht="14.25" customHeight="1">
      <c r="A805" s="103" t="s">
        <v>2860</v>
      </c>
      <c r="B805" s="103" t="s">
        <v>85</v>
      </c>
      <c r="C805" s="103" t="s">
        <v>85</v>
      </c>
      <c r="D805" s="103" t="s">
        <v>86</v>
      </c>
      <c r="E805" s="109" t="s">
        <v>788</v>
      </c>
      <c r="F805" s="105" t="s">
        <v>973</v>
      </c>
      <c r="G805" s="110" t="s">
        <v>577</v>
      </c>
      <c r="H805" s="110">
        <v>26.0</v>
      </c>
      <c r="I805" s="107"/>
      <c r="J805" s="108" t="s">
        <v>2904</v>
      </c>
      <c r="K805" s="108" t="str">
        <f>_xlfn.XLOOKUP(J805,[1]Sheet1!$A:$A,[1]Sheet1!$B:$B,"")</f>
        <v>#ERROR!</v>
      </c>
      <c r="L805" s="109" t="s">
        <v>2905</v>
      </c>
      <c r="M805" s="104"/>
      <c r="N805" s="110"/>
      <c r="O805" s="109" t="s">
        <v>95</v>
      </c>
      <c r="P805" s="106"/>
      <c r="Q805" s="103" t="s">
        <v>2877</v>
      </c>
      <c r="R805" s="407"/>
      <c r="S805" s="110">
        <v>1920.0</v>
      </c>
      <c r="T805" s="110"/>
      <c r="U805" s="110" t="s">
        <v>796</v>
      </c>
      <c r="V805" s="112">
        <v>0.0</v>
      </c>
      <c r="W805" s="110">
        <v>60.0</v>
      </c>
      <c r="X805" s="110">
        <v>55.0</v>
      </c>
      <c r="Y805" s="110">
        <v>55.0</v>
      </c>
      <c r="Z805" s="113" t="s">
        <v>99</v>
      </c>
      <c r="AA805" s="114">
        <f t="shared" si="798"/>
        <v>1.917478446</v>
      </c>
      <c r="AB805" s="115"/>
      <c r="AC805" s="212">
        <f t="shared" si="772"/>
        <v>1.692420532</v>
      </c>
      <c r="AD805" s="213">
        <f t="shared" si="799"/>
        <v>1.819807024</v>
      </c>
      <c r="AE805" s="212"/>
      <c r="AF805" s="212" t="str">
        <f t="shared" si="94"/>
        <v>#REF!</v>
      </c>
      <c r="AG805" s="210" t="str">
        <f t="shared" si="95"/>
        <v>#REF!</v>
      </c>
      <c r="AH805" s="120" t="str">
        <f t="shared" si="96"/>
        <v>#REF!</v>
      </c>
      <c r="AI805" s="399">
        <f t="shared" si="497"/>
        <v>0.1</v>
      </c>
      <c r="AJ805" s="399">
        <v>0.1</v>
      </c>
      <c r="AK805" s="122">
        <v>0.252</v>
      </c>
      <c r="AL805" s="123">
        <f t="shared" si="11"/>
        <v>0.4264899742</v>
      </c>
      <c r="AM805" s="401" t="s">
        <v>6</v>
      </c>
      <c r="AN805" s="111">
        <f t="shared" si="800"/>
        <v>1.523178479</v>
      </c>
      <c r="AO805" s="402">
        <f t="shared" si="775"/>
        <v>0.1688888889</v>
      </c>
      <c r="AP805" s="127"/>
      <c r="AQ805" s="403">
        <f t="shared" ref="AQ805:AR805" si="824">BC805/(1-AI805)</f>
        <v>1.55102701</v>
      </c>
      <c r="AR805" s="404">
        <f t="shared" si="824"/>
        <v>1.406589509</v>
      </c>
      <c r="AS805" s="405">
        <f t="shared" si="733"/>
        <v>0.1911111111</v>
      </c>
      <c r="AT805" s="405">
        <f t="shared" si="777"/>
        <v>0.1688888889</v>
      </c>
      <c r="AU805" s="129"/>
      <c r="AV805" s="48" t="s">
        <v>2879</v>
      </c>
      <c r="AW805" s="406">
        <f>0.011*6.85</f>
        <v>0.07535</v>
      </c>
      <c r="AX805" s="406">
        <f>1.257*6.85-AW805/2</f>
        <v>8.572775</v>
      </c>
      <c r="AY805" s="134"/>
      <c r="AZ805" s="214"/>
      <c r="BA805" s="244">
        <f t="shared" si="803"/>
        <v>9.59</v>
      </c>
      <c r="BB805" s="227"/>
      <c r="BC805" s="245">
        <f t="shared" si="804"/>
        <v>1.395924309</v>
      </c>
      <c r="BD805" s="132">
        <f t="shared" si="805"/>
        <v>1.265930558</v>
      </c>
      <c r="BE805" s="215"/>
      <c r="BF805" s="48"/>
      <c r="BG805" s="49"/>
      <c r="BH805" s="224">
        <f t="shared" si="714"/>
        <v>5.641401774</v>
      </c>
      <c r="BI805" s="224">
        <f t="shared" si="715"/>
        <v>3.384841065</v>
      </c>
      <c r="BJ805" s="224">
        <f t="shared" si="716"/>
        <v>2.820700887</v>
      </c>
      <c r="BK805" s="224">
        <f t="shared" si="717"/>
        <v>2.25656071</v>
      </c>
      <c r="BL805" s="49"/>
      <c r="BM805" s="49"/>
      <c r="BN805" s="49"/>
      <c r="BO805" s="49"/>
      <c r="BP805" s="49"/>
      <c r="BQ805" s="49"/>
      <c r="BR805" s="49"/>
      <c r="BS805" s="49"/>
      <c r="BT805" s="49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</row>
    <row r="806" ht="14.25" customHeight="1">
      <c r="A806" s="103" t="s">
        <v>2860</v>
      </c>
      <c r="B806" s="103" t="s">
        <v>85</v>
      </c>
      <c r="C806" s="103" t="s">
        <v>85</v>
      </c>
      <c r="D806" s="103" t="s">
        <v>86</v>
      </c>
      <c r="E806" s="109" t="s">
        <v>788</v>
      </c>
      <c r="F806" s="105" t="s">
        <v>973</v>
      </c>
      <c r="G806" s="110" t="s">
        <v>577</v>
      </c>
      <c r="H806" s="110">
        <v>26.0</v>
      </c>
      <c r="I806" s="107"/>
      <c r="J806" s="108" t="s">
        <v>2906</v>
      </c>
      <c r="K806" s="108" t="str">
        <f>_xlfn.XLOOKUP(J806,[1]Sheet1!$A:$A,[1]Sheet1!$B:$B,"")</f>
        <v>#ERROR!</v>
      </c>
      <c r="L806" s="109" t="s">
        <v>997</v>
      </c>
      <c r="M806" s="104"/>
      <c r="N806" s="110"/>
      <c r="O806" s="109" t="s">
        <v>95</v>
      </c>
      <c r="P806" s="106"/>
      <c r="Q806" s="103" t="s">
        <v>2877</v>
      </c>
      <c r="R806" s="407"/>
      <c r="S806" s="110">
        <v>1600.0</v>
      </c>
      <c r="T806" s="110"/>
      <c r="U806" s="110" t="s">
        <v>796</v>
      </c>
      <c r="V806" s="112">
        <v>0.0</v>
      </c>
      <c r="W806" s="110">
        <v>60.0</v>
      </c>
      <c r="X806" s="110">
        <v>55.0</v>
      </c>
      <c r="Y806" s="110">
        <v>55.0</v>
      </c>
      <c r="Z806" s="113" t="s">
        <v>99</v>
      </c>
      <c r="AA806" s="114">
        <f t="shared" si="798"/>
        <v>2.288647488</v>
      </c>
      <c r="AB806" s="115"/>
      <c r="AC806" s="212">
        <f t="shared" si="772"/>
        <v>2.020472415</v>
      </c>
      <c r="AD806" s="213">
        <f t="shared" si="799"/>
        <v>2.172550984</v>
      </c>
      <c r="AE806" s="212"/>
      <c r="AF806" s="212" t="str">
        <f t="shared" si="94"/>
        <v>#REF!</v>
      </c>
      <c r="AG806" s="210" t="str">
        <f t="shared" si="95"/>
        <v>#REF!</v>
      </c>
      <c r="AH806" s="120" t="str">
        <f t="shared" si="96"/>
        <v>#REF!</v>
      </c>
      <c r="AI806" s="399">
        <f t="shared" si="497"/>
        <v>0.1</v>
      </c>
      <c r="AJ806" s="399">
        <v>0.1</v>
      </c>
      <c r="AK806" s="122">
        <v>0.252</v>
      </c>
      <c r="AL806" s="123">
        <f t="shared" si="11"/>
        <v>0.5091590485</v>
      </c>
      <c r="AM806" s="401" t="s">
        <v>6</v>
      </c>
      <c r="AN806" s="111">
        <f t="shared" si="800"/>
        <v>1.818425173</v>
      </c>
      <c r="AO806" s="402">
        <f t="shared" si="775"/>
        <v>0.1688888889</v>
      </c>
      <c r="AP806" s="127"/>
      <c r="AQ806" s="403">
        <f t="shared" ref="AQ806:AR806" si="825">BC806/(1-AI806)</f>
        <v>1.851261524</v>
      </c>
      <c r="AR806" s="404">
        <f t="shared" si="825"/>
        <v>1.679237074</v>
      </c>
      <c r="AS806" s="405">
        <f t="shared" si="733"/>
        <v>0.1911111111</v>
      </c>
      <c r="AT806" s="405">
        <f t="shared" si="777"/>
        <v>0.1688888889</v>
      </c>
      <c r="AU806" s="129"/>
      <c r="AV806" s="48" t="s">
        <v>2879</v>
      </c>
      <c r="AW806" s="406">
        <f>0.015*6.85</f>
        <v>0.10275</v>
      </c>
      <c r="AX806" s="406">
        <f>1.476*6.85-AW806/2</f>
        <v>10.059225</v>
      </c>
      <c r="AY806" s="134"/>
      <c r="AZ806" s="214"/>
      <c r="BA806" s="244">
        <f t="shared" si="803"/>
        <v>11.44635</v>
      </c>
      <c r="BB806" s="227"/>
      <c r="BC806" s="245">
        <f t="shared" si="804"/>
        <v>1.666135371</v>
      </c>
      <c r="BD806" s="132">
        <f t="shared" si="805"/>
        <v>1.511313366</v>
      </c>
      <c r="BE806" s="215"/>
      <c r="BF806" s="48"/>
      <c r="BG806" s="49"/>
      <c r="BH806" s="224">
        <f t="shared" si="714"/>
        <v>6.734908049</v>
      </c>
      <c r="BI806" s="224">
        <f t="shared" si="715"/>
        <v>4.04094483</v>
      </c>
      <c r="BJ806" s="224">
        <f t="shared" si="716"/>
        <v>3.367454025</v>
      </c>
      <c r="BK806" s="224">
        <f t="shared" si="717"/>
        <v>2.69396322</v>
      </c>
      <c r="BL806" s="49"/>
      <c r="BM806" s="49"/>
      <c r="BN806" s="49"/>
      <c r="BO806" s="49"/>
      <c r="BP806" s="49"/>
      <c r="BQ806" s="49"/>
      <c r="BR806" s="49"/>
      <c r="BS806" s="49"/>
      <c r="BT806" s="49"/>
      <c r="BU806" s="49"/>
      <c r="BV806" s="49"/>
      <c r="BW806" s="49"/>
      <c r="BX806" s="49"/>
      <c r="BY806" s="49"/>
      <c r="BZ806" s="49"/>
      <c r="CA806" s="49"/>
      <c r="CB806" s="49"/>
      <c r="CC806" s="49"/>
      <c r="CD806" s="49"/>
      <c r="CE806" s="49"/>
      <c r="CF806" s="49"/>
    </row>
    <row r="807" ht="14.25" customHeight="1">
      <c r="A807" s="103" t="s">
        <v>2860</v>
      </c>
      <c r="B807" s="103" t="s">
        <v>85</v>
      </c>
      <c r="C807" s="103" t="s">
        <v>85</v>
      </c>
      <c r="D807" s="103" t="s">
        <v>86</v>
      </c>
      <c r="E807" s="109" t="s">
        <v>788</v>
      </c>
      <c r="F807" s="105" t="s">
        <v>973</v>
      </c>
      <c r="G807" s="110" t="s">
        <v>577</v>
      </c>
      <c r="H807" s="110">
        <v>26.0</v>
      </c>
      <c r="I807" s="107"/>
      <c r="J807" s="108" t="s">
        <v>2907</v>
      </c>
      <c r="K807" s="108" t="str">
        <f>_xlfn.XLOOKUP(J807,[1]Sheet1!$A:$A,[1]Sheet1!$B:$B,"")</f>
        <v>#ERROR!</v>
      </c>
      <c r="L807" s="109" t="s">
        <v>2908</v>
      </c>
      <c r="M807" s="104"/>
      <c r="N807" s="110"/>
      <c r="O807" s="109" t="s">
        <v>95</v>
      </c>
      <c r="P807" s="106"/>
      <c r="Q807" s="103" t="s">
        <v>2877</v>
      </c>
      <c r="R807" s="407"/>
      <c r="S807" s="110">
        <v>1280.0</v>
      </c>
      <c r="T807" s="110"/>
      <c r="U807" s="110" t="s">
        <v>796</v>
      </c>
      <c r="V807" s="112">
        <v>0.0</v>
      </c>
      <c r="W807" s="110">
        <v>60.0</v>
      </c>
      <c r="X807" s="110">
        <v>55.0</v>
      </c>
      <c r="Y807" s="110">
        <v>55.0</v>
      </c>
      <c r="Z807" s="113" t="s">
        <v>99</v>
      </c>
      <c r="AA807" s="114">
        <f t="shared" si="798"/>
        <v>2.600922549</v>
      </c>
      <c r="AB807" s="115"/>
      <c r="AC807" s="212">
        <f t="shared" si="772"/>
        <v>2.305644461</v>
      </c>
      <c r="AD807" s="213">
        <f t="shared" si="799"/>
        <v>2.479187593</v>
      </c>
      <c r="AE807" s="212"/>
      <c r="AF807" s="212" t="str">
        <f t="shared" si="94"/>
        <v>#REF!</v>
      </c>
      <c r="AG807" s="210" t="str">
        <f t="shared" si="95"/>
        <v>#REF!</v>
      </c>
      <c r="AH807" s="120" t="str">
        <f t="shared" si="96"/>
        <v>#REF!</v>
      </c>
      <c r="AI807" s="399">
        <f t="shared" si="497"/>
        <v>0.1</v>
      </c>
      <c r="AJ807" s="399">
        <v>0.1</v>
      </c>
      <c r="AK807" s="122">
        <v>0.252</v>
      </c>
      <c r="AL807" s="123">
        <f t="shared" si="11"/>
        <v>0.5810224043</v>
      </c>
      <c r="AM807" s="401" t="s">
        <v>6</v>
      </c>
      <c r="AN807" s="111">
        <f t="shared" si="800"/>
        <v>2.075080015</v>
      </c>
      <c r="AO807" s="402">
        <f t="shared" si="775"/>
        <v>0.1688888889</v>
      </c>
      <c r="AP807" s="127"/>
      <c r="AQ807" s="403">
        <f t="shared" ref="AQ807:AR807" si="826">BC807/(1-AI807)</f>
        <v>2.103857351</v>
      </c>
      <c r="AR807" s="404">
        <f t="shared" si="826"/>
        <v>1.91624673</v>
      </c>
      <c r="AS807" s="405">
        <f t="shared" si="733"/>
        <v>0.1911111111</v>
      </c>
      <c r="AT807" s="405">
        <f t="shared" si="777"/>
        <v>0.1688888889</v>
      </c>
      <c r="AU807" s="129"/>
      <c r="AV807" s="48" t="s">
        <v>2879</v>
      </c>
      <c r="AW807" s="406">
        <f>0.016*6.85</f>
        <v>0.1096</v>
      </c>
      <c r="AX807" s="406">
        <f>1.691*6.85-AW807/2</f>
        <v>11.52855</v>
      </c>
      <c r="AY807" s="134"/>
      <c r="AZ807" s="214"/>
      <c r="BA807" s="244">
        <f t="shared" si="803"/>
        <v>13.00815</v>
      </c>
      <c r="BB807" s="227"/>
      <c r="BC807" s="245">
        <f t="shared" si="804"/>
        <v>1.893471616</v>
      </c>
      <c r="BD807" s="132">
        <f t="shared" si="805"/>
        <v>1.724622057</v>
      </c>
      <c r="BE807" s="215"/>
      <c r="BF807" s="48"/>
      <c r="BG807" s="49"/>
      <c r="BH807" s="224">
        <f t="shared" si="714"/>
        <v>7.685481538</v>
      </c>
      <c r="BI807" s="224">
        <f t="shared" si="715"/>
        <v>4.611288923</v>
      </c>
      <c r="BJ807" s="224">
        <f t="shared" si="716"/>
        <v>3.842740769</v>
      </c>
      <c r="BK807" s="224">
        <f t="shared" si="717"/>
        <v>3.074192615</v>
      </c>
      <c r="BL807" s="49"/>
      <c r="BM807" s="49"/>
      <c r="BN807" s="49"/>
      <c r="BO807" s="49"/>
      <c r="BP807" s="49"/>
      <c r="BQ807" s="49"/>
      <c r="BR807" s="49"/>
      <c r="BS807" s="49"/>
      <c r="BT807" s="49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</row>
    <row r="808" ht="14.25" customHeight="1">
      <c r="A808" s="103" t="s">
        <v>2860</v>
      </c>
      <c r="B808" s="103" t="s">
        <v>85</v>
      </c>
      <c r="C808" s="103" t="s">
        <v>85</v>
      </c>
      <c r="D808" s="103" t="s">
        <v>86</v>
      </c>
      <c r="E808" s="109" t="s">
        <v>788</v>
      </c>
      <c r="F808" s="105" t="s">
        <v>973</v>
      </c>
      <c r="G808" s="110" t="s">
        <v>577</v>
      </c>
      <c r="H808" s="110">
        <v>26.0</v>
      </c>
      <c r="I808" s="107"/>
      <c r="J808" s="108" t="s">
        <v>2909</v>
      </c>
      <c r="K808" s="108" t="str">
        <f>_xlfn.XLOOKUP(J808,[1]Sheet1!$A:$A,[1]Sheet1!$B:$B,"")</f>
        <v>#ERROR!</v>
      </c>
      <c r="L808" s="109" t="s">
        <v>2910</v>
      </c>
      <c r="M808" s="104"/>
      <c r="N808" s="110"/>
      <c r="O808" s="109" t="s">
        <v>95</v>
      </c>
      <c r="P808" s="106"/>
      <c r="Q808" s="103" t="s">
        <v>2877</v>
      </c>
      <c r="R808" s="407"/>
      <c r="S808" s="110">
        <v>1120.0</v>
      </c>
      <c r="T808" s="110"/>
      <c r="U808" s="110" t="s">
        <v>796</v>
      </c>
      <c r="V808" s="112">
        <v>0.0</v>
      </c>
      <c r="W808" s="110">
        <v>60.0</v>
      </c>
      <c r="X808" s="110">
        <v>55.0</v>
      </c>
      <c r="Y808" s="110">
        <v>55.0</v>
      </c>
      <c r="Z808" s="113" t="s">
        <v>99</v>
      </c>
      <c r="AA808" s="114">
        <f t="shared" si="798"/>
        <v>2.943329414</v>
      </c>
      <c r="AB808" s="115"/>
      <c r="AC808" s="212">
        <f t="shared" si="772"/>
        <v>2.610349204</v>
      </c>
      <c r="AD808" s="213">
        <f t="shared" si="799"/>
        <v>2.806827101</v>
      </c>
      <c r="AE808" s="212"/>
      <c r="AF808" s="212" t="str">
        <f t="shared" si="94"/>
        <v>#REF!</v>
      </c>
      <c r="AG808" s="210" t="str">
        <f t="shared" si="95"/>
        <v>#REF!</v>
      </c>
      <c r="AH808" s="120" t="str">
        <f t="shared" si="96"/>
        <v>#REF!</v>
      </c>
      <c r="AI808" s="399">
        <f t="shared" si="497"/>
        <v>0.1</v>
      </c>
      <c r="AJ808" s="399">
        <v>0.1</v>
      </c>
      <c r="AK808" s="122">
        <v>0.252</v>
      </c>
      <c r="AL808" s="123">
        <f t="shared" si="11"/>
        <v>0.6578079994</v>
      </c>
      <c r="AM808" s="401" t="s">
        <v>6</v>
      </c>
      <c r="AN808" s="111">
        <f t="shared" si="800"/>
        <v>2.349314283</v>
      </c>
      <c r="AO808" s="402">
        <f t="shared" si="775"/>
        <v>0.1688888889</v>
      </c>
      <c r="AP808" s="127"/>
      <c r="AQ808" s="403">
        <f t="shared" ref="AQ808:AR808" si="827">BC808/(1-AI808)</f>
        <v>2.38082646</v>
      </c>
      <c r="AR808" s="404">
        <f t="shared" si="827"/>
        <v>2.169490227</v>
      </c>
      <c r="AS808" s="405">
        <f t="shared" si="733"/>
        <v>0.1911111111</v>
      </c>
      <c r="AT808" s="405">
        <f t="shared" si="777"/>
        <v>0.1688888889</v>
      </c>
      <c r="AU808" s="129"/>
      <c r="AV808" s="48" t="s">
        <v>2879</v>
      </c>
      <c r="AW808" s="406">
        <f>0.019*6.85</f>
        <v>0.13015</v>
      </c>
      <c r="AX808" s="406">
        <f>1.902*6.85-AW808/2</f>
        <v>12.963625</v>
      </c>
      <c r="AY808" s="134"/>
      <c r="AZ808" s="214"/>
      <c r="BA808" s="244">
        <f t="shared" si="803"/>
        <v>14.72065</v>
      </c>
      <c r="BB808" s="227"/>
      <c r="BC808" s="245">
        <f t="shared" si="804"/>
        <v>2.142743814</v>
      </c>
      <c r="BD808" s="132">
        <f t="shared" si="805"/>
        <v>1.952541204</v>
      </c>
      <c r="BE808" s="215"/>
      <c r="BF808" s="48"/>
      <c r="BG808" s="49"/>
      <c r="BH808" s="224">
        <f t="shared" si="714"/>
        <v>8.701164013</v>
      </c>
      <c r="BI808" s="224">
        <f t="shared" si="715"/>
        <v>5.220698408</v>
      </c>
      <c r="BJ808" s="224">
        <f t="shared" si="716"/>
        <v>4.350582006</v>
      </c>
      <c r="BK808" s="224">
        <f t="shared" si="717"/>
        <v>3.480465605</v>
      </c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</row>
    <row r="809" ht="14.25" customHeight="1">
      <c r="A809" s="103" t="s">
        <v>2860</v>
      </c>
      <c r="B809" s="103" t="s">
        <v>85</v>
      </c>
      <c r="C809" s="103" t="s">
        <v>85</v>
      </c>
      <c r="D809" s="103" t="s">
        <v>86</v>
      </c>
      <c r="E809" s="109" t="s">
        <v>788</v>
      </c>
      <c r="F809" s="105" t="s">
        <v>973</v>
      </c>
      <c r="G809" s="110" t="s">
        <v>577</v>
      </c>
      <c r="H809" s="110">
        <v>26.0</v>
      </c>
      <c r="I809" s="107"/>
      <c r="J809" s="108" t="s">
        <v>2911</v>
      </c>
      <c r="K809" s="108" t="str">
        <f>_xlfn.XLOOKUP(J809,[1]Sheet1!$A:$A,[1]Sheet1!$B:$B,"")</f>
        <v>#ERROR!</v>
      </c>
      <c r="L809" s="109" t="s">
        <v>2912</v>
      </c>
      <c r="M809" s="104"/>
      <c r="N809" s="110"/>
      <c r="O809" s="109" t="s">
        <v>95</v>
      </c>
      <c r="P809" s="106"/>
      <c r="Q809" s="103" t="s">
        <v>2877</v>
      </c>
      <c r="R809" s="407"/>
      <c r="S809" s="110">
        <v>1120.0</v>
      </c>
      <c r="T809" s="110"/>
      <c r="U809" s="110" t="s">
        <v>796</v>
      </c>
      <c r="V809" s="112">
        <v>0.0</v>
      </c>
      <c r="W809" s="110">
        <v>60.0</v>
      </c>
      <c r="X809" s="110">
        <v>55.0</v>
      </c>
      <c r="Y809" s="110">
        <v>55.0</v>
      </c>
      <c r="Z809" s="113" t="s">
        <v>99</v>
      </c>
      <c r="AA809" s="114">
        <f t="shared" si="798"/>
        <v>3.267931123</v>
      </c>
      <c r="AB809" s="115"/>
      <c r="AC809" s="212">
        <f t="shared" si="772"/>
        <v>2.885064437</v>
      </c>
      <c r="AD809" s="213">
        <f t="shared" si="799"/>
        <v>3.102219825</v>
      </c>
      <c r="AE809" s="212"/>
      <c r="AF809" s="212" t="str">
        <f t="shared" si="94"/>
        <v>#REF!</v>
      </c>
      <c r="AG809" s="210" t="str">
        <f t="shared" si="95"/>
        <v>#REF!</v>
      </c>
      <c r="AH809" s="120" t="str">
        <f t="shared" si="96"/>
        <v>#REF!</v>
      </c>
      <c r="AI809" s="399">
        <f t="shared" si="497"/>
        <v>0.1</v>
      </c>
      <c r="AJ809" s="399">
        <v>0.1</v>
      </c>
      <c r="AK809" s="122">
        <v>0.252</v>
      </c>
      <c r="AL809" s="123">
        <f t="shared" si="11"/>
        <v>0.7270362381</v>
      </c>
      <c r="AM809" s="401" t="s">
        <v>6</v>
      </c>
      <c r="AN809" s="111">
        <f t="shared" si="800"/>
        <v>2.596557993</v>
      </c>
      <c r="AO809" s="402">
        <f t="shared" si="775"/>
        <v>0.1688888889</v>
      </c>
      <c r="AP809" s="127"/>
      <c r="AQ809" s="403">
        <f t="shared" ref="AQ809:AR809" si="828">BC809/(1-AI809)</f>
        <v>2.643393175</v>
      </c>
      <c r="AR809" s="404">
        <f t="shared" si="828"/>
        <v>2.39780911</v>
      </c>
      <c r="AS809" s="405">
        <f t="shared" si="733"/>
        <v>0.1911111111</v>
      </c>
      <c r="AT809" s="405">
        <f t="shared" si="777"/>
        <v>0.1688888889</v>
      </c>
      <c r="AU809" s="129"/>
      <c r="AV809" s="48" t="s">
        <v>2879</v>
      </c>
      <c r="AW809" s="406">
        <f>0.021*6.85</f>
        <v>0.14385</v>
      </c>
      <c r="AX809" s="406">
        <f>2.113*6.85-AW809/2</f>
        <v>14.402125</v>
      </c>
      <c r="AY809" s="134"/>
      <c r="AZ809" s="214"/>
      <c r="BA809" s="244">
        <f t="shared" si="803"/>
        <v>16.3441</v>
      </c>
      <c r="BB809" s="227"/>
      <c r="BC809" s="245">
        <f t="shared" si="804"/>
        <v>2.379053857</v>
      </c>
      <c r="BD809" s="132">
        <f t="shared" si="805"/>
        <v>2.158028199</v>
      </c>
      <c r="BE809" s="215"/>
      <c r="BF809" s="48"/>
      <c r="BG809" s="49"/>
      <c r="BH809" s="224">
        <f t="shared" si="714"/>
        <v>9.616881457</v>
      </c>
      <c r="BI809" s="224">
        <f t="shared" si="715"/>
        <v>5.770128874</v>
      </c>
      <c r="BJ809" s="224">
        <f t="shared" si="716"/>
        <v>4.808440728</v>
      </c>
      <c r="BK809" s="224">
        <f t="shared" si="717"/>
        <v>3.846752583</v>
      </c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</row>
    <row r="810" ht="14.25" customHeight="1">
      <c r="A810" s="103" t="s">
        <v>2860</v>
      </c>
      <c r="B810" s="103" t="s">
        <v>85</v>
      </c>
      <c r="C810" s="103" t="s">
        <v>85</v>
      </c>
      <c r="D810" s="103" t="s">
        <v>86</v>
      </c>
      <c r="E810" s="109" t="s">
        <v>788</v>
      </c>
      <c r="F810" s="105" t="s">
        <v>973</v>
      </c>
      <c r="G810" s="110" t="s">
        <v>577</v>
      </c>
      <c r="H810" s="110">
        <v>26.0</v>
      </c>
      <c r="I810" s="107"/>
      <c r="J810" s="108" t="s">
        <v>2913</v>
      </c>
      <c r="K810" s="108" t="str">
        <f>_xlfn.XLOOKUP(J810,[1]Sheet1!$A:$A,[1]Sheet1!$B:$B,"")</f>
        <v>#ERROR!</v>
      </c>
      <c r="L810" s="109" t="s">
        <v>1001</v>
      </c>
      <c r="M810" s="104"/>
      <c r="N810" s="110"/>
      <c r="O810" s="109" t="s">
        <v>95</v>
      </c>
      <c r="P810" s="106"/>
      <c r="Q810" s="103" t="s">
        <v>2877</v>
      </c>
      <c r="R810" s="407"/>
      <c r="S810" s="110">
        <v>960.0</v>
      </c>
      <c r="T810" s="110"/>
      <c r="U810" s="110" t="s">
        <v>796</v>
      </c>
      <c r="V810" s="112">
        <v>0.0</v>
      </c>
      <c r="W810" s="110">
        <v>60.0</v>
      </c>
      <c r="X810" s="110">
        <v>55.0</v>
      </c>
      <c r="Y810" s="110">
        <v>55.0</v>
      </c>
      <c r="Z810" s="113" t="s">
        <v>99</v>
      </c>
      <c r="AA810" s="114">
        <f t="shared" si="798"/>
        <v>4.07875058</v>
      </c>
      <c r="AB810" s="115"/>
      <c r="AC810" s="212">
        <f t="shared" si="772"/>
        <v>3.591167274</v>
      </c>
      <c r="AD810" s="213">
        <f t="shared" si="799"/>
        <v>3.861470187</v>
      </c>
      <c r="AE810" s="212"/>
      <c r="AF810" s="212" t="str">
        <f t="shared" si="94"/>
        <v>#REF!</v>
      </c>
      <c r="AG810" s="210" t="str">
        <f t="shared" si="95"/>
        <v>#REF!</v>
      </c>
      <c r="AH810" s="120" t="str">
        <f t="shared" si="96"/>
        <v>#REF!</v>
      </c>
      <c r="AI810" s="399">
        <f t="shared" si="497"/>
        <v>0.1</v>
      </c>
      <c r="AJ810" s="399">
        <v>0.1</v>
      </c>
      <c r="AK810" s="122">
        <v>0.252</v>
      </c>
      <c r="AL810" s="123">
        <f t="shared" si="11"/>
        <v>0.904974153</v>
      </c>
      <c r="AM810" s="401" t="s">
        <v>6</v>
      </c>
      <c r="AN810" s="111">
        <f t="shared" si="800"/>
        <v>3.232050546</v>
      </c>
      <c r="AO810" s="402">
        <f t="shared" si="775"/>
        <v>0.1688888889</v>
      </c>
      <c r="AP810" s="127"/>
      <c r="AQ810" s="403">
        <f t="shared" ref="AQ810:AR810" si="829">BC810/(1-AI810)</f>
        <v>3.299256025</v>
      </c>
      <c r="AR810" s="404">
        <f t="shared" si="829"/>
        <v>2.984659023</v>
      </c>
      <c r="AS810" s="405">
        <f t="shared" si="733"/>
        <v>0.1911111111</v>
      </c>
      <c r="AT810" s="405">
        <f t="shared" si="777"/>
        <v>0.1688888889</v>
      </c>
      <c r="AU810" s="129"/>
      <c r="AV810" s="48" t="s">
        <v>2879</v>
      </c>
      <c r="AW810" s="406">
        <f>0.029*6.85</f>
        <v>0.19865</v>
      </c>
      <c r="AX810" s="406">
        <f>2.601*6.85-AW810/2</f>
        <v>17.717525</v>
      </c>
      <c r="AY810" s="134"/>
      <c r="AZ810" s="214"/>
      <c r="BA810" s="244">
        <f t="shared" si="803"/>
        <v>20.3993</v>
      </c>
      <c r="BB810" s="227"/>
      <c r="BC810" s="245">
        <f t="shared" si="804"/>
        <v>2.969330422</v>
      </c>
      <c r="BD810" s="132">
        <f t="shared" si="805"/>
        <v>2.686193121</v>
      </c>
      <c r="BE810" s="215"/>
      <c r="BF810" s="48"/>
      <c r="BG810" s="49"/>
      <c r="BH810" s="224">
        <f t="shared" si="714"/>
        <v>11.97055758</v>
      </c>
      <c r="BI810" s="224">
        <f t="shared" si="715"/>
        <v>7.182334547</v>
      </c>
      <c r="BJ810" s="224">
        <f t="shared" si="716"/>
        <v>5.985278789</v>
      </c>
      <c r="BK810" s="224">
        <f t="shared" si="717"/>
        <v>4.788223032</v>
      </c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</row>
    <row r="811" ht="14.25" customHeight="1">
      <c r="A811" s="103" t="s">
        <v>2860</v>
      </c>
      <c r="B811" s="103" t="s">
        <v>85</v>
      </c>
      <c r="C811" s="103" t="s">
        <v>85</v>
      </c>
      <c r="D811" s="103" t="s">
        <v>86</v>
      </c>
      <c r="E811" s="109" t="s">
        <v>788</v>
      </c>
      <c r="F811" s="105" t="s">
        <v>973</v>
      </c>
      <c r="G811" s="110" t="s">
        <v>577</v>
      </c>
      <c r="H811" s="110">
        <v>26.0</v>
      </c>
      <c r="I811" s="107"/>
      <c r="J811" s="108" t="s">
        <v>2914</v>
      </c>
      <c r="K811" s="108" t="str">
        <f>_xlfn.XLOOKUP(J811,[1]Sheet1!$A:$A,[1]Sheet1!$B:$B,"")</f>
        <v>#ERROR!</v>
      </c>
      <c r="L811" s="109" t="s">
        <v>1013</v>
      </c>
      <c r="M811" s="104"/>
      <c r="N811" s="110"/>
      <c r="O811" s="109" t="s">
        <v>95</v>
      </c>
      <c r="P811" s="106"/>
      <c r="Q811" s="103" t="s">
        <v>2877</v>
      </c>
      <c r="R811" s="407"/>
      <c r="S811" s="110">
        <v>640.0</v>
      </c>
      <c r="T811" s="110"/>
      <c r="U811" s="110" t="s">
        <v>796</v>
      </c>
      <c r="V811" s="112">
        <v>0.0</v>
      </c>
      <c r="W811" s="110">
        <v>60.0</v>
      </c>
      <c r="X811" s="110">
        <v>55.0</v>
      </c>
      <c r="Y811" s="110">
        <v>55.0</v>
      </c>
      <c r="Z811" s="113" t="s">
        <v>99</v>
      </c>
      <c r="AA811" s="114">
        <f t="shared" si="798"/>
        <v>5.91816026</v>
      </c>
      <c r="AB811" s="115"/>
      <c r="AC811" s="212">
        <f t="shared" si="772"/>
        <v>5.217517054</v>
      </c>
      <c r="AD811" s="213">
        <f t="shared" si="799"/>
        <v>5.610233391</v>
      </c>
      <c r="AE811" s="212"/>
      <c r="AF811" s="212" t="str">
        <f t="shared" si="94"/>
        <v>#REF!</v>
      </c>
      <c r="AG811" s="210" t="str">
        <f t="shared" si="95"/>
        <v>#REF!</v>
      </c>
      <c r="AH811" s="120" t="str">
        <f t="shared" si="96"/>
        <v>#REF!</v>
      </c>
      <c r="AI811" s="399">
        <f t="shared" si="497"/>
        <v>0.1</v>
      </c>
      <c r="AJ811" s="399">
        <v>0.1</v>
      </c>
      <c r="AK811" s="122">
        <v>0.252</v>
      </c>
      <c r="AL811" s="123">
        <f t="shared" si="11"/>
        <v>1.314814298</v>
      </c>
      <c r="AM811" s="401" t="s">
        <v>6</v>
      </c>
      <c r="AN811" s="111">
        <f t="shared" si="800"/>
        <v>4.695765348</v>
      </c>
      <c r="AO811" s="402">
        <f t="shared" si="775"/>
        <v>0.1688888889</v>
      </c>
      <c r="AP811" s="127"/>
      <c r="AQ811" s="403">
        <f t="shared" ref="AQ811:AR811" si="830">BC811/(1-AI811)</f>
        <v>4.787134077</v>
      </c>
      <c r="AR811" s="404">
        <f t="shared" si="830"/>
        <v>4.336336396</v>
      </c>
      <c r="AS811" s="405">
        <f t="shared" si="733"/>
        <v>0.1911111111</v>
      </c>
      <c r="AT811" s="405">
        <f t="shared" si="777"/>
        <v>0.1688888889</v>
      </c>
      <c r="AU811" s="129"/>
      <c r="AV811" s="48" t="s">
        <v>2879</v>
      </c>
      <c r="AW811" s="406">
        <f>0.043*6.85</f>
        <v>0.29455</v>
      </c>
      <c r="AX811" s="406">
        <f>3.762*6.85-AW811/2</f>
        <v>25.622425</v>
      </c>
      <c r="AY811" s="134"/>
      <c r="AZ811" s="214"/>
      <c r="BA811" s="244">
        <f t="shared" si="803"/>
        <v>29.59885</v>
      </c>
      <c r="BB811" s="227"/>
      <c r="BC811" s="245">
        <f t="shared" si="804"/>
        <v>4.30842067</v>
      </c>
      <c r="BD811" s="132">
        <f t="shared" si="805"/>
        <v>3.902702756</v>
      </c>
      <c r="BE811" s="215"/>
      <c r="BF811" s="48"/>
      <c r="BG811" s="49"/>
      <c r="BH811" s="224">
        <f t="shared" si="714"/>
        <v>17.39172351</v>
      </c>
      <c r="BI811" s="224">
        <f t="shared" si="715"/>
        <v>10.43503411</v>
      </c>
      <c r="BJ811" s="224">
        <f t="shared" si="716"/>
        <v>8.695861756</v>
      </c>
      <c r="BK811" s="224">
        <f t="shared" si="717"/>
        <v>6.956689405</v>
      </c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</row>
    <row r="812" ht="14.25" customHeight="1">
      <c r="A812" s="103" t="s">
        <v>2860</v>
      </c>
      <c r="B812" s="103" t="s">
        <v>85</v>
      </c>
      <c r="C812" s="103" t="s">
        <v>85</v>
      </c>
      <c r="D812" s="103" t="s">
        <v>86</v>
      </c>
      <c r="E812" s="109" t="s">
        <v>788</v>
      </c>
      <c r="F812" s="105" t="s">
        <v>973</v>
      </c>
      <c r="G812" s="110" t="s">
        <v>577</v>
      </c>
      <c r="H812" s="110">
        <v>26.0</v>
      </c>
      <c r="I812" s="107"/>
      <c r="J812" s="108" t="s">
        <v>2915</v>
      </c>
      <c r="K812" s="108" t="str">
        <f>_xlfn.XLOOKUP(J812,[1]Sheet1!$A:$A,[1]Sheet1!$B:$B,"")</f>
        <v>#ERROR!</v>
      </c>
      <c r="L812" s="109" t="s">
        <v>1018</v>
      </c>
      <c r="M812" s="104"/>
      <c r="N812" s="110"/>
      <c r="O812" s="109" t="s">
        <v>95</v>
      </c>
      <c r="P812" s="106"/>
      <c r="Q812" s="103" t="s">
        <v>2877</v>
      </c>
      <c r="R812" s="407"/>
      <c r="S812" s="110">
        <v>480.0</v>
      </c>
      <c r="T812" s="110"/>
      <c r="U812" s="110" t="s">
        <v>796</v>
      </c>
      <c r="V812" s="112">
        <v>0.0</v>
      </c>
      <c r="W812" s="110">
        <v>60.0</v>
      </c>
      <c r="X812" s="110">
        <v>55.0</v>
      </c>
      <c r="Y812" s="110">
        <v>55.0</v>
      </c>
      <c r="Z812" s="113" t="s">
        <v>99</v>
      </c>
      <c r="AA812" s="114">
        <f t="shared" si="798"/>
        <v>7.80139802</v>
      </c>
      <c r="AB812" s="115"/>
      <c r="AC812" s="212">
        <f t="shared" si="772"/>
        <v>6.880959186</v>
      </c>
      <c r="AD812" s="213">
        <f t="shared" si="799"/>
        <v>7.398880845</v>
      </c>
      <c r="AE812" s="212"/>
      <c r="AF812" s="212" t="str">
        <f t="shared" si="94"/>
        <v>#REF!</v>
      </c>
      <c r="AG812" s="210" t="str">
        <f t="shared" si="95"/>
        <v>#REF!</v>
      </c>
      <c r="AH812" s="120" t="str">
        <f t="shared" si="96"/>
        <v>#REF!</v>
      </c>
      <c r="AI812" s="399">
        <f t="shared" si="497"/>
        <v>0.1</v>
      </c>
      <c r="AJ812" s="399">
        <v>0.1</v>
      </c>
      <c r="AK812" s="122">
        <v>0.252</v>
      </c>
      <c r="AL812" s="123">
        <f t="shared" si="11"/>
        <v>1.734001715</v>
      </c>
      <c r="AM812" s="401" t="s">
        <v>6</v>
      </c>
      <c r="AN812" s="111">
        <f t="shared" si="800"/>
        <v>6.192863267</v>
      </c>
      <c r="AO812" s="402">
        <f t="shared" si="775"/>
        <v>0.1688888889</v>
      </c>
      <c r="AP812" s="127"/>
      <c r="AQ812" s="403">
        <f t="shared" ref="AQ812:AR812" si="831">BC812/(1-AI812)</f>
        <v>6.310464176</v>
      </c>
      <c r="AR812" s="404">
        <f t="shared" si="831"/>
        <v>5.718841634</v>
      </c>
      <c r="AS812" s="405">
        <f t="shared" si="733"/>
        <v>0.1911111111</v>
      </c>
      <c r="AT812" s="405">
        <f t="shared" si="777"/>
        <v>0.1688888889</v>
      </c>
      <c r="AU812" s="129"/>
      <c r="AV812" s="48" t="s">
        <v>2879</v>
      </c>
      <c r="AW812" s="406">
        <f>0.057*6.85</f>
        <v>0.39045</v>
      </c>
      <c r="AX812" s="406">
        <f>4.955*6.85-AW812/2</f>
        <v>33.746525</v>
      </c>
      <c r="AY812" s="134"/>
      <c r="AZ812" s="214"/>
      <c r="BA812" s="244">
        <f t="shared" si="803"/>
        <v>39.0176</v>
      </c>
      <c r="BB812" s="227"/>
      <c r="BC812" s="245">
        <f t="shared" si="804"/>
        <v>5.679417758</v>
      </c>
      <c r="BD812" s="132">
        <f t="shared" si="805"/>
        <v>5.146957471</v>
      </c>
      <c r="BE812" s="215"/>
      <c r="BF812" s="48"/>
      <c r="BG812" s="49"/>
      <c r="BH812" s="224">
        <f t="shared" si="714"/>
        <v>22.93653062</v>
      </c>
      <c r="BI812" s="224">
        <f t="shared" si="715"/>
        <v>13.76191837</v>
      </c>
      <c r="BJ812" s="224">
        <f t="shared" si="716"/>
        <v>11.46826531</v>
      </c>
      <c r="BK812" s="224">
        <f t="shared" si="717"/>
        <v>9.174612248</v>
      </c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</row>
    <row r="813" ht="14.25" customHeight="1">
      <c r="A813" s="103" t="s">
        <v>2860</v>
      </c>
      <c r="B813" s="103" t="s">
        <v>85</v>
      </c>
      <c r="C813" s="103" t="s">
        <v>85</v>
      </c>
      <c r="D813" s="103" t="s">
        <v>86</v>
      </c>
      <c r="E813" s="109" t="s">
        <v>788</v>
      </c>
      <c r="F813" s="105" t="s">
        <v>973</v>
      </c>
      <c r="G813" s="110" t="s">
        <v>577</v>
      </c>
      <c r="H813" s="110">
        <v>26.0</v>
      </c>
      <c r="I813" s="107"/>
      <c r="J813" s="108" t="s">
        <v>2916</v>
      </c>
      <c r="K813" s="108" t="str">
        <f>_xlfn.XLOOKUP(J813,[1]Sheet1!$A:$A,[1]Sheet1!$B:$B,"")</f>
        <v>#ERROR!</v>
      </c>
      <c r="L813" s="109" t="s">
        <v>1022</v>
      </c>
      <c r="M813" s="104"/>
      <c r="N813" s="110"/>
      <c r="O813" s="109" t="s">
        <v>95</v>
      </c>
      <c r="P813" s="106"/>
      <c r="Q813" s="103" t="s">
        <v>2877</v>
      </c>
      <c r="R813" s="407"/>
      <c r="S813" s="110">
        <v>480.0</v>
      </c>
      <c r="T813" s="110"/>
      <c r="U813" s="110" t="s">
        <v>796</v>
      </c>
      <c r="V813" s="112">
        <v>0.0</v>
      </c>
      <c r="W813" s="110">
        <v>60.0</v>
      </c>
      <c r="X813" s="110">
        <v>55.0</v>
      </c>
      <c r="Y813" s="110">
        <v>55.0</v>
      </c>
      <c r="Z813" s="113" t="s">
        <v>99</v>
      </c>
      <c r="AA813" s="114">
        <f t="shared" si="798"/>
        <v>9.631220308</v>
      </c>
      <c r="AB813" s="115"/>
      <c r="AC813" s="212">
        <f t="shared" si="772"/>
        <v>8.429564889</v>
      </c>
      <c r="AD813" s="213">
        <f t="shared" si="799"/>
        <v>9.064048268</v>
      </c>
      <c r="AE813" s="212"/>
      <c r="AF813" s="212" t="str">
        <f t="shared" si="94"/>
        <v>#REF!</v>
      </c>
      <c r="AG813" s="210" t="str">
        <f t="shared" si="95"/>
        <v>#REF!</v>
      </c>
      <c r="AH813" s="120" t="str">
        <f t="shared" si="96"/>
        <v>#REF!</v>
      </c>
      <c r="AI813" s="399">
        <f t="shared" si="497"/>
        <v>0.1</v>
      </c>
      <c r="AJ813" s="399">
        <v>0.1</v>
      </c>
      <c r="AK813" s="122">
        <v>0.252</v>
      </c>
      <c r="AL813" s="123">
        <f t="shared" si="11"/>
        <v>2.124250352</v>
      </c>
      <c r="AM813" s="401" t="s">
        <v>6</v>
      </c>
      <c r="AN813" s="111">
        <f t="shared" si="800"/>
        <v>7.5866084</v>
      </c>
      <c r="AO813" s="402">
        <f t="shared" si="775"/>
        <v>0.1688888889</v>
      </c>
      <c r="AP813" s="127"/>
      <c r="AQ813" s="403">
        <f t="shared" ref="AQ813:AR813" si="832">BC813/(1-AI813)</f>
        <v>7.790587094</v>
      </c>
      <c r="AR813" s="404">
        <f t="shared" si="832"/>
        <v>7.005905041</v>
      </c>
      <c r="AS813" s="405">
        <f t="shared" si="733"/>
        <v>0.1911111111</v>
      </c>
      <c r="AT813" s="405">
        <f t="shared" si="777"/>
        <v>0.1688888889</v>
      </c>
      <c r="AU813" s="129"/>
      <c r="AV813" s="48" t="s">
        <v>2879</v>
      </c>
      <c r="AW813" s="406">
        <f>0.071*6.85</f>
        <v>0.48635</v>
      </c>
      <c r="AX813" s="406">
        <f>6.109*6.85-AW813/2</f>
        <v>41.603475</v>
      </c>
      <c r="AY813" s="134"/>
      <c r="AZ813" s="214"/>
      <c r="BA813" s="244">
        <f t="shared" si="803"/>
        <v>48.1692</v>
      </c>
      <c r="BB813" s="227"/>
      <c r="BC813" s="245">
        <f t="shared" si="804"/>
        <v>7.011528384</v>
      </c>
      <c r="BD813" s="132">
        <f t="shared" si="805"/>
        <v>6.305314537</v>
      </c>
      <c r="BE813" s="215"/>
      <c r="BF813" s="48"/>
      <c r="BG813" s="49"/>
      <c r="BH813" s="224">
        <f t="shared" si="714"/>
        <v>28.09854963</v>
      </c>
      <c r="BI813" s="224">
        <f t="shared" si="715"/>
        <v>16.85912978</v>
      </c>
      <c r="BJ813" s="224">
        <f t="shared" si="716"/>
        <v>14.04927482</v>
      </c>
      <c r="BK813" s="224">
        <f t="shared" si="717"/>
        <v>11.23941985</v>
      </c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</row>
    <row r="814" ht="14.25" customHeight="1">
      <c r="A814" s="103" t="s">
        <v>2860</v>
      </c>
      <c r="B814" s="103" t="s">
        <v>85</v>
      </c>
      <c r="C814" s="103" t="s">
        <v>85</v>
      </c>
      <c r="D814" s="103" t="s">
        <v>86</v>
      </c>
      <c r="E814" s="109" t="s">
        <v>788</v>
      </c>
      <c r="F814" s="105" t="s">
        <v>973</v>
      </c>
      <c r="G814" s="110" t="s">
        <v>577</v>
      </c>
      <c r="H814" s="110">
        <v>26.0</v>
      </c>
      <c r="I814" s="107"/>
      <c r="J814" s="108" t="s">
        <v>2917</v>
      </c>
      <c r="K814" s="108" t="str">
        <f>_xlfn.XLOOKUP(J814,[1]Sheet1!$A:$A,[1]Sheet1!$B:$B,"")</f>
        <v>#ERROR!</v>
      </c>
      <c r="L814" s="109" t="s">
        <v>1025</v>
      </c>
      <c r="M814" s="104"/>
      <c r="N814" s="110"/>
      <c r="O814" s="109" t="s">
        <v>95</v>
      </c>
      <c r="P814" s="106"/>
      <c r="Q814" s="103" t="s">
        <v>2877</v>
      </c>
      <c r="R814" s="407"/>
      <c r="S814" s="110">
        <v>320.0</v>
      </c>
      <c r="T814" s="110"/>
      <c r="U814" s="110" t="s">
        <v>796</v>
      </c>
      <c r="V814" s="112">
        <v>0.0</v>
      </c>
      <c r="W814" s="110">
        <v>60.0</v>
      </c>
      <c r="X814" s="110">
        <v>55.0</v>
      </c>
      <c r="Y814" s="110">
        <v>55.0</v>
      </c>
      <c r="Z814" s="113" t="s">
        <v>99</v>
      </c>
      <c r="AA814" s="114">
        <f t="shared" si="798"/>
        <v>11.4514552</v>
      </c>
      <c r="AB814" s="115"/>
      <c r="AC814" s="212">
        <f t="shared" si="772"/>
        <v>10.10931689</v>
      </c>
      <c r="AD814" s="213">
        <f t="shared" si="799"/>
        <v>10.87023321</v>
      </c>
      <c r="AE814" s="212"/>
      <c r="AF814" s="212" t="str">
        <f t="shared" si="94"/>
        <v>#REF!</v>
      </c>
      <c r="AG814" s="210" t="str">
        <f t="shared" si="95"/>
        <v>#REF!</v>
      </c>
      <c r="AH814" s="120" t="str">
        <f t="shared" si="96"/>
        <v>#REF!</v>
      </c>
      <c r="AI814" s="399">
        <f t="shared" si="497"/>
        <v>0.1</v>
      </c>
      <c r="AJ814" s="399">
        <v>0.1</v>
      </c>
      <c r="AK814" s="122">
        <v>0.252</v>
      </c>
      <c r="AL814" s="123">
        <f t="shared" si="11"/>
        <v>2.547547856</v>
      </c>
      <c r="AM814" s="401" t="s">
        <v>6</v>
      </c>
      <c r="AN814" s="111">
        <f t="shared" si="800"/>
        <v>9.098385201</v>
      </c>
      <c r="AO814" s="402">
        <f t="shared" si="775"/>
        <v>0.1688888889</v>
      </c>
      <c r="AP814" s="127"/>
      <c r="AQ814" s="403">
        <f t="shared" ref="AQ814:AR814" si="833">BC814/(1-AI814)</f>
        <v>9.262954876</v>
      </c>
      <c r="AR814" s="404">
        <f t="shared" si="833"/>
        <v>8.401965593</v>
      </c>
      <c r="AS814" s="405">
        <f t="shared" si="733"/>
        <v>0.1911111111</v>
      </c>
      <c r="AT814" s="405">
        <f t="shared" si="777"/>
        <v>0.1688888889</v>
      </c>
      <c r="AU814" s="129"/>
      <c r="AV814" s="48" t="s">
        <v>2879</v>
      </c>
      <c r="AW814" s="406">
        <f>0.085*6.85</f>
        <v>0.58225</v>
      </c>
      <c r="AX814" s="406">
        <f>7.256*6.85-AW814/2</f>
        <v>49.412475</v>
      </c>
      <c r="AY814" s="134"/>
      <c r="AZ814" s="214"/>
      <c r="BA814" s="244">
        <f t="shared" si="803"/>
        <v>57.27285</v>
      </c>
      <c r="BB814" s="227"/>
      <c r="BC814" s="245">
        <f t="shared" si="804"/>
        <v>8.336659389</v>
      </c>
      <c r="BD814" s="132">
        <f t="shared" si="805"/>
        <v>7.561769034</v>
      </c>
      <c r="BE814" s="215"/>
      <c r="BF814" s="48"/>
      <c r="BG814" s="49"/>
      <c r="BH814" s="224">
        <f t="shared" si="714"/>
        <v>33.69772297</v>
      </c>
      <c r="BI814" s="224">
        <f t="shared" si="715"/>
        <v>20.21863378</v>
      </c>
      <c r="BJ814" s="224">
        <f t="shared" si="716"/>
        <v>16.84886148</v>
      </c>
      <c r="BK814" s="224">
        <f t="shared" si="717"/>
        <v>13.47908919</v>
      </c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</row>
    <row r="815" ht="14.25" customHeight="1">
      <c r="A815" s="103" t="s">
        <v>2860</v>
      </c>
      <c r="B815" s="103" t="s">
        <v>85</v>
      </c>
      <c r="C815" s="103" t="s">
        <v>85</v>
      </c>
      <c r="D815" s="103" t="s">
        <v>86</v>
      </c>
      <c r="E815" s="109" t="s">
        <v>788</v>
      </c>
      <c r="F815" s="105" t="s">
        <v>973</v>
      </c>
      <c r="G815" s="110" t="s">
        <v>577</v>
      </c>
      <c r="H815" s="110">
        <v>26.0</v>
      </c>
      <c r="I815" s="107"/>
      <c r="J815" s="108" t="s">
        <v>2918</v>
      </c>
      <c r="K815" s="108" t="str">
        <f>_xlfn.XLOOKUP(J815,[1]Sheet1!$A:$A,[1]Sheet1!$B:$B,"")</f>
        <v>#ERROR!</v>
      </c>
      <c r="L815" s="109" t="s">
        <v>1031</v>
      </c>
      <c r="M815" s="104"/>
      <c r="N815" s="110"/>
      <c r="O815" s="109" t="s">
        <v>95</v>
      </c>
      <c r="P815" s="106"/>
      <c r="Q815" s="103" t="s">
        <v>2877</v>
      </c>
      <c r="R815" s="408"/>
      <c r="S815" s="110">
        <v>256.0</v>
      </c>
      <c r="T815" s="110"/>
      <c r="U815" s="110" t="s">
        <v>796</v>
      </c>
      <c r="V815" s="112">
        <v>0.0</v>
      </c>
      <c r="W815" s="110">
        <v>60.0</v>
      </c>
      <c r="X815" s="110">
        <v>55.0</v>
      </c>
      <c r="Y815" s="110">
        <v>55.0</v>
      </c>
      <c r="Z815" s="113" t="s">
        <v>99</v>
      </c>
      <c r="AA815" s="114">
        <f t="shared" si="798"/>
        <v>18.46120855</v>
      </c>
      <c r="AB815" s="115"/>
      <c r="AC815" s="212">
        <f t="shared" si="772"/>
        <v>16.14622015</v>
      </c>
      <c r="AD815" s="213">
        <f t="shared" si="799"/>
        <v>17.36152705</v>
      </c>
      <c r="AE815" s="212"/>
      <c r="AF815" s="212" t="str">
        <f t="shared" si="94"/>
        <v>#REF!</v>
      </c>
      <c r="AG815" s="210" t="str">
        <f t="shared" si="95"/>
        <v>#REF!</v>
      </c>
      <c r="AH815" s="120" t="str">
        <f t="shared" si="96"/>
        <v>#REF!</v>
      </c>
      <c r="AI815" s="399">
        <f t="shared" si="497"/>
        <v>0.1</v>
      </c>
      <c r="AJ815" s="399">
        <v>0.1</v>
      </c>
      <c r="AK815" s="122">
        <v>0.252</v>
      </c>
      <c r="AL815" s="123">
        <f t="shared" si="11"/>
        <v>4.068847478</v>
      </c>
      <c r="AM815" s="401" t="s">
        <v>6</v>
      </c>
      <c r="AN815" s="111">
        <f t="shared" si="800"/>
        <v>14.53159814</v>
      </c>
      <c r="AO815" s="402">
        <f t="shared" si="775"/>
        <v>0.1688888889</v>
      </c>
      <c r="AP815" s="127"/>
      <c r="AQ815" s="403">
        <f t="shared" ref="AQ815:AR815" si="834">BC815/(1-AI815)</f>
        <v>14.93306647</v>
      </c>
      <c r="AR815" s="404">
        <f t="shared" si="834"/>
        <v>13.41930297</v>
      </c>
      <c r="AS815" s="405">
        <f t="shared" si="733"/>
        <v>0.1911111111</v>
      </c>
      <c r="AT815" s="405">
        <f t="shared" si="777"/>
        <v>0.1688888889</v>
      </c>
      <c r="AU815" s="129"/>
      <c r="AV815" s="48" t="s">
        <v>2879</v>
      </c>
      <c r="AW815" s="406">
        <f>0.131*6.85</f>
        <v>0.89735</v>
      </c>
      <c r="AX815" s="406">
        <f>11.776*6.85-AW815/2</f>
        <v>80.216925</v>
      </c>
      <c r="AY815" s="134"/>
      <c r="AZ815" s="214"/>
      <c r="BA815" s="244">
        <f t="shared" si="803"/>
        <v>92.33115</v>
      </c>
      <c r="BB815" s="227"/>
      <c r="BC815" s="245">
        <f t="shared" si="804"/>
        <v>13.43975983</v>
      </c>
      <c r="BD815" s="132">
        <f t="shared" si="805"/>
        <v>12.07737267</v>
      </c>
      <c r="BE815" s="215"/>
      <c r="BF815" s="48"/>
      <c r="BG815" s="49"/>
      <c r="BH815" s="224">
        <f t="shared" si="714"/>
        <v>53.82073384</v>
      </c>
      <c r="BI815" s="224">
        <f t="shared" si="715"/>
        <v>32.29244031</v>
      </c>
      <c r="BJ815" s="224">
        <f t="shared" si="716"/>
        <v>26.91036692</v>
      </c>
      <c r="BK815" s="224">
        <f t="shared" si="717"/>
        <v>21.52829354</v>
      </c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</row>
    <row r="816" ht="14.25" customHeight="1">
      <c r="A816" s="103" t="s">
        <v>2919</v>
      </c>
      <c r="B816" s="103" t="s">
        <v>85</v>
      </c>
      <c r="C816" s="103" t="s">
        <v>85</v>
      </c>
      <c r="D816" s="103" t="s">
        <v>1886</v>
      </c>
      <c r="E816" s="109" t="s">
        <v>2920</v>
      </c>
      <c r="F816" s="105" t="s">
        <v>2921</v>
      </c>
      <c r="G816" s="110"/>
      <c r="H816" s="110"/>
      <c r="I816" s="409"/>
      <c r="J816" s="410" t="s">
        <v>2922</v>
      </c>
      <c r="K816" s="410" t="str">
        <f>_xlfn.XLOOKUP(J816,[1]Sheet1!$A:$A,[1]Sheet1!$B:$B,"")</f>
        <v>#ERROR!</v>
      </c>
      <c r="L816" s="109" t="s">
        <v>2923</v>
      </c>
      <c r="M816" s="104"/>
      <c r="N816" s="110"/>
      <c r="O816" s="109" t="s">
        <v>95</v>
      </c>
      <c r="P816" s="106"/>
      <c r="Q816" s="105" t="s">
        <v>2924</v>
      </c>
      <c r="R816" s="250" t="s">
        <v>2925</v>
      </c>
      <c r="S816" s="250" t="s">
        <v>2926</v>
      </c>
      <c r="T816" s="110"/>
      <c r="U816" s="106">
        <v>9.403208E9</v>
      </c>
      <c r="V816" s="112">
        <v>0.0</v>
      </c>
      <c r="W816" s="106">
        <v>45.0</v>
      </c>
      <c r="X816" s="106">
        <v>45.0</v>
      </c>
      <c r="Y816" s="113"/>
      <c r="Z816" s="113" t="s">
        <v>148</v>
      </c>
      <c r="AA816" s="114">
        <f t="shared" si="798"/>
        <v>49.32</v>
      </c>
      <c r="AB816" s="115"/>
      <c r="AC816" s="212">
        <f t="shared" si="772"/>
        <v>54.76002259</v>
      </c>
      <c r="AD816" s="213">
        <f t="shared" si="799"/>
        <v>58.88174472</v>
      </c>
      <c r="AE816" s="212"/>
      <c r="AF816" s="212" t="str">
        <f t="shared" si="94"/>
        <v>#REF!</v>
      </c>
      <c r="AG816" s="210" t="str">
        <f t="shared" si="95"/>
        <v>#REF!</v>
      </c>
      <c r="AH816" s="120" t="str">
        <f t="shared" si="96"/>
        <v>#REF!</v>
      </c>
      <c r="AI816" s="399">
        <f t="shared" si="497"/>
        <v>0.1</v>
      </c>
      <c r="AJ816" s="399">
        <v>0.1</v>
      </c>
      <c r="AK816" s="400">
        <v>0.23</v>
      </c>
      <c r="AL816" s="123">
        <f t="shared" si="11"/>
        <v>12.59480519</v>
      </c>
      <c r="AM816" s="401" t="s">
        <v>6</v>
      </c>
      <c r="AN816" s="111">
        <f t="shared" si="800"/>
        <v>49.28402033</v>
      </c>
      <c r="AO816" s="402">
        <f t="shared" si="775"/>
        <v>0.1444444444</v>
      </c>
      <c r="AP816" s="127"/>
      <c r="AQ816" s="403">
        <f t="shared" ref="AQ816:AR816" si="835">BC816/(1-AI816)</f>
        <v>41.1</v>
      </c>
      <c r="AR816" s="404">
        <f t="shared" si="835"/>
        <v>46.85024155</v>
      </c>
      <c r="AS816" s="405">
        <f t="shared" si="733"/>
        <v>0.1666666667</v>
      </c>
      <c r="AT816" s="405">
        <f t="shared" si="777"/>
        <v>0.1444444444</v>
      </c>
      <c r="AU816" s="129">
        <v>37.0</v>
      </c>
      <c r="AV816" s="48" t="s">
        <v>2927</v>
      </c>
      <c r="AW816" s="411"/>
      <c r="AX816" s="411"/>
      <c r="AY816" s="134"/>
      <c r="AZ816" s="214"/>
      <c r="BA816" s="214"/>
      <c r="BB816" s="227"/>
      <c r="BC816" s="412">
        <v>36.99</v>
      </c>
      <c r="BD816" s="132">
        <f t="shared" ref="BD816:BD829" si="837">(BC816/$F$6)+($F$8/300)+BC816*V816</f>
        <v>42.16521739</v>
      </c>
      <c r="BE816" s="410">
        <v>66060.0</v>
      </c>
      <c r="BF816" s="48"/>
      <c r="BG816" s="49"/>
      <c r="BH816" s="224">
        <f t="shared" si="714"/>
        <v>182.5334086</v>
      </c>
      <c r="BI816" s="224">
        <f t="shared" si="715"/>
        <v>109.5200452</v>
      </c>
      <c r="BJ816" s="224">
        <f t="shared" si="716"/>
        <v>91.26670431</v>
      </c>
      <c r="BK816" s="224">
        <f t="shared" si="717"/>
        <v>73.01336345</v>
      </c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</row>
    <row r="817" ht="14.25" customHeight="1">
      <c r="A817" s="103" t="s">
        <v>2919</v>
      </c>
      <c r="B817" s="103" t="s">
        <v>85</v>
      </c>
      <c r="C817" s="103" t="s">
        <v>85</v>
      </c>
      <c r="D817" s="103" t="s">
        <v>1886</v>
      </c>
      <c r="E817" s="109" t="s">
        <v>2920</v>
      </c>
      <c r="F817" s="105" t="s">
        <v>2921</v>
      </c>
      <c r="G817" s="110"/>
      <c r="H817" s="110"/>
      <c r="I817" s="409"/>
      <c r="J817" s="410" t="s">
        <v>2928</v>
      </c>
      <c r="K817" s="410" t="str">
        <f>_xlfn.XLOOKUP(J817,[1]Sheet1!$A:$A,[1]Sheet1!$B:$B,"")</f>
        <v>#ERROR!</v>
      </c>
      <c r="L817" s="109" t="s">
        <v>2929</v>
      </c>
      <c r="M817" s="104"/>
      <c r="N817" s="110"/>
      <c r="O817" s="109" t="s">
        <v>95</v>
      </c>
      <c r="P817" s="106"/>
      <c r="Q817" s="105" t="s">
        <v>2924</v>
      </c>
      <c r="R817" s="407"/>
      <c r="S817" s="407"/>
      <c r="T817" s="110"/>
      <c r="U817" s="106">
        <v>9.403208E9</v>
      </c>
      <c r="V817" s="112">
        <v>0.0</v>
      </c>
      <c r="W817" s="106">
        <v>45.0</v>
      </c>
      <c r="X817" s="106">
        <v>45.0</v>
      </c>
      <c r="Y817" s="113"/>
      <c r="Z817" s="113" t="s">
        <v>148</v>
      </c>
      <c r="AA817" s="114">
        <f t="shared" si="798"/>
        <v>57</v>
      </c>
      <c r="AB817" s="115"/>
      <c r="AC817" s="212">
        <f t="shared" si="772"/>
        <v>61.26482213</v>
      </c>
      <c r="AD817" s="213">
        <f t="shared" si="799"/>
        <v>65.87615283</v>
      </c>
      <c r="AE817" s="212"/>
      <c r="AF817" s="212" t="str">
        <f t="shared" si="94"/>
        <v>#REF!</v>
      </c>
      <c r="AG817" s="210" t="str">
        <f t="shared" si="95"/>
        <v>#REF!</v>
      </c>
      <c r="AH817" s="120" t="str">
        <f t="shared" si="96"/>
        <v>#REF!</v>
      </c>
      <c r="AI817" s="399">
        <f t="shared" si="497"/>
        <v>0.1</v>
      </c>
      <c r="AJ817" s="399">
        <v>0.1</v>
      </c>
      <c r="AK817" s="400">
        <v>0.23</v>
      </c>
      <c r="AL817" s="123">
        <f t="shared" si="11"/>
        <v>14.09090909</v>
      </c>
      <c r="AM817" s="401" t="s">
        <v>6</v>
      </c>
      <c r="AN817" s="111">
        <f t="shared" si="800"/>
        <v>55.13833992</v>
      </c>
      <c r="AO817" s="402">
        <f t="shared" si="775"/>
        <v>0.1444444444</v>
      </c>
      <c r="AP817" s="127"/>
      <c r="AQ817" s="403">
        <f t="shared" ref="AQ817:AR817" si="836">BC817/(1-AI817)</f>
        <v>47.5</v>
      </c>
      <c r="AR817" s="404">
        <f t="shared" si="836"/>
        <v>52.41545894</v>
      </c>
      <c r="AS817" s="405">
        <f t="shared" si="733"/>
        <v>0.1666666667</v>
      </c>
      <c r="AT817" s="405">
        <f t="shared" si="777"/>
        <v>0.1444444444</v>
      </c>
      <c r="AU817" s="129">
        <v>42.76</v>
      </c>
      <c r="AV817" s="48" t="s">
        <v>2927</v>
      </c>
      <c r="AW817" s="411"/>
      <c r="AX817" s="411"/>
      <c r="AY817" s="134"/>
      <c r="AZ817" s="214"/>
      <c r="BA817" s="214"/>
      <c r="BB817" s="227"/>
      <c r="BC817" s="412">
        <v>42.75</v>
      </c>
      <c r="BD817" s="132">
        <f t="shared" si="837"/>
        <v>47.17391304</v>
      </c>
      <c r="BE817" s="410">
        <v>96060.0</v>
      </c>
      <c r="BF817" s="48"/>
      <c r="BG817" s="49"/>
      <c r="BH817" s="224">
        <f t="shared" si="714"/>
        <v>204.2160738</v>
      </c>
      <c r="BI817" s="224">
        <f t="shared" si="715"/>
        <v>122.5296443</v>
      </c>
      <c r="BJ817" s="224">
        <f t="shared" si="716"/>
        <v>102.1080369</v>
      </c>
      <c r="BK817" s="224">
        <f t="shared" si="717"/>
        <v>81.68642951</v>
      </c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</row>
    <row r="818" ht="14.25" customHeight="1">
      <c r="A818" s="103" t="s">
        <v>2919</v>
      </c>
      <c r="B818" s="103" t="s">
        <v>85</v>
      </c>
      <c r="C818" s="103" t="s">
        <v>85</v>
      </c>
      <c r="D818" s="103" t="s">
        <v>1886</v>
      </c>
      <c r="E818" s="109" t="s">
        <v>2920</v>
      </c>
      <c r="F818" s="105" t="s">
        <v>2921</v>
      </c>
      <c r="G818" s="110"/>
      <c r="H818" s="110"/>
      <c r="I818" s="409"/>
      <c r="J818" s="410" t="s">
        <v>2930</v>
      </c>
      <c r="K818" s="410" t="str">
        <f>_xlfn.XLOOKUP(J818,[1]Sheet1!$A:$A,[1]Sheet1!$B:$B,"")</f>
        <v>#ERROR!</v>
      </c>
      <c r="L818" s="109" t="s">
        <v>2931</v>
      </c>
      <c r="M818" s="104"/>
      <c r="N818" s="110"/>
      <c r="O818" s="109" t="s">
        <v>95</v>
      </c>
      <c r="P818" s="106"/>
      <c r="Q818" s="105" t="s">
        <v>2924</v>
      </c>
      <c r="R818" s="407"/>
      <c r="S818" s="407"/>
      <c r="T818" s="110"/>
      <c r="U818" s="106">
        <v>9.403208E9</v>
      </c>
      <c r="V818" s="112">
        <v>0.0</v>
      </c>
      <c r="W818" s="106">
        <v>45.0</v>
      </c>
      <c r="X818" s="106">
        <v>45.0</v>
      </c>
      <c r="Y818" s="113"/>
      <c r="Z818" s="113" t="s">
        <v>148</v>
      </c>
      <c r="AA818" s="114">
        <f t="shared" si="798"/>
        <v>64.46666667</v>
      </c>
      <c r="AB818" s="115"/>
      <c r="AC818" s="212">
        <f t="shared" si="772"/>
        <v>67.58893281</v>
      </c>
      <c r="AD818" s="213">
        <f t="shared" si="799"/>
        <v>72.67627183</v>
      </c>
      <c r="AE818" s="212"/>
      <c r="AF818" s="212" t="str">
        <f t="shared" si="94"/>
        <v>#REF!</v>
      </c>
      <c r="AG818" s="210" t="str">
        <f t="shared" si="95"/>
        <v>#REF!</v>
      </c>
      <c r="AH818" s="120" t="str">
        <f t="shared" si="96"/>
        <v>#REF!</v>
      </c>
      <c r="AI818" s="399">
        <f t="shared" si="497"/>
        <v>0.1</v>
      </c>
      <c r="AJ818" s="399">
        <v>0.1</v>
      </c>
      <c r="AK818" s="400">
        <v>0.23</v>
      </c>
      <c r="AL818" s="123">
        <f t="shared" si="11"/>
        <v>15.54545455</v>
      </c>
      <c r="AM818" s="401" t="s">
        <v>6</v>
      </c>
      <c r="AN818" s="111">
        <f t="shared" si="800"/>
        <v>60.83003953</v>
      </c>
      <c r="AO818" s="402">
        <f t="shared" si="775"/>
        <v>0.1444444444</v>
      </c>
      <c r="AP818" s="127"/>
      <c r="AQ818" s="403">
        <f t="shared" ref="AQ818:AR818" si="838">BC818/(1-AI818)</f>
        <v>53.72222222</v>
      </c>
      <c r="AR818" s="404">
        <f t="shared" si="838"/>
        <v>57.82608696</v>
      </c>
      <c r="AS818" s="405">
        <f t="shared" si="733"/>
        <v>0.1666666667</v>
      </c>
      <c r="AT818" s="405">
        <f t="shared" si="777"/>
        <v>0.1444444444</v>
      </c>
      <c r="AU818" s="129">
        <v>48.37</v>
      </c>
      <c r="AV818" s="48" t="s">
        <v>2927</v>
      </c>
      <c r="AW818" s="411"/>
      <c r="AX818" s="411"/>
      <c r="AY818" s="134"/>
      <c r="AZ818" s="214"/>
      <c r="BA818" s="214"/>
      <c r="BB818" s="227"/>
      <c r="BC818" s="412">
        <v>48.35</v>
      </c>
      <c r="BD818" s="132">
        <f t="shared" si="837"/>
        <v>52.04347826</v>
      </c>
      <c r="BE818" s="410">
        <v>126060.0</v>
      </c>
      <c r="BF818" s="48"/>
      <c r="BG818" s="49"/>
      <c r="BH818" s="224">
        <f t="shared" si="714"/>
        <v>225.2964427</v>
      </c>
      <c r="BI818" s="224">
        <f t="shared" si="715"/>
        <v>135.1778656</v>
      </c>
      <c r="BJ818" s="224">
        <f t="shared" si="716"/>
        <v>112.6482213</v>
      </c>
      <c r="BK818" s="224">
        <f t="shared" si="717"/>
        <v>90.11857708</v>
      </c>
      <c r="BL818" s="49"/>
      <c r="BM818" s="49"/>
      <c r="BN818" s="49"/>
      <c r="BO818" s="49"/>
      <c r="BP818" s="49"/>
      <c r="BQ818" s="49"/>
      <c r="BR818" s="49"/>
      <c r="BS818" s="49"/>
      <c r="BT818" s="49"/>
      <c r="BU818" s="49"/>
      <c r="BV818" s="49"/>
      <c r="BW818" s="49"/>
      <c r="BX818" s="49"/>
      <c r="BY818" s="49"/>
      <c r="BZ818" s="49"/>
      <c r="CA818" s="49"/>
      <c r="CB818" s="49"/>
      <c r="CC818" s="49"/>
      <c r="CD818" s="49"/>
      <c r="CE818" s="49"/>
      <c r="CF818" s="49"/>
    </row>
    <row r="819" ht="14.25" customHeight="1">
      <c r="A819" s="103" t="s">
        <v>2919</v>
      </c>
      <c r="B819" s="103" t="s">
        <v>85</v>
      </c>
      <c r="C819" s="103" t="s">
        <v>85</v>
      </c>
      <c r="D819" s="103" t="s">
        <v>1886</v>
      </c>
      <c r="E819" s="109" t="s">
        <v>2920</v>
      </c>
      <c r="F819" s="105" t="s">
        <v>2921</v>
      </c>
      <c r="G819" s="110"/>
      <c r="H819" s="110"/>
      <c r="I819" s="409"/>
      <c r="J819" s="410" t="s">
        <v>2932</v>
      </c>
      <c r="K819" s="410" t="str">
        <f>_xlfn.XLOOKUP(J819,[1]Sheet1!$A:$A,[1]Sheet1!$B:$B,"")</f>
        <v>#ERROR!</v>
      </c>
      <c r="L819" s="109" t="s">
        <v>2933</v>
      </c>
      <c r="M819" s="104"/>
      <c r="N819" s="110"/>
      <c r="O819" s="109" t="s">
        <v>95</v>
      </c>
      <c r="P819" s="106"/>
      <c r="Q819" s="105" t="s">
        <v>2924</v>
      </c>
      <c r="R819" s="407"/>
      <c r="S819" s="407"/>
      <c r="T819" s="110"/>
      <c r="U819" s="106">
        <v>9.403208E9</v>
      </c>
      <c r="V819" s="112">
        <v>0.0</v>
      </c>
      <c r="W819" s="106">
        <v>45.0</v>
      </c>
      <c r="X819" s="106">
        <v>45.0</v>
      </c>
      <c r="Y819" s="113"/>
      <c r="Z819" s="113" t="s">
        <v>148</v>
      </c>
      <c r="AA819" s="114">
        <f t="shared" si="798"/>
        <v>74.58666667</v>
      </c>
      <c r="AB819" s="115"/>
      <c r="AC819" s="212">
        <f t="shared" si="772"/>
        <v>76.16036138</v>
      </c>
      <c r="AD819" s="213">
        <f t="shared" si="799"/>
        <v>81.8928617</v>
      </c>
      <c r="AE819" s="212"/>
      <c r="AF819" s="212" t="str">
        <f t="shared" si="94"/>
        <v>#REF!</v>
      </c>
      <c r="AG819" s="210" t="str">
        <f t="shared" si="95"/>
        <v>#REF!</v>
      </c>
      <c r="AH819" s="120" t="str">
        <f t="shared" si="96"/>
        <v>#REF!</v>
      </c>
      <c r="AI819" s="399">
        <f t="shared" si="497"/>
        <v>0.1</v>
      </c>
      <c r="AJ819" s="399">
        <v>0.1</v>
      </c>
      <c r="AK819" s="400">
        <v>0.23</v>
      </c>
      <c r="AL819" s="123">
        <f t="shared" si="11"/>
        <v>17.51688312</v>
      </c>
      <c r="AM819" s="401" t="s">
        <v>6</v>
      </c>
      <c r="AN819" s="111">
        <f t="shared" si="800"/>
        <v>68.54432524</v>
      </c>
      <c r="AO819" s="402">
        <f t="shared" si="775"/>
        <v>0.1444444444</v>
      </c>
      <c r="AP819" s="127"/>
      <c r="AQ819" s="403">
        <f t="shared" ref="AQ819:AR819" si="839">BC819/(1-AI819)</f>
        <v>62.15555556</v>
      </c>
      <c r="AR819" s="404">
        <f t="shared" si="839"/>
        <v>65.15942029</v>
      </c>
      <c r="AS819" s="405">
        <f t="shared" si="733"/>
        <v>0.1666666667</v>
      </c>
      <c r="AT819" s="405">
        <f t="shared" si="777"/>
        <v>0.1444444444</v>
      </c>
      <c r="AU819" s="129">
        <v>55.96</v>
      </c>
      <c r="AV819" s="48" t="s">
        <v>2927</v>
      </c>
      <c r="AW819" s="411"/>
      <c r="AX819" s="411"/>
      <c r="AY819" s="134"/>
      <c r="AZ819" s="214"/>
      <c r="BA819" s="214"/>
      <c r="BB819" s="227"/>
      <c r="BC819" s="412">
        <v>55.94</v>
      </c>
      <c r="BD819" s="132">
        <f t="shared" si="837"/>
        <v>58.64347826</v>
      </c>
      <c r="BE819" s="410">
        <v>156060.0</v>
      </c>
      <c r="BF819" s="48"/>
      <c r="BG819" s="49"/>
      <c r="BH819" s="224">
        <f t="shared" si="714"/>
        <v>253.8678713</v>
      </c>
      <c r="BI819" s="224">
        <f t="shared" si="715"/>
        <v>152.3207228</v>
      </c>
      <c r="BJ819" s="224">
        <f t="shared" si="716"/>
        <v>126.9339356</v>
      </c>
      <c r="BK819" s="224">
        <f t="shared" si="717"/>
        <v>101.5471485</v>
      </c>
      <c r="BL819" s="49"/>
      <c r="BM819" s="49"/>
      <c r="BN819" s="49"/>
      <c r="BO819" s="49"/>
      <c r="BP819" s="49"/>
      <c r="BQ819" s="49"/>
      <c r="BR819" s="49"/>
      <c r="BS819" s="49"/>
      <c r="BT819" s="49"/>
      <c r="BU819" s="49"/>
      <c r="BV819" s="49"/>
      <c r="BW819" s="49"/>
      <c r="BX819" s="49"/>
      <c r="BY819" s="49"/>
      <c r="BZ819" s="49"/>
      <c r="CA819" s="49"/>
      <c r="CB819" s="49"/>
      <c r="CC819" s="49"/>
      <c r="CD819" s="49"/>
      <c r="CE819" s="49"/>
      <c r="CF819" s="49"/>
    </row>
    <row r="820" ht="14.25" customHeight="1">
      <c r="A820" s="103" t="s">
        <v>2919</v>
      </c>
      <c r="B820" s="103" t="s">
        <v>85</v>
      </c>
      <c r="C820" s="103" t="s">
        <v>85</v>
      </c>
      <c r="D820" s="103" t="s">
        <v>1886</v>
      </c>
      <c r="E820" s="109" t="s">
        <v>2920</v>
      </c>
      <c r="F820" s="105" t="s">
        <v>2921</v>
      </c>
      <c r="G820" s="110"/>
      <c r="H820" s="110"/>
      <c r="I820" s="409"/>
      <c r="J820" s="410" t="s">
        <v>2934</v>
      </c>
      <c r="K820" s="410" t="str">
        <f>_xlfn.XLOOKUP(J820,[1]Sheet1!$A:$A,[1]Sheet1!$B:$B,"")</f>
        <v>#ERROR!</v>
      </c>
      <c r="L820" s="109" t="s">
        <v>2935</v>
      </c>
      <c r="M820" s="104"/>
      <c r="N820" s="110"/>
      <c r="O820" s="109" t="s">
        <v>95</v>
      </c>
      <c r="P820" s="106"/>
      <c r="Q820" s="105" t="s">
        <v>2924</v>
      </c>
      <c r="R820" s="407"/>
      <c r="S820" s="407"/>
      <c r="T820" s="110"/>
      <c r="U820" s="106">
        <v>9.403208E9</v>
      </c>
      <c r="V820" s="112">
        <v>0.0</v>
      </c>
      <c r="W820" s="106">
        <v>45.0</v>
      </c>
      <c r="X820" s="106">
        <v>45.0</v>
      </c>
      <c r="Y820" s="113"/>
      <c r="Z820" s="113" t="s">
        <v>148</v>
      </c>
      <c r="AA820" s="114">
        <f t="shared" si="798"/>
        <v>82.25333333</v>
      </c>
      <c r="AB820" s="115"/>
      <c r="AC820" s="212">
        <f t="shared" si="772"/>
        <v>82.65386787</v>
      </c>
      <c r="AD820" s="213">
        <f t="shared" si="799"/>
        <v>88.87512674</v>
      </c>
      <c r="AE820" s="212"/>
      <c r="AF820" s="212" t="str">
        <f t="shared" si="94"/>
        <v>#REF!</v>
      </c>
      <c r="AG820" s="210" t="str">
        <f t="shared" si="95"/>
        <v>#REF!</v>
      </c>
      <c r="AH820" s="120" t="str">
        <f t="shared" si="96"/>
        <v>#REF!</v>
      </c>
      <c r="AI820" s="399">
        <f t="shared" si="497"/>
        <v>0.1</v>
      </c>
      <c r="AJ820" s="399">
        <v>0.1</v>
      </c>
      <c r="AK820" s="400">
        <v>0.23</v>
      </c>
      <c r="AL820" s="123">
        <f t="shared" si="11"/>
        <v>19.01038961</v>
      </c>
      <c r="AM820" s="401" t="s">
        <v>6</v>
      </c>
      <c r="AN820" s="111">
        <f t="shared" si="800"/>
        <v>74.38848108</v>
      </c>
      <c r="AO820" s="402">
        <f t="shared" si="775"/>
        <v>0.1444444444</v>
      </c>
      <c r="AP820" s="127"/>
      <c r="AQ820" s="403">
        <f t="shared" ref="AQ820:AR820" si="840">BC820/(1-AI820)</f>
        <v>68.54444444</v>
      </c>
      <c r="AR820" s="404">
        <f t="shared" si="840"/>
        <v>70.71497585</v>
      </c>
      <c r="AS820" s="405">
        <f t="shared" si="733"/>
        <v>0.1666666667</v>
      </c>
      <c r="AT820" s="405">
        <f t="shared" si="777"/>
        <v>0.1444444444</v>
      </c>
      <c r="AU820" s="129"/>
      <c r="AV820" s="48" t="s">
        <v>2927</v>
      </c>
      <c r="AW820" s="411"/>
      <c r="AX820" s="411"/>
      <c r="AY820" s="134"/>
      <c r="AZ820" s="214"/>
      <c r="BA820" s="214"/>
      <c r="BB820" s="227"/>
      <c r="BC820" s="412">
        <v>61.69</v>
      </c>
      <c r="BD820" s="132">
        <f t="shared" si="837"/>
        <v>63.64347826</v>
      </c>
      <c r="BE820" s="410">
        <v>186060.0</v>
      </c>
      <c r="BF820" s="48"/>
      <c r="BG820" s="49"/>
      <c r="BH820" s="224">
        <f t="shared" si="714"/>
        <v>275.5128929</v>
      </c>
      <c r="BI820" s="224">
        <f t="shared" si="715"/>
        <v>165.3077357</v>
      </c>
      <c r="BJ820" s="224">
        <f t="shared" si="716"/>
        <v>137.7564465</v>
      </c>
      <c r="BK820" s="224">
        <f t="shared" si="717"/>
        <v>110.2051572</v>
      </c>
      <c r="BL820" s="49"/>
      <c r="BM820" s="49"/>
      <c r="BN820" s="49"/>
      <c r="BO820" s="49"/>
      <c r="BP820" s="49"/>
      <c r="BQ820" s="49"/>
      <c r="BR820" s="49"/>
      <c r="BS820" s="49"/>
      <c r="BT820" s="49"/>
      <c r="BU820" s="49"/>
      <c r="BV820" s="49"/>
      <c r="BW820" s="49"/>
      <c r="BX820" s="49"/>
      <c r="BY820" s="49"/>
      <c r="BZ820" s="49"/>
      <c r="CA820" s="49"/>
      <c r="CB820" s="49"/>
      <c r="CC820" s="49"/>
      <c r="CD820" s="49"/>
      <c r="CE820" s="49"/>
      <c r="CF820" s="49"/>
    </row>
    <row r="821" ht="14.25" customHeight="1">
      <c r="A821" s="103" t="s">
        <v>2919</v>
      </c>
      <c r="B821" s="103" t="s">
        <v>85</v>
      </c>
      <c r="C821" s="103" t="s">
        <v>85</v>
      </c>
      <c r="D821" s="103" t="s">
        <v>1886</v>
      </c>
      <c r="E821" s="109" t="s">
        <v>2920</v>
      </c>
      <c r="F821" s="105" t="s">
        <v>2921</v>
      </c>
      <c r="G821" s="110"/>
      <c r="H821" s="110"/>
      <c r="I821" s="409"/>
      <c r="J821" s="410" t="s">
        <v>2936</v>
      </c>
      <c r="K821" s="410" t="str">
        <f>_xlfn.XLOOKUP(J821,[1]Sheet1!$A:$A,[1]Sheet1!$B:$B,"")</f>
        <v>#ERROR!</v>
      </c>
      <c r="L821" s="109" t="s">
        <v>2937</v>
      </c>
      <c r="M821" s="104"/>
      <c r="N821" s="110"/>
      <c r="O821" s="109" t="s">
        <v>95</v>
      </c>
      <c r="P821" s="106"/>
      <c r="Q821" s="105" t="s">
        <v>2924</v>
      </c>
      <c r="R821" s="407"/>
      <c r="S821" s="407"/>
      <c r="T821" s="110"/>
      <c r="U821" s="106">
        <v>9.403208E9</v>
      </c>
      <c r="V821" s="112">
        <v>0.0</v>
      </c>
      <c r="W821" s="106">
        <v>45.0</v>
      </c>
      <c r="X821" s="106">
        <v>45.0</v>
      </c>
      <c r="Y821" s="113"/>
      <c r="Z821" s="113" t="s">
        <v>148</v>
      </c>
      <c r="AA821" s="114">
        <f t="shared" si="798"/>
        <v>92.36</v>
      </c>
      <c r="AB821" s="115"/>
      <c r="AC821" s="212">
        <f t="shared" si="772"/>
        <v>91.21400339</v>
      </c>
      <c r="AD821" s="213">
        <f t="shared" si="799"/>
        <v>98.07957354</v>
      </c>
      <c r="AE821" s="212"/>
      <c r="AF821" s="212" t="str">
        <f t="shared" si="94"/>
        <v>#REF!</v>
      </c>
      <c r="AG821" s="210" t="str">
        <f t="shared" si="95"/>
        <v>#REF!</v>
      </c>
      <c r="AH821" s="120" t="str">
        <f t="shared" si="96"/>
        <v>#REF!</v>
      </c>
      <c r="AI821" s="399">
        <f t="shared" si="497"/>
        <v>0.1</v>
      </c>
      <c r="AJ821" s="399">
        <v>0.1</v>
      </c>
      <c r="AK821" s="400">
        <v>0.23</v>
      </c>
      <c r="AL821" s="123">
        <f t="shared" si="11"/>
        <v>20.97922078</v>
      </c>
      <c r="AM821" s="401" t="s">
        <v>6</v>
      </c>
      <c r="AN821" s="111">
        <f t="shared" si="800"/>
        <v>82.09260305</v>
      </c>
      <c r="AO821" s="402">
        <f t="shared" si="775"/>
        <v>0.1444444444</v>
      </c>
      <c r="AP821" s="127"/>
      <c r="AQ821" s="403">
        <f t="shared" ref="AQ821:AR821" si="841">BC821/(1-AI821)</f>
        <v>76.96666667</v>
      </c>
      <c r="AR821" s="404">
        <f t="shared" si="841"/>
        <v>78.03864734</v>
      </c>
      <c r="AS821" s="405">
        <f t="shared" si="733"/>
        <v>0.1666666667</v>
      </c>
      <c r="AT821" s="405">
        <f t="shared" si="777"/>
        <v>0.1444444444</v>
      </c>
      <c r="AU821" s="129">
        <v>69.3</v>
      </c>
      <c r="AV821" s="48" t="s">
        <v>2927</v>
      </c>
      <c r="AW821" s="411"/>
      <c r="AX821" s="411"/>
      <c r="AY821" s="134"/>
      <c r="AZ821" s="214"/>
      <c r="BA821" s="214"/>
      <c r="BB821" s="227"/>
      <c r="BC821" s="412">
        <v>69.27</v>
      </c>
      <c r="BD821" s="132">
        <f t="shared" si="837"/>
        <v>70.23478261</v>
      </c>
      <c r="BE821" s="410">
        <v>226060.0</v>
      </c>
      <c r="BF821" s="48"/>
      <c r="BG821" s="49"/>
      <c r="BH821" s="224">
        <f t="shared" si="714"/>
        <v>304.046678</v>
      </c>
      <c r="BI821" s="224">
        <f t="shared" si="715"/>
        <v>182.4280068</v>
      </c>
      <c r="BJ821" s="224">
        <f t="shared" si="716"/>
        <v>152.023339</v>
      </c>
      <c r="BK821" s="224">
        <f t="shared" si="717"/>
        <v>121.6186712</v>
      </c>
      <c r="BL821" s="49"/>
      <c r="BM821" s="49"/>
      <c r="BN821" s="49"/>
      <c r="BO821" s="49"/>
      <c r="BP821" s="49"/>
      <c r="BQ821" s="49"/>
      <c r="BR821" s="49"/>
      <c r="BS821" s="49"/>
      <c r="BT821" s="49"/>
      <c r="BU821" s="49"/>
      <c r="BV821" s="49"/>
      <c r="BW821" s="49"/>
      <c r="BX821" s="49"/>
      <c r="BY821" s="49"/>
      <c r="BZ821" s="49"/>
      <c r="CA821" s="49"/>
      <c r="CB821" s="49"/>
      <c r="CC821" s="49"/>
      <c r="CD821" s="49"/>
      <c r="CE821" s="49"/>
      <c r="CF821" s="49"/>
    </row>
    <row r="822" ht="14.25" customHeight="1">
      <c r="A822" s="103" t="s">
        <v>2919</v>
      </c>
      <c r="B822" s="103" t="s">
        <v>85</v>
      </c>
      <c r="C822" s="103" t="s">
        <v>85</v>
      </c>
      <c r="D822" s="103" t="s">
        <v>1886</v>
      </c>
      <c r="E822" s="109" t="s">
        <v>2920</v>
      </c>
      <c r="F822" s="105" t="s">
        <v>2921</v>
      </c>
      <c r="G822" s="110"/>
      <c r="H822" s="110"/>
      <c r="I822" s="409"/>
      <c r="J822" s="410" t="s">
        <v>2938</v>
      </c>
      <c r="K822" s="410" t="str">
        <f>_xlfn.XLOOKUP(J822,[1]Sheet1!$A:$A,[1]Sheet1!$B:$B,"")</f>
        <v>#ERROR!</v>
      </c>
      <c r="L822" s="109" t="s">
        <v>2939</v>
      </c>
      <c r="M822" s="104"/>
      <c r="N822" s="110"/>
      <c r="O822" s="109" t="s">
        <v>95</v>
      </c>
      <c r="P822" s="106"/>
      <c r="Q822" s="105" t="s">
        <v>2924</v>
      </c>
      <c r="R822" s="407"/>
      <c r="S822" s="407"/>
      <c r="T822" s="110"/>
      <c r="U822" s="106">
        <v>9.403208E9</v>
      </c>
      <c r="V822" s="112">
        <v>0.0</v>
      </c>
      <c r="W822" s="106">
        <v>45.0</v>
      </c>
      <c r="X822" s="106">
        <v>45.0</v>
      </c>
      <c r="Y822" s="113"/>
      <c r="Z822" s="113" t="s">
        <v>148</v>
      </c>
      <c r="AA822" s="114">
        <f t="shared" si="798"/>
        <v>105.2933333</v>
      </c>
      <c r="AB822" s="115"/>
      <c r="AC822" s="212">
        <f t="shared" si="772"/>
        <v>102.1682665</v>
      </c>
      <c r="AD822" s="213">
        <f t="shared" si="799"/>
        <v>109.8583511</v>
      </c>
      <c r="AE822" s="212"/>
      <c r="AF822" s="212" t="str">
        <f t="shared" si="94"/>
        <v>#REF!</v>
      </c>
      <c r="AG822" s="210" t="str">
        <f t="shared" si="95"/>
        <v>#REF!</v>
      </c>
      <c r="AH822" s="120" t="str">
        <f t="shared" si="96"/>
        <v>#REF!</v>
      </c>
      <c r="AI822" s="399">
        <f t="shared" si="497"/>
        <v>0.1</v>
      </c>
      <c r="AJ822" s="399">
        <v>0.1</v>
      </c>
      <c r="AK822" s="400">
        <v>0.23</v>
      </c>
      <c r="AL822" s="123">
        <f t="shared" si="11"/>
        <v>23.4987013</v>
      </c>
      <c r="AM822" s="401" t="s">
        <v>6</v>
      </c>
      <c r="AN822" s="111">
        <f t="shared" si="800"/>
        <v>91.95143986</v>
      </c>
      <c r="AO822" s="402">
        <f t="shared" si="775"/>
        <v>0.1444444444</v>
      </c>
      <c r="AP822" s="127"/>
      <c r="AQ822" s="403">
        <f t="shared" ref="AQ822:AR822" si="842">BC822/(1-AI822)</f>
        <v>87.74444444</v>
      </c>
      <c r="AR822" s="404">
        <f t="shared" si="842"/>
        <v>87.41062802</v>
      </c>
      <c r="AS822" s="405">
        <f t="shared" si="733"/>
        <v>0.1666666667</v>
      </c>
      <c r="AT822" s="405">
        <f t="shared" si="777"/>
        <v>0.1444444444</v>
      </c>
      <c r="AU822" s="129">
        <v>78.99</v>
      </c>
      <c r="AV822" s="48" t="s">
        <v>2927</v>
      </c>
      <c r="AW822" s="411"/>
      <c r="AX822" s="411"/>
      <c r="AY822" s="134"/>
      <c r="AZ822" s="214"/>
      <c r="BA822" s="214"/>
      <c r="BB822" s="227"/>
      <c r="BC822" s="412">
        <v>78.97</v>
      </c>
      <c r="BD822" s="132">
        <f t="shared" si="837"/>
        <v>78.66956522</v>
      </c>
      <c r="BE822" s="410">
        <v>276060.0</v>
      </c>
      <c r="BF822" s="48"/>
      <c r="BG822" s="49"/>
      <c r="BH822" s="224">
        <f t="shared" si="714"/>
        <v>340.5608884</v>
      </c>
      <c r="BI822" s="224">
        <f t="shared" si="715"/>
        <v>204.336533</v>
      </c>
      <c r="BJ822" s="224">
        <f t="shared" si="716"/>
        <v>170.2804442</v>
      </c>
      <c r="BK822" s="224">
        <f t="shared" si="717"/>
        <v>136.2243554</v>
      </c>
      <c r="BL822" s="49"/>
      <c r="BM822" s="49"/>
      <c r="BN822" s="49"/>
      <c r="BO822" s="49"/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49"/>
      <c r="CA822" s="49"/>
      <c r="CB822" s="49"/>
      <c r="CC822" s="49"/>
      <c r="CD822" s="49"/>
      <c r="CE822" s="49"/>
      <c r="CF822" s="49"/>
    </row>
    <row r="823" ht="14.25" customHeight="1">
      <c r="A823" s="103" t="s">
        <v>2919</v>
      </c>
      <c r="B823" s="103" t="s">
        <v>85</v>
      </c>
      <c r="C823" s="103" t="s">
        <v>85</v>
      </c>
      <c r="D823" s="103" t="s">
        <v>1886</v>
      </c>
      <c r="E823" s="109" t="s">
        <v>2920</v>
      </c>
      <c r="F823" s="105" t="s">
        <v>2921</v>
      </c>
      <c r="G823" s="110"/>
      <c r="H823" s="110"/>
      <c r="I823" s="409"/>
      <c r="J823" s="410" t="s">
        <v>2940</v>
      </c>
      <c r="K823" s="410" t="str">
        <f>_xlfn.XLOOKUP(J823,[1]Sheet1!$A:$A,[1]Sheet1!$B:$B,"")</f>
        <v>#ERROR!</v>
      </c>
      <c r="L823" s="109" t="s">
        <v>2941</v>
      </c>
      <c r="M823" s="104"/>
      <c r="N823" s="110"/>
      <c r="O823" s="109" t="s">
        <v>95</v>
      </c>
      <c r="P823" s="106"/>
      <c r="Q823" s="105" t="s">
        <v>2924</v>
      </c>
      <c r="R823" s="407"/>
      <c r="S823" s="407"/>
      <c r="T823" s="110"/>
      <c r="U823" s="106">
        <v>9.403208E9</v>
      </c>
      <c r="V823" s="112">
        <v>0.0</v>
      </c>
      <c r="W823" s="106">
        <v>45.0</v>
      </c>
      <c r="X823" s="106">
        <v>45.0</v>
      </c>
      <c r="Y823" s="113"/>
      <c r="Z823" s="113" t="s">
        <v>148</v>
      </c>
      <c r="AA823" s="114">
        <f t="shared" si="798"/>
        <v>39.21333333</v>
      </c>
      <c r="AB823" s="115"/>
      <c r="AC823" s="212">
        <f t="shared" si="772"/>
        <v>46.19988707</v>
      </c>
      <c r="AD823" s="213">
        <f t="shared" si="799"/>
        <v>49.67729792</v>
      </c>
      <c r="AE823" s="212"/>
      <c r="AF823" s="212" t="str">
        <f t="shared" si="94"/>
        <v>#REF!</v>
      </c>
      <c r="AG823" s="210" t="str">
        <f t="shared" si="95"/>
        <v>#REF!</v>
      </c>
      <c r="AH823" s="120" t="str">
        <f t="shared" si="96"/>
        <v>#REF!</v>
      </c>
      <c r="AI823" s="399">
        <f t="shared" si="497"/>
        <v>0.1</v>
      </c>
      <c r="AJ823" s="399">
        <v>0.1</v>
      </c>
      <c r="AK823" s="400">
        <v>0.23</v>
      </c>
      <c r="AL823" s="123">
        <f t="shared" si="11"/>
        <v>10.62597403</v>
      </c>
      <c r="AM823" s="401" t="s">
        <v>6</v>
      </c>
      <c r="AN823" s="111">
        <f t="shared" si="800"/>
        <v>41.57989836</v>
      </c>
      <c r="AO823" s="402">
        <f t="shared" si="775"/>
        <v>0.1444444444</v>
      </c>
      <c r="AP823" s="127"/>
      <c r="AQ823" s="403">
        <f t="shared" ref="AQ823:AR823" si="843">BC823/(1-AI823)</f>
        <v>32.67777778</v>
      </c>
      <c r="AR823" s="404">
        <f t="shared" si="843"/>
        <v>39.52657005</v>
      </c>
      <c r="AS823" s="405">
        <f t="shared" si="733"/>
        <v>0.1666666667</v>
      </c>
      <c r="AT823" s="405">
        <f t="shared" si="777"/>
        <v>0.1444444444</v>
      </c>
      <c r="AU823" s="129">
        <v>29.41</v>
      </c>
      <c r="AV823" s="48" t="s">
        <v>2927</v>
      </c>
      <c r="AW823" s="411"/>
      <c r="AX823" s="411"/>
      <c r="AY823" s="134"/>
      <c r="AZ823" s="214"/>
      <c r="BA823" s="214"/>
      <c r="BB823" s="227"/>
      <c r="BC823" s="412">
        <v>29.41</v>
      </c>
      <c r="BD823" s="132">
        <f t="shared" si="837"/>
        <v>35.57391304</v>
      </c>
      <c r="BE823" s="410">
        <v>66045.0</v>
      </c>
      <c r="BF823" s="48"/>
      <c r="BG823" s="49"/>
      <c r="BH823" s="224">
        <f t="shared" si="714"/>
        <v>153.9996236</v>
      </c>
      <c r="BI823" s="224">
        <f t="shared" si="715"/>
        <v>92.39977414</v>
      </c>
      <c r="BJ823" s="224">
        <f t="shared" si="716"/>
        <v>76.99981178</v>
      </c>
      <c r="BK823" s="224">
        <f t="shared" si="717"/>
        <v>61.59984943</v>
      </c>
      <c r="BL823" s="49"/>
      <c r="BM823" s="49"/>
      <c r="BN823" s="49"/>
      <c r="BO823" s="49"/>
      <c r="BP823" s="49"/>
      <c r="BQ823" s="49"/>
      <c r="BR823" s="49"/>
      <c r="BS823" s="49"/>
      <c r="BT823" s="49"/>
      <c r="BU823" s="49"/>
      <c r="BV823" s="49"/>
      <c r="BW823" s="49"/>
      <c r="BX823" s="49"/>
      <c r="BY823" s="49"/>
      <c r="BZ823" s="49"/>
      <c r="CA823" s="49"/>
      <c r="CB823" s="49"/>
      <c r="CC823" s="49"/>
      <c r="CD823" s="49"/>
      <c r="CE823" s="49"/>
      <c r="CF823" s="49"/>
    </row>
    <row r="824" ht="14.25" customHeight="1">
      <c r="A824" s="103" t="s">
        <v>2919</v>
      </c>
      <c r="B824" s="103" t="s">
        <v>85</v>
      </c>
      <c r="C824" s="103" t="s">
        <v>85</v>
      </c>
      <c r="D824" s="103" t="s">
        <v>1886</v>
      </c>
      <c r="E824" s="109" t="s">
        <v>2920</v>
      </c>
      <c r="F824" s="105" t="s">
        <v>2921</v>
      </c>
      <c r="G824" s="110"/>
      <c r="H824" s="110"/>
      <c r="I824" s="409"/>
      <c r="J824" s="410" t="s">
        <v>2942</v>
      </c>
      <c r="K824" s="410" t="str">
        <f>_xlfn.XLOOKUP(J824,[1]Sheet1!$A:$A,[1]Sheet1!$B:$B,"")</f>
        <v>#ERROR!</v>
      </c>
      <c r="L824" s="109" t="s">
        <v>2943</v>
      </c>
      <c r="M824" s="104"/>
      <c r="N824" s="110"/>
      <c r="O824" s="109" t="s">
        <v>95</v>
      </c>
      <c r="P824" s="106"/>
      <c r="Q824" s="105" t="s">
        <v>2924</v>
      </c>
      <c r="R824" s="407"/>
      <c r="S824" s="407"/>
      <c r="T824" s="110"/>
      <c r="U824" s="106">
        <v>9.403208E9</v>
      </c>
      <c r="V824" s="112">
        <v>0.0</v>
      </c>
      <c r="W824" s="106">
        <v>45.0</v>
      </c>
      <c r="X824" s="106">
        <v>45.0</v>
      </c>
      <c r="Y824" s="113"/>
      <c r="Z824" s="113" t="s">
        <v>148</v>
      </c>
      <c r="AA824" s="114">
        <f t="shared" si="798"/>
        <v>45.48</v>
      </c>
      <c r="AB824" s="115"/>
      <c r="AC824" s="212">
        <f t="shared" si="772"/>
        <v>51.50762281</v>
      </c>
      <c r="AD824" s="213">
        <f t="shared" si="799"/>
        <v>55.38454066</v>
      </c>
      <c r="AE824" s="212"/>
      <c r="AF824" s="212" t="str">
        <f t="shared" si="94"/>
        <v>#REF!</v>
      </c>
      <c r="AG824" s="210" t="str">
        <f t="shared" si="95"/>
        <v>#REF!</v>
      </c>
      <c r="AH824" s="120" t="str">
        <f t="shared" si="96"/>
        <v>#REF!</v>
      </c>
      <c r="AI824" s="399">
        <f t="shared" si="497"/>
        <v>0.1</v>
      </c>
      <c r="AJ824" s="399">
        <v>0.1</v>
      </c>
      <c r="AK824" s="400">
        <v>0.23</v>
      </c>
      <c r="AL824" s="123">
        <f t="shared" si="11"/>
        <v>11.84675325</v>
      </c>
      <c r="AM824" s="401" t="s">
        <v>6</v>
      </c>
      <c r="AN824" s="111">
        <f t="shared" si="800"/>
        <v>46.35686053</v>
      </c>
      <c r="AO824" s="402">
        <f t="shared" si="775"/>
        <v>0.1444444444</v>
      </c>
      <c r="AP824" s="127"/>
      <c r="AQ824" s="403">
        <f t="shared" ref="AQ824:AR824" si="844">BC824/(1-AI824)</f>
        <v>37.9</v>
      </c>
      <c r="AR824" s="404">
        <f t="shared" si="844"/>
        <v>44.06763285</v>
      </c>
      <c r="AS824" s="405">
        <f t="shared" si="733"/>
        <v>0.1666666667</v>
      </c>
      <c r="AT824" s="405">
        <f t="shared" si="777"/>
        <v>0.1444444444</v>
      </c>
      <c r="AU824" s="129">
        <v>34.12</v>
      </c>
      <c r="AV824" s="48" t="s">
        <v>2927</v>
      </c>
      <c r="AW824" s="411"/>
      <c r="AX824" s="411"/>
      <c r="AY824" s="134"/>
      <c r="AZ824" s="214"/>
      <c r="BA824" s="214"/>
      <c r="BB824" s="227"/>
      <c r="BC824" s="412">
        <v>34.11</v>
      </c>
      <c r="BD824" s="132">
        <f t="shared" si="837"/>
        <v>39.66086957</v>
      </c>
      <c r="BE824" s="410">
        <v>96045.0</v>
      </c>
      <c r="BF824" s="48"/>
      <c r="BG824" s="49"/>
      <c r="BH824" s="224">
        <f t="shared" si="714"/>
        <v>171.692076</v>
      </c>
      <c r="BI824" s="224">
        <f t="shared" si="715"/>
        <v>103.0152456</v>
      </c>
      <c r="BJ824" s="224">
        <f t="shared" si="716"/>
        <v>85.84603802</v>
      </c>
      <c r="BK824" s="224">
        <f t="shared" si="717"/>
        <v>68.67683042</v>
      </c>
      <c r="BL824" s="49"/>
      <c r="BM824" s="49"/>
      <c r="BN824" s="49"/>
      <c r="BO824" s="49"/>
      <c r="BP824" s="49"/>
      <c r="BQ824" s="49"/>
      <c r="BR824" s="49"/>
      <c r="BS824" s="49"/>
      <c r="BT824" s="49"/>
      <c r="BU824" s="49"/>
      <c r="BV824" s="49"/>
      <c r="BW824" s="49"/>
      <c r="BX824" s="49"/>
      <c r="BY824" s="49"/>
      <c r="BZ824" s="49"/>
      <c r="CA824" s="49"/>
      <c r="CB824" s="49"/>
      <c r="CC824" s="49"/>
      <c r="CD824" s="49"/>
      <c r="CE824" s="49"/>
      <c r="CF824" s="49"/>
    </row>
    <row r="825" ht="14.25" customHeight="1">
      <c r="A825" s="103" t="s">
        <v>2919</v>
      </c>
      <c r="B825" s="103" t="s">
        <v>85</v>
      </c>
      <c r="C825" s="103" t="s">
        <v>85</v>
      </c>
      <c r="D825" s="103" t="s">
        <v>1886</v>
      </c>
      <c r="E825" s="109" t="s">
        <v>2920</v>
      </c>
      <c r="F825" s="105" t="s">
        <v>2921</v>
      </c>
      <c r="G825" s="110"/>
      <c r="H825" s="110"/>
      <c r="I825" s="409"/>
      <c r="J825" s="410" t="s">
        <v>2944</v>
      </c>
      <c r="K825" s="410" t="str">
        <f>_xlfn.XLOOKUP(J825,[1]Sheet1!$A:$A,[1]Sheet1!$B:$B,"")</f>
        <v>#ERROR!</v>
      </c>
      <c r="L825" s="109" t="s">
        <v>2945</v>
      </c>
      <c r="M825" s="104"/>
      <c r="N825" s="110"/>
      <c r="O825" s="109" t="s">
        <v>95</v>
      </c>
      <c r="P825" s="106"/>
      <c r="Q825" s="105" t="s">
        <v>2924</v>
      </c>
      <c r="R825" s="407"/>
      <c r="S825" s="407"/>
      <c r="T825" s="110"/>
      <c r="U825" s="106">
        <v>9.403208E9</v>
      </c>
      <c r="V825" s="112">
        <v>0.0</v>
      </c>
      <c r="W825" s="106">
        <v>45.0</v>
      </c>
      <c r="X825" s="106">
        <v>45.0</v>
      </c>
      <c r="Y825" s="113"/>
      <c r="Z825" s="113" t="s">
        <v>148</v>
      </c>
      <c r="AA825" s="114">
        <f t="shared" si="798"/>
        <v>51.74666667</v>
      </c>
      <c r="AB825" s="115"/>
      <c r="AC825" s="212">
        <f t="shared" si="772"/>
        <v>56.81535855</v>
      </c>
      <c r="AD825" s="213">
        <f t="shared" si="799"/>
        <v>61.09178339</v>
      </c>
      <c r="AE825" s="212"/>
      <c r="AF825" s="212" t="str">
        <f t="shared" si="94"/>
        <v>#REF!</v>
      </c>
      <c r="AG825" s="210" t="str">
        <f t="shared" si="95"/>
        <v>#REF!</v>
      </c>
      <c r="AH825" s="120" t="str">
        <f t="shared" si="96"/>
        <v>#REF!</v>
      </c>
      <c r="AI825" s="399">
        <f t="shared" si="497"/>
        <v>0.1</v>
      </c>
      <c r="AJ825" s="399">
        <v>0.1</v>
      </c>
      <c r="AK825" s="400">
        <v>0.23</v>
      </c>
      <c r="AL825" s="123">
        <f t="shared" si="11"/>
        <v>13.06753247</v>
      </c>
      <c r="AM825" s="401" t="s">
        <v>6</v>
      </c>
      <c r="AN825" s="111">
        <f t="shared" si="800"/>
        <v>51.1338227</v>
      </c>
      <c r="AO825" s="402">
        <f t="shared" si="775"/>
        <v>0.1444444444</v>
      </c>
      <c r="AP825" s="127"/>
      <c r="AQ825" s="403">
        <f t="shared" ref="AQ825:AR825" si="845">BC825/(1-AI825)</f>
        <v>43.12222222</v>
      </c>
      <c r="AR825" s="404">
        <f t="shared" si="845"/>
        <v>48.60869565</v>
      </c>
      <c r="AS825" s="405">
        <f t="shared" si="733"/>
        <v>0.1666666667</v>
      </c>
      <c r="AT825" s="405">
        <f t="shared" si="777"/>
        <v>0.1444444444</v>
      </c>
      <c r="AU825" s="129">
        <v>38.83</v>
      </c>
      <c r="AV825" s="48" t="s">
        <v>2927</v>
      </c>
      <c r="AW825" s="411"/>
      <c r="AX825" s="411"/>
      <c r="AY825" s="134"/>
      <c r="AZ825" s="214"/>
      <c r="BA825" s="214"/>
      <c r="BB825" s="227"/>
      <c r="BC825" s="412">
        <v>38.81</v>
      </c>
      <c r="BD825" s="132">
        <f t="shared" si="837"/>
        <v>43.74782609</v>
      </c>
      <c r="BE825" s="410">
        <v>126045.0</v>
      </c>
      <c r="BF825" s="48"/>
      <c r="BG825" s="49"/>
      <c r="BH825" s="224">
        <f t="shared" si="714"/>
        <v>189.3845285</v>
      </c>
      <c r="BI825" s="224">
        <f t="shared" si="715"/>
        <v>113.6307171</v>
      </c>
      <c r="BJ825" s="224">
        <f t="shared" si="716"/>
        <v>94.69226426</v>
      </c>
      <c r="BK825" s="224">
        <f t="shared" si="717"/>
        <v>75.75381141</v>
      </c>
      <c r="BL825" s="49"/>
      <c r="BM825" s="49"/>
      <c r="BN825" s="49"/>
      <c r="BO825" s="49"/>
      <c r="BP825" s="49"/>
      <c r="BQ825" s="49"/>
      <c r="BR825" s="49"/>
      <c r="BS825" s="49"/>
      <c r="BT825" s="49"/>
      <c r="BU825" s="49"/>
      <c r="BV825" s="49"/>
      <c r="BW825" s="49"/>
      <c r="BX825" s="49"/>
      <c r="BY825" s="49"/>
      <c r="BZ825" s="49"/>
      <c r="CA825" s="49"/>
      <c r="CB825" s="49"/>
      <c r="CC825" s="49"/>
      <c r="CD825" s="49"/>
      <c r="CE825" s="49"/>
      <c r="CF825" s="49"/>
    </row>
    <row r="826" ht="14.25" customHeight="1">
      <c r="A826" s="103" t="s">
        <v>2919</v>
      </c>
      <c r="B826" s="103" t="s">
        <v>85</v>
      </c>
      <c r="C826" s="103" t="s">
        <v>85</v>
      </c>
      <c r="D826" s="103" t="s">
        <v>1886</v>
      </c>
      <c r="E826" s="109" t="s">
        <v>2920</v>
      </c>
      <c r="F826" s="105" t="s">
        <v>2921</v>
      </c>
      <c r="G826" s="110"/>
      <c r="H826" s="110"/>
      <c r="I826" s="409"/>
      <c r="J826" s="410" t="s">
        <v>2946</v>
      </c>
      <c r="K826" s="410" t="str">
        <f>_xlfn.XLOOKUP(J826,[1]Sheet1!$A:$A,[1]Sheet1!$B:$B,"")</f>
        <v>#ERROR!</v>
      </c>
      <c r="L826" s="109" t="s">
        <v>2947</v>
      </c>
      <c r="M826" s="104"/>
      <c r="N826" s="110"/>
      <c r="O826" s="109" t="s">
        <v>95</v>
      </c>
      <c r="P826" s="106"/>
      <c r="Q826" s="105" t="s">
        <v>2924</v>
      </c>
      <c r="R826" s="407"/>
      <c r="S826" s="407"/>
      <c r="T826" s="110"/>
      <c r="U826" s="106">
        <v>9.403208E9</v>
      </c>
      <c r="V826" s="112">
        <v>0.0</v>
      </c>
      <c r="W826" s="106">
        <v>45.0</v>
      </c>
      <c r="X826" s="106">
        <v>45.0</v>
      </c>
      <c r="Y826" s="113"/>
      <c r="Z826" s="113" t="s">
        <v>148</v>
      </c>
      <c r="AA826" s="114">
        <f t="shared" si="798"/>
        <v>60.02666667</v>
      </c>
      <c r="AB826" s="115"/>
      <c r="AC826" s="212">
        <f t="shared" si="772"/>
        <v>63.82834557</v>
      </c>
      <c r="AD826" s="213">
        <f t="shared" si="799"/>
        <v>68.63262964</v>
      </c>
      <c r="AE826" s="212"/>
      <c r="AF826" s="212" t="str">
        <f t="shared" si="94"/>
        <v>#REF!</v>
      </c>
      <c r="AG826" s="210" t="str">
        <f t="shared" si="95"/>
        <v>#REF!</v>
      </c>
      <c r="AH826" s="120" t="str">
        <f t="shared" si="96"/>
        <v>#REF!</v>
      </c>
      <c r="AI826" s="399">
        <f t="shared" si="497"/>
        <v>0.1</v>
      </c>
      <c r="AJ826" s="399">
        <v>0.1</v>
      </c>
      <c r="AK826" s="400">
        <v>0.23</v>
      </c>
      <c r="AL826" s="123">
        <f t="shared" si="11"/>
        <v>14.68051948</v>
      </c>
      <c r="AM826" s="401" t="s">
        <v>6</v>
      </c>
      <c r="AN826" s="111">
        <f t="shared" si="800"/>
        <v>57.44551101</v>
      </c>
      <c r="AO826" s="402">
        <f t="shared" si="775"/>
        <v>0.1444444444</v>
      </c>
      <c r="AP826" s="127"/>
      <c r="AQ826" s="403">
        <f t="shared" ref="AQ826:AR826" si="846">BC826/(1-AI826)</f>
        <v>50.02222222</v>
      </c>
      <c r="AR826" s="404">
        <f t="shared" si="846"/>
        <v>54.60869565</v>
      </c>
      <c r="AS826" s="405">
        <f t="shared" si="733"/>
        <v>0.1666666667</v>
      </c>
      <c r="AT826" s="405">
        <f t="shared" si="777"/>
        <v>0.1444444444</v>
      </c>
      <c r="AU826" s="129"/>
      <c r="AV826" s="48" t="s">
        <v>2927</v>
      </c>
      <c r="AW826" s="411"/>
      <c r="AX826" s="411"/>
      <c r="AY826" s="134"/>
      <c r="AZ826" s="214"/>
      <c r="BA826" s="214"/>
      <c r="BB826" s="227"/>
      <c r="BC826" s="412">
        <v>45.02</v>
      </c>
      <c r="BD826" s="132">
        <f t="shared" si="837"/>
        <v>49.14782609</v>
      </c>
      <c r="BE826" s="410">
        <v>156045.0</v>
      </c>
      <c r="BF826" s="48"/>
      <c r="BG826" s="49"/>
      <c r="BH826" s="224">
        <f t="shared" si="714"/>
        <v>212.7611519</v>
      </c>
      <c r="BI826" s="224">
        <f t="shared" si="715"/>
        <v>127.6566911</v>
      </c>
      <c r="BJ826" s="224">
        <f t="shared" si="716"/>
        <v>106.3805759</v>
      </c>
      <c r="BK826" s="224">
        <f t="shared" si="717"/>
        <v>85.10446076</v>
      </c>
      <c r="BL826" s="49"/>
      <c r="BM826" s="49"/>
      <c r="BN826" s="49"/>
      <c r="BO826" s="49"/>
      <c r="BP826" s="49"/>
      <c r="BQ826" s="49"/>
      <c r="BR826" s="49"/>
      <c r="BS826" s="49"/>
      <c r="BT826" s="49"/>
      <c r="BU826" s="49"/>
      <c r="BV826" s="49"/>
      <c r="BW826" s="49"/>
      <c r="BX826" s="49"/>
      <c r="BY826" s="49"/>
      <c r="BZ826" s="49"/>
      <c r="CA826" s="49"/>
      <c r="CB826" s="49"/>
      <c r="CC826" s="49"/>
      <c r="CD826" s="49"/>
      <c r="CE826" s="49"/>
      <c r="CF826" s="49"/>
    </row>
    <row r="827" ht="14.25" customHeight="1">
      <c r="A827" s="103" t="s">
        <v>2919</v>
      </c>
      <c r="B827" s="103" t="s">
        <v>85</v>
      </c>
      <c r="C827" s="103" t="s">
        <v>85</v>
      </c>
      <c r="D827" s="103" t="s">
        <v>1886</v>
      </c>
      <c r="E827" s="109" t="s">
        <v>2920</v>
      </c>
      <c r="F827" s="105" t="s">
        <v>2921</v>
      </c>
      <c r="G827" s="110"/>
      <c r="H827" s="110"/>
      <c r="I827" s="409"/>
      <c r="J827" s="410" t="s">
        <v>2948</v>
      </c>
      <c r="K827" s="410" t="str">
        <f>_xlfn.XLOOKUP(J827,[1]Sheet1!$A:$A,[1]Sheet1!$B:$B,"")</f>
        <v>#ERROR!</v>
      </c>
      <c r="L827" s="109" t="s">
        <v>2949</v>
      </c>
      <c r="M827" s="104"/>
      <c r="N827" s="110"/>
      <c r="O827" s="109" t="s">
        <v>95</v>
      </c>
      <c r="P827" s="106"/>
      <c r="Q827" s="105" t="s">
        <v>2924</v>
      </c>
      <c r="R827" s="407"/>
      <c r="S827" s="407"/>
      <c r="T827" s="110"/>
      <c r="U827" s="106">
        <v>9.403208E9</v>
      </c>
      <c r="V827" s="112">
        <v>0.0</v>
      </c>
      <c r="W827" s="106">
        <v>45.0</v>
      </c>
      <c r="X827" s="106">
        <v>45.0</v>
      </c>
      <c r="Y827" s="113"/>
      <c r="Z827" s="113" t="s">
        <v>148</v>
      </c>
      <c r="AA827" s="114">
        <f t="shared" si="798"/>
        <v>66.29333333</v>
      </c>
      <c r="AB827" s="115"/>
      <c r="AC827" s="212">
        <f t="shared" si="772"/>
        <v>69.13608131</v>
      </c>
      <c r="AD827" s="213">
        <f t="shared" si="799"/>
        <v>74.33987238</v>
      </c>
      <c r="AE827" s="212"/>
      <c r="AF827" s="212" t="str">
        <f t="shared" si="94"/>
        <v>#REF!</v>
      </c>
      <c r="AG827" s="210" t="str">
        <f t="shared" si="95"/>
        <v>#REF!</v>
      </c>
      <c r="AH827" s="120" t="str">
        <f t="shared" si="96"/>
        <v>#REF!</v>
      </c>
      <c r="AI827" s="399">
        <f t="shared" si="497"/>
        <v>0.1</v>
      </c>
      <c r="AJ827" s="399">
        <v>0.1</v>
      </c>
      <c r="AK827" s="400">
        <v>0.23</v>
      </c>
      <c r="AL827" s="123">
        <f t="shared" si="11"/>
        <v>15.9012987</v>
      </c>
      <c r="AM827" s="401" t="s">
        <v>6</v>
      </c>
      <c r="AN827" s="111">
        <f t="shared" si="800"/>
        <v>62.22247318</v>
      </c>
      <c r="AO827" s="402">
        <f t="shared" si="775"/>
        <v>0.1444444444</v>
      </c>
      <c r="AP827" s="127"/>
      <c r="AQ827" s="403">
        <f t="shared" ref="AQ827:AR827" si="847">BC827/(1-AI827)</f>
        <v>55.24444444</v>
      </c>
      <c r="AR827" s="404">
        <f t="shared" si="847"/>
        <v>59.14975845</v>
      </c>
      <c r="AS827" s="405">
        <f t="shared" si="733"/>
        <v>0.1666666667</v>
      </c>
      <c r="AT827" s="405">
        <f t="shared" si="777"/>
        <v>0.1444444444</v>
      </c>
      <c r="AU827" s="129"/>
      <c r="AV827" s="48" t="s">
        <v>2927</v>
      </c>
      <c r="AW827" s="411"/>
      <c r="AX827" s="411"/>
      <c r="AY827" s="134"/>
      <c r="AZ827" s="214"/>
      <c r="BA827" s="214"/>
      <c r="BB827" s="227"/>
      <c r="BC827" s="412">
        <v>49.72</v>
      </c>
      <c r="BD827" s="132">
        <f t="shared" si="837"/>
        <v>53.23478261</v>
      </c>
      <c r="BE827" s="410">
        <v>186045.0</v>
      </c>
      <c r="BF827" s="48"/>
      <c r="BG827" s="49"/>
      <c r="BH827" s="224">
        <f t="shared" si="714"/>
        <v>230.4536044</v>
      </c>
      <c r="BI827" s="224">
        <f t="shared" si="715"/>
        <v>138.2721626</v>
      </c>
      <c r="BJ827" s="224">
        <f t="shared" si="716"/>
        <v>115.2268022</v>
      </c>
      <c r="BK827" s="224">
        <f t="shared" si="717"/>
        <v>92.18144175</v>
      </c>
      <c r="BL827" s="49"/>
      <c r="BM827" s="49"/>
      <c r="BN827" s="49"/>
      <c r="BO827" s="49"/>
      <c r="BP827" s="49"/>
      <c r="BQ827" s="49"/>
      <c r="BR827" s="49"/>
      <c r="BS827" s="49"/>
      <c r="BT827" s="49"/>
      <c r="BU827" s="49"/>
      <c r="BV827" s="49"/>
      <c r="BW827" s="49"/>
      <c r="BX827" s="49"/>
      <c r="BY827" s="49"/>
      <c r="BZ827" s="49"/>
      <c r="CA827" s="49"/>
      <c r="CB827" s="49"/>
      <c r="CC827" s="49"/>
      <c r="CD827" s="49"/>
      <c r="CE827" s="49"/>
      <c r="CF827" s="49"/>
    </row>
    <row r="828" ht="14.25" customHeight="1">
      <c r="A828" s="103" t="s">
        <v>2919</v>
      </c>
      <c r="B828" s="103" t="s">
        <v>85</v>
      </c>
      <c r="C828" s="103" t="s">
        <v>85</v>
      </c>
      <c r="D828" s="103" t="s">
        <v>1886</v>
      </c>
      <c r="E828" s="109" t="s">
        <v>2920</v>
      </c>
      <c r="F828" s="105" t="s">
        <v>2921</v>
      </c>
      <c r="G828" s="110"/>
      <c r="H828" s="110"/>
      <c r="I828" s="409"/>
      <c r="J828" s="410" t="s">
        <v>2950</v>
      </c>
      <c r="K828" s="410" t="str">
        <f>_xlfn.XLOOKUP(J828,[1]Sheet1!$A:$A,[1]Sheet1!$B:$B,"")</f>
        <v>#ERROR!</v>
      </c>
      <c r="L828" s="109" t="s">
        <v>2951</v>
      </c>
      <c r="M828" s="104"/>
      <c r="N828" s="110"/>
      <c r="O828" s="109" t="s">
        <v>95</v>
      </c>
      <c r="P828" s="106"/>
      <c r="Q828" s="105" t="s">
        <v>2924</v>
      </c>
      <c r="R828" s="407"/>
      <c r="S828" s="407"/>
      <c r="T828" s="110"/>
      <c r="U828" s="106">
        <v>9.403208E9</v>
      </c>
      <c r="V828" s="112">
        <v>0.0</v>
      </c>
      <c r="W828" s="106">
        <v>45.0</v>
      </c>
      <c r="X828" s="106">
        <v>45.0</v>
      </c>
      <c r="Y828" s="113"/>
      <c r="Z828" s="113" t="s">
        <v>148</v>
      </c>
      <c r="AA828" s="114">
        <f t="shared" si="798"/>
        <v>74.78666667</v>
      </c>
      <c r="AB828" s="115"/>
      <c r="AC828" s="212">
        <f t="shared" si="772"/>
        <v>76.3297572</v>
      </c>
      <c r="AD828" s="213">
        <f t="shared" si="799"/>
        <v>82.07500774</v>
      </c>
      <c r="AE828" s="212"/>
      <c r="AF828" s="212" t="str">
        <f t="shared" si="94"/>
        <v>#REF!</v>
      </c>
      <c r="AG828" s="210" t="str">
        <f t="shared" si="95"/>
        <v>#REF!</v>
      </c>
      <c r="AH828" s="120" t="str">
        <f t="shared" si="96"/>
        <v>#REF!</v>
      </c>
      <c r="AI828" s="399">
        <f t="shared" si="497"/>
        <v>0.1</v>
      </c>
      <c r="AJ828" s="399">
        <v>0.1</v>
      </c>
      <c r="AK828" s="400">
        <v>0.23</v>
      </c>
      <c r="AL828" s="123">
        <f t="shared" si="11"/>
        <v>17.55584416</v>
      </c>
      <c r="AM828" s="401" t="s">
        <v>6</v>
      </c>
      <c r="AN828" s="111">
        <f t="shared" si="800"/>
        <v>68.69678148</v>
      </c>
      <c r="AO828" s="402">
        <f t="shared" si="775"/>
        <v>0.1444444444</v>
      </c>
      <c r="AP828" s="127"/>
      <c r="AQ828" s="403">
        <f t="shared" ref="AQ828:AR828" si="848">BC828/(1-AI828)</f>
        <v>62.32222222</v>
      </c>
      <c r="AR828" s="404">
        <f t="shared" si="848"/>
        <v>65.30434783</v>
      </c>
      <c r="AS828" s="405">
        <f t="shared" si="733"/>
        <v>0.1666666667</v>
      </c>
      <c r="AT828" s="405">
        <f t="shared" si="777"/>
        <v>0.1444444444</v>
      </c>
      <c r="AU828" s="129"/>
      <c r="AV828" s="48" t="s">
        <v>2927</v>
      </c>
      <c r="AW828" s="411"/>
      <c r="AX828" s="411"/>
      <c r="AY828" s="134"/>
      <c r="AZ828" s="214"/>
      <c r="BA828" s="214"/>
      <c r="BB828" s="227"/>
      <c r="BC828" s="412">
        <v>56.09</v>
      </c>
      <c r="BD828" s="132">
        <f t="shared" si="837"/>
        <v>58.77391304</v>
      </c>
      <c r="BE828" s="410">
        <v>226045.0</v>
      </c>
      <c r="BF828" s="48"/>
      <c r="BG828" s="49"/>
      <c r="BH828" s="224">
        <f t="shared" si="714"/>
        <v>254.432524</v>
      </c>
      <c r="BI828" s="224">
        <f t="shared" si="715"/>
        <v>152.6595144</v>
      </c>
      <c r="BJ828" s="224">
        <f t="shared" si="716"/>
        <v>127.216262</v>
      </c>
      <c r="BK828" s="224">
        <f t="shared" si="717"/>
        <v>101.7730096</v>
      </c>
      <c r="BL828" s="49"/>
      <c r="BM828" s="49"/>
      <c r="BN828" s="49"/>
      <c r="BO828" s="49"/>
      <c r="BP828" s="49"/>
      <c r="BQ828" s="49"/>
      <c r="BR828" s="49"/>
      <c r="BS828" s="49"/>
      <c r="BT828" s="49"/>
      <c r="BU828" s="49"/>
      <c r="BV828" s="49"/>
      <c r="BW828" s="49"/>
      <c r="BX828" s="49"/>
      <c r="BY828" s="49"/>
      <c r="BZ828" s="49"/>
      <c r="CA828" s="49"/>
      <c r="CB828" s="49"/>
      <c r="CC828" s="49"/>
      <c r="CD828" s="49"/>
      <c r="CE828" s="49"/>
      <c r="CF828" s="49"/>
    </row>
    <row r="829" ht="14.25" customHeight="1">
      <c r="A829" s="103" t="s">
        <v>2919</v>
      </c>
      <c r="B829" s="103" t="s">
        <v>85</v>
      </c>
      <c r="C829" s="103" t="s">
        <v>85</v>
      </c>
      <c r="D829" s="103" t="s">
        <v>1886</v>
      </c>
      <c r="E829" s="109" t="s">
        <v>2920</v>
      </c>
      <c r="F829" s="105" t="s">
        <v>2921</v>
      </c>
      <c r="G829" s="110"/>
      <c r="H829" s="110"/>
      <c r="I829" s="409"/>
      <c r="J829" s="410" t="s">
        <v>2952</v>
      </c>
      <c r="K829" s="410" t="str">
        <f>_xlfn.XLOOKUP(J829,[1]Sheet1!$A:$A,[1]Sheet1!$B:$B,"")</f>
        <v>#ERROR!</v>
      </c>
      <c r="L829" s="109" t="s">
        <v>2953</v>
      </c>
      <c r="M829" s="104"/>
      <c r="N829" s="110"/>
      <c r="O829" s="109" t="s">
        <v>95</v>
      </c>
      <c r="P829" s="106"/>
      <c r="Q829" s="105" t="s">
        <v>2924</v>
      </c>
      <c r="R829" s="408"/>
      <c r="S829" s="408"/>
      <c r="T829" s="110"/>
      <c r="U829" s="106">
        <v>9.403208E9</v>
      </c>
      <c r="V829" s="112">
        <v>0.0</v>
      </c>
      <c r="W829" s="106">
        <v>45.0</v>
      </c>
      <c r="X829" s="106">
        <v>45.0</v>
      </c>
      <c r="Y829" s="113"/>
      <c r="Z829" s="113" t="s">
        <v>148</v>
      </c>
      <c r="AA829" s="114">
        <f t="shared" si="798"/>
        <v>85.49333333</v>
      </c>
      <c r="AB829" s="115"/>
      <c r="AC829" s="212">
        <f t="shared" si="772"/>
        <v>85.39808018</v>
      </c>
      <c r="AD829" s="213">
        <f t="shared" si="799"/>
        <v>91.82589267</v>
      </c>
      <c r="AE829" s="212"/>
      <c r="AF829" s="212" t="str">
        <f t="shared" si="94"/>
        <v>#REF!</v>
      </c>
      <c r="AG829" s="210" t="str">
        <f t="shared" si="95"/>
        <v>#REF!</v>
      </c>
      <c r="AH829" s="120" t="str">
        <f t="shared" si="96"/>
        <v>#REF!</v>
      </c>
      <c r="AI829" s="399">
        <f t="shared" si="497"/>
        <v>0.1</v>
      </c>
      <c r="AJ829" s="399">
        <v>0.1</v>
      </c>
      <c r="AK829" s="400">
        <v>0.23</v>
      </c>
      <c r="AL829" s="123">
        <f t="shared" si="11"/>
        <v>19.64155844</v>
      </c>
      <c r="AM829" s="401" t="s">
        <v>6</v>
      </c>
      <c r="AN829" s="111">
        <f t="shared" si="800"/>
        <v>76.85827216</v>
      </c>
      <c r="AO829" s="402">
        <f t="shared" si="775"/>
        <v>0.1444444444</v>
      </c>
      <c r="AP829" s="127"/>
      <c r="AQ829" s="403">
        <f t="shared" ref="AQ829:AR829" si="849">BC829/(1-AI829)</f>
        <v>71.24444444</v>
      </c>
      <c r="AR829" s="404">
        <f t="shared" si="849"/>
        <v>73.06280193</v>
      </c>
      <c r="AS829" s="405">
        <f t="shared" si="733"/>
        <v>0.1666666667</v>
      </c>
      <c r="AT829" s="405">
        <f t="shared" si="777"/>
        <v>0.1444444444</v>
      </c>
      <c r="AU829" s="129"/>
      <c r="AV829" s="48" t="s">
        <v>2927</v>
      </c>
      <c r="AW829" s="411"/>
      <c r="AX829" s="411"/>
      <c r="AY829" s="134"/>
      <c r="AZ829" s="214"/>
      <c r="BA829" s="214"/>
      <c r="BB829" s="227"/>
      <c r="BC829" s="412">
        <v>64.12</v>
      </c>
      <c r="BD829" s="132">
        <f t="shared" si="837"/>
        <v>65.75652174</v>
      </c>
      <c r="BE829" s="410">
        <v>276045.0</v>
      </c>
      <c r="BF829" s="48"/>
      <c r="BG829" s="49"/>
      <c r="BH829" s="224">
        <f t="shared" si="714"/>
        <v>284.6602673</v>
      </c>
      <c r="BI829" s="224">
        <f t="shared" si="715"/>
        <v>170.7961604</v>
      </c>
      <c r="BJ829" s="224">
        <f t="shared" si="716"/>
        <v>142.3301336</v>
      </c>
      <c r="BK829" s="224">
        <f t="shared" si="717"/>
        <v>113.8641069</v>
      </c>
      <c r="BL829" s="49"/>
      <c r="BM829" s="49"/>
      <c r="BN829" s="49"/>
      <c r="BO829" s="49"/>
      <c r="BP829" s="49"/>
      <c r="BQ829" s="49"/>
      <c r="BR829" s="49"/>
      <c r="BS829" s="49"/>
      <c r="BT829" s="49"/>
      <c r="BU829" s="49"/>
      <c r="BV829" s="49"/>
      <c r="BW829" s="49"/>
      <c r="BX829" s="49"/>
      <c r="BY829" s="49"/>
      <c r="BZ829" s="49"/>
      <c r="CA829" s="49"/>
      <c r="CB829" s="49"/>
      <c r="CC829" s="49"/>
      <c r="CD829" s="49"/>
      <c r="CE829" s="49"/>
      <c r="CF829" s="49"/>
    </row>
    <row r="830" ht="14.25" customHeight="1">
      <c r="A830" s="103" t="s">
        <v>2860</v>
      </c>
      <c r="B830" s="103" t="s">
        <v>85</v>
      </c>
      <c r="C830" s="103" t="s">
        <v>85</v>
      </c>
      <c r="D830" s="103" t="s">
        <v>86</v>
      </c>
      <c r="E830" s="109" t="s">
        <v>2954</v>
      </c>
      <c r="F830" s="105" t="s">
        <v>2955</v>
      </c>
      <c r="G830" s="110"/>
      <c r="H830" s="110"/>
      <c r="I830" s="409"/>
      <c r="J830" s="410" t="s">
        <v>2956</v>
      </c>
      <c r="K830" s="413" t="str">
        <f>_xlfn.XLOOKUP(BE830,[1]Sheet1!$A:$A,[1]Sheet1!$B:$B,"")</f>
        <v>#ERROR!</v>
      </c>
      <c r="L830" s="414" t="s">
        <v>2957</v>
      </c>
      <c r="M830" s="104" t="s">
        <v>2958</v>
      </c>
      <c r="N830" s="110"/>
      <c r="O830" s="109" t="s">
        <v>95</v>
      </c>
      <c r="P830" s="415"/>
      <c r="Q830" s="109" t="s">
        <v>2877</v>
      </c>
      <c r="R830" s="106"/>
      <c r="S830" s="106">
        <v>5000.0</v>
      </c>
      <c r="T830" s="110"/>
      <c r="U830" s="106" t="s">
        <v>2959</v>
      </c>
      <c r="V830" s="112">
        <v>0.037</v>
      </c>
      <c r="W830" s="106">
        <v>45.0</v>
      </c>
      <c r="X830" s="106">
        <v>45.0</v>
      </c>
      <c r="Y830" s="113"/>
      <c r="Z830" s="113" t="s">
        <v>148</v>
      </c>
      <c r="AA830" s="114">
        <f t="shared" si="798"/>
        <v>3.022222222</v>
      </c>
      <c r="AB830" s="115"/>
      <c r="AC830" s="212">
        <f t="shared" si="772"/>
        <v>2.665805735</v>
      </c>
      <c r="AD830" s="213">
        <f t="shared" si="799"/>
        <v>2.86645778</v>
      </c>
      <c r="AE830" s="212"/>
      <c r="AF830" s="212" t="str">
        <f t="shared" si="94"/>
        <v>#REF!</v>
      </c>
      <c r="AG830" s="210" t="str">
        <f t="shared" si="95"/>
        <v>#REF!</v>
      </c>
      <c r="AH830" s="120" t="str">
        <f t="shared" si="96"/>
        <v>#REF!</v>
      </c>
      <c r="AI830" s="399">
        <f t="shared" si="497"/>
        <v>0.1</v>
      </c>
      <c r="AJ830" s="399">
        <v>0.1</v>
      </c>
      <c r="AK830" s="400">
        <v>0.53</v>
      </c>
      <c r="AL830" s="123">
        <f t="shared" si="11"/>
        <v>1.41287704</v>
      </c>
      <c r="AM830" s="401" t="s">
        <v>6</v>
      </c>
      <c r="AN830" s="111">
        <f t="shared" si="800"/>
        <v>2.399225162</v>
      </c>
      <c r="AO830" s="402">
        <f t="shared" si="775"/>
        <v>0.4777777778</v>
      </c>
      <c r="AP830" s="127"/>
      <c r="AQ830" s="403">
        <f t="shared" ref="AQ830:AR830" si="850">BC830/(1-AI830)</f>
        <v>1.511111111</v>
      </c>
      <c r="AR830" s="404">
        <f t="shared" si="850"/>
        <v>1.392142995</v>
      </c>
      <c r="AS830" s="405">
        <f t="shared" si="733"/>
        <v>0.5</v>
      </c>
      <c r="AT830" s="405">
        <f t="shared" si="777"/>
        <v>0.4777777778</v>
      </c>
      <c r="AU830" s="129"/>
      <c r="AV830" s="225" t="s">
        <v>2960</v>
      </c>
      <c r="AW830" s="416"/>
      <c r="AX830" s="416"/>
      <c r="AY830" s="361"/>
      <c r="AZ830" s="214"/>
      <c r="BA830" s="214"/>
      <c r="BB830" s="227"/>
      <c r="BC830" s="412">
        <v>1.36</v>
      </c>
      <c r="BD830" s="132">
        <f t="shared" ref="BD830:BD832" si="852">(BC830/$F$6)+(($F$9+$G$9)/40/S830)+BC830*V830</f>
        <v>1.252928696</v>
      </c>
      <c r="BE830" s="413" t="s">
        <v>2961</v>
      </c>
      <c r="BF830" s="48"/>
      <c r="BG830" s="49"/>
      <c r="BH830" s="224">
        <f t="shared" si="714"/>
        <v>8.886019118</v>
      </c>
      <c r="BI830" s="224">
        <f t="shared" si="715"/>
        <v>5.331611471</v>
      </c>
      <c r="BJ830" s="224">
        <f t="shared" si="716"/>
        <v>4.443009559</v>
      </c>
      <c r="BK830" s="224">
        <f t="shared" si="717"/>
        <v>3.554407647</v>
      </c>
      <c r="BL830" s="49"/>
      <c r="BM830" s="49"/>
      <c r="BN830" s="49"/>
      <c r="BO830" s="49"/>
      <c r="BP830" s="49"/>
      <c r="BQ830" s="49"/>
      <c r="BR830" s="49"/>
      <c r="BS830" s="49"/>
      <c r="BT830" s="49"/>
      <c r="BU830" s="49"/>
      <c r="BV830" s="49"/>
      <c r="BW830" s="49"/>
      <c r="BX830" s="49"/>
      <c r="BY830" s="49"/>
      <c r="BZ830" s="49"/>
      <c r="CA830" s="49"/>
      <c r="CB830" s="49"/>
      <c r="CC830" s="49"/>
      <c r="CD830" s="49"/>
      <c r="CE830" s="49"/>
      <c r="CF830" s="49"/>
    </row>
    <row r="831" ht="14.25" customHeight="1">
      <c r="A831" s="103" t="s">
        <v>2860</v>
      </c>
      <c r="B831" s="103" t="s">
        <v>85</v>
      </c>
      <c r="C831" s="103" t="s">
        <v>85</v>
      </c>
      <c r="D831" s="103" t="s">
        <v>1266</v>
      </c>
      <c r="E831" s="103" t="s">
        <v>1633</v>
      </c>
      <c r="F831" s="104" t="s">
        <v>1633</v>
      </c>
      <c r="G831" s="110"/>
      <c r="H831" s="110"/>
      <c r="I831" s="391"/>
      <c r="J831" s="220" t="s">
        <v>2962</v>
      </c>
      <c r="K831" s="220" t="str">
        <f>_xlfn.XLOOKUP(J831,[1]Sheet1!$A:$A,[1]Sheet1!$B:$B,"")</f>
        <v>#ERROR!</v>
      </c>
      <c r="L831" s="103" t="s">
        <v>2963</v>
      </c>
      <c r="M831" s="103" t="s">
        <v>2964</v>
      </c>
      <c r="N831" s="110"/>
      <c r="O831" s="104" t="s">
        <v>95</v>
      </c>
      <c r="P831" s="110"/>
      <c r="Q831" s="104" t="s">
        <v>2965</v>
      </c>
      <c r="R831" s="110" t="s">
        <v>1637</v>
      </c>
      <c r="S831" s="110">
        <v>90.0</v>
      </c>
      <c r="T831" s="110"/>
      <c r="U831" s="110" t="s">
        <v>509</v>
      </c>
      <c r="V831" s="112">
        <v>0.017</v>
      </c>
      <c r="W831" s="113">
        <v>30.0</v>
      </c>
      <c r="X831" s="110">
        <v>45.0</v>
      </c>
      <c r="Y831" s="110">
        <v>55.0</v>
      </c>
      <c r="Z831" s="110" t="s">
        <v>99</v>
      </c>
      <c r="AA831" s="114">
        <f t="shared" ref="AA831:AA832" si="853">AQ831/(1-(AK831+2%))</f>
        <v>15.52122626</v>
      </c>
      <c r="AB831" s="115"/>
      <c r="AC831" s="212">
        <f t="shared" si="772"/>
        <v>13.73361621</v>
      </c>
      <c r="AD831" s="213">
        <f t="shared" si="799"/>
        <v>14.76732926</v>
      </c>
      <c r="AE831" s="212"/>
      <c r="AF831" s="212" t="str">
        <f t="shared" si="94"/>
        <v>#REF!</v>
      </c>
      <c r="AG831" s="210" t="str">
        <f t="shared" si="95"/>
        <v>#REF!</v>
      </c>
      <c r="AH831" s="120" t="str">
        <f t="shared" si="96"/>
        <v>#REF!</v>
      </c>
      <c r="AI831" s="121">
        <f t="shared" si="497"/>
        <v>0.1</v>
      </c>
      <c r="AJ831" s="121">
        <v>0.1</v>
      </c>
      <c r="AK831" s="122">
        <v>0.36</v>
      </c>
      <c r="AL831" s="123">
        <f t="shared" si="11"/>
        <v>4.944101837</v>
      </c>
      <c r="AM831" s="122" t="s">
        <v>6</v>
      </c>
      <c r="AN831" s="111">
        <f t="shared" si="800"/>
        <v>12.36025459</v>
      </c>
      <c r="AO831" s="112">
        <f t="shared" si="775"/>
        <v>0.2888888889</v>
      </c>
      <c r="AP831" s="127"/>
      <c r="AQ831" s="128">
        <f t="shared" ref="AQ831:AR831" si="851">BC831/(1-AI831)</f>
        <v>9.623160278</v>
      </c>
      <c r="AR831" s="139">
        <f t="shared" si="851"/>
        <v>9.766127085</v>
      </c>
      <c r="AS831" s="126">
        <f t="shared" si="733"/>
        <v>0.38</v>
      </c>
      <c r="AT831" s="126">
        <f t="shared" si="777"/>
        <v>0.2888888889</v>
      </c>
      <c r="AU831" s="129"/>
      <c r="AV831" s="39" t="s">
        <v>1275</v>
      </c>
      <c r="AW831" s="130"/>
      <c r="AX831" s="140"/>
      <c r="AY831" s="140"/>
      <c r="AZ831" s="130"/>
      <c r="BA831" s="130">
        <v>59.5</v>
      </c>
      <c r="BB831" s="130">
        <f t="shared" ref="BB831:BB832" si="855">AZ831+BA831</f>
        <v>59.5</v>
      </c>
      <c r="BC831" s="131">
        <f t="shared" ref="BC831:BC832" si="856">(AZ831+BA831)/$F$5</f>
        <v>8.66084425</v>
      </c>
      <c r="BD831" s="132">
        <f t="shared" si="852"/>
        <v>8.789514377</v>
      </c>
      <c r="BE831" s="288" t="s">
        <v>2966</v>
      </c>
      <c r="BF831" s="134">
        <v>8.51762299E9</v>
      </c>
      <c r="BG831" s="49"/>
      <c r="BH831" s="224">
        <f t="shared" si="714"/>
        <v>45.77872071</v>
      </c>
      <c r="BI831" s="224">
        <f t="shared" si="715"/>
        <v>27.46723243</v>
      </c>
      <c r="BJ831" s="224">
        <f t="shared" si="716"/>
        <v>22.88936036</v>
      </c>
      <c r="BK831" s="224">
        <f t="shared" si="717"/>
        <v>18.31148828</v>
      </c>
      <c r="BL831" s="49"/>
      <c r="BM831" s="49"/>
      <c r="BN831" s="49"/>
      <c r="BO831" s="49"/>
      <c r="BP831" s="49"/>
      <c r="BQ831" s="49"/>
      <c r="BR831" s="49"/>
      <c r="BS831" s="49"/>
      <c r="BT831" s="49"/>
      <c r="BU831" s="49"/>
      <c r="BV831" s="49"/>
      <c r="BW831" s="49"/>
      <c r="BX831" s="49"/>
      <c r="BY831" s="49"/>
      <c r="BZ831" s="49"/>
      <c r="CA831" s="49"/>
      <c r="CB831" s="49"/>
      <c r="CC831" s="49"/>
      <c r="CD831" s="49"/>
      <c r="CE831" s="49"/>
      <c r="CF831" s="49"/>
    </row>
    <row r="832" ht="14.25" customHeight="1">
      <c r="A832" s="103" t="s">
        <v>2860</v>
      </c>
      <c r="B832" s="103" t="s">
        <v>85</v>
      </c>
      <c r="C832" s="103" t="s">
        <v>85</v>
      </c>
      <c r="D832" s="103" t="s">
        <v>1266</v>
      </c>
      <c r="E832" s="103" t="s">
        <v>1633</v>
      </c>
      <c r="F832" s="104" t="s">
        <v>1633</v>
      </c>
      <c r="G832" s="110" t="s">
        <v>1663</v>
      </c>
      <c r="H832" s="110"/>
      <c r="I832" s="391"/>
      <c r="J832" s="220" t="s">
        <v>2967</v>
      </c>
      <c r="K832" s="220" t="str">
        <f>_xlfn.XLOOKUP(J832,[1]Sheet1!$A:$A,[1]Sheet1!$B:$B,"")</f>
        <v>#ERROR!</v>
      </c>
      <c r="L832" s="103" t="s">
        <v>1775</v>
      </c>
      <c r="M832" s="103" t="s">
        <v>1776</v>
      </c>
      <c r="N832" s="110"/>
      <c r="O832" s="104" t="s">
        <v>95</v>
      </c>
      <c r="P832" s="110"/>
      <c r="Q832" s="104" t="s">
        <v>2965</v>
      </c>
      <c r="R832" s="110" t="s">
        <v>1176</v>
      </c>
      <c r="S832" s="110">
        <v>540.0</v>
      </c>
      <c r="T832" s="110"/>
      <c r="U832" s="110" t="s">
        <v>509</v>
      </c>
      <c r="V832" s="112">
        <v>0.017</v>
      </c>
      <c r="W832" s="113">
        <v>30.0</v>
      </c>
      <c r="X832" s="110">
        <v>45.0</v>
      </c>
      <c r="Y832" s="110">
        <v>55.0</v>
      </c>
      <c r="Z832" s="110" t="s">
        <v>99</v>
      </c>
      <c r="AA832" s="114">
        <f t="shared" si="853"/>
        <v>1.841640193</v>
      </c>
      <c r="AB832" s="115"/>
      <c r="AC832" s="212">
        <f t="shared" si="772"/>
        <v>1.690447917</v>
      </c>
      <c r="AD832" s="213">
        <f t="shared" si="799"/>
        <v>1.817685932</v>
      </c>
      <c r="AE832" s="212"/>
      <c r="AF832" s="212" t="str">
        <f t="shared" si="94"/>
        <v>#REF!</v>
      </c>
      <c r="AG832" s="210" t="str">
        <f t="shared" si="95"/>
        <v>#REF!</v>
      </c>
      <c r="AH832" s="120" t="str">
        <f t="shared" si="96"/>
        <v>#REF!</v>
      </c>
      <c r="AI832" s="121">
        <f t="shared" si="497"/>
        <v>0.1</v>
      </c>
      <c r="AJ832" s="121">
        <v>0.1</v>
      </c>
      <c r="AK832" s="122">
        <v>0.295</v>
      </c>
      <c r="AL832" s="123">
        <f t="shared" si="11"/>
        <v>0.4986821355</v>
      </c>
      <c r="AM832" s="122" t="s">
        <v>6</v>
      </c>
      <c r="AN832" s="111">
        <f t="shared" si="800"/>
        <v>1.521403125</v>
      </c>
      <c r="AO832" s="112">
        <f t="shared" si="775"/>
        <v>0.2166666667</v>
      </c>
      <c r="AP832" s="127"/>
      <c r="AQ832" s="128">
        <f t="shared" ref="AQ832:AR832" si="854">BC832/(1-AI832)</f>
        <v>1.261523532</v>
      </c>
      <c r="AR832" s="139">
        <f t="shared" si="854"/>
        <v>1.324184201</v>
      </c>
      <c r="AS832" s="126">
        <f t="shared" si="733"/>
        <v>0.315</v>
      </c>
      <c r="AT832" s="126">
        <f t="shared" si="777"/>
        <v>0.2166666667</v>
      </c>
      <c r="AU832" s="129"/>
      <c r="AV832" s="39" t="s">
        <v>1275</v>
      </c>
      <c r="AW832" s="130"/>
      <c r="AX832" s="140"/>
      <c r="AY832" s="140"/>
      <c r="AZ832" s="130"/>
      <c r="BA832" s="130">
        <v>7.8</v>
      </c>
      <c r="BB832" s="130">
        <f t="shared" si="855"/>
        <v>7.8</v>
      </c>
      <c r="BC832" s="131">
        <f t="shared" si="856"/>
        <v>1.135371179</v>
      </c>
      <c r="BD832" s="132">
        <f t="shared" si="852"/>
        <v>1.191765781</v>
      </c>
      <c r="BE832" s="288" t="s">
        <v>2968</v>
      </c>
      <c r="BF832" s="134">
        <v>8.517799E9</v>
      </c>
      <c r="BG832" s="49"/>
      <c r="BH832" s="224">
        <f t="shared" si="714"/>
        <v>5.634826389</v>
      </c>
      <c r="BI832" s="224">
        <f t="shared" si="715"/>
        <v>3.380895834</v>
      </c>
      <c r="BJ832" s="224">
        <f t="shared" si="716"/>
        <v>2.817413195</v>
      </c>
      <c r="BK832" s="224">
        <f t="shared" si="717"/>
        <v>2.253930556</v>
      </c>
      <c r="BL832" s="49"/>
      <c r="BM832" s="49"/>
      <c r="BN832" s="49"/>
      <c r="BO832" s="49"/>
      <c r="BP832" s="49"/>
      <c r="BQ832" s="49"/>
      <c r="BR832" s="49"/>
      <c r="BS832" s="49"/>
      <c r="BT832" s="49"/>
      <c r="BU832" s="49"/>
      <c r="BV832" s="49"/>
      <c r="BW832" s="49"/>
      <c r="BX832" s="49"/>
      <c r="BY832" s="49"/>
      <c r="BZ832" s="49"/>
      <c r="CA832" s="49"/>
      <c r="CB832" s="49"/>
      <c r="CC832" s="49"/>
      <c r="CD832" s="49"/>
      <c r="CE832" s="49"/>
      <c r="CF832" s="49"/>
    </row>
    <row r="833" ht="14.25" customHeight="1">
      <c r="A833" s="103" t="s">
        <v>84</v>
      </c>
      <c r="B833" s="103" t="s">
        <v>85</v>
      </c>
      <c r="C833" s="103" t="s">
        <v>85</v>
      </c>
      <c r="D833" s="103" t="s">
        <v>86</v>
      </c>
      <c r="E833" s="109" t="s">
        <v>2969</v>
      </c>
      <c r="F833" s="105" t="s">
        <v>2970</v>
      </c>
      <c r="G833" s="110"/>
      <c r="H833" s="110"/>
      <c r="I833" s="409"/>
      <c r="J833" s="417" t="s">
        <v>2971</v>
      </c>
      <c r="K833" s="410" t="str">
        <f>_xlfn.XLOOKUP(J833,[1]Sheet1!$A:$A,[1]Sheet1!$B:$B,"")</f>
        <v>#ERROR!</v>
      </c>
      <c r="L833" s="109" t="s">
        <v>2972</v>
      </c>
      <c r="M833" s="109" t="s">
        <v>2973</v>
      </c>
      <c r="N833" s="110" t="s">
        <v>201</v>
      </c>
      <c r="O833" s="109" t="s">
        <v>147</v>
      </c>
      <c r="P833" s="106">
        <v>45.0</v>
      </c>
      <c r="Q833" s="109"/>
      <c r="R833" s="106"/>
      <c r="S833" s="106">
        <v>1.0</v>
      </c>
      <c r="T833" s="110"/>
      <c r="U833" s="106" t="s">
        <v>2974</v>
      </c>
      <c r="V833" s="112">
        <v>0.0</v>
      </c>
      <c r="W833" s="106">
        <v>45.0</v>
      </c>
      <c r="X833" s="106">
        <v>45.0</v>
      </c>
      <c r="Y833" s="113">
        <v>14.0</v>
      </c>
      <c r="Z833" s="113" t="s">
        <v>148</v>
      </c>
      <c r="AA833" s="114">
        <f t="shared" ref="AA833:AA848" si="857">(BC833/(1-(AK833+2%)))*$F$6</f>
        <v>2352.272727</v>
      </c>
      <c r="AB833" s="115"/>
      <c r="AC833" s="212">
        <f t="shared" si="772"/>
        <v>2500</v>
      </c>
      <c r="AD833" s="213">
        <f t="shared" si="799"/>
        <v>2688.172043</v>
      </c>
      <c r="AE833" s="212"/>
      <c r="AF833" s="212" t="str">
        <f t="shared" si="94"/>
        <v>#REF!</v>
      </c>
      <c r="AG833" s="210" t="str">
        <f t="shared" si="95"/>
        <v>#REF!</v>
      </c>
      <c r="AH833" s="120" t="str">
        <f t="shared" si="96"/>
        <v>#REF!</v>
      </c>
      <c r="AI833" s="121">
        <f t="shared" si="497"/>
        <v>0.07</v>
      </c>
      <c r="AJ833" s="121">
        <v>0.07</v>
      </c>
      <c r="AK833" s="418">
        <v>0.32</v>
      </c>
      <c r="AL833" s="123">
        <f t="shared" si="11"/>
        <v>800</v>
      </c>
      <c r="AM833" s="419" t="s">
        <v>13</v>
      </c>
      <c r="AN833" s="111">
        <f t="shared" ref="AN833:AN848" si="858">AC833*(1-$AN$6)</f>
        <v>2425</v>
      </c>
      <c r="AO833" s="402">
        <f t="shared" si="775"/>
        <v>0.2989690722</v>
      </c>
      <c r="AP833" s="127"/>
      <c r="AQ833" s="128">
        <f t="shared" ref="AQ833:AQ850" si="859">BC833/(1-AI833)*$F$6</f>
        <v>1669.354839</v>
      </c>
      <c r="AR833" s="125">
        <f t="shared" ref="AR833:AR850" si="860">BD833/(1-AJ833)</f>
        <v>1827.956989</v>
      </c>
      <c r="AS833" s="405">
        <f t="shared" si="733"/>
        <v>0.2903225806</v>
      </c>
      <c r="AT833" s="405">
        <f t="shared" si="777"/>
        <v>0.2688172043</v>
      </c>
      <c r="AU833" s="129">
        <v>1459.57</v>
      </c>
      <c r="AV833" s="39" t="s">
        <v>149</v>
      </c>
      <c r="AW833" s="416"/>
      <c r="AX833" s="416"/>
      <c r="AY833" s="420">
        <v>945.0</v>
      </c>
      <c r="AZ833" s="214"/>
      <c r="BA833" s="214"/>
      <c r="BB833" s="227"/>
      <c r="BC833" s="137">
        <f t="shared" ref="BC833:BC848" si="861">AY833+($F$4-1500)/1000*P833</f>
        <v>1350</v>
      </c>
      <c r="BD833" s="132">
        <f t="shared" ref="BD833:BD850" si="862">BC833+($F$11/S833)+BC833*V833</f>
        <v>1700</v>
      </c>
      <c r="BE833" s="215"/>
      <c r="BF833" s="48"/>
      <c r="BG833" s="49"/>
      <c r="BH833" s="224">
        <f t="shared" si="714"/>
        <v>8333.333333</v>
      </c>
      <c r="BI833" s="224">
        <f t="shared" si="715"/>
        <v>5000</v>
      </c>
      <c r="BJ833" s="224">
        <f t="shared" si="716"/>
        <v>4166.666667</v>
      </c>
      <c r="BK833" s="224">
        <f t="shared" si="717"/>
        <v>3333.333333</v>
      </c>
      <c r="BL833" s="49"/>
      <c r="BM833" s="49"/>
      <c r="BN833" s="49"/>
      <c r="BO833" s="49"/>
      <c r="BP833" s="49"/>
      <c r="BQ833" s="49"/>
      <c r="BR833" s="49"/>
      <c r="BS833" s="49"/>
      <c r="BT833" s="49"/>
      <c r="BU833" s="49"/>
      <c r="BV833" s="49"/>
      <c r="BW833" s="49"/>
      <c r="BX833" s="49"/>
      <c r="BY833" s="49"/>
      <c r="BZ833" s="49"/>
      <c r="CA833" s="49"/>
      <c r="CB833" s="49"/>
      <c r="CC833" s="49"/>
      <c r="CD833" s="49"/>
      <c r="CE833" s="49"/>
      <c r="CF833" s="49"/>
    </row>
    <row r="834" ht="14.25" customHeight="1">
      <c r="A834" s="103" t="s">
        <v>84</v>
      </c>
      <c r="B834" s="103" t="s">
        <v>85</v>
      </c>
      <c r="C834" s="103" t="s">
        <v>85</v>
      </c>
      <c r="D834" s="103" t="s">
        <v>86</v>
      </c>
      <c r="E834" s="109" t="s">
        <v>2969</v>
      </c>
      <c r="F834" s="105" t="s">
        <v>2970</v>
      </c>
      <c r="G834" s="110"/>
      <c r="H834" s="110"/>
      <c r="I834" s="409"/>
      <c r="J834" s="417" t="s">
        <v>2975</v>
      </c>
      <c r="K834" s="410" t="str">
        <f>_xlfn.XLOOKUP(J834,[1]Sheet1!$A:$A,[1]Sheet1!$B:$B,"")</f>
        <v>#ERROR!</v>
      </c>
      <c r="L834" s="109" t="s">
        <v>2976</v>
      </c>
      <c r="M834" s="109" t="s">
        <v>2977</v>
      </c>
      <c r="N834" s="110" t="s">
        <v>201</v>
      </c>
      <c r="O834" s="109" t="s">
        <v>147</v>
      </c>
      <c r="P834" s="106">
        <v>78.0</v>
      </c>
      <c r="Q834" s="109"/>
      <c r="R834" s="106"/>
      <c r="S834" s="106">
        <v>1.0</v>
      </c>
      <c r="T834" s="110"/>
      <c r="U834" s="106" t="s">
        <v>2974</v>
      </c>
      <c r="V834" s="112">
        <v>0.0</v>
      </c>
      <c r="W834" s="106">
        <v>45.0</v>
      </c>
      <c r="X834" s="106">
        <v>45.0</v>
      </c>
      <c r="Y834" s="113">
        <v>14.0</v>
      </c>
      <c r="Z834" s="113" t="s">
        <v>148</v>
      </c>
      <c r="AA834" s="114">
        <f t="shared" si="857"/>
        <v>3714.68254</v>
      </c>
      <c r="AB834" s="115"/>
      <c r="AC834" s="212">
        <f t="shared" si="772"/>
        <v>3669.230769</v>
      </c>
      <c r="AD834" s="213">
        <f t="shared" si="799"/>
        <v>3945.409429</v>
      </c>
      <c r="AE834" s="212"/>
      <c r="AF834" s="212" t="str">
        <f t="shared" si="94"/>
        <v>#REF!</v>
      </c>
      <c r="AG834" s="210" t="str">
        <f t="shared" si="95"/>
        <v>#REF!</v>
      </c>
      <c r="AH834" s="120" t="str">
        <f t="shared" si="96"/>
        <v>#REF!</v>
      </c>
      <c r="AI834" s="121">
        <f t="shared" si="497"/>
        <v>0.07</v>
      </c>
      <c r="AJ834" s="121">
        <v>0.07</v>
      </c>
      <c r="AK834" s="418">
        <v>0.35</v>
      </c>
      <c r="AL834" s="123">
        <f t="shared" si="11"/>
        <v>1284.230769</v>
      </c>
      <c r="AM834" s="419" t="s">
        <v>13</v>
      </c>
      <c r="AN834" s="111">
        <f t="shared" si="858"/>
        <v>3559.153846</v>
      </c>
      <c r="AO834" s="402">
        <f t="shared" si="775"/>
        <v>0.3298969072</v>
      </c>
      <c r="AP834" s="127"/>
      <c r="AQ834" s="128">
        <f t="shared" si="859"/>
        <v>2516.397849</v>
      </c>
      <c r="AR834" s="125">
        <f t="shared" si="860"/>
        <v>2564.516129</v>
      </c>
      <c r="AS834" s="405">
        <f t="shared" si="733"/>
        <v>0.3225806452</v>
      </c>
      <c r="AT834" s="405">
        <f t="shared" si="777"/>
        <v>0.3010752688</v>
      </c>
      <c r="AU834" s="129">
        <v>2195.48</v>
      </c>
      <c r="AV834" s="39" t="s">
        <v>149</v>
      </c>
      <c r="AW834" s="416"/>
      <c r="AX834" s="416"/>
      <c r="AY834" s="420">
        <v>1333.0</v>
      </c>
      <c r="AZ834" s="214"/>
      <c r="BA834" s="214"/>
      <c r="BB834" s="227"/>
      <c r="BC834" s="137">
        <f t="shared" si="861"/>
        <v>2035</v>
      </c>
      <c r="BD834" s="132">
        <f t="shared" si="862"/>
        <v>2385</v>
      </c>
      <c r="BE834" s="215"/>
      <c r="BF834" s="48"/>
      <c r="BG834" s="49"/>
      <c r="BH834" s="224">
        <f t="shared" si="714"/>
        <v>12230.76923</v>
      </c>
      <c r="BI834" s="224">
        <f t="shared" si="715"/>
        <v>7338.461538</v>
      </c>
      <c r="BJ834" s="224">
        <f t="shared" si="716"/>
        <v>6115.384615</v>
      </c>
      <c r="BK834" s="224">
        <f t="shared" si="717"/>
        <v>4892.307692</v>
      </c>
      <c r="BL834" s="49"/>
      <c r="BM834" s="49"/>
      <c r="BN834" s="49"/>
      <c r="BO834" s="49"/>
      <c r="BP834" s="49"/>
      <c r="BQ834" s="49"/>
      <c r="BR834" s="49"/>
      <c r="BS834" s="49"/>
      <c r="BT834" s="49"/>
      <c r="BU834" s="49"/>
      <c r="BV834" s="49"/>
      <c r="BW834" s="49"/>
      <c r="BX834" s="49"/>
      <c r="BY834" s="49"/>
      <c r="BZ834" s="49"/>
      <c r="CA834" s="49"/>
      <c r="CB834" s="49"/>
      <c r="CC834" s="49"/>
      <c r="CD834" s="49"/>
      <c r="CE834" s="49"/>
      <c r="CF834" s="49"/>
    </row>
    <row r="835" ht="14.25" customHeight="1">
      <c r="A835" s="103" t="s">
        <v>84</v>
      </c>
      <c r="B835" s="103" t="s">
        <v>85</v>
      </c>
      <c r="C835" s="103" t="s">
        <v>85</v>
      </c>
      <c r="D835" s="103" t="s">
        <v>86</v>
      </c>
      <c r="E835" s="109" t="s">
        <v>2969</v>
      </c>
      <c r="F835" s="105" t="s">
        <v>2970</v>
      </c>
      <c r="G835" s="110"/>
      <c r="H835" s="110"/>
      <c r="I835" s="409"/>
      <c r="J835" s="417" t="s">
        <v>2978</v>
      </c>
      <c r="K835" s="410" t="str">
        <f>_xlfn.XLOOKUP(J835,[1]Sheet1!$A:$A,[1]Sheet1!$B:$B,"")</f>
        <v>#ERROR!</v>
      </c>
      <c r="L835" s="109" t="s">
        <v>2979</v>
      </c>
      <c r="M835" s="109" t="s">
        <v>2980</v>
      </c>
      <c r="N835" s="110" t="s">
        <v>201</v>
      </c>
      <c r="O835" s="109" t="s">
        <v>147</v>
      </c>
      <c r="P835" s="106">
        <v>128.0</v>
      </c>
      <c r="Q835" s="109"/>
      <c r="R835" s="106"/>
      <c r="S835" s="106">
        <v>1.0</v>
      </c>
      <c r="T835" s="110"/>
      <c r="U835" s="106" t="s">
        <v>2974</v>
      </c>
      <c r="V835" s="112">
        <v>0.0</v>
      </c>
      <c r="W835" s="106">
        <v>45.0</v>
      </c>
      <c r="X835" s="106">
        <v>45.0</v>
      </c>
      <c r="Y835" s="113">
        <v>14.0</v>
      </c>
      <c r="Z835" s="113" t="s">
        <v>148</v>
      </c>
      <c r="AA835" s="114">
        <f t="shared" si="857"/>
        <v>5425.19084</v>
      </c>
      <c r="AB835" s="115"/>
      <c r="AC835" s="212">
        <f t="shared" si="772"/>
        <v>5096.296296</v>
      </c>
      <c r="AD835" s="213">
        <f t="shared" si="799"/>
        <v>5479.888491</v>
      </c>
      <c r="AE835" s="212"/>
      <c r="AF835" s="212" t="str">
        <f t="shared" si="94"/>
        <v>#REF!</v>
      </c>
      <c r="AG835" s="210" t="str">
        <f t="shared" si="95"/>
        <v>#REF!</v>
      </c>
      <c r="AH835" s="120" t="str">
        <f t="shared" si="96"/>
        <v>#REF!</v>
      </c>
      <c r="AI835" s="121">
        <f t="shared" si="497"/>
        <v>0.07</v>
      </c>
      <c r="AJ835" s="121">
        <v>0.07</v>
      </c>
      <c r="AK835" s="418">
        <v>0.325</v>
      </c>
      <c r="AL835" s="123">
        <f t="shared" si="11"/>
        <v>1656.296296</v>
      </c>
      <c r="AM835" s="419" t="s">
        <v>13</v>
      </c>
      <c r="AN835" s="111">
        <f t="shared" si="858"/>
        <v>4943.407407</v>
      </c>
      <c r="AO835" s="402">
        <f t="shared" si="775"/>
        <v>0.3041237113</v>
      </c>
      <c r="AP835" s="127"/>
      <c r="AQ835" s="128">
        <f t="shared" si="859"/>
        <v>3820.967742</v>
      </c>
      <c r="AR835" s="125">
        <f t="shared" si="860"/>
        <v>3698.924731</v>
      </c>
      <c r="AS835" s="405">
        <f t="shared" si="733"/>
        <v>0.2956989247</v>
      </c>
      <c r="AT835" s="405">
        <f t="shared" si="777"/>
        <v>0.2741935484</v>
      </c>
      <c r="AU835" s="129">
        <v>3329.24</v>
      </c>
      <c r="AV835" s="39" t="s">
        <v>149</v>
      </c>
      <c r="AW835" s="416"/>
      <c r="AX835" s="416"/>
      <c r="AY835" s="420">
        <v>1938.0</v>
      </c>
      <c r="AZ835" s="214"/>
      <c r="BA835" s="214"/>
      <c r="BB835" s="227"/>
      <c r="BC835" s="137">
        <f t="shared" si="861"/>
        <v>3090</v>
      </c>
      <c r="BD835" s="132">
        <f t="shared" si="862"/>
        <v>3440</v>
      </c>
      <c r="BE835" s="215"/>
      <c r="BF835" s="48"/>
      <c r="BG835" s="49"/>
      <c r="BH835" s="224">
        <f t="shared" si="714"/>
        <v>16987.65432</v>
      </c>
      <c r="BI835" s="224">
        <f t="shared" si="715"/>
        <v>10192.59259</v>
      </c>
      <c r="BJ835" s="224">
        <f t="shared" si="716"/>
        <v>8493.82716</v>
      </c>
      <c r="BK835" s="224">
        <f t="shared" si="717"/>
        <v>6795.061728</v>
      </c>
      <c r="BL835" s="49"/>
      <c r="BM835" s="49"/>
      <c r="BN835" s="49"/>
      <c r="BO835" s="49"/>
      <c r="BP835" s="49"/>
      <c r="BQ835" s="49"/>
      <c r="BR835" s="49"/>
      <c r="BS835" s="49"/>
      <c r="BT835" s="49"/>
      <c r="BU835" s="49"/>
      <c r="BV835" s="49"/>
      <c r="BW835" s="49"/>
      <c r="BX835" s="49"/>
      <c r="BY835" s="49"/>
      <c r="BZ835" s="49"/>
      <c r="CA835" s="49"/>
      <c r="CB835" s="49"/>
      <c r="CC835" s="49"/>
      <c r="CD835" s="49"/>
      <c r="CE835" s="49"/>
      <c r="CF835" s="49"/>
    </row>
    <row r="836" ht="14.25" customHeight="1">
      <c r="A836" s="103" t="s">
        <v>84</v>
      </c>
      <c r="B836" s="103" t="s">
        <v>85</v>
      </c>
      <c r="C836" s="103" t="s">
        <v>85</v>
      </c>
      <c r="D836" s="103" t="s">
        <v>86</v>
      </c>
      <c r="E836" s="109" t="s">
        <v>2969</v>
      </c>
      <c r="F836" s="105" t="s">
        <v>2970</v>
      </c>
      <c r="G836" s="110"/>
      <c r="H836" s="110"/>
      <c r="I836" s="409"/>
      <c r="J836" s="410" t="s">
        <v>2981</v>
      </c>
      <c r="K836" s="410" t="str">
        <f>_xlfn.XLOOKUP(J836,[1]Sheet1!$A:$A,[1]Sheet1!$B:$B,"")</f>
        <v>#ERROR!</v>
      </c>
      <c r="L836" s="109" t="s">
        <v>2982</v>
      </c>
      <c r="M836" s="109" t="s">
        <v>2983</v>
      </c>
      <c r="N836" s="110" t="s">
        <v>201</v>
      </c>
      <c r="O836" s="109" t="s">
        <v>147</v>
      </c>
      <c r="P836" s="106">
        <v>152.0</v>
      </c>
      <c r="Q836" s="109"/>
      <c r="R836" s="106"/>
      <c r="S836" s="106">
        <v>1.0</v>
      </c>
      <c r="T836" s="110"/>
      <c r="U836" s="106" t="s">
        <v>2974</v>
      </c>
      <c r="V836" s="112">
        <v>0.0</v>
      </c>
      <c r="W836" s="106">
        <v>45.0</v>
      </c>
      <c r="X836" s="106">
        <v>45.0</v>
      </c>
      <c r="Y836" s="113">
        <v>14.0</v>
      </c>
      <c r="Z836" s="113" t="s">
        <v>148</v>
      </c>
      <c r="AA836" s="114">
        <f t="shared" si="857"/>
        <v>6287.794118</v>
      </c>
      <c r="AB836" s="115"/>
      <c r="AC836" s="212">
        <f t="shared" si="772"/>
        <v>5811.428571</v>
      </c>
      <c r="AD836" s="213">
        <f t="shared" si="799"/>
        <v>6248.847926</v>
      </c>
      <c r="AE836" s="212"/>
      <c r="AF836" s="212" t="str">
        <f t="shared" si="94"/>
        <v>#REF!</v>
      </c>
      <c r="AG836" s="210" t="str">
        <f t="shared" si="95"/>
        <v>#REF!</v>
      </c>
      <c r="AH836" s="120" t="str">
        <f t="shared" si="96"/>
        <v>#REF!</v>
      </c>
      <c r="AI836" s="121">
        <f t="shared" si="497"/>
        <v>0.07</v>
      </c>
      <c r="AJ836" s="121">
        <v>0.07</v>
      </c>
      <c r="AK836" s="418">
        <v>0.3</v>
      </c>
      <c r="AL836" s="123">
        <f t="shared" si="11"/>
        <v>1743.428571</v>
      </c>
      <c r="AM836" s="419" t="s">
        <v>13</v>
      </c>
      <c r="AN836" s="111">
        <f t="shared" si="858"/>
        <v>5637.085714</v>
      </c>
      <c r="AO836" s="402">
        <f t="shared" si="775"/>
        <v>0.2783505155</v>
      </c>
      <c r="AP836" s="127"/>
      <c r="AQ836" s="128">
        <f t="shared" si="859"/>
        <v>4597.526882</v>
      </c>
      <c r="AR836" s="125">
        <f t="shared" si="860"/>
        <v>4374.193548</v>
      </c>
      <c r="AS836" s="405">
        <f t="shared" si="733"/>
        <v>0.2688172043</v>
      </c>
      <c r="AT836" s="405">
        <f t="shared" si="777"/>
        <v>0.247311828</v>
      </c>
      <c r="AU836" s="129"/>
      <c r="AV836" s="39" t="s">
        <v>149</v>
      </c>
      <c r="AW836" s="416"/>
      <c r="AX836" s="416"/>
      <c r="AY836" s="421">
        <v>2350.0</v>
      </c>
      <c r="AZ836" s="214"/>
      <c r="BA836" s="214"/>
      <c r="BB836" s="227"/>
      <c r="BC836" s="137">
        <f t="shared" si="861"/>
        <v>3718</v>
      </c>
      <c r="BD836" s="132">
        <f t="shared" si="862"/>
        <v>4068</v>
      </c>
      <c r="BE836" s="215"/>
      <c r="BF836" s="48"/>
      <c r="BG836" s="49"/>
      <c r="BH836" s="224">
        <f t="shared" si="714"/>
        <v>19371.42857</v>
      </c>
      <c r="BI836" s="224">
        <f t="shared" si="715"/>
        <v>11622.85714</v>
      </c>
      <c r="BJ836" s="224">
        <f t="shared" si="716"/>
        <v>9685.714286</v>
      </c>
      <c r="BK836" s="224">
        <f t="shared" si="717"/>
        <v>7748.571429</v>
      </c>
      <c r="BL836" s="49"/>
      <c r="BM836" s="49"/>
      <c r="BN836" s="49"/>
      <c r="BO836" s="49"/>
      <c r="BP836" s="49"/>
      <c r="BQ836" s="49"/>
      <c r="BR836" s="49"/>
      <c r="BS836" s="49"/>
      <c r="BT836" s="49"/>
      <c r="BU836" s="49"/>
      <c r="BV836" s="49"/>
      <c r="BW836" s="49"/>
      <c r="BX836" s="49"/>
      <c r="BY836" s="49"/>
      <c r="BZ836" s="49"/>
      <c r="CA836" s="49"/>
      <c r="CB836" s="49"/>
      <c r="CC836" s="49"/>
      <c r="CD836" s="49"/>
      <c r="CE836" s="49"/>
      <c r="CF836" s="49"/>
    </row>
    <row r="837" ht="14.25" customHeight="1">
      <c r="A837" s="103" t="s">
        <v>84</v>
      </c>
      <c r="B837" s="103" t="s">
        <v>85</v>
      </c>
      <c r="C837" s="103" t="s">
        <v>85</v>
      </c>
      <c r="D837" s="103" t="s">
        <v>86</v>
      </c>
      <c r="E837" s="109" t="s">
        <v>2969</v>
      </c>
      <c r="F837" s="105" t="s">
        <v>2970</v>
      </c>
      <c r="G837" s="110"/>
      <c r="H837" s="110"/>
      <c r="I837" s="409"/>
      <c r="J837" s="417" t="s">
        <v>2984</v>
      </c>
      <c r="K837" s="410" t="str">
        <f>_xlfn.XLOOKUP(J837,[1]Sheet1!$A:$A,[1]Sheet1!$B:$B,"")</f>
        <v>#ERROR!</v>
      </c>
      <c r="L837" s="109" t="s">
        <v>2985</v>
      </c>
      <c r="M837" s="109" t="s">
        <v>2986</v>
      </c>
      <c r="N837" s="110" t="s">
        <v>201</v>
      </c>
      <c r="O837" s="109" t="s">
        <v>147</v>
      </c>
      <c r="P837" s="106">
        <v>218.0</v>
      </c>
      <c r="Q837" s="109"/>
      <c r="R837" s="106"/>
      <c r="S837" s="106">
        <v>1.0</v>
      </c>
      <c r="T837" s="110"/>
      <c r="U837" s="106" t="s">
        <v>2974</v>
      </c>
      <c r="V837" s="112">
        <v>0.0</v>
      </c>
      <c r="W837" s="106">
        <v>45.0</v>
      </c>
      <c r="X837" s="106">
        <v>45.0</v>
      </c>
      <c r="Y837" s="113">
        <v>14.0</v>
      </c>
      <c r="Z837" s="113" t="s">
        <v>148</v>
      </c>
      <c r="AA837" s="114">
        <f t="shared" si="857"/>
        <v>9370.645161</v>
      </c>
      <c r="AB837" s="115"/>
      <c r="AC837" s="212">
        <f t="shared" si="772"/>
        <v>8440.625</v>
      </c>
      <c r="AD837" s="213">
        <f t="shared" si="799"/>
        <v>9075.94086</v>
      </c>
      <c r="AE837" s="212"/>
      <c r="AF837" s="212" t="str">
        <f t="shared" si="94"/>
        <v>#REF!</v>
      </c>
      <c r="AG837" s="210" t="str">
        <f t="shared" si="95"/>
        <v>#REF!</v>
      </c>
      <c r="AH837" s="120" t="str">
        <f t="shared" si="96"/>
        <v>#REF!</v>
      </c>
      <c r="AI837" s="121">
        <f t="shared" si="497"/>
        <v>0.07</v>
      </c>
      <c r="AJ837" s="121">
        <v>0.07</v>
      </c>
      <c r="AK837" s="418">
        <v>0.36</v>
      </c>
      <c r="AL837" s="123">
        <f t="shared" si="11"/>
        <v>3038.625</v>
      </c>
      <c r="AM837" s="419" t="s">
        <v>13</v>
      </c>
      <c r="AN837" s="111">
        <f t="shared" si="858"/>
        <v>8187.40625</v>
      </c>
      <c r="AO837" s="402">
        <f t="shared" si="775"/>
        <v>0.3402061856</v>
      </c>
      <c r="AP837" s="127"/>
      <c r="AQ837" s="128">
        <f t="shared" si="859"/>
        <v>6247.096774</v>
      </c>
      <c r="AR837" s="125">
        <f t="shared" si="860"/>
        <v>5808.602151</v>
      </c>
      <c r="AS837" s="405">
        <f t="shared" si="733"/>
        <v>0.3333333333</v>
      </c>
      <c r="AT837" s="405">
        <f t="shared" si="777"/>
        <v>0.311827957</v>
      </c>
      <c r="AU837" s="129"/>
      <c r="AV837" s="39" t="s">
        <v>149</v>
      </c>
      <c r="AW837" s="416"/>
      <c r="AX837" s="416"/>
      <c r="AY837" s="420">
        <v>3090.0</v>
      </c>
      <c r="AZ837" s="214"/>
      <c r="BA837" s="214"/>
      <c r="BB837" s="227"/>
      <c r="BC837" s="137">
        <f t="shared" si="861"/>
        <v>5052</v>
      </c>
      <c r="BD837" s="132">
        <f t="shared" si="862"/>
        <v>5402</v>
      </c>
      <c r="BE837" s="215"/>
      <c r="BF837" s="48"/>
      <c r="BG837" s="49"/>
      <c r="BH837" s="224">
        <f t="shared" si="714"/>
        <v>28135.41667</v>
      </c>
      <c r="BI837" s="224">
        <f t="shared" si="715"/>
        <v>16881.25</v>
      </c>
      <c r="BJ837" s="224">
        <f t="shared" si="716"/>
        <v>14067.70833</v>
      </c>
      <c r="BK837" s="224">
        <f t="shared" si="717"/>
        <v>11254.16667</v>
      </c>
      <c r="BL837" s="49"/>
      <c r="BM837" s="49"/>
      <c r="BN837" s="49"/>
      <c r="BO837" s="49"/>
      <c r="BP837" s="49"/>
      <c r="BQ837" s="49"/>
      <c r="BR837" s="49"/>
      <c r="BS837" s="49"/>
      <c r="BT837" s="49"/>
      <c r="BU837" s="49"/>
      <c r="BV837" s="49"/>
      <c r="BW837" s="49"/>
      <c r="BX837" s="49"/>
      <c r="BY837" s="49"/>
      <c r="BZ837" s="49"/>
      <c r="CA837" s="49"/>
      <c r="CB837" s="49"/>
      <c r="CC837" s="49"/>
      <c r="CD837" s="49"/>
      <c r="CE837" s="49"/>
      <c r="CF837" s="49"/>
    </row>
    <row r="838" ht="14.25" customHeight="1">
      <c r="A838" s="103" t="s">
        <v>84</v>
      </c>
      <c r="B838" s="103" t="s">
        <v>85</v>
      </c>
      <c r="C838" s="103" t="s">
        <v>85</v>
      </c>
      <c r="D838" s="103" t="s">
        <v>86</v>
      </c>
      <c r="E838" s="109" t="s">
        <v>2969</v>
      </c>
      <c r="F838" s="105" t="s">
        <v>2970</v>
      </c>
      <c r="G838" s="110"/>
      <c r="H838" s="110"/>
      <c r="I838" s="409"/>
      <c r="J838" s="417" t="s">
        <v>2987</v>
      </c>
      <c r="K838" s="410" t="str">
        <f>_xlfn.XLOOKUP(J838,[1]Sheet1!$A:$A,[1]Sheet1!$B:$B,"")</f>
        <v>#ERROR!</v>
      </c>
      <c r="L838" s="109" t="s">
        <v>2988</v>
      </c>
      <c r="M838" s="109" t="s">
        <v>2989</v>
      </c>
      <c r="N838" s="110" t="s">
        <v>201</v>
      </c>
      <c r="O838" s="109" t="s">
        <v>147</v>
      </c>
      <c r="P838" s="106">
        <v>430.0</v>
      </c>
      <c r="Q838" s="109"/>
      <c r="R838" s="106"/>
      <c r="S838" s="106">
        <v>1.0</v>
      </c>
      <c r="T838" s="110"/>
      <c r="U838" s="106" t="s">
        <v>2974</v>
      </c>
      <c r="V838" s="112">
        <v>0.0</v>
      </c>
      <c r="W838" s="106">
        <v>45.0</v>
      </c>
      <c r="X838" s="106">
        <v>45.0</v>
      </c>
      <c r="Y838" s="113">
        <v>14.0</v>
      </c>
      <c r="Z838" s="113" t="s">
        <v>148</v>
      </c>
      <c r="AA838" s="114">
        <f t="shared" si="857"/>
        <v>17726.69355</v>
      </c>
      <c r="AB838" s="115"/>
      <c r="AC838" s="212">
        <f t="shared" si="772"/>
        <v>15479.6875</v>
      </c>
      <c r="AD838" s="213">
        <f t="shared" si="799"/>
        <v>16644.82527</v>
      </c>
      <c r="AE838" s="212"/>
      <c r="AF838" s="212" t="str">
        <f t="shared" si="94"/>
        <v>#REF!</v>
      </c>
      <c r="AG838" s="210" t="str">
        <f t="shared" si="95"/>
        <v>#REF!</v>
      </c>
      <c r="AH838" s="120" t="str">
        <f t="shared" si="96"/>
        <v>#REF!</v>
      </c>
      <c r="AI838" s="121">
        <f t="shared" si="497"/>
        <v>0.07</v>
      </c>
      <c r="AJ838" s="121">
        <v>0.07</v>
      </c>
      <c r="AK838" s="418">
        <v>0.36</v>
      </c>
      <c r="AL838" s="123">
        <f t="shared" si="11"/>
        <v>5572.6875</v>
      </c>
      <c r="AM838" s="419" t="s">
        <v>13</v>
      </c>
      <c r="AN838" s="111">
        <f t="shared" si="858"/>
        <v>15015.29688</v>
      </c>
      <c r="AO838" s="402">
        <f t="shared" si="775"/>
        <v>0.3402061856</v>
      </c>
      <c r="AP838" s="127"/>
      <c r="AQ838" s="128">
        <f t="shared" si="859"/>
        <v>11817.7957</v>
      </c>
      <c r="AR838" s="125">
        <f t="shared" si="860"/>
        <v>10652.68817</v>
      </c>
      <c r="AS838" s="405">
        <f t="shared" si="733"/>
        <v>0.3333333333</v>
      </c>
      <c r="AT838" s="405">
        <f t="shared" si="777"/>
        <v>0.311827957</v>
      </c>
      <c r="AU838" s="129"/>
      <c r="AV838" s="39" t="s">
        <v>149</v>
      </c>
      <c r="AW838" s="416"/>
      <c r="AX838" s="416"/>
      <c r="AY838" s="420">
        <v>5687.0</v>
      </c>
      <c r="AZ838" s="214"/>
      <c r="BA838" s="214"/>
      <c r="BB838" s="227"/>
      <c r="BC838" s="137">
        <f t="shared" si="861"/>
        <v>9557</v>
      </c>
      <c r="BD838" s="132">
        <f t="shared" si="862"/>
        <v>9907</v>
      </c>
      <c r="BE838" s="215"/>
      <c r="BF838" s="48"/>
      <c r="BG838" s="49"/>
      <c r="BH838" s="224">
        <f t="shared" si="714"/>
        <v>51598.95833</v>
      </c>
      <c r="BI838" s="224">
        <f t="shared" si="715"/>
        <v>30959.375</v>
      </c>
      <c r="BJ838" s="224">
        <f t="shared" si="716"/>
        <v>25799.47917</v>
      </c>
      <c r="BK838" s="224">
        <f t="shared" si="717"/>
        <v>20639.58333</v>
      </c>
      <c r="BL838" s="49"/>
      <c r="BM838" s="49"/>
      <c r="BN838" s="49"/>
      <c r="BO838" s="49"/>
      <c r="BP838" s="49"/>
      <c r="BQ838" s="49"/>
      <c r="BR838" s="49"/>
      <c r="BS838" s="49"/>
      <c r="BT838" s="49"/>
      <c r="BU838" s="49"/>
      <c r="BV838" s="49"/>
      <c r="BW838" s="49"/>
      <c r="BX838" s="49"/>
      <c r="BY838" s="49"/>
      <c r="BZ838" s="49"/>
      <c r="CA838" s="49"/>
      <c r="CB838" s="49"/>
      <c r="CC838" s="49"/>
      <c r="CD838" s="49"/>
      <c r="CE838" s="49"/>
      <c r="CF838" s="49"/>
    </row>
    <row r="839" ht="14.25" customHeight="1">
      <c r="A839" s="103" t="s">
        <v>84</v>
      </c>
      <c r="B839" s="103" t="s">
        <v>85</v>
      </c>
      <c r="C839" s="103" t="s">
        <v>85</v>
      </c>
      <c r="D839" s="103" t="s">
        <v>86</v>
      </c>
      <c r="E839" s="109" t="s">
        <v>2969</v>
      </c>
      <c r="F839" s="105" t="s">
        <v>2970</v>
      </c>
      <c r="G839" s="110"/>
      <c r="H839" s="110"/>
      <c r="I839" s="409"/>
      <c r="J839" s="417" t="s">
        <v>2990</v>
      </c>
      <c r="K839" s="410" t="str">
        <f>_xlfn.XLOOKUP(J839,[1]Sheet1!$A:$A,[1]Sheet1!$B:$B,"")</f>
        <v>#ERROR!</v>
      </c>
      <c r="L839" s="109" t="s">
        <v>2991</v>
      </c>
      <c r="M839" s="109" t="s">
        <v>2992</v>
      </c>
      <c r="N839" s="110" t="s">
        <v>201</v>
      </c>
      <c r="O839" s="109" t="s">
        <v>147</v>
      </c>
      <c r="P839" s="106">
        <v>45.0</v>
      </c>
      <c r="Q839" s="109"/>
      <c r="R839" s="106"/>
      <c r="S839" s="106">
        <v>1.0</v>
      </c>
      <c r="T839" s="110"/>
      <c r="U839" s="106" t="s">
        <v>2974</v>
      </c>
      <c r="V839" s="112">
        <v>0.0</v>
      </c>
      <c r="W839" s="106">
        <v>45.0</v>
      </c>
      <c r="X839" s="106">
        <v>45.0</v>
      </c>
      <c r="Y839" s="113">
        <v>14.0</v>
      </c>
      <c r="Z839" s="113" t="s">
        <v>148</v>
      </c>
      <c r="AA839" s="114">
        <f t="shared" si="857"/>
        <v>1737.19697</v>
      </c>
      <c r="AB839" s="115"/>
      <c r="AC839" s="212">
        <f t="shared" si="772"/>
        <v>1980.882353</v>
      </c>
      <c r="AD839" s="213">
        <f t="shared" si="799"/>
        <v>2129.981025</v>
      </c>
      <c r="AE839" s="212"/>
      <c r="AF839" s="212" t="str">
        <f t="shared" si="94"/>
        <v>#REF!</v>
      </c>
      <c r="AG839" s="210" t="str">
        <f t="shared" si="95"/>
        <v>#REF!</v>
      </c>
      <c r="AH839" s="120" t="str">
        <f t="shared" si="96"/>
        <v>#REF!</v>
      </c>
      <c r="AI839" s="121">
        <f t="shared" si="497"/>
        <v>0.07</v>
      </c>
      <c r="AJ839" s="121">
        <v>0.07</v>
      </c>
      <c r="AK839" s="418">
        <v>0.32</v>
      </c>
      <c r="AL839" s="123">
        <f t="shared" si="11"/>
        <v>633.8823529</v>
      </c>
      <c r="AM839" s="419" t="s">
        <v>13</v>
      </c>
      <c r="AN839" s="111">
        <f t="shared" si="858"/>
        <v>1921.455882</v>
      </c>
      <c r="AO839" s="402">
        <f t="shared" si="775"/>
        <v>0.2989690722</v>
      </c>
      <c r="AP839" s="127"/>
      <c r="AQ839" s="128">
        <f t="shared" si="859"/>
        <v>1232.849462</v>
      </c>
      <c r="AR839" s="125">
        <f t="shared" si="860"/>
        <v>1448.387097</v>
      </c>
      <c r="AS839" s="405">
        <f t="shared" si="733"/>
        <v>0.2903225806</v>
      </c>
      <c r="AT839" s="405">
        <f t="shared" si="777"/>
        <v>0.2688172043</v>
      </c>
      <c r="AU839" s="129"/>
      <c r="AV839" s="39" t="s">
        <v>149</v>
      </c>
      <c r="AW839" s="416"/>
      <c r="AX839" s="416"/>
      <c r="AY839" s="420">
        <v>592.0</v>
      </c>
      <c r="AZ839" s="214"/>
      <c r="BA839" s="214"/>
      <c r="BB839" s="227"/>
      <c r="BC839" s="137">
        <f t="shared" si="861"/>
        <v>997</v>
      </c>
      <c r="BD839" s="132">
        <f t="shared" si="862"/>
        <v>1347</v>
      </c>
      <c r="BE839" s="215"/>
      <c r="BF839" s="48"/>
      <c r="BG839" s="49"/>
      <c r="BH839" s="224"/>
      <c r="BI839" s="224"/>
      <c r="BJ839" s="224"/>
      <c r="BK839" s="224"/>
      <c r="BL839" s="49"/>
      <c r="BM839" s="49"/>
      <c r="BN839" s="49"/>
      <c r="BO839" s="49"/>
      <c r="BP839" s="49"/>
      <c r="BQ839" s="49"/>
      <c r="BR839" s="49"/>
      <c r="BS839" s="49"/>
      <c r="BT839" s="49"/>
      <c r="BU839" s="49"/>
      <c r="BV839" s="49"/>
      <c r="BW839" s="49"/>
      <c r="BX839" s="49"/>
      <c r="BY839" s="49"/>
      <c r="BZ839" s="49"/>
      <c r="CA839" s="49"/>
      <c r="CB839" s="49"/>
      <c r="CC839" s="49"/>
      <c r="CD839" s="49"/>
      <c r="CE839" s="49"/>
      <c r="CF839" s="49"/>
    </row>
    <row r="840" ht="14.25" customHeight="1">
      <c r="A840" s="103" t="s">
        <v>84</v>
      </c>
      <c r="B840" s="103" t="s">
        <v>85</v>
      </c>
      <c r="C840" s="103" t="s">
        <v>85</v>
      </c>
      <c r="D840" s="103" t="s">
        <v>86</v>
      </c>
      <c r="E840" s="109" t="s">
        <v>2969</v>
      </c>
      <c r="F840" s="105" t="s">
        <v>2970</v>
      </c>
      <c r="G840" s="110"/>
      <c r="H840" s="110"/>
      <c r="I840" s="409"/>
      <c r="J840" s="417" t="s">
        <v>2993</v>
      </c>
      <c r="K840" s="410" t="str">
        <f>_xlfn.XLOOKUP(J840,[1]Sheet1!$A:$A,[1]Sheet1!$B:$B,"")</f>
        <v>#ERROR!</v>
      </c>
      <c r="L840" s="109" t="s">
        <v>2994</v>
      </c>
      <c r="M840" s="109" t="s">
        <v>2995</v>
      </c>
      <c r="N840" s="110" t="s">
        <v>201</v>
      </c>
      <c r="O840" s="109" t="s">
        <v>147</v>
      </c>
      <c r="P840" s="106">
        <v>78.0</v>
      </c>
      <c r="Q840" s="109"/>
      <c r="R840" s="106"/>
      <c r="S840" s="106">
        <v>1.0</v>
      </c>
      <c r="T840" s="110"/>
      <c r="U840" s="106" t="s">
        <v>2974</v>
      </c>
      <c r="V840" s="112">
        <v>0.0</v>
      </c>
      <c r="W840" s="106">
        <v>45.0</v>
      </c>
      <c r="X840" s="106">
        <v>45.0</v>
      </c>
      <c r="Y840" s="113">
        <v>14.0</v>
      </c>
      <c r="Z840" s="113" t="s">
        <v>148</v>
      </c>
      <c r="AA840" s="114">
        <f t="shared" si="857"/>
        <v>2968.095238</v>
      </c>
      <c r="AB840" s="115"/>
      <c r="AC840" s="212">
        <f t="shared" si="772"/>
        <v>3040</v>
      </c>
      <c r="AD840" s="213">
        <f t="shared" si="799"/>
        <v>3268.817204</v>
      </c>
      <c r="AE840" s="212"/>
      <c r="AF840" s="212" t="str">
        <f t="shared" si="94"/>
        <v>#REF!</v>
      </c>
      <c r="AG840" s="210" t="str">
        <f t="shared" si="95"/>
        <v>#REF!</v>
      </c>
      <c r="AH840" s="120" t="str">
        <f t="shared" si="96"/>
        <v>#REF!</v>
      </c>
      <c r="AI840" s="121">
        <f t="shared" si="497"/>
        <v>0.07</v>
      </c>
      <c r="AJ840" s="121">
        <v>0.07</v>
      </c>
      <c r="AK840" s="418">
        <v>0.35</v>
      </c>
      <c r="AL840" s="123">
        <f t="shared" si="11"/>
        <v>1064</v>
      </c>
      <c r="AM840" s="419" t="s">
        <v>13</v>
      </c>
      <c r="AN840" s="111">
        <f t="shared" si="858"/>
        <v>2948.8</v>
      </c>
      <c r="AO840" s="402">
        <f t="shared" si="775"/>
        <v>0.3298969072</v>
      </c>
      <c r="AP840" s="127"/>
      <c r="AQ840" s="128">
        <f t="shared" si="859"/>
        <v>2010.645161</v>
      </c>
      <c r="AR840" s="125">
        <f t="shared" si="860"/>
        <v>2124.731183</v>
      </c>
      <c r="AS840" s="405">
        <f t="shared" si="733"/>
        <v>0.3225806452</v>
      </c>
      <c r="AT840" s="405">
        <f t="shared" si="777"/>
        <v>0.3010752688</v>
      </c>
      <c r="AU840" s="129">
        <v>1746.92</v>
      </c>
      <c r="AV840" s="39" t="s">
        <v>149</v>
      </c>
      <c r="AW840" s="416"/>
      <c r="AX840" s="416"/>
      <c r="AY840" s="420">
        <v>924.0</v>
      </c>
      <c r="AZ840" s="214"/>
      <c r="BA840" s="214"/>
      <c r="BB840" s="227"/>
      <c r="BC840" s="137">
        <f t="shared" si="861"/>
        <v>1626</v>
      </c>
      <c r="BD840" s="132">
        <f t="shared" si="862"/>
        <v>1976</v>
      </c>
      <c r="BE840" s="215"/>
      <c r="BF840" s="48"/>
      <c r="BG840" s="49"/>
      <c r="BH840" s="224"/>
      <c r="BI840" s="224"/>
      <c r="BJ840" s="224"/>
      <c r="BK840" s="224"/>
      <c r="BL840" s="49"/>
      <c r="BM840" s="49"/>
      <c r="BN840" s="49"/>
      <c r="BO840" s="49"/>
      <c r="BP840" s="49"/>
      <c r="BQ840" s="49"/>
      <c r="BR840" s="49"/>
      <c r="BS840" s="49"/>
      <c r="BT840" s="49"/>
      <c r="BU840" s="49"/>
      <c r="BV840" s="49"/>
      <c r="BW840" s="49"/>
      <c r="BX840" s="49"/>
      <c r="BY840" s="49"/>
      <c r="BZ840" s="49"/>
      <c r="CA840" s="49"/>
      <c r="CB840" s="49"/>
      <c r="CC840" s="49"/>
      <c r="CD840" s="49"/>
      <c r="CE840" s="49"/>
      <c r="CF840" s="49"/>
    </row>
    <row r="841" ht="14.25" customHeight="1">
      <c r="A841" s="103" t="s">
        <v>84</v>
      </c>
      <c r="B841" s="103" t="s">
        <v>85</v>
      </c>
      <c r="C841" s="103" t="s">
        <v>85</v>
      </c>
      <c r="D841" s="103" t="s">
        <v>86</v>
      </c>
      <c r="E841" s="109" t="s">
        <v>2969</v>
      </c>
      <c r="F841" s="105" t="s">
        <v>2970</v>
      </c>
      <c r="G841" s="110"/>
      <c r="H841" s="110"/>
      <c r="I841" s="409"/>
      <c r="J841" s="417" t="s">
        <v>2996</v>
      </c>
      <c r="K841" s="410" t="str">
        <f>_xlfn.XLOOKUP(J841,[1]Sheet1!$A:$A,[1]Sheet1!$B:$B,"")</f>
        <v>#ERROR!</v>
      </c>
      <c r="L841" s="109" t="s">
        <v>2997</v>
      </c>
      <c r="M841" s="109" t="s">
        <v>2998</v>
      </c>
      <c r="N841" s="110" t="s">
        <v>201</v>
      </c>
      <c r="O841" s="109" t="s">
        <v>147</v>
      </c>
      <c r="P841" s="106">
        <v>128.0</v>
      </c>
      <c r="Q841" s="109"/>
      <c r="R841" s="106"/>
      <c r="S841" s="106">
        <v>1.0</v>
      </c>
      <c r="T841" s="110"/>
      <c r="U841" s="106" t="s">
        <v>2974</v>
      </c>
      <c r="V841" s="112">
        <v>0.0</v>
      </c>
      <c r="W841" s="106">
        <v>45.0</v>
      </c>
      <c r="X841" s="106">
        <v>45.0</v>
      </c>
      <c r="Y841" s="113">
        <v>14.0</v>
      </c>
      <c r="Z841" s="113" t="s">
        <v>148</v>
      </c>
      <c r="AA841" s="114">
        <f t="shared" si="857"/>
        <v>4554.351145</v>
      </c>
      <c r="AB841" s="115"/>
      <c r="AC841" s="212">
        <f t="shared" si="772"/>
        <v>4361.481481</v>
      </c>
      <c r="AD841" s="213">
        <f t="shared" si="799"/>
        <v>4689.765034</v>
      </c>
      <c r="AE841" s="212"/>
      <c r="AF841" s="212" t="str">
        <f t="shared" si="94"/>
        <v>#REF!</v>
      </c>
      <c r="AG841" s="210" t="str">
        <f t="shared" si="95"/>
        <v>#REF!</v>
      </c>
      <c r="AH841" s="120" t="str">
        <f t="shared" si="96"/>
        <v>#REF!</v>
      </c>
      <c r="AI841" s="121">
        <f t="shared" si="497"/>
        <v>0.07</v>
      </c>
      <c r="AJ841" s="121">
        <v>0.07</v>
      </c>
      <c r="AK841" s="418">
        <v>0.325</v>
      </c>
      <c r="AL841" s="123">
        <f t="shared" si="11"/>
        <v>1417.481481</v>
      </c>
      <c r="AM841" s="419" t="s">
        <v>13</v>
      </c>
      <c r="AN841" s="111">
        <f t="shared" si="858"/>
        <v>4230.637037</v>
      </c>
      <c r="AO841" s="402">
        <f t="shared" si="775"/>
        <v>0.3041237113</v>
      </c>
      <c r="AP841" s="127"/>
      <c r="AQ841" s="128">
        <f t="shared" si="859"/>
        <v>3207.634409</v>
      </c>
      <c r="AR841" s="125">
        <f t="shared" si="860"/>
        <v>3165.591398</v>
      </c>
      <c r="AS841" s="405">
        <f t="shared" si="733"/>
        <v>0.2956989247</v>
      </c>
      <c r="AT841" s="405">
        <f t="shared" si="777"/>
        <v>0.2741935484</v>
      </c>
      <c r="AU841" s="129"/>
      <c r="AV841" s="39" t="s">
        <v>149</v>
      </c>
      <c r="AW841" s="416"/>
      <c r="AX841" s="416"/>
      <c r="AY841" s="420">
        <v>1442.0</v>
      </c>
      <c r="AZ841" s="214"/>
      <c r="BA841" s="214"/>
      <c r="BB841" s="227"/>
      <c r="BC841" s="137">
        <f t="shared" si="861"/>
        <v>2594</v>
      </c>
      <c r="BD841" s="132">
        <f t="shared" si="862"/>
        <v>2944</v>
      </c>
      <c r="BE841" s="215"/>
      <c r="BF841" s="48"/>
      <c r="BG841" s="49"/>
      <c r="BH841" s="224"/>
      <c r="BI841" s="224"/>
      <c r="BJ841" s="224"/>
      <c r="BK841" s="224"/>
      <c r="BL841" s="49"/>
      <c r="BM841" s="49"/>
      <c r="BN841" s="49"/>
      <c r="BO841" s="49"/>
      <c r="BP841" s="49"/>
      <c r="BQ841" s="49"/>
      <c r="BR841" s="49"/>
      <c r="BS841" s="49"/>
      <c r="BT841" s="49"/>
      <c r="BU841" s="49"/>
      <c r="BV841" s="49"/>
      <c r="BW841" s="49"/>
      <c r="BX841" s="49"/>
      <c r="BY841" s="49"/>
      <c r="BZ841" s="49"/>
      <c r="CA841" s="49"/>
      <c r="CB841" s="49"/>
      <c r="CC841" s="49"/>
      <c r="CD841" s="49"/>
      <c r="CE841" s="49"/>
      <c r="CF841" s="49"/>
    </row>
    <row r="842" ht="14.25" customHeight="1">
      <c r="A842" s="103" t="s">
        <v>84</v>
      </c>
      <c r="B842" s="103" t="s">
        <v>85</v>
      </c>
      <c r="C842" s="103" t="s">
        <v>85</v>
      </c>
      <c r="D842" s="103" t="s">
        <v>86</v>
      </c>
      <c r="E842" s="109" t="s">
        <v>2969</v>
      </c>
      <c r="F842" s="105" t="s">
        <v>2970</v>
      </c>
      <c r="G842" s="110"/>
      <c r="H842" s="110"/>
      <c r="I842" s="409"/>
      <c r="J842" s="417" t="s">
        <v>2999</v>
      </c>
      <c r="K842" s="410" t="str">
        <f>_xlfn.XLOOKUP(J842,[1]Sheet1!$A:$A,[1]Sheet1!$B:$B,"")</f>
        <v>#ERROR!</v>
      </c>
      <c r="L842" s="109" t="s">
        <v>3000</v>
      </c>
      <c r="M842" s="109" t="s">
        <v>3001</v>
      </c>
      <c r="N842" s="110" t="s">
        <v>201</v>
      </c>
      <c r="O842" s="109" t="s">
        <v>147</v>
      </c>
      <c r="P842" s="106">
        <v>218.0</v>
      </c>
      <c r="Q842" s="109"/>
      <c r="R842" s="106"/>
      <c r="S842" s="106">
        <v>1.0</v>
      </c>
      <c r="T842" s="110"/>
      <c r="U842" s="106" t="s">
        <v>2974</v>
      </c>
      <c r="V842" s="112">
        <v>0.0</v>
      </c>
      <c r="W842" s="106">
        <v>45.0</v>
      </c>
      <c r="X842" s="106">
        <v>45.0</v>
      </c>
      <c r="Y842" s="113">
        <v>14.0</v>
      </c>
      <c r="Z842" s="113" t="s">
        <v>148</v>
      </c>
      <c r="AA842" s="114">
        <f t="shared" si="857"/>
        <v>8092.66129</v>
      </c>
      <c r="AB842" s="115"/>
      <c r="AC842" s="212">
        <f t="shared" si="772"/>
        <v>7364.0625</v>
      </c>
      <c r="AD842" s="213">
        <f t="shared" si="799"/>
        <v>7918.346774</v>
      </c>
      <c r="AE842" s="212"/>
      <c r="AF842" s="212" t="str">
        <f t="shared" si="94"/>
        <v>#REF!</v>
      </c>
      <c r="AG842" s="210" t="str">
        <f t="shared" si="95"/>
        <v>#REF!</v>
      </c>
      <c r="AH842" s="120" t="str">
        <f t="shared" si="96"/>
        <v>#REF!</v>
      </c>
      <c r="AI842" s="121">
        <f t="shared" si="497"/>
        <v>0.07</v>
      </c>
      <c r="AJ842" s="121">
        <v>0.07</v>
      </c>
      <c r="AK842" s="418">
        <v>0.36</v>
      </c>
      <c r="AL842" s="123">
        <f t="shared" si="11"/>
        <v>2651.0625</v>
      </c>
      <c r="AM842" s="419" t="s">
        <v>13</v>
      </c>
      <c r="AN842" s="111">
        <f t="shared" si="858"/>
        <v>7143.140625</v>
      </c>
      <c r="AO842" s="402">
        <f t="shared" si="775"/>
        <v>0.3402061856</v>
      </c>
      <c r="AP842" s="127"/>
      <c r="AQ842" s="128">
        <f t="shared" si="859"/>
        <v>5395.107527</v>
      </c>
      <c r="AR842" s="125">
        <f t="shared" si="860"/>
        <v>5067.741935</v>
      </c>
      <c r="AS842" s="405">
        <f t="shared" si="733"/>
        <v>0.3333333333</v>
      </c>
      <c r="AT842" s="405">
        <f t="shared" si="777"/>
        <v>0.311827957</v>
      </c>
      <c r="AU842" s="129"/>
      <c r="AV842" s="39" t="s">
        <v>149</v>
      </c>
      <c r="AW842" s="416"/>
      <c r="AX842" s="416"/>
      <c r="AY842" s="420">
        <v>2401.0</v>
      </c>
      <c r="AZ842" s="214"/>
      <c r="BA842" s="214"/>
      <c r="BB842" s="227"/>
      <c r="BC842" s="137">
        <f t="shared" si="861"/>
        <v>4363</v>
      </c>
      <c r="BD842" s="132">
        <f t="shared" si="862"/>
        <v>4713</v>
      </c>
      <c r="BE842" s="215"/>
      <c r="BF842" s="48"/>
      <c r="BG842" s="49"/>
      <c r="BH842" s="224"/>
      <c r="BI842" s="224"/>
      <c r="BJ842" s="224"/>
      <c r="BK842" s="224"/>
      <c r="BL842" s="49"/>
      <c r="BM842" s="49"/>
      <c r="BN842" s="49"/>
      <c r="BO842" s="49"/>
      <c r="BP842" s="49"/>
      <c r="BQ842" s="49"/>
      <c r="BR842" s="49"/>
      <c r="BS842" s="49"/>
      <c r="BT842" s="49"/>
      <c r="BU842" s="49"/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</row>
    <row r="843" ht="14.25" customHeight="1">
      <c r="A843" s="103" t="s">
        <v>84</v>
      </c>
      <c r="B843" s="103" t="s">
        <v>85</v>
      </c>
      <c r="C843" s="103" t="s">
        <v>85</v>
      </c>
      <c r="D843" s="103" t="s">
        <v>86</v>
      </c>
      <c r="E843" s="109" t="s">
        <v>2969</v>
      </c>
      <c r="F843" s="105" t="s">
        <v>2970</v>
      </c>
      <c r="G843" s="110"/>
      <c r="H843" s="110"/>
      <c r="I843" s="409"/>
      <c r="J843" s="417" t="s">
        <v>3002</v>
      </c>
      <c r="K843" s="410" t="str">
        <f>_xlfn.XLOOKUP(J843,[1]Sheet1!$A:$A,[1]Sheet1!$B:$B,"")</f>
        <v>#ERROR!</v>
      </c>
      <c r="L843" s="109" t="s">
        <v>3003</v>
      </c>
      <c r="M843" s="109" t="s">
        <v>3004</v>
      </c>
      <c r="N843" s="110" t="s">
        <v>201</v>
      </c>
      <c r="O843" s="109" t="s">
        <v>147</v>
      </c>
      <c r="P843" s="106">
        <v>430.0</v>
      </c>
      <c r="Q843" s="109"/>
      <c r="R843" s="106"/>
      <c r="S843" s="106">
        <v>1.0</v>
      </c>
      <c r="T843" s="110"/>
      <c r="U843" s="106" t="s">
        <v>2974</v>
      </c>
      <c r="V843" s="112">
        <v>0.0</v>
      </c>
      <c r="W843" s="106">
        <v>45.0</v>
      </c>
      <c r="X843" s="106">
        <v>45.0</v>
      </c>
      <c r="Y843" s="113">
        <v>14.0</v>
      </c>
      <c r="Z843" s="113" t="s">
        <v>148</v>
      </c>
      <c r="AA843" s="114">
        <f t="shared" si="857"/>
        <v>15751.29032</v>
      </c>
      <c r="AB843" s="115"/>
      <c r="AC843" s="212">
        <f t="shared" si="772"/>
        <v>13815.625</v>
      </c>
      <c r="AD843" s="213">
        <f t="shared" si="799"/>
        <v>14855.51075</v>
      </c>
      <c r="AE843" s="212"/>
      <c r="AF843" s="212" t="str">
        <f t="shared" si="94"/>
        <v>#REF!</v>
      </c>
      <c r="AG843" s="210" t="str">
        <f t="shared" si="95"/>
        <v>#REF!</v>
      </c>
      <c r="AH843" s="120" t="str">
        <f t="shared" si="96"/>
        <v>#REF!</v>
      </c>
      <c r="AI843" s="121">
        <f t="shared" si="497"/>
        <v>0.07</v>
      </c>
      <c r="AJ843" s="121">
        <v>0.07</v>
      </c>
      <c r="AK843" s="418">
        <v>0.36</v>
      </c>
      <c r="AL843" s="123">
        <f t="shared" si="11"/>
        <v>4973.625</v>
      </c>
      <c r="AM843" s="419" t="s">
        <v>13</v>
      </c>
      <c r="AN843" s="111">
        <f t="shared" si="858"/>
        <v>13401.15625</v>
      </c>
      <c r="AO843" s="402">
        <f t="shared" si="775"/>
        <v>0.3402061856</v>
      </c>
      <c r="AP843" s="127"/>
      <c r="AQ843" s="128">
        <f t="shared" si="859"/>
        <v>10500.86022</v>
      </c>
      <c r="AR843" s="125">
        <f t="shared" si="860"/>
        <v>9507.526882</v>
      </c>
      <c r="AS843" s="405">
        <f t="shared" si="733"/>
        <v>0.3333333333</v>
      </c>
      <c r="AT843" s="405">
        <f t="shared" si="777"/>
        <v>0.311827957</v>
      </c>
      <c r="AU843" s="129"/>
      <c r="AV843" s="39" t="s">
        <v>149</v>
      </c>
      <c r="AW843" s="416"/>
      <c r="AX843" s="416"/>
      <c r="AY843" s="420">
        <v>4622.0</v>
      </c>
      <c r="AZ843" s="214"/>
      <c r="BA843" s="214"/>
      <c r="BB843" s="227"/>
      <c r="BC843" s="137">
        <f t="shared" si="861"/>
        <v>8492</v>
      </c>
      <c r="BD843" s="132">
        <f t="shared" si="862"/>
        <v>8842</v>
      </c>
      <c r="BE843" s="215"/>
      <c r="BF843" s="48"/>
      <c r="BG843" s="49"/>
      <c r="BH843" s="224"/>
      <c r="BI843" s="224"/>
      <c r="BJ843" s="224"/>
      <c r="BK843" s="224"/>
      <c r="BL843" s="49"/>
      <c r="BM843" s="49"/>
      <c r="BN843" s="49"/>
      <c r="BO843" s="49"/>
      <c r="BP843" s="49"/>
      <c r="BQ843" s="49"/>
      <c r="BR843" s="49"/>
      <c r="BS843" s="49"/>
      <c r="BT843" s="49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</row>
    <row r="844" ht="14.25" customHeight="1">
      <c r="A844" s="103" t="s">
        <v>84</v>
      </c>
      <c r="B844" s="103" t="s">
        <v>85</v>
      </c>
      <c r="C844" s="103" t="s">
        <v>85</v>
      </c>
      <c r="D844" s="103" t="s">
        <v>86</v>
      </c>
      <c r="E844" s="109" t="s">
        <v>2969</v>
      </c>
      <c r="F844" s="105" t="s">
        <v>2970</v>
      </c>
      <c r="G844" s="110"/>
      <c r="H844" s="110"/>
      <c r="I844" s="409"/>
      <c r="J844" s="410" t="s">
        <v>3005</v>
      </c>
      <c r="K844" s="410" t="str">
        <f>_xlfn.XLOOKUP(J844,[1]Sheet1!$A:$A,[1]Sheet1!$B:$B,"")</f>
        <v>#ERROR!</v>
      </c>
      <c r="L844" s="109" t="s">
        <v>3006</v>
      </c>
      <c r="M844" s="109" t="s">
        <v>3007</v>
      </c>
      <c r="N844" s="110" t="s">
        <v>201</v>
      </c>
      <c r="O844" s="109" t="s">
        <v>147</v>
      </c>
      <c r="P844" s="106">
        <v>118.0</v>
      </c>
      <c r="Q844" s="109"/>
      <c r="R844" s="106"/>
      <c r="S844" s="106">
        <v>1.0</v>
      </c>
      <c r="T844" s="110"/>
      <c r="U844" s="106" t="s">
        <v>2974</v>
      </c>
      <c r="V844" s="112">
        <v>0.0</v>
      </c>
      <c r="W844" s="106">
        <v>45.0</v>
      </c>
      <c r="X844" s="106">
        <v>45.0</v>
      </c>
      <c r="Y844" s="113">
        <v>14.0</v>
      </c>
      <c r="Z844" s="113" t="s">
        <v>148</v>
      </c>
      <c r="AA844" s="114">
        <f t="shared" si="857"/>
        <v>4876.971831</v>
      </c>
      <c r="AB844" s="115"/>
      <c r="AC844" s="212">
        <f t="shared" si="772"/>
        <v>4604.109589</v>
      </c>
      <c r="AD844" s="213">
        <f t="shared" si="799"/>
        <v>4950.655472</v>
      </c>
      <c r="AE844" s="212"/>
      <c r="AF844" s="212" t="str">
        <f t="shared" si="94"/>
        <v>#REF!</v>
      </c>
      <c r="AG844" s="210" t="str">
        <f t="shared" si="95"/>
        <v>#REF!</v>
      </c>
      <c r="AH844" s="120" t="str">
        <f t="shared" si="96"/>
        <v>#REF!</v>
      </c>
      <c r="AI844" s="121">
        <f t="shared" si="497"/>
        <v>0.07</v>
      </c>
      <c r="AJ844" s="121">
        <v>0.07</v>
      </c>
      <c r="AK844" s="418">
        <v>0.27</v>
      </c>
      <c r="AL844" s="123">
        <f t="shared" si="11"/>
        <v>1243.109589</v>
      </c>
      <c r="AM844" s="419" t="s">
        <v>13</v>
      </c>
      <c r="AN844" s="111">
        <f t="shared" si="858"/>
        <v>4465.986301</v>
      </c>
      <c r="AO844" s="402">
        <f t="shared" si="775"/>
        <v>0.2474226804</v>
      </c>
      <c r="AP844" s="127"/>
      <c r="AQ844" s="128">
        <f t="shared" si="859"/>
        <v>3723.27957</v>
      </c>
      <c r="AR844" s="125">
        <f t="shared" si="860"/>
        <v>3613.978495</v>
      </c>
      <c r="AS844" s="405">
        <f t="shared" si="733"/>
        <v>0.2365591398</v>
      </c>
      <c r="AT844" s="405">
        <f t="shared" si="777"/>
        <v>0.2150537634</v>
      </c>
      <c r="AU844" s="129"/>
      <c r="AV844" s="39" t="s">
        <v>149</v>
      </c>
      <c r="AW844" s="416"/>
      <c r="AX844" s="416"/>
      <c r="AY844" s="421">
        <v>1949.0</v>
      </c>
      <c r="AZ844" s="214"/>
      <c r="BA844" s="214"/>
      <c r="BB844" s="227"/>
      <c r="BC844" s="137">
        <f t="shared" si="861"/>
        <v>3011</v>
      </c>
      <c r="BD844" s="132">
        <f t="shared" si="862"/>
        <v>3361</v>
      </c>
      <c r="BE844" s="215"/>
      <c r="BF844" s="48"/>
      <c r="BG844" s="49"/>
      <c r="BH844" s="224">
        <f t="shared" ref="BH844:BH881" si="863">AC844/0.3</f>
        <v>15347.03196</v>
      </c>
      <c r="BI844" s="224">
        <f t="shared" ref="BI844:BI881" si="864">BH844*0.6</f>
        <v>9208.219178</v>
      </c>
      <c r="BJ844" s="224">
        <f t="shared" ref="BJ844:BJ881" si="865">BH844*0.5</f>
        <v>7673.515982</v>
      </c>
      <c r="BK844" s="224">
        <f t="shared" ref="BK844:BK881" si="866">BH844*0.4</f>
        <v>6138.812785</v>
      </c>
      <c r="BL844" s="49"/>
      <c r="BM844" s="49"/>
      <c r="BN844" s="49"/>
      <c r="BO844" s="49"/>
      <c r="BP844" s="49"/>
      <c r="BQ844" s="49"/>
      <c r="BR844" s="49"/>
      <c r="BS844" s="49"/>
      <c r="BT844" s="49"/>
      <c r="BU844" s="49"/>
      <c r="BV844" s="49"/>
      <c r="BW844" s="49"/>
      <c r="BX844" s="49"/>
      <c r="BY844" s="49"/>
      <c r="BZ844" s="49"/>
      <c r="CA844" s="49"/>
      <c r="CB844" s="49"/>
      <c r="CC844" s="49"/>
      <c r="CD844" s="49"/>
      <c r="CE844" s="49"/>
      <c r="CF844" s="49"/>
    </row>
    <row r="845" ht="14.25" customHeight="1">
      <c r="A845" s="103" t="s">
        <v>84</v>
      </c>
      <c r="B845" s="103" t="s">
        <v>85</v>
      </c>
      <c r="C845" s="103" t="s">
        <v>85</v>
      </c>
      <c r="D845" s="103" t="s">
        <v>86</v>
      </c>
      <c r="E845" s="109" t="s">
        <v>2969</v>
      </c>
      <c r="F845" s="105" t="s">
        <v>2970</v>
      </c>
      <c r="G845" s="110"/>
      <c r="H845" s="110"/>
      <c r="I845" s="409"/>
      <c r="J845" s="410" t="s">
        <v>3008</v>
      </c>
      <c r="K845" s="410" t="str">
        <f>_xlfn.XLOOKUP(J845,[1]Sheet1!$A:$A,[1]Sheet1!$B:$B,"")</f>
        <v>#ERROR!</v>
      </c>
      <c r="L845" s="109" t="s">
        <v>3009</v>
      </c>
      <c r="M845" s="109" t="s">
        <v>3010</v>
      </c>
      <c r="N845" s="110" t="s">
        <v>201</v>
      </c>
      <c r="O845" s="109" t="s">
        <v>147</v>
      </c>
      <c r="P845" s="106">
        <v>194.0</v>
      </c>
      <c r="Q845" s="109"/>
      <c r="R845" s="106"/>
      <c r="S845" s="106">
        <v>1.0</v>
      </c>
      <c r="T845" s="110"/>
      <c r="U845" s="106" t="s">
        <v>2974</v>
      </c>
      <c r="V845" s="112">
        <v>0.0</v>
      </c>
      <c r="W845" s="106">
        <v>45.0</v>
      </c>
      <c r="X845" s="106">
        <v>45.0</v>
      </c>
      <c r="Y845" s="113">
        <v>14.0</v>
      </c>
      <c r="Z845" s="113" t="s">
        <v>148</v>
      </c>
      <c r="AA845" s="114">
        <f t="shared" si="857"/>
        <v>7082.739726</v>
      </c>
      <c r="AB845" s="115"/>
      <c r="AC845" s="212">
        <f t="shared" si="772"/>
        <v>6461.333333</v>
      </c>
      <c r="AD845" s="213">
        <f t="shared" si="799"/>
        <v>6947.670251</v>
      </c>
      <c r="AE845" s="212"/>
      <c r="AF845" s="212" t="str">
        <f t="shared" si="94"/>
        <v>#REF!</v>
      </c>
      <c r="AG845" s="210" t="str">
        <f t="shared" si="95"/>
        <v>#REF!</v>
      </c>
      <c r="AH845" s="120" t="str">
        <f t="shared" si="96"/>
        <v>#REF!</v>
      </c>
      <c r="AI845" s="121">
        <f t="shared" si="497"/>
        <v>0.07</v>
      </c>
      <c r="AJ845" s="121">
        <v>0.07</v>
      </c>
      <c r="AK845" s="418">
        <v>0.25</v>
      </c>
      <c r="AL845" s="123">
        <f t="shared" si="11"/>
        <v>1615.333333</v>
      </c>
      <c r="AM845" s="419" t="s">
        <v>13</v>
      </c>
      <c r="AN845" s="111">
        <f t="shared" si="858"/>
        <v>6267.493333</v>
      </c>
      <c r="AO845" s="402">
        <f t="shared" si="775"/>
        <v>0.2268041237</v>
      </c>
      <c r="AP845" s="127"/>
      <c r="AQ845" s="128">
        <f t="shared" si="859"/>
        <v>5559.569892</v>
      </c>
      <c r="AR845" s="125">
        <f t="shared" si="860"/>
        <v>5210.752688</v>
      </c>
      <c r="AS845" s="405">
        <f t="shared" si="733"/>
        <v>0.2150537634</v>
      </c>
      <c r="AT845" s="405">
        <f t="shared" si="777"/>
        <v>0.1935483871</v>
      </c>
      <c r="AU845" s="129"/>
      <c r="AV845" s="39" t="s">
        <v>149</v>
      </c>
      <c r="AW845" s="416"/>
      <c r="AX845" s="416"/>
      <c r="AY845" s="421">
        <v>2750.0</v>
      </c>
      <c r="AZ845" s="214"/>
      <c r="BA845" s="214"/>
      <c r="BB845" s="227"/>
      <c r="BC845" s="137">
        <f t="shared" si="861"/>
        <v>4496</v>
      </c>
      <c r="BD845" s="132">
        <f t="shared" si="862"/>
        <v>4846</v>
      </c>
      <c r="BE845" s="215"/>
      <c r="BF845" s="48"/>
      <c r="BG845" s="49"/>
      <c r="BH845" s="224">
        <f t="shared" si="863"/>
        <v>21537.77778</v>
      </c>
      <c r="BI845" s="224">
        <f t="shared" si="864"/>
        <v>12922.66667</v>
      </c>
      <c r="BJ845" s="224">
        <f t="shared" si="865"/>
        <v>10768.88889</v>
      </c>
      <c r="BK845" s="224">
        <f t="shared" si="866"/>
        <v>8615.111111</v>
      </c>
      <c r="BL845" s="49"/>
      <c r="BM845" s="49"/>
      <c r="BN845" s="49"/>
      <c r="BO845" s="49"/>
      <c r="BP845" s="49"/>
      <c r="BQ845" s="49"/>
      <c r="BR845" s="49"/>
      <c r="BS845" s="49"/>
      <c r="BT845" s="49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</row>
    <row r="846" ht="14.25" customHeight="1">
      <c r="A846" s="103" t="s">
        <v>84</v>
      </c>
      <c r="B846" s="103" t="s">
        <v>85</v>
      </c>
      <c r="C846" s="103" t="s">
        <v>85</v>
      </c>
      <c r="D846" s="103" t="s">
        <v>86</v>
      </c>
      <c r="E846" s="109" t="s">
        <v>2969</v>
      </c>
      <c r="F846" s="105" t="s">
        <v>2970</v>
      </c>
      <c r="G846" s="110"/>
      <c r="H846" s="110"/>
      <c r="I846" s="409"/>
      <c r="J846" s="410" t="s">
        <v>3011</v>
      </c>
      <c r="K846" s="410" t="str">
        <f>_xlfn.XLOOKUP(J846,[1]Sheet1!$A:$A,[1]Sheet1!$B:$B,"")</f>
        <v>#ERROR!</v>
      </c>
      <c r="L846" s="109" t="s">
        <v>3012</v>
      </c>
      <c r="M846" s="109" t="s">
        <v>3013</v>
      </c>
      <c r="N846" s="110" t="s">
        <v>201</v>
      </c>
      <c r="O846" s="109" t="s">
        <v>147</v>
      </c>
      <c r="P846" s="106">
        <v>348.0</v>
      </c>
      <c r="Q846" s="109"/>
      <c r="R846" s="106"/>
      <c r="S846" s="106">
        <v>1.0</v>
      </c>
      <c r="T846" s="110"/>
      <c r="U846" s="106" t="s">
        <v>2974</v>
      </c>
      <c r="V846" s="112">
        <v>0.0</v>
      </c>
      <c r="W846" s="106">
        <v>45.0</v>
      </c>
      <c r="X846" s="106">
        <v>45.0</v>
      </c>
      <c r="Y846" s="113">
        <v>14.0</v>
      </c>
      <c r="Z846" s="113" t="s">
        <v>148</v>
      </c>
      <c r="AA846" s="114">
        <f t="shared" si="857"/>
        <v>11547.26027</v>
      </c>
      <c r="AB846" s="115"/>
      <c r="AC846" s="212">
        <f t="shared" si="772"/>
        <v>10240</v>
      </c>
      <c r="AD846" s="213">
        <f t="shared" si="799"/>
        <v>11010.75269</v>
      </c>
      <c r="AE846" s="212"/>
      <c r="AF846" s="212" t="str">
        <f t="shared" si="94"/>
        <v>#REF!</v>
      </c>
      <c r="AG846" s="210" t="str">
        <f t="shared" si="95"/>
        <v>#REF!</v>
      </c>
      <c r="AH846" s="120" t="str">
        <f t="shared" si="96"/>
        <v>#REF!</v>
      </c>
      <c r="AI846" s="121">
        <f t="shared" si="497"/>
        <v>0.07</v>
      </c>
      <c r="AJ846" s="121">
        <v>0.07</v>
      </c>
      <c r="AK846" s="418">
        <v>0.25</v>
      </c>
      <c r="AL846" s="123">
        <f t="shared" si="11"/>
        <v>2560</v>
      </c>
      <c r="AM846" s="419" t="s">
        <v>13</v>
      </c>
      <c r="AN846" s="111">
        <f t="shared" si="858"/>
        <v>9932.8</v>
      </c>
      <c r="AO846" s="402">
        <f t="shared" si="775"/>
        <v>0.2268041237</v>
      </c>
      <c r="AP846" s="127"/>
      <c r="AQ846" s="128">
        <f t="shared" si="859"/>
        <v>9063.978495</v>
      </c>
      <c r="AR846" s="125">
        <f t="shared" si="860"/>
        <v>8258.064516</v>
      </c>
      <c r="AS846" s="405">
        <f t="shared" si="733"/>
        <v>0.2150537634</v>
      </c>
      <c r="AT846" s="405">
        <f t="shared" si="777"/>
        <v>0.1935483871</v>
      </c>
      <c r="AU846" s="129"/>
      <c r="AV846" s="39" t="s">
        <v>149</v>
      </c>
      <c r="AW846" s="416"/>
      <c r="AX846" s="416"/>
      <c r="AY846" s="421">
        <v>4198.0</v>
      </c>
      <c r="AZ846" s="214"/>
      <c r="BA846" s="214"/>
      <c r="BB846" s="227"/>
      <c r="BC846" s="137">
        <f t="shared" si="861"/>
        <v>7330</v>
      </c>
      <c r="BD846" s="132">
        <f t="shared" si="862"/>
        <v>7680</v>
      </c>
      <c r="BE846" s="215"/>
      <c r="BF846" s="48"/>
      <c r="BG846" s="49"/>
      <c r="BH846" s="224">
        <f t="shared" si="863"/>
        <v>34133.33333</v>
      </c>
      <c r="BI846" s="224">
        <f t="shared" si="864"/>
        <v>20480</v>
      </c>
      <c r="BJ846" s="224">
        <f t="shared" si="865"/>
        <v>17066.66667</v>
      </c>
      <c r="BK846" s="224">
        <f t="shared" si="866"/>
        <v>13653.33333</v>
      </c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</row>
    <row r="847" ht="14.25" customHeight="1">
      <c r="A847" s="103" t="s">
        <v>84</v>
      </c>
      <c r="B847" s="103" t="s">
        <v>85</v>
      </c>
      <c r="C847" s="103" t="s">
        <v>85</v>
      </c>
      <c r="D847" s="103" t="s">
        <v>86</v>
      </c>
      <c r="E847" s="109" t="s">
        <v>2969</v>
      </c>
      <c r="F847" s="105" t="s">
        <v>2970</v>
      </c>
      <c r="G847" s="110"/>
      <c r="H847" s="110"/>
      <c r="I847" s="409"/>
      <c r="J847" s="410" t="s">
        <v>3014</v>
      </c>
      <c r="K847" s="410" t="str">
        <f>_xlfn.XLOOKUP(J847,[1]Sheet1!$A:$A,[1]Sheet1!$B:$B,"")</f>
        <v>#ERROR!</v>
      </c>
      <c r="L847" s="109" t="s">
        <v>3015</v>
      </c>
      <c r="M847" s="109" t="s">
        <v>3016</v>
      </c>
      <c r="N847" s="110" t="s">
        <v>201</v>
      </c>
      <c r="O847" s="109" t="s">
        <v>147</v>
      </c>
      <c r="P847" s="106">
        <v>268.0</v>
      </c>
      <c r="Q847" s="109"/>
      <c r="R847" s="106"/>
      <c r="S847" s="106">
        <v>1.0</v>
      </c>
      <c r="T847" s="110"/>
      <c r="U847" s="106" t="s">
        <v>2974</v>
      </c>
      <c r="V847" s="112">
        <v>0.0</v>
      </c>
      <c r="W847" s="106">
        <v>45.0</v>
      </c>
      <c r="X847" s="106">
        <v>45.0</v>
      </c>
      <c r="Y847" s="113">
        <v>14.0</v>
      </c>
      <c r="Z847" s="113" t="s">
        <v>148</v>
      </c>
      <c r="AA847" s="114">
        <f t="shared" si="857"/>
        <v>8669.109589</v>
      </c>
      <c r="AB847" s="115"/>
      <c r="AC847" s="212">
        <f t="shared" si="772"/>
        <v>7804</v>
      </c>
      <c r="AD847" s="213">
        <f t="shared" si="799"/>
        <v>8391.397849</v>
      </c>
      <c r="AE847" s="212"/>
      <c r="AF847" s="212" t="str">
        <f t="shared" si="94"/>
        <v>#REF!</v>
      </c>
      <c r="AG847" s="210" t="str">
        <f t="shared" si="95"/>
        <v>#REF!</v>
      </c>
      <c r="AH847" s="120" t="str">
        <f t="shared" si="96"/>
        <v>#REF!</v>
      </c>
      <c r="AI847" s="121">
        <f t="shared" si="497"/>
        <v>0.07</v>
      </c>
      <c r="AJ847" s="121">
        <v>0.07</v>
      </c>
      <c r="AK847" s="418">
        <v>0.25</v>
      </c>
      <c r="AL847" s="123">
        <f t="shared" si="11"/>
        <v>1951</v>
      </c>
      <c r="AM847" s="419" t="s">
        <v>13</v>
      </c>
      <c r="AN847" s="111">
        <f t="shared" si="858"/>
        <v>7569.88</v>
      </c>
      <c r="AO847" s="402">
        <f t="shared" si="775"/>
        <v>0.2268041237</v>
      </c>
      <c r="AP847" s="127"/>
      <c r="AQ847" s="128">
        <f t="shared" si="859"/>
        <v>6804.784946</v>
      </c>
      <c r="AR847" s="125">
        <f t="shared" si="860"/>
        <v>6293.548387</v>
      </c>
      <c r="AS847" s="405">
        <f t="shared" si="733"/>
        <v>0.2150537634</v>
      </c>
      <c r="AT847" s="405">
        <f t="shared" si="777"/>
        <v>0.1935483871</v>
      </c>
      <c r="AU847" s="129"/>
      <c r="AV847" s="39" t="s">
        <v>149</v>
      </c>
      <c r="AW847" s="416"/>
      <c r="AX847" s="416"/>
      <c r="AY847" s="421">
        <v>3091.0</v>
      </c>
      <c r="AZ847" s="214"/>
      <c r="BA847" s="214"/>
      <c r="BB847" s="227"/>
      <c r="BC847" s="137">
        <f t="shared" si="861"/>
        <v>5503</v>
      </c>
      <c r="BD847" s="132">
        <f t="shared" si="862"/>
        <v>5853</v>
      </c>
      <c r="BE847" s="215"/>
      <c r="BF847" s="48"/>
      <c r="BG847" s="49"/>
      <c r="BH847" s="224">
        <f t="shared" si="863"/>
        <v>26013.33333</v>
      </c>
      <c r="BI847" s="224">
        <f t="shared" si="864"/>
        <v>15608</v>
      </c>
      <c r="BJ847" s="224">
        <f t="shared" si="865"/>
        <v>13006.66667</v>
      </c>
      <c r="BK847" s="224">
        <f t="shared" si="866"/>
        <v>10405.33333</v>
      </c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</row>
    <row r="848" ht="14.25" customHeight="1">
      <c r="A848" s="103" t="s">
        <v>84</v>
      </c>
      <c r="B848" s="103" t="s">
        <v>85</v>
      </c>
      <c r="C848" s="103" t="s">
        <v>85</v>
      </c>
      <c r="D848" s="103" t="s">
        <v>86</v>
      </c>
      <c r="E848" s="109" t="s">
        <v>2969</v>
      </c>
      <c r="F848" s="105" t="s">
        <v>2970</v>
      </c>
      <c r="G848" s="110"/>
      <c r="H848" s="110"/>
      <c r="I848" s="409"/>
      <c r="J848" s="410" t="s">
        <v>3017</v>
      </c>
      <c r="K848" s="410" t="str">
        <f>_xlfn.XLOOKUP(J848,[1]Sheet1!$A:$A,[1]Sheet1!$B:$B,"")</f>
        <v>#ERROR!</v>
      </c>
      <c r="L848" s="109" t="s">
        <v>3018</v>
      </c>
      <c r="M848" s="109" t="s">
        <v>3019</v>
      </c>
      <c r="N848" s="110" t="s">
        <v>201</v>
      </c>
      <c r="O848" s="109" t="s">
        <v>147</v>
      </c>
      <c r="P848" s="106">
        <v>86.9</v>
      </c>
      <c r="Q848" s="109"/>
      <c r="R848" s="106"/>
      <c r="S848" s="106">
        <v>1.0</v>
      </c>
      <c r="T848" s="110"/>
      <c r="U848" s="106" t="s">
        <v>2974</v>
      </c>
      <c r="V848" s="112">
        <v>0.0</v>
      </c>
      <c r="W848" s="106">
        <v>45.0</v>
      </c>
      <c r="X848" s="106">
        <v>45.0</v>
      </c>
      <c r="Y848" s="113">
        <v>14.0</v>
      </c>
      <c r="Z848" s="113" t="s">
        <v>148</v>
      </c>
      <c r="AA848" s="114">
        <f t="shared" si="857"/>
        <v>2805.054795</v>
      </c>
      <c r="AB848" s="115"/>
      <c r="AC848" s="212">
        <f t="shared" si="772"/>
        <v>2840.8</v>
      </c>
      <c r="AD848" s="213">
        <f t="shared" si="799"/>
        <v>3054.623656</v>
      </c>
      <c r="AE848" s="212"/>
      <c r="AF848" s="212" t="str">
        <f t="shared" si="94"/>
        <v>#REF!</v>
      </c>
      <c r="AG848" s="210" t="str">
        <f t="shared" si="95"/>
        <v>#REF!</v>
      </c>
      <c r="AH848" s="120" t="str">
        <f t="shared" si="96"/>
        <v>#REF!</v>
      </c>
      <c r="AI848" s="121">
        <f t="shared" si="497"/>
        <v>0.07</v>
      </c>
      <c r="AJ848" s="121">
        <v>0.07</v>
      </c>
      <c r="AK848" s="418">
        <v>0.25</v>
      </c>
      <c r="AL848" s="123">
        <f t="shared" si="11"/>
        <v>710.2</v>
      </c>
      <c r="AM848" s="419" t="s">
        <v>13</v>
      </c>
      <c r="AN848" s="111">
        <f t="shared" si="858"/>
        <v>2755.576</v>
      </c>
      <c r="AO848" s="402">
        <f t="shared" si="775"/>
        <v>0.2268041237</v>
      </c>
      <c r="AP848" s="127"/>
      <c r="AQ848" s="128">
        <f t="shared" si="859"/>
        <v>2201.817204</v>
      </c>
      <c r="AR848" s="125">
        <f t="shared" si="860"/>
        <v>2290.967742</v>
      </c>
      <c r="AS848" s="405">
        <f t="shared" si="733"/>
        <v>0.2150537634</v>
      </c>
      <c r="AT848" s="405">
        <f t="shared" si="777"/>
        <v>0.1935483871</v>
      </c>
      <c r="AU848" s="129"/>
      <c r="AV848" s="39" t="s">
        <v>149</v>
      </c>
      <c r="AW848" s="416"/>
      <c r="AX848" s="416"/>
      <c r="AY848" s="421">
        <v>998.5</v>
      </c>
      <c r="AZ848" s="214"/>
      <c r="BA848" s="214"/>
      <c r="BB848" s="227"/>
      <c r="BC848" s="137">
        <f t="shared" si="861"/>
        <v>1780.6</v>
      </c>
      <c r="BD848" s="132">
        <f t="shared" si="862"/>
        <v>2130.6</v>
      </c>
      <c r="BE848" s="215"/>
      <c r="BF848" s="48"/>
      <c r="BG848" s="49"/>
      <c r="BH848" s="224">
        <f t="shared" si="863"/>
        <v>9469.333333</v>
      </c>
      <c r="BI848" s="224">
        <f t="shared" si="864"/>
        <v>5681.6</v>
      </c>
      <c r="BJ848" s="224">
        <f t="shared" si="865"/>
        <v>4734.666667</v>
      </c>
      <c r="BK848" s="224">
        <f t="shared" si="866"/>
        <v>3787.733333</v>
      </c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</row>
    <row r="849" ht="14.25" customHeight="1">
      <c r="A849" s="103" t="s">
        <v>84</v>
      </c>
      <c r="B849" s="103" t="s">
        <v>85</v>
      </c>
      <c r="C849" s="103" t="s">
        <v>85</v>
      </c>
      <c r="D849" s="103" t="s">
        <v>1886</v>
      </c>
      <c r="E849" s="109" t="s">
        <v>3020</v>
      </c>
      <c r="F849" s="105" t="s">
        <v>3021</v>
      </c>
      <c r="G849" s="110"/>
      <c r="H849" s="110"/>
      <c r="I849" s="409"/>
      <c r="J849" s="410" t="s">
        <v>3022</v>
      </c>
      <c r="K849" s="108" t="str">
        <f>_xlfn.XLOOKUP(J849,[1]Sheet1!$A:$A,[1]Sheet1!$B:$B,"")</f>
        <v>#ERROR!</v>
      </c>
      <c r="L849" s="109" t="s">
        <v>3023</v>
      </c>
      <c r="M849" s="104"/>
      <c r="N849" s="110"/>
      <c r="O849" s="109" t="s">
        <v>147</v>
      </c>
      <c r="P849" s="106"/>
      <c r="Q849" s="105"/>
      <c r="R849" s="106"/>
      <c r="S849" s="106">
        <v>25.0</v>
      </c>
      <c r="T849" s="110"/>
      <c r="U849" s="106"/>
      <c r="V849" s="112">
        <v>0.0</v>
      </c>
      <c r="W849" s="106">
        <v>30.0</v>
      </c>
      <c r="X849" s="106">
        <v>30.0</v>
      </c>
      <c r="Y849" s="106"/>
      <c r="Z849" s="106" t="s">
        <v>148</v>
      </c>
      <c r="AA849" s="114">
        <f t="shared" ref="AA849:AA850" si="867">AQ849/(1-(AK849+2%))</f>
        <v>52.11988304</v>
      </c>
      <c r="AB849" s="115"/>
      <c r="AC849" s="212">
        <f t="shared" si="772"/>
        <v>57.69230769</v>
      </c>
      <c r="AD849" s="213">
        <f t="shared" si="799"/>
        <v>62.03473945</v>
      </c>
      <c r="AE849" s="212"/>
      <c r="AF849" s="212" t="str">
        <f t="shared" si="94"/>
        <v>#REF!</v>
      </c>
      <c r="AG849" s="210" t="str">
        <f t="shared" si="95"/>
        <v>#REF!</v>
      </c>
      <c r="AH849" s="120" t="str">
        <f t="shared" si="96"/>
        <v>#REF!</v>
      </c>
      <c r="AI849" s="121">
        <f t="shared" si="497"/>
        <v>0.1</v>
      </c>
      <c r="AJ849" s="121">
        <v>0.1</v>
      </c>
      <c r="AK849" s="418">
        <v>0.22</v>
      </c>
      <c r="AL849" s="123">
        <f t="shared" si="11"/>
        <v>12.69230769</v>
      </c>
      <c r="AM849" s="401" t="s">
        <v>6</v>
      </c>
      <c r="AN849" s="111">
        <f t="shared" ref="AN849:AN850" si="868">AC849*(1-$AN$3)</f>
        <v>51.92307692</v>
      </c>
      <c r="AO849" s="402">
        <f t="shared" si="775"/>
        <v>0.1333333333</v>
      </c>
      <c r="AP849" s="127"/>
      <c r="AQ849" s="128">
        <f t="shared" si="859"/>
        <v>39.61111111</v>
      </c>
      <c r="AR849" s="404">
        <f t="shared" si="860"/>
        <v>50</v>
      </c>
      <c r="AS849" s="405">
        <f t="shared" si="733"/>
        <v>0.24</v>
      </c>
      <c r="AT849" s="405">
        <f t="shared" si="777"/>
        <v>0.1333333333</v>
      </c>
      <c r="AU849" s="129"/>
      <c r="AV849" s="225" t="s">
        <v>3024</v>
      </c>
      <c r="AW849" s="416"/>
      <c r="AX849" s="416"/>
      <c r="AY849" s="361"/>
      <c r="AZ849" s="214"/>
      <c r="BA849" s="214"/>
      <c r="BB849" s="227"/>
      <c r="BC849" s="412">
        <v>31.0</v>
      </c>
      <c r="BD849" s="132">
        <f t="shared" si="862"/>
        <v>45</v>
      </c>
      <c r="BE849" s="108" t="s">
        <v>3025</v>
      </c>
      <c r="BF849" s="48"/>
      <c r="BG849" s="49"/>
      <c r="BH849" s="224">
        <f t="shared" si="863"/>
        <v>192.3076923</v>
      </c>
      <c r="BI849" s="224">
        <f t="shared" si="864"/>
        <v>115.3846154</v>
      </c>
      <c r="BJ849" s="224">
        <f t="shared" si="865"/>
        <v>96.15384615</v>
      </c>
      <c r="BK849" s="224">
        <f t="shared" si="866"/>
        <v>76.92307692</v>
      </c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</row>
    <row r="850" ht="14.25" customHeight="1">
      <c r="A850" s="103" t="s">
        <v>84</v>
      </c>
      <c r="B850" s="103" t="s">
        <v>85</v>
      </c>
      <c r="C850" s="103" t="s">
        <v>85</v>
      </c>
      <c r="D850" s="103" t="s">
        <v>1886</v>
      </c>
      <c r="E850" s="109" t="s">
        <v>3020</v>
      </c>
      <c r="F850" s="105" t="s">
        <v>3021</v>
      </c>
      <c r="G850" s="110"/>
      <c r="H850" s="110"/>
      <c r="I850" s="409"/>
      <c r="J850" s="410" t="s">
        <v>3026</v>
      </c>
      <c r="K850" s="108" t="str">
        <f>_xlfn.XLOOKUP(J850,[1]Sheet1!$A:$A,[1]Sheet1!$B:$B,"")</f>
        <v>#ERROR!</v>
      </c>
      <c r="L850" s="109" t="s">
        <v>3027</v>
      </c>
      <c r="M850" s="104"/>
      <c r="N850" s="110"/>
      <c r="O850" s="109" t="s">
        <v>147</v>
      </c>
      <c r="P850" s="106"/>
      <c r="Q850" s="105"/>
      <c r="R850" s="106"/>
      <c r="S850" s="106">
        <v>25.0</v>
      </c>
      <c r="T850" s="110"/>
      <c r="U850" s="106"/>
      <c r="V850" s="112">
        <v>0.0</v>
      </c>
      <c r="W850" s="106">
        <v>30.0</v>
      </c>
      <c r="X850" s="106">
        <v>30.0</v>
      </c>
      <c r="Y850" s="106"/>
      <c r="Z850" s="106" t="s">
        <v>148</v>
      </c>
      <c r="AA850" s="114">
        <f t="shared" si="867"/>
        <v>1.879084967</v>
      </c>
      <c r="AB850" s="115"/>
      <c r="AC850" s="212">
        <f t="shared" si="772"/>
        <v>21.42857143</v>
      </c>
      <c r="AD850" s="213">
        <f t="shared" si="799"/>
        <v>23.04147465</v>
      </c>
      <c r="AE850" s="212"/>
      <c r="AF850" s="212" t="str">
        <f t="shared" si="94"/>
        <v>#REF!</v>
      </c>
      <c r="AG850" s="210" t="str">
        <f t="shared" si="95"/>
        <v>#REF!</v>
      </c>
      <c r="AH850" s="120" t="str">
        <f t="shared" si="96"/>
        <v>#REF!</v>
      </c>
      <c r="AI850" s="121">
        <f t="shared" si="497"/>
        <v>0.1</v>
      </c>
      <c r="AJ850" s="121">
        <v>0.1</v>
      </c>
      <c r="AK850" s="418">
        <v>0.3</v>
      </c>
      <c r="AL850" s="123">
        <f t="shared" si="11"/>
        <v>6.428571429</v>
      </c>
      <c r="AM850" s="401" t="s">
        <v>6</v>
      </c>
      <c r="AN850" s="111">
        <f t="shared" si="868"/>
        <v>19.28571429</v>
      </c>
      <c r="AO850" s="402">
        <f t="shared" si="775"/>
        <v>0.2222222222</v>
      </c>
      <c r="AP850" s="127"/>
      <c r="AQ850" s="128">
        <f t="shared" si="859"/>
        <v>1.277777778</v>
      </c>
      <c r="AR850" s="404">
        <f t="shared" si="860"/>
        <v>16.66666667</v>
      </c>
      <c r="AS850" s="405">
        <f t="shared" si="733"/>
        <v>0.32</v>
      </c>
      <c r="AT850" s="405">
        <f t="shared" si="777"/>
        <v>0.2222222222</v>
      </c>
      <c r="AU850" s="129"/>
      <c r="AV850" s="225" t="s">
        <v>3024</v>
      </c>
      <c r="AW850" s="416"/>
      <c r="AX850" s="416"/>
      <c r="AY850" s="361"/>
      <c r="AZ850" s="214"/>
      <c r="BA850" s="214"/>
      <c r="BB850" s="227"/>
      <c r="BC850" s="412">
        <v>1.0</v>
      </c>
      <c r="BD850" s="132">
        <f t="shared" si="862"/>
        <v>15</v>
      </c>
      <c r="BE850" s="108" t="s">
        <v>3028</v>
      </c>
      <c r="BF850" s="48"/>
      <c r="BG850" s="49"/>
      <c r="BH850" s="224">
        <f t="shared" si="863"/>
        <v>71.42857143</v>
      </c>
      <c r="BI850" s="224">
        <f t="shared" si="864"/>
        <v>42.85714286</v>
      </c>
      <c r="BJ850" s="224">
        <f t="shared" si="865"/>
        <v>35.71428571</v>
      </c>
      <c r="BK850" s="224">
        <f t="shared" si="866"/>
        <v>28.57142857</v>
      </c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</row>
    <row r="851" ht="14.25" customHeight="1">
      <c r="A851" s="103" t="s">
        <v>84</v>
      </c>
      <c r="B851" s="103" t="s">
        <v>120</v>
      </c>
      <c r="C851" s="103" t="s">
        <v>120</v>
      </c>
      <c r="D851" s="103" t="s">
        <v>1886</v>
      </c>
      <c r="E851" s="109" t="s">
        <v>2920</v>
      </c>
      <c r="F851" s="105" t="s">
        <v>3029</v>
      </c>
      <c r="G851" s="110"/>
      <c r="H851" s="110"/>
      <c r="I851" s="409"/>
      <c r="J851" s="410" t="s">
        <v>3030</v>
      </c>
      <c r="K851" s="410" t="str">
        <f>_xlfn.XLOOKUP(J851,[1]Sheet1!$A:$A,[1]Sheet1!$B:$B,"")</f>
        <v>#ERROR!</v>
      </c>
      <c r="L851" s="109" t="s">
        <v>3031</v>
      </c>
      <c r="M851" s="104" t="s">
        <v>3032</v>
      </c>
      <c r="N851" s="110"/>
      <c r="O851" s="109" t="s">
        <v>95</v>
      </c>
      <c r="P851" s="106"/>
      <c r="Q851" s="105" t="s">
        <v>2924</v>
      </c>
      <c r="R851" s="250" t="s">
        <v>3033</v>
      </c>
      <c r="S851" s="250" t="s">
        <v>2926</v>
      </c>
      <c r="T851" s="110"/>
      <c r="U851" s="106">
        <v>9.403208E9</v>
      </c>
      <c r="V851" s="112">
        <v>0.0</v>
      </c>
      <c r="W851" s="106">
        <v>45.0</v>
      </c>
      <c r="X851" s="106">
        <v>45.0</v>
      </c>
      <c r="Y851" s="113"/>
      <c r="Z851" s="113" t="s">
        <v>148</v>
      </c>
      <c r="AA851" s="114">
        <f t="shared" ref="AA851:AA864" si="870">BC851/(1-(AK851+2%))</f>
        <v>60.17391304</v>
      </c>
      <c r="AB851" s="115"/>
      <c r="AC851" s="212">
        <f t="shared" si="772"/>
        <v>64.93570116</v>
      </c>
      <c r="AD851" s="213">
        <f t="shared" si="799"/>
        <v>69.82333458</v>
      </c>
      <c r="AE851" s="212"/>
      <c r="AF851" s="212" t="str">
        <f t="shared" si="94"/>
        <v>#REF!</v>
      </c>
      <c r="AG851" s="210" t="str">
        <f t="shared" si="95"/>
        <v>#REF!</v>
      </c>
      <c r="AH851" s="120" t="str">
        <f t="shared" si="96"/>
        <v>#REF!</v>
      </c>
      <c r="AI851" s="399">
        <f t="shared" si="497"/>
        <v>0.1</v>
      </c>
      <c r="AJ851" s="399">
        <v>0.1</v>
      </c>
      <c r="AK851" s="400">
        <v>0.29000000000000004</v>
      </c>
      <c r="AL851" s="123">
        <f t="shared" si="11"/>
        <v>18.83135334</v>
      </c>
      <c r="AM851" s="401" t="s">
        <v>10</v>
      </c>
      <c r="AN851" s="125">
        <f t="shared" ref="AN851:AN880" si="871">AC851</f>
        <v>64.93570116</v>
      </c>
      <c r="AO851" s="402">
        <f t="shared" si="775"/>
        <v>0.29</v>
      </c>
      <c r="AP851" s="127"/>
      <c r="AQ851" s="403">
        <f t="shared" ref="AQ851:AR851" si="869">BC851/(1-AI851)</f>
        <v>46.13333333</v>
      </c>
      <c r="AR851" s="404">
        <f t="shared" si="869"/>
        <v>51.22705314</v>
      </c>
      <c r="AS851" s="405">
        <f t="shared" si="733"/>
        <v>0.2333333333</v>
      </c>
      <c r="AT851" s="405">
        <f t="shared" si="777"/>
        <v>0.2111111111</v>
      </c>
      <c r="AU851" s="129">
        <v>49.28</v>
      </c>
      <c r="AV851" s="48" t="s">
        <v>2927</v>
      </c>
      <c r="AW851" s="411"/>
      <c r="AX851" s="411"/>
      <c r="AY851" s="134"/>
      <c r="AZ851" s="214"/>
      <c r="BA851" s="214"/>
      <c r="BB851" s="227"/>
      <c r="BC851" s="412">
        <v>41.519999999999996</v>
      </c>
      <c r="BD851" s="132">
        <f t="shared" ref="BD851:BD856" si="873">(BC851/$F$6)+($F$8/300)+BC851*V851</f>
        <v>46.10434783</v>
      </c>
      <c r="BE851" s="422"/>
      <c r="BF851" s="48"/>
      <c r="BG851" s="49"/>
      <c r="BH851" s="224">
        <f t="shared" si="863"/>
        <v>216.4523372</v>
      </c>
      <c r="BI851" s="224">
        <f t="shared" si="864"/>
        <v>129.8714023</v>
      </c>
      <c r="BJ851" s="224">
        <f t="shared" si="865"/>
        <v>108.2261686</v>
      </c>
      <c r="BK851" s="224">
        <f t="shared" si="866"/>
        <v>86.58093488</v>
      </c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</row>
    <row r="852" ht="14.25" customHeight="1">
      <c r="A852" s="103" t="s">
        <v>84</v>
      </c>
      <c r="B852" s="103" t="s">
        <v>120</v>
      </c>
      <c r="C852" s="103" t="s">
        <v>120</v>
      </c>
      <c r="D852" s="103" t="s">
        <v>1886</v>
      </c>
      <c r="E852" s="109" t="s">
        <v>2920</v>
      </c>
      <c r="F852" s="105" t="s">
        <v>3029</v>
      </c>
      <c r="G852" s="110"/>
      <c r="H852" s="110"/>
      <c r="I852" s="409"/>
      <c r="J852" s="410" t="s">
        <v>3034</v>
      </c>
      <c r="K852" s="410" t="str">
        <f>_xlfn.XLOOKUP(J852,[1]Sheet1!$A:$A,[1]Sheet1!$B:$B,"")</f>
        <v>#ERROR!</v>
      </c>
      <c r="L852" s="109" t="s">
        <v>3035</v>
      </c>
      <c r="M852" s="104" t="s">
        <v>3036</v>
      </c>
      <c r="N852" s="110"/>
      <c r="O852" s="109" t="s">
        <v>95</v>
      </c>
      <c r="P852" s="106"/>
      <c r="Q852" s="105" t="s">
        <v>2924</v>
      </c>
      <c r="R852" s="407"/>
      <c r="S852" s="407"/>
      <c r="T852" s="110"/>
      <c r="U852" s="106">
        <v>9.403208E9</v>
      </c>
      <c r="V852" s="112">
        <v>0.0</v>
      </c>
      <c r="W852" s="106">
        <v>45.0</v>
      </c>
      <c r="X852" s="106">
        <v>45.0</v>
      </c>
      <c r="Y852" s="113"/>
      <c r="Z852" s="113" t="s">
        <v>148</v>
      </c>
      <c r="AA852" s="114">
        <f t="shared" si="870"/>
        <v>69.13043478</v>
      </c>
      <c r="AB852" s="115"/>
      <c r="AC852" s="212">
        <f t="shared" si="772"/>
        <v>72.50459277</v>
      </c>
      <c r="AD852" s="213">
        <f t="shared" si="799"/>
        <v>77.96192771</v>
      </c>
      <c r="AE852" s="212"/>
      <c r="AF852" s="212" t="str">
        <f t="shared" si="94"/>
        <v>#REF!</v>
      </c>
      <c r="AG852" s="210" t="str">
        <f t="shared" si="95"/>
        <v>#REF!</v>
      </c>
      <c r="AH852" s="120" t="str">
        <f t="shared" si="96"/>
        <v>#REF!</v>
      </c>
      <c r="AI852" s="399">
        <f t="shared" si="497"/>
        <v>0.1</v>
      </c>
      <c r="AJ852" s="399">
        <v>0.1</v>
      </c>
      <c r="AK852" s="400">
        <v>0.29000000000000004</v>
      </c>
      <c r="AL852" s="123">
        <f t="shared" si="11"/>
        <v>21.0263319</v>
      </c>
      <c r="AM852" s="401" t="s">
        <v>10</v>
      </c>
      <c r="AN852" s="125">
        <f t="shared" si="871"/>
        <v>72.50459277</v>
      </c>
      <c r="AO852" s="402">
        <f t="shared" si="775"/>
        <v>0.29</v>
      </c>
      <c r="AP852" s="127"/>
      <c r="AQ852" s="403">
        <f t="shared" ref="AQ852:AR852" si="872">BC852/(1-AI852)</f>
        <v>53</v>
      </c>
      <c r="AR852" s="404">
        <f t="shared" si="872"/>
        <v>57.19806763</v>
      </c>
      <c r="AS852" s="405">
        <f t="shared" si="733"/>
        <v>0.2333333333</v>
      </c>
      <c r="AT852" s="405">
        <f t="shared" si="777"/>
        <v>0.2111111111</v>
      </c>
      <c r="AU852" s="129">
        <v>56.62</v>
      </c>
      <c r="AV852" s="48" t="s">
        <v>2927</v>
      </c>
      <c r="AW852" s="411"/>
      <c r="AX852" s="411"/>
      <c r="AY852" s="134"/>
      <c r="AZ852" s="214"/>
      <c r="BA852" s="214"/>
      <c r="BB852" s="227"/>
      <c r="BC852" s="412">
        <v>47.699999999999996</v>
      </c>
      <c r="BD852" s="132">
        <f t="shared" si="873"/>
        <v>51.47826087</v>
      </c>
      <c r="BE852" s="422"/>
      <c r="BF852" s="48"/>
      <c r="BG852" s="49"/>
      <c r="BH852" s="224">
        <f t="shared" si="863"/>
        <v>241.6819759</v>
      </c>
      <c r="BI852" s="224">
        <f t="shared" si="864"/>
        <v>145.0091855</v>
      </c>
      <c r="BJ852" s="224">
        <f t="shared" si="865"/>
        <v>120.840988</v>
      </c>
      <c r="BK852" s="224">
        <f t="shared" si="866"/>
        <v>96.67279037</v>
      </c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</row>
    <row r="853" ht="14.25" customHeight="1">
      <c r="A853" s="103" t="s">
        <v>84</v>
      </c>
      <c r="B853" s="103" t="s">
        <v>120</v>
      </c>
      <c r="C853" s="103" t="s">
        <v>120</v>
      </c>
      <c r="D853" s="103" t="s">
        <v>1886</v>
      </c>
      <c r="E853" s="109" t="s">
        <v>2920</v>
      </c>
      <c r="F853" s="105" t="s">
        <v>3029</v>
      </c>
      <c r="G853" s="110"/>
      <c r="H853" s="110"/>
      <c r="I853" s="409"/>
      <c r="J853" s="410" t="s">
        <v>3037</v>
      </c>
      <c r="K853" s="410" t="str">
        <f>_xlfn.XLOOKUP(J853,[1]Sheet1!$A:$A,[1]Sheet1!$B:$B,"")</f>
        <v>#ERROR!</v>
      </c>
      <c r="L853" s="109" t="s">
        <v>3038</v>
      </c>
      <c r="M853" s="104" t="s">
        <v>3039</v>
      </c>
      <c r="N853" s="110"/>
      <c r="O853" s="109" t="s">
        <v>95</v>
      </c>
      <c r="P853" s="106"/>
      <c r="Q853" s="105" t="s">
        <v>2924</v>
      </c>
      <c r="R853" s="407"/>
      <c r="S853" s="407"/>
      <c r="T853" s="110"/>
      <c r="U853" s="106">
        <v>9.403208E9</v>
      </c>
      <c r="V853" s="112">
        <v>0.0</v>
      </c>
      <c r="W853" s="106">
        <v>45.0</v>
      </c>
      <c r="X853" s="106">
        <v>45.0</v>
      </c>
      <c r="Y853" s="113"/>
      <c r="Z853" s="113" t="s">
        <v>148</v>
      </c>
      <c r="AA853" s="114">
        <f t="shared" si="870"/>
        <v>78.05797101</v>
      </c>
      <c r="AB853" s="115"/>
      <c r="AC853" s="212">
        <f t="shared" si="772"/>
        <v>80.04898959</v>
      </c>
      <c r="AD853" s="213">
        <f t="shared" si="799"/>
        <v>86.07418235</v>
      </c>
      <c r="AE853" s="212"/>
      <c r="AF853" s="212" t="str">
        <f t="shared" si="94"/>
        <v>#REF!</v>
      </c>
      <c r="AG853" s="210" t="str">
        <f t="shared" si="95"/>
        <v>#REF!</v>
      </c>
      <c r="AH853" s="120" t="str">
        <f t="shared" si="96"/>
        <v>#REF!</v>
      </c>
      <c r="AI853" s="399">
        <f t="shared" si="497"/>
        <v>0.1</v>
      </c>
      <c r="AJ853" s="399">
        <v>0.1</v>
      </c>
      <c r="AK853" s="400">
        <v>0.29000000000000004</v>
      </c>
      <c r="AL853" s="123">
        <f t="shared" si="11"/>
        <v>23.21420698</v>
      </c>
      <c r="AM853" s="401" t="s">
        <v>10</v>
      </c>
      <c r="AN853" s="125">
        <f t="shared" si="871"/>
        <v>80.04898959</v>
      </c>
      <c r="AO853" s="402">
        <f t="shared" si="775"/>
        <v>0.29</v>
      </c>
      <c r="AP853" s="127"/>
      <c r="AQ853" s="403">
        <f t="shared" ref="AQ853:AR853" si="874">BC853/(1-AI853)</f>
        <v>59.84444444</v>
      </c>
      <c r="AR853" s="404">
        <f t="shared" si="874"/>
        <v>63.14975845</v>
      </c>
      <c r="AS853" s="405">
        <f t="shared" si="733"/>
        <v>0.2333333333</v>
      </c>
      <c r="AT853" s="405">
        <f t="shared" si="777"/>
        <v>0.2111111111</v>
      </c>
      <c r="AU853" s="129">
        <v>63.93</v>
      </c>
      <c r="AV853" s="48" t="s">
        <v>2927</v>
      </c>
      <c r="AW853" s="411"/>
      <c r="AX853" s="411"/>
      <c r="AY853" s="134"/>
      <c r="AZ853" s="214"/>
      <c r="BA853" s="214"/>
      <c r="BB853" s="227"/>
      <c r="BC853" s="412">
        <v>53.86</v>
      </c>
      <c r="BD853" s="132">
        <f t="shared" si="873"/>
        <v>56.83478261</v>
      </c>
      <c r="BE853" s="422"/>
      <c r="BF853" s="48"/>
      <c r="BG853" s="49"/>
      <c r="BH853" s="224">
        <f t="shared" si="863"/>
        <v>266.8299653</v>
      </c>
      <c r="BI853" s="224">
        <f t="shared" si="864"/>
        <v>160.0979792</v>
      </c>
      <c r="BJ853" s="224">
        <f t="shared" si="865"/>
        <v>133.4149826</v>
      </c>
      <c r="BK853" s="224">
        <f t="shared" si="866"/>
        <v>106.7319861</v>
      </c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</row>
    <row r="854" ht="14.25" customHeight="1">
      <c r="A854" s="103" t="s">
        <v>84</v>
      </c>
      <c r="B854" s="103" t="s">
        <v>120</v>
      </c>
      <c r="C854" s="103" t="s">
        <v>120</v>
      </c>
      <c r="D854" s="103" t="s">
        <v>1886</v>
      </c>
      <c r="E854" s="109" t="s">
        <v>2920</v>
      </c>
      <c r="F854" s="105" t="s">
        <v>3029</v>
      </c>
      <c r="G854" s="110"/>
      <c r="H854" s="110"/>
      <c r="I854" s="409"/>
      <c r="J854" s="410" t="s">
        <v>3040</v>
      </c>
      <c r="K854" s="410" t="str">
        <f>_xlfn.XLOOKUP(J854,[1]Sheet1!$A:$A,[1]Sheet1!$B:$B,"")</f>
        <v>#ERROR!</v>
      </c>
      <c r="L854" s="109" t="s">
        <v>3041</v>
      </c>
      <c r="M854" s="104" t="s">
        <v>3042</v>
      </c>
      <c r="N854" s="110"/>
      <c r="O854" s="109" t="s">
        <v>95</v>
      </c>
      <c r="P854" s="106"/>
      <c r="Q854" s="105" t="s">
        <v>2924</v>
      </c>
      <c r="R854" s="407"/>
      <c r="S854" s="407"/>
      <c r="T854" s="110"/>
      <c r="U854" s="106">
        <v>9.403208E9</v>
      </c>
      <c r="V854" s="112">
        <v>0.0</v>
      </c>
      <c r="W854" s="106">
        <v>45.0</v>
      </c>
      <c r="X854" s="106">
        <v>45.0</v>
      </c>
      <c r="Y854" s="113"/>
      <c r="Z854" s="113" t="s">
        <v>148</v>
      </c>
      <c r="AA854" s="114">
        <f t="shared" si="870"/>
        <v>89.33333333</v>
      </c>
      <c r="AB854" s="115"/>
      <c r="AC854" s="212">
        <f t="shared" si="772"/>
        <v>89.57746479</v>
      </c>
      <c r="AD854" s="213">
        <f t="shared" si="799"/>
        <v>96.31985461</v>
      </c>
      <c r="AE854" s="212"/>
      <c r="AF854" s="212" t="str">
        <f t="shared" si="94"/>
        <v>#REF!</v>
      </c>
      <c r="AG854" s="210" t="str">
        <f t="shared" si="95"/>
        <v>#REF!</v>
      </c>
      <c r="AH854" s="120" t="str">
        <f t="shared" si="96"/>
        <v>#REF!</v>
      </c>
      <c r="AI854" s="399">
        <f t="shared" si="497"/>
        <v>0.1</v>
      </c>
      <c r="AJ854" s="399">
        <v>0.1</v>
      </c>
      <c r="AK854" s="400">
        <v>0.29000000000000004</v>
      </c>
      <c r="AL854" s="123">
        <f t="shared" si="11"/>
        <v>25.97746479</v>
      </c>
      <c r="AM854" s="401" t="s">
        <v>10</v>
      </c>
      <c r="AN854" s="125">
        <f t="shared" si="871"/>
        <v>89.57746479</v>
      </c>
      <c r="AO854" s="402">
        <f t="shared" si="775"/>
        <v>0.29</v>
      </c>
      <c r="AP854" s="127"/>
      <c r="AQ854" s="403">
        <f t="shared" ref="AQ854:AR854" si="875">BC854/(1-AI854)</f>
        <v>68.48888889</v>
      </c>
      <c r="AR854" s="404">
        <f t="shared" si="875"/>
        <v>70.66666667</v>
      </c>
      <c r="AS854" s="405">
        <f t="shared" si="733"/>
        <v>0.2333333333</v>
      </c>
      <c r="AT854" s="405">
        <f t="shared" si="777"/>
        <v>0.2111111111</v>
      </c>
      <c r="AU854" s="129">
        <v>73.16</v>
      </c>
      <c r="AV854" s="48" t="s">
        <v>2927</v>
      </c>
      <c r="AW854" s="411"/>
      <c r="AX854" s="411"/>
      <c r="AY854" s="134"/>
      <c r="AZ854" s="214"/>
      <c r="BA854" s="214"/>
      <c r="BB854" s="227"/>
      <c r="BC854" s="412">
        <v>61.64</v>
      </c>
      <c r="BD854" s="132">
        <f t="shared" si="873"/>
        <v>63.6</v>
      </c>
      <c r="BE854" s="422"/>
      <c r="BF854" s="48"/>
      <c r="BG854" s="49"/>
      <c r="BH854" s="224">
        <f t="shared" si="863"/>
        <v>298.5915493</v>
      </c>
      <c r="BI854" s="224">
        <f t="shared" si="864"/>
        <v>179.1549296</v>
      </c>
      <c r="BJ854" s="224">
        <f t="shared" si="865"/>
        <v>149.2957746</v>
      </c>
      <c r="BK854" s="224">
        <f t="shared" si="866"/>
        <v>119.4366197</v>
      </c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</row>
    <row r="855" ht="14.25" customHeight="1">
      <c r="A855" s="103" t="s">
        <v>84</v>
      </c>
      <c r="B855" s="103" t="s">
        <v>120</v>
      </c>
      <c r="C855" s="103" t="s">
        <v>120</v>
      </c>
      <c r="D855" s="103" t="s">
        <v>1886</v>
      </c>
      <c r="E855" s="109" t="s">
        <v>2920</v>
      </c>
      <c r="F855" s="105" t="s">
        <v>3029</v>
      </c>
      <c r="G855" s="110"/>
      <c r="H855" s="110"/>
      <c r="I855" s="409"/>
      <c r="J855" s="410" t="s">
        <v>3043</v>
      </c>
      <c r="K855" s="410" t="str">
        <f>_xlfn.XLOOKUP(J855,[1]Sheet1!$A:$A,[1]Sheet1!$B:$B,"")</f>
        <v>#ERROR!</v>
      </c>
      <c r="L855" s="109" t="s">
        <v>3044</v>
      </c>
      <c r="M855" s="104" t="s">
        <v>3045</v>
      </c>
      <c r="N855" s="110"/>
      <c r="O855" s="109" t="s">
        <v>95</v>
      </c>
      <c r="P855" s="106"/>
      <c r="Q855" s="105" t="s">
        <v>2924</v>
      </c>
      <c r="R855" s="407"/>
      <c r="S855" s="407"/>
      <c r="T855" s="110"/>
      <c r="U855" s="106">
        <v>9.403208E9</v>
      </c>
      <c r="V855" s="112">
        <v>0.0</v>
      </c>
      <c r="W855" s="106">
        <v>45.0</v>
      </c>
      <c r="X855" s="106">
        <v>45.0</v>
      </c>
      <c r="Y855" s="113"/>
      <c r="Z855" s="113" t="s">
        <v>148</v>
      </c>
      <c r="AA855" s="114">
        <f t="shared" si="870"/>
        <v>98.95652174</v>
      </c>
      <c r="AB855" s="115"/>
      <c r="AC855" s="212">
        <f t="shared" si="772"/>
        <v>97.70973668</v>
      </c>
      <c r="AD855" s="213">
        <f t="shared" si="799"/>
        <v>105.064233</v>
      </c>
      <c r="AE855" s="212"/>
      <c r="AF855" s="212" t="str">
        <f t="shared" si="94"/>
        <v>#REF!</v>
      </c>
      <c r="AG855" s="210" t="str">
        <f t="shared" si="95"/>
        <v>#REF!</v>
      </c>
      <c r="AH855" s="120" t="str">
        <f t="shared" si="96"/>
        <v>#REF!</v>
      </c>
      <c r="AI855" s="399">
        <f t="shared" si="497"/>
        <v>0.1</v>
      </c>
      <c r="AJ855" s="399">
        <v>0.1</v>
      </c>
      <c r="AK855" s="400">
        <v>0.29000000000000004</v>
      </c>
      <c r="AL855" s="123">
        <f t="shared" si="11"/>
        <v>28.33582364</v>
      </c>
      <c r="AM855" s="401" t="s">
        <v>10</v>
      </c>
      <c r="AN855" s="125">
        <f t="shared" si="871"/>
        <v>97.70973668</v>
      </c>
      <c r="AO855" s="402">
        <f t="shared" si="775"/>
        <v>0.29</v>
      </c>
      <c r="AP855" s="127"/>
      <c r="AQ855" s="403">
        <f t="shared" ref="AQ855:AR855" si="876">BC855/(1-AI855)</f>
        <v>75.86666667</v>
      </c>
      <c r="AR855" s="404">
        <f t="shared" si="876"/>
        <v>77.0821256</v>
      </c>
      <c r="AS855" s="405">
        <f t="shared" si="733"/>
        <v>0.2333333333</v>
      </c>
      <c r="AT855" s="405">
        <f t="shared" si="777"/>
        <v>0.2111111111</v>
      </c>
      <c r="AU855" s="129">
        <v>81.05</v>
      </c>
      <c r="AV855" s="48" t="s">
        <v>2927</v>
      </c>
      <c r="AW855" s="411"/>
      <c r="AX855" s="411"/>
      <c r="AY855" s="134"/>
      <c r="AZ855" s="214"/>
      <c r="BA855" s="214"/>
      <c r="BB855" s="227"/>
      <c r="BC855" s="412">
        <v>68.28</v>
      </c>
      <c r="BD855" s="132">
        <f t="shared" si="873"/>
        <v>69.37391304</v>
      </c>
      <c r="BE855" s="422"/>
      <c r="BF855" s="48"/>
      <c r="BG855" s="49"/>
      <c r="BH855" s="224">
        <f t="shared" si="863"/>
        <v>325.6991223</v>
      </c>
      <c r="BI855" s="224">
        <f t="shared" si="864"/>
        <v>195.4194734</v>
      </c>
      <c r="BJ855" s="224">
        <f t="shared" si="865"/>
        <v>162.8495611</v>
      </c>
      <c r="BK855" s="224">
        <f t="shared" si="866"/>
        <v>130.2796489</v>
      </c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</row>
    <row r="856" ht="14.25" customHeight="1">
      <c r="A856" s="103" t="s">
        <v>84</v>
      </c>
      <c r="B856" s="103" t="s">
        <v>120</v>
      </c>
      <c r="C856" s="103" t="s">
        <v>120</v>
      </c>
      <c r="D856" s="103" t="s">
        <v>1886</v>
      </c>
      <c r="E856" s="109" t="s">
        <v>2920</v>
      </c>
      <c r="F856" s="105" t="s">
        <v>3029</v>
      </c>
      <c r="G856" s="110"/>
      <c r="H856" s="110"/>
      <c r="I856" s="409"/>
      <c r="J856" s="410" t="s">
        <v>3046</v>
      </c>
      <c r="K856" s="410" t="str">
        <f>_xlfn.XLOOKUP(J856,[1]Sheet1!$A:$A,[1]Sheet1!$B:$B,"")</f>
        <v>#ERROR!</v>
      </c>
      <c r="L856" s="109" t="s">
        <v>3047</v>
      </c>
      <c r="M856" s="104" t="s">
        <v>3048</v>
      </c>
      <c r="N856" s="110"/>
      <c r="O856" s="109" t="s">
        <v>95</v>
      </c>
      <c r="P856" s="106"/>
      <c r="Q856" s="105" t="s">
        <v>2924</v>
      </c>
      <c r="R856" s="407"/>
      <c r="S856" s="407"/>
      <c r="T856" s="110"/>
      <c r="U856" s="106">
        <v>9.403208E9</v>
      </c>
      <c r="V856" s="112">
        <v>0.0</v>
      </c>
      <c r="W856" s="106">
        <v>45.0</v>
      </c>
      <c r="X856" s="106">
        <v>45.0</v>
      </c>
      <c r="Y856" s="113"/>
      <c r="Z856" s="113" t="s">
        <v>148</v>
      </c>
      <c r="AA856" s="114">
        <f t="shared" si="870"/>
        <v>110.7101449</v>
      </c>
      <c r="AB856" s="115"/>
      <c r="AC856" s="212">
        <f t="shared" si="772"/>
        <v>107.642376</v>
      </c>
      <c r="AD856" s="213">
        <f t="shared" si="799"/>
        <v>115.7444903</v>
      </c>
      <c r="AE856" s="212"/>
      <c r="AF856" s="212" t="str">
        <f t="shared" si="94"/>
        <v>#REF!</v>
      </c>
      <c r="AG856" s="210" t="str">
        <f t="shared" si="95"/>
        <v>#REF!</v>
      </c>
      <c r="AH856" s="120" t="str">
        <f t="shared" si="96"/>
        <v>#REF!</v>
      </c>
      <c r="AI856" s="399">
        <f t="shared" si="497"/>
        <v>0.1</v>
      </c>
      <c r="AJ856" s="399">
        <v>0.1</v>
      </c>
      <c r="AK856" s="400">
        <v>0.29000000000000004</v>
      </c>
      <c r="AL856" s="123">
        <f t="shared" si="11"/>
        <v>31.21628904</v>
      </c>
      <c r="AM856" s="401" t="s">
        <v>10</v>
      </c>
      <c r="AN856" s="125">
        <f t="shared" si="871"/>
        <v>107.642376</v>
      </c>
      <c r="AO856" s="402">
        <f t="shared" si="775"/>
        <v>0.29</v>
      </c>
      <c r="AP856" s="127"/>
      <c r="AQ856" s="403">
        <f t="shared" ref="AQ856:AR856" si="877">BC856/(1-AI856)</f>
        <v>84.87777778</v>
      </c>
      <c r="AR856" s="404">
        <f t="shared" si="877"/>
        <v>84.9178744</v>
      </c>
      <c r="AS856" s="405">
        <f t="shared" si="733"/>
        <v>0.2333333333</v>
      </c>
      <c r="AT856" s="405">
        <f t="shared" si="777"/>
        <v>0.2111111111</v>
      </c>
      <c r="AU856" s="129">
        <v>90.67</v>
      </c>
      <c r="AV856" s="48" t="s">
        <v>2927</v>
      </c>
      <c r="AW856" s="411"/>
      <c r="AX856" s="411"/>
      <c r="AY856" s="134"/>
      <c r="AZ856" s="214"/>
      <c r="BA856" s="214"/>
      <c r="BB856" s="227"/>
      <c r="BC856" s="412">
        <v>76.39</v>
      </c>
      <c r="BD856" s="132">
        <f t="shared" si="873"/>
        <v>76.42608696</v>
      </c>
      <c r="BE856" s="422"/>
      <c r="BF856" s="48"/>
      <c r="BG856" s="49"/>
      <c r="BH856" s="224">
        <f t="shared" si="863"/>
        <v>358.80792</v>
      </c>
      <c r="BI856" s="224">
        <f t="shared" si="864"/>
        <v>215.284752</v>
      </c>
      <c r="BJ856" s="224">
        <f t="shared" si="865"/>
        <v>179.40396</v>
      </c>
      <c r="BK856" s="224">
        <f t="shared" si="866"/>
        <v>143.523168</v>
      </c>
      <c r="BL856" s="49"/>
      <c r="BM856" s="49"/>
      <c r="BN856" s="49"/>
      <c r="BO856" s="49"/>
      <c r="BP856" s="49"/>
      <c r="BQ856" s="49"/>
      <c r="BR856" s="49"/>
      <c r="BS856" s="49"/>
      <c r="BT856" s="49"/>
      <c r="BU856" s="49"/>
      <c r="BV856" s="49"/>
      <c r="BW856" s="49"/>
      <c r="BX856" s="49"/>
      <c r="BY856" s="49"/>
      <c r="BZ856" s="49"/>
      <c r="CA856" s="49"/>
      <c r="CB856" s="49"/>
      <c r="CC856" s="49"/>
      <c r="CD856" s="49"/>
      <c r="CE856" s="49"/>
      <c r="CF856" s="49"/>
    </row>
    <row r="857" ht="14.25" customHeight="1">
      <c r="A857" s="103" t="s">
        <v>84</v>
      </c>
      <c r="B857" s="103" t="s">
        <v>120</v>
      </c>
      <c r="C857" s="103" t="s">
        <v>120</v>
      </c>
      <c r="D857" s="103" t="s">
        <v>1886</v>
      </c>
      <c r="E857" s="109" t="s">
        <v>2920</v>
      </c>
      <c r="F857" s="105" t="s">
        <v>3029</v>
      </c>
      <c r="G857" s="110"/>
      <c r="H857" s="110"/>
      <c r="I857" s="409"/>
      <c r="J857" s="410" t="s">
        <v>3049</v>
      </c>
      <c r="K857" s="410" t="str">
        <f>_xlfn.XLOOKUP(J857,[1]Sheet1!$A:$A,[1]Sheet1!$B:$B,"")</f>
        <v>#ERROR!</v>
      </c>
      <c r="L857" s="109" t="s">
        <v>3050</v>
      </c>
      <c r="M857" s="104" t="s">
        <v>3051</v>
      </c>
      <c r="N857" s="110"/>
      <c r="O857" s="109" t="s">
        <v>95</v>
      </c>
      <c r="P857" s="106"/>
      <c r="Q857" s="105" t="s">
        <v>2924</v>
      </c>
      <c r="R857" s="407"/>
      <c r="S857" s="407"/>
      <c r="T857" s="110"/>
      <c r="U857" s="106">
        <v>9.403208E9</v>
      </c>
      <c r="V857" s="112">
        <v>0.0</v>
      </c>
      <c r="W857" s="106">
        <v>45.0</v>
      </c>
      <c r="X857" s="106">
        <v>45.0</v>
      </c>
      <c r="Y857" s="113"/>
      <c r="Z857" s="113" t="s">
        <v>148</v>
      </c>
      <c r="AA857" s="114">
        <f t="shared" si="870"/>
        <v>0</v>
      </c>
      <c r="AB857" s="115"/>
      <c r="AC857" s="212">
        <f t="shared" si="772"/>
        <v>0</v>
      </c>
      <c r="AD857" s="213">
        <f t="shared" si="799"/>
        <v>0</v>
      </c>
      <c r="AE857" s="212"/>
      <c r="AF857" s="212" t="str">
        <f t="shared" si="94"/>
        <v>#REF!</v>
      </c>
      <c r="AG857" s="210" t="str">
        <f t="shared" si="95"/>
        <v>#REF!</v>
      </c>
      <c r="AH857" s="120" t="str">
        <f t="shared" si="96"/>
        <v>#REF!</v>
      </c>
      <c r="AI857" s="399">
        <f t="shared" si="497"/>
        <v>0.1</v>
      </c>
      <c r="AJ857" s="399">
        <v>0.1</v>
      </c>
      <c r="AK857" s="400">
        <v>0.29000000000000004</v>
      </c>
      <c r="AL857" s="123">
        <f t="shared" si="11"/>
        <v>0</v>
      </c>
      <c r="AM857" s="401" t="s">
        <v>10</v>
      </c>
      <c r="AN857" s="125">
        <f t="shared" si="871"/>
        <v>0</v>
      </c>
      <c r="AO857" s="402" t="str">
        <f t="shared" si="775"/>
        <v>#DIV/0!</v>
      </c>
      <c r="AP857" s="127"/>
      <c r="AQ857" s="403">
        <f t="shared" ref="AQ857:AR857" si="878">BC857/(1-AI857)</f>
        <v>0</v>
      </c>
      <c r="AR857" s="404">
        <f t="shared" si="878"/>
        <v>0</v>
      </c>
      <c r="AS857" s="134" t="str">
        <f t="shared" si="733"/>
        <v>#DIV/0!</v>
      </c>
      <c r="AT857" s="405" t="str">
        <f t="shared" si="777"/>
        <v>#DIV/0!</v>
      </c>
      <c r="AU857" s="129"/>
      <c r="AV857" s="48" t="s">
        <v>2927</v>
      </c>
      <c r="AW857" s="411"/>
      <c r="AX857" s="411"/>
      <c r="AY857" s="134"/>
      <c r="AZ857" s="214"/>
      <c r="BA857" s="214"/>
      <c r="BB857" s="227"/>
      <c r="BC857" s="412"/>
      <c r="BD857" s="132"/>
      <c r="BE857" s="215"/>
      <c r="BF857" s="48"/>
      <c r="BG857" s="49"/>
      <c r="BH857" s="224">
        <f t="shared" si="863"/>
        <v>0</v>
      </c>
      <c r="BI857" s="224">
        <f t="shared" si="864"/>
        <v>0</v>
      </c>
      <c r="BJ857" s="224">
        <f t="shared" si="865"/>
        <v>0</v>
      </c>
      <c r="BK857" s="224">
        <f t="shared" si="866"/>
        <v>0</v>
      </c>
      <c r="BL857" s="49"/>
      <c r="BM857" s="49"/>
      <c r="BN857" s="49"/>
      <c r="BO857" s="49"/>
      <c r="BP857" s="49"/>
      <c r="BQ857" s="49"/>
      <c r="BR857" s="49"/>
      <c r="BS857" s="49"/>
      <c r="BT857" s="49"/>
      <c r="BU857" s="49"/>
      <c r="BV857" s="49"/>
      <c r="BW857" s="49"/>
      <c r="BX857" s="49"/>
      <c r="BY857" s="49"/>
      <c r="BZ857" s="49"/>
      <c r="CA857" s="49"/>
      <c r="CB857" s="49"/>
      <c r="CC857" s="49"/>
      <c r="CD857" s="49"/>
      <c r="CE857" s="49"/>
      <c r="CF857" s="49"/>
    </row>
    <row r="858" ht="14.25" customHeight="1">
      <c r="A858" s="103" t="s">
        <v>84</v>
      </c>
      <c r="B858" s="103" t="s">
        <v>120</v>
      </c>
      <c r="C858" s="103" t="s">
        <v>120</v>
      </c>
      <c r="D858" s="103" t="s">
        <v>1886</v>
      </c>
      <c r="E858" s="109" t="s">
        <v>2920</v>
      </c>
      <c r="F858" s="105" t="s">
        <v>3029</v>
      </c>
      <c r="G858" s="110"/>
      <c r="H858" s="110"/>
      <c r="I858" s="409"/>
      <c r="J858" s="410" t="s">
        <v>3052</v>
      </c>
      <c r="K858" s="410" t="str">
        <f>_xlfn.XLOOKUP(J858,[1]Sheet1!$A:$A,[1]Sheet1!$B:$B,"")</f>
        <v>#ERROR!</v>
      </c>
      <c r="L858" s="109" t="s">
        <v>3053</v>
      </c>
      <c r="M858" s="104" t="s">
        <v>3054</v>
      </c>
      <c r="N858" s="110"/>
      <c r="O858" s="109" t="s">
        <v>95</v>
      </c>
      <c r="P858" s="106"/>
      <c r="Q858" s="105" t="s">
        <v>2924</v>
      </c>
      <c r="R858" s="407"/>
      <c r="S858" s="407"/>
      <c r="T858" s="110"/>
      <c r="U858" s="106">
        <v>9.403208E9</v>
      </c>
      <c r="V858" s="112">
        <v>0.0</v>
      </c>
      <c r="W858" s="106">
        <v>45.0</v>
      </c>
      <c r="X858" s="106">
        <v>45.0</v>
      </c>
      <c r="Y858" s="113"/>
      <c r="Z858" s="113" t="s">
        <v>148</v>
      </c>
      <c r="AA858" s="114">
        <f t="shared" si="870"/>
        <v>48.91304348</v>
      </c>
      <c r="AB858" s="115"/>
      <c r="AC858" s="212">
        <f t="shared" si="772"/>
        <v>55.41947336</v>
      </c>
      <c r="AD858" s="213">
        <f t="shared" si="799"/>
        <v>59.59083157</v>
      </c>
      <c r="AE858" s="212"/>
      <c r="AF858" s="212" t="str">
        <f t="shared" si="94"/>
        <v>#REF!</v>
      </c>
      <c r="AG858" s="210" t="str">
        <f t="shared" si="95"/>
        <v>#REF!</v>
      </c>
      <c r="AH858" s="120" t="str">
        <f t="shared" si="96"/>
        <v>#REF!</v>
      </c>
      <c r="AI858" s="399">
        <f t="shared" si="497"/>
        <v>0.1</v>
      </c>
      <c r="AJ858" s="399">
        <v>0.1</v>
      </c>
      <c r="AK858" s="400">
        <v>0.29000000000000004</v>
      </c>
      <c r="AL858" s="123">
        <f t="shared" si="11"/>
        <v>16.07164727</v>
      </c>
      <c r="AM858" s="401" t="s">
        <v>10</v>
      </c>
      <c r="AN858" s="125">
        <f t="shared" si="871"/>
        <v>55.41947336</v>
      </c>
      <c r="AO858" s="402">
        <f t="shared" si="775"/>
        <v>0.29</v>
      </c>
      <c r="AP858" s="127"/>
      <c r="AQ858" s="403">
        <f t="shared" ref="AQ858:AR858" si="879">BC858/(1-AI858)</f>
        <v>37.5</v>
      </c>
      <c r="AR858" s="404">
        <f t="shared" si="879"/>
        <v>43.71980676</v>
      </c>
      <c r="AS858" s="405">
        <f t="shared" si="733"/>
        <v>0.2333333333</v>
      </c>
      <c r="AT858" s="405">
        <f t="shared" si="777"/>
        <v>0.2111111111</v>
      </c>
      <c r="AU858" s="129">
        <v>40.06</v>
      </c>
      <c r="AV858" s="48" t="s">
        <v>2927</v>
      </c>
      <c r="AW858" s="411"/>
      <c r="AX858" s="411"/>
      <c r="AY858" s="134"/>
      <c r="AZ858" s="214"/>
      <c r="BA858" s="214"/>
      <c r="BB858" s="423"/>
      <c r="BC858" s="412">
        <v>33.75</v>
      </c>
      <c r="BD858" s="132">
        <f t="shared" ref="BD858:BD864" si="881">(BC858/$F$6)+($F$8/300)+BC858*V858</f>
        <v>39.34782609</v>
      </c>
      <c r="BE858" s="422"/>
      <c r="BF858" s="48"/>
      <c r="BG858" s="49"/>
      <c r="BH858" s="224">
        <f t="shared" si="863"/>
        <v>184.7315779</v>
      </c>
      <c r="BI858" s="224">
        <f t="shared" si="864"/>
        <v>110.8389467</v>
      </c>
      <c r="BJ858" s="224">
        <f t="shared" si="865"/>
        <v>92.36578894</v>
      </c>
      <c r="BK858" s="224">
        <f t="shared" si="866"/>
        <v>73.89263115</v>
      </c>
      <c r="BL858" s="49"/>
      <c r="BM858" s="49"/>
      <c r="BN858" s="49"/>
      <c r="BO858" s="49"/>
      <c r="BP858" s="49"/>
      <c r="BQ858" s="49"/>
      <c r="BR858" s="49"/>
      <c r="BS858" s="49"/>
      <c r="BT858" s="49"/>
      <c r="BU858" s="49"/>
      <c r="BV858" s="49"/>
      <c r="BW858" s="49"/>
      <c r="BX858" s="49"/>
      <c r="BY858" s="49"/>
      <c r="BZ858" s="49"/>
      <c r="CA858" s="49"/>
      <c r="CB858" s="49"/>
      <c r="CC858" s="49"/>
      <c r="CD858" s="49"/>
      <c r="CE858" s="49"/>
      <c r="CF858" s="49"/>
    </row>
    <row r="859" ht="14.25" customHeight="1">
      <c r="A859" s="103" t="s">
        <v>84</v>
      </c>
      <c r="B859" s="103" t="s">
        <v>120</v>
      </c>
      <c r="C859" s="103" t="s">
        <v>120</v>
      </c>
      <c r="D859" s="103" t="s">
        <v>1886</v>
      </c>
      <c r="E859" s="109" t="s">
        <v>2920</v>
      </c>
      <c r="F859" s="105" t="s">
        <v>3029</v>
      </c>
      <c r="G859" s="110"/>
      <c r="H859" s="110"/>
      <c r="I859" s="409"/>
      <c r="J859" s="410" t="s">
        <v>3055</v>
      </c>
      <c r="K859" s="410" t="str">
        <f>_xlfn.XLOOKUP(J859,[1]Sheet1!$A:$A,[1]Sheet1!$B:$B,"")</f>
        <v>#ERROR!</v>
      </c>
      <c r="L859" s="109" t="s">
        <v>3056</v>
      </c>
      <c r="M859" s="104" t="s">
        <v>3057</v>
      </c>
      <c r="N859" s="110"/>
      <c r="O859" s="109" t="s">
        <v>95</v>
      </c>
      <c r="P859" s="106"/>
      <c r="Q859" s="105" t="s">
        <v>2924</v>
      </c>
      <c r="R859" s="407"/>
      <c r="S859" s="407"/>
      <c r="T859" s="110"/>
      <c r="U859" s="106">
        <v>9.403208E9</v>
      </c>
      <c r="V859" s="112">
        <v>0.0</v>
      </c>
      <c r="W859" s="106">
        <v>45.0</v>
      </c>
      <c r="X859" s="106">
        <v>45.0</v>
      </c>
      <c r="Y859" s="113"/>
      <c r="Z859" s="113" t="s">
        <v>148</v>
      </c>
      <c r="AA859" s="114">
        <f t="shared" si="870"/>
        <v>56.46376812</v>
      </c>
      <c r="AB859" s="115"/>
      <c r="AC859" s="212">
        <f t="shared" si="772"/>
        <v>61.80036742</v>
      </c>
      <c r="AD859" s="213">
        <f t="shared" si="799"/>
        <v>66.45200798</v>
      </c>
      <c r="AE859" s="212"/>
      <c r="AF859" s="212" t="str">
        <f t="shared" si="94"/>
        <v>#REF!</v>
      </c>
      <c r="AG859" s="210" t="str">
        <f t="shared" si="95"/>
        <v>#REF!</v>
      </c>
      <c r="AH859" s="120" t="str">
        <f t="shared" si="96"/>
        <v>#REF!</v>
      </c>
      <c r="AI859" s="399">
        <f t="shared" si="497"/>
        <v>0.1</v>
      </c>
      <c r="AJ859" s="399">
        <v>0.1</v>
      </c>
      <c r="AK859" s="400">
        <v>0.29000000000000004</v>
      </c>
      <c r="AL859" s="123">
        <f t="shared" si="11"/>
        <v>17.92210655</v>
      </c>
      <c r="AM859" s="401" t="s">
        <v>10</v>
      </c>
      <c r="AN859" s="125">
        <f t="shared" si="871"/>
        <v>61.80036742</v>
      </c>
      <c r="AO859" s="402">
        <f t="shared" si="775"/>
        <v>0.29</v>
      </c>
      <c r="AP859" s="127"/>
      <c r="AQ859" s="403">
        <f t="shared" ref="AQ859:AR859" si="880">BC859/(1-AI859)</f>
        <v>43.28888889</v>
      </c>
      <c r="AR859" s="404">
        <f t="shared" si="880"/>
        <v>48.75362319</v>
      </c>
      <c r="AS859" s="405">
        <f t="shared" si="733"/>
        <v>0.2333333333</v>
      </c>
      <c r="AT859" s="405">
        <f t="shared" si="777"/>
        <v>0.2111111111</v>
      </c>
      <c r="AU859" s="129">
        <v>46.25</v>
      </c>
      <c r="AV859" s="48" t="s">
        <v>2927</v>
      </c>
      <c r="AW859" s="411"/>
      <c r="AX859" s="411"/>
      <c r="AY859" s="134"/>
      <c r="AZ859" s="214"/>
      <c r="BA859" s="214"/>
      <c r="BB859" s="423"/>
      <c r="BC859" s="412">
        <v>38.96</v>
      </c>
      <c r="BD859" s="132">
        <f t="shared" si="881"/>
        <v>43.87826087</v>
      </c>
      <c r="BE859" s="422"/>
      <c r="BF859" s="48"/>
      <c r="BG859" s="49"/>
      <c r="BH859" s="224">
        <f t="shared" si="863"/>
        <v>206.0012247</v>
      </c>
      <c r="BI859" s="224">
        <f t="shared" si="864"/>
        <v>123.6007348</v>
      </c>
      <c r="BJ859" s="224">
        <f t="shared" si="865"/>
        <v>103.0006124</v>
      </c>
      <c r="BK859" s="224">
        <f t="shared" si="866"/>
        <v>82.4004899</v>
      </c>
      <c r="BL859" s="49"/>
      <c r="BM859" s="49"/>
      <c r="BN859" s="49"/>
      <c r="BO859" s="49"/>
      <c r="BP859" s="49"/>
      <c r="BQ859" s="49"/>
      <c r="BR859" s="49"/>
      <c r="BS859" s="49"/>
      <c r="BT859" s="49"/>
      <c r="BU859" s="49"/>
      <c r="BV859" s="49"/>
      <c r="BW859" s="49"/>
      <c r="BX859" s="49"/>
      <c r="BY859" s="49"/>
      <c r="BZ859" s="49"/>
      <c r="CA859" s="49"/>
      <c r="CB859" s="49"/>
      <c r="CC859" s="49"/>
      <c r="CD859" s="49"/>
      <c r="CE859" s="49"/>
      <c r="CF859" s="49"/>
    </row>
    <row r="860" ht="14.25" customHeight="1">
      <c r="A860" s="103" t="s">
        <v>84</v>
      </c>
      <c r="B860" s="103" t="s">
        <v>120</v>
      </c>
      <c r="C860" s="103" t="s">
        <v>120</v>
      </c>
      <c r="D860" s="103" t="s">
        <v>1886</v>
      </c>
      <c r="E860" s="109" t="s">
        <v>2920</v>
      </c>
      <c r="F860" s="105" t="s">
        <v>3029</v>
      </c>
      <c r="G860" s="110"/>
      <c r="H860" s="110"/>
      <c r="I860" s="409"/>
      <c r="J860" s="410" t="s">
        <v>3058</v>
      </c>
      <c r="K860" s="410" t="str">
        <f>_xlfn.XLOOKUP(J860,[1]Sheet1!$A:$A,[1]Sheet1!$B:$B,"")</f>
        <v>#ERROR!</v>
      </c>
      <c r="L860" s="109" t="s">
        <v>3059</v>
      </c>
      <c r="M860" s="104" t="s">
        <v>3060</v>
      </c>
      <c r="N860" s="110"/>
      <c r="O860" s="109" t="s">
        <v>95</v>
      </c>
      <c r="P860" s="106"/>
      <c r="Q860" s="105" t="s">
        <v>2924</v>
      </c>
      <c r="R860" s="407"/>
      <c r="S860" s="407"/>
      <c r="T860" s="110"/>
      <c r="U860" s="106">
        <v>9.403208E9</v>
      </c>
      <c r="V860" s="112">
        <v>0.0</v>
      </c>
      <c r="W860" s="106">
        <v>45.0</v>
      </c>
      <c r="X860" s="106">
        <v>45.0</v>
      </c>
      <c r="Y860" s="113"/>
      <c r="Z860" s="113" t="s">
        <v>148</v>
      </c>
      <c r="AA860" s="114">
        <f t="shared" si="870"/>
        <v>64.34782609</v>
      </c>
      <c r="AB860" s="115"/>
      <c r="AC860" s="212">
        <f t="shared" si="772"/>
        <v>68.46295162</v>
      </c>
      <c r="AD860" s="213">
        <f t="shared" si="799"/>
        <v>73.61607701</v>
      </c>
      <c r="AE860" s="212"/>
      <c r="AF860" s="212" t="str">
        <f t="shared" si="94"/>
        <v>#REF!</v>
      </c>
      <c r="AG860" s="210" t="str">
        <f t="shared" si="95"/>
        <v>#REF!</v>
      </c>
      <c r="AH860" s="120" t="str">
        <f t="shared" si="96"/>
        <v>#REF!</v>
      </c>
      <c r="AI860" s="399">
        <f t="shared" si="497"/>
        <v>0.1</v>
      </c>
      <c r="AJ860" s="399">
        <v>0.1</v>
      </c>
      <c r="AK860" s="400">
        <v>0.29000000000000004</v>
      </c>
      <c r="AL860" s="123">
        <f t="shared" si="11"/>
        <v>19.85425597</v>
      </c>
      <c r="AM860" s="401" t="s">
        <v>10</v>
      </c>
      <c r="AN860" s="125">
        <f t="shared" si="871"/>
        <v>68.46295162</v>
      </c>
      <c r="AO860" s="402">
        <f t="shared" si="775"/>
        <v>0.29</v>
      </c>
      <c r="AP860" s="127"/>
      <c r="AQ860" s="403">
        <f t="shared" ref="AQ860:AR860" si="882">BC860/(1-AI860)</f>
        <v>49.33333333</v>
      </c>
      <c r="AR860" s="404">
        <f t="shared" si="882"/>
        <v>54.00966184</v>
      </c>
      <c r="AS860" s="405">
        <f t="shared" si="733"/>
        <v>0.2333333333</v>
      </c>
      <c r="AT860" s="405">
        <f t="shared" si="777"/>
        <v>0.2111111111</v>
      </c>
      <c r="AU860" s="129">
        <v>52.7</v>
      </c>
      <c r="AV860" s="48" t="s">
        <v>2927</v>
      </c>
      <c r="AW860" s="411"/>
      <c r="AX860" s="411"/>
      <c r="AY860" s="134"/>
      <c r="AZ860" s="214"/>
      <c r="BA860" s="214"/>
      <c r="BB860" s="423"/>
      <c r="BC860" s="412">
        <v>44.4</v>
      </c>
      <c r="BD860" s="132">
        <f t="shared" si="881"/>
        <v>48.60869565</v>
      </c>
      <c r="BE860" s="422"/>
      <c r="BF860" s="48"/>
      <c r="BG860" s="49"/>
      <c r="BH860" s="224">
        <f t="shared" si="863"/>
        <v>228.2098387</v>
      </c>
      <c r="BI860" s="224">
        <f t="shared" si="864"/>
        <v>136.9259032</v>
      </c>
      <c r="BJ860" s="224">
        <f t="shared" si="865"/>
        <v>114.1049194</v>
      </c>
      <c r="BK860" s="224">
        <f t="shared" si="866"/>
        <v>91.2839355</v>
      </c>
      <c r="BL860" s="49"/>
      <c r="BM860" s="49"/>
      <c r="BN860" s="49"/>
      <c r="BO860" s="49"/>
      <c r="BP860" s="49"/>
      <c r="BQ860" s="49"/>
      <c r="BR860" s="49"/>
      <c r="BS860" s="49"/>
      <c r="BT860" s="49"/>
      <c r="BU860" s="49"/>
      <c r="BV860" s="49"/>
      <c r="BW860" s="49"/>
      <c r="BX860" s="49"/>
      <c r="BY860" s="49"/>
      <c r="BZ860" s="49"/>
      <c r="CA860" s="49"/>
      <c r="CB860" s="49"/>
      <c r="CC860" s="49"/>
      <c r="CD860" s="49"/>
      <c r="CE860" s="49"/>
      <c r="CF860" s="49"/>
    </row>
    <row r="861" ht="14.25" customHeight="1">
      <c r="A861" s="103" t="s">
        <v>84</v>
      </c>
      <c r="B861" s="103" t="s">
        <v>120</v>
      </c>
      <c r="C861" s="103" t="s">
        <v>120</v>
      </c>
      <c r="D861" s="103" t="s">
        <v>1886</v>
      </c>
      <c r="E861" s="109" t="s">
        <v>2920</v>
      </c>
      <c r="F861" s="105" t="s">
        <v>3029</v>
      </c>
      <c r="G861" s="110"/>
      <c r="H861" s="110"/>
      <c r="I861" s="409"/>
      <c r="J861" s="410" t="s">
        <v>3061</v>
      </c>
      <c r="K861" s="410" t="str">
        <f>_xlfn.XLOOKUP(J861,[1]Sheet1!$A:$A,[1]Sheet1!$B:$B,"")</f>
        <v>#ERROR!</v>
      </c>
      <c r="L861" s="109" t="s">
        <v>3062</v>
      </c>
      <c r="M861" s="104" t="s">
        <v>3063</v>
      </c>
      <c r="N861" s="110"/>
      <c r="O861" s="109" t="s">
        <v>95</v>
      </c>
      <c r="P861" s="106"/>
      <c r="Q861" s="105" t="s">
        <v>2924</v>
      </c>
      <c r="R861" s="407"/>
      <c r="S861" s="407"/>
      <c r="T861" s="110"/>
      <c r="U861" s="106">
        <v>9.403208E9</v>
      </c>
      <c r="V861" s="112">
        <v>0.0</v>
      </c>
      <c r="W861" s="106">
        <v>45.0</v>
      </c>
      <c r="X861" s="106">
        <v>45.0</v>
      </c>
      <c r="Y861" s="113"/>
      <c r="Z861" s="113" t="s">
        <v>148</v>
      </c>
      <c r="AA861" s="114">
        <f t="shared" si="870"/>
        <v>73.72463768</v>
      </c>
      <c r="AB861" s="115"/>
      <c r="AC861" s="212">
        <f t="shared" si="772"/>
        <v>76.38701776</v>
      </c>
      <c r="AD861" s="213">
        <f t="shared" si="799"/>
        <v>82.13657824</v>
      </c>
      <c r="AE861" s="212"/>
      <c r="AF861" s="212" t="str">
        <f t="shared" si="94"/>
        <v>#REF!</v>
      </c>
      <c r="AG861" s="210" t="str">
        <f t="shared" si="95"/>
        <v>#REF!</v>
      </c>
      <c r="AH861" s="120" t="str">
        <f t="shared" si="96"/>
        <v>#REF!</v>
      </c>
      <c r="AI861" s="399">
        <f t="shared" si="497"/>
        <v>0.1</v>
      </c>
      <c r="AJ861" s="399">
        <v>0.1</v>
      </c>
      <c r="AK861" s="400">
        <v>0.29000000000000004</v>
      </c>
      <c r="AL861" s="123">
        <f t="shared" si="11"/>
        <v>22.15223515</v>
      </c>
      <c r="AM861" s="401" t="s">
        <v>10</v>
      </c>
      <c r="AN861" s="125">
        <f t="shared" si="871"/>
        <v>76.38701776</v>
      </c>
      <c r="AO861" s="402">
        <f t="shared" si="775"/>
        <v>0.29</v>
      </c>
      <c r="AP861" s="127"/>
      <c r="AQ861" s="403">
        <f t="shared" ref="AQ861:AR861" si="883">BC861/(1-AI861)</f>
        <v>56.52222222</v>
      </c>
      <c r="AR861" s="404">
        <f t="shared" si="883"/>
        <v>60.26086957</v>
      </c>
      <c r="AS861" s="405">
        <f t="shared" si="733"/>
        <v>0.2333333333</v>
      </c>
      <c r="AT861" s="405">
        <f t="shared" si="777"/>
        <v>0.2111111111</v>
      </c>
      <c r="AU861" s="129">
        <v>60.38</v>
      </c>
      <c r="AV861" s="48" t="s">
        <v>2927</v>
      </c>
      <c r="AW861" s="411"/>
      <c r="AX861" s="411"/>
      <c r="AY861" s="134"/>
      <c r="AZ861" s="214"/>
      <c r="BA861" s="214"/>
      <c r="BB861" s="423"/>
      <c r="BC861" s="412">
        <v>50.87</v>
      </c>
      <c r="BD861" s="132">
        <f t="shared" si="881"/>
        <v>54.23478261</v>
      </c>
      <c r="BE861" s="422"/>
      <c r="BF861" s="48"/>
      <c r="BG861" s="49"/>
      <c r="BH861" s="224">
        <f t="shared" si="863"/>
        <v>254.6233925</v>
      </c>
      <c r="BI861" s="224">
        <f t="shared" si="864"/>
        <v>152.7740355</v>
      </c>
      <c r="BJ861" s="224">
        <f t="shared" si="865"/>
        <v>127.3116963</v>
      </c>
      <c r="BK861" s="224">
        <f t="shared" si="866"/>
        <v>101.849357</v>
      </c>
      <c r="BL861" s="49"/>
      <c r="BM861" s="49"/>
      <c r="BN861" s="49"/>
      <c r="BO861" s="49"/>
      <c r="BP861" s="49"/>
      <c r="BQ861" s="49"/>
      <c r="BR861" s="49"/>
      <c r="BS861" s="49"/>
      <c r="BT861" s="49"/>
      <c r="BU861" s="49"/>
      <c r="BV861" s="49"/>
      <c r="BW861" s="49"/>
      <c r="BX861" s="49"/>
      <c r="BY861" s="49"/>
      <c r="BZ861" s="49"/>
      <c r="CA861" s="49"/>
      <c r="CB861" s="49"/>
      <c r="CC861" s="49"/>
      <c r="CD861" s="49"/>
      <c r="CE861" s="49"/>
      <c r="CF861" s="49"/>
    </row>
    <row r="862" ht="14.25" customHeight="1">
      <c r="A862" s="103" t="s">
        <v>84</v>
      </c>
      <c r="B862" s="103" t="s">
        <v>120</v>
      </c>
      <c r="C862" s="103" t="s">
        <v>120</v>
      </c>
      <c r="D862" s="103" t="s">
        <v>1886</v>
      </c>
      <c r="E862" s="109" t="s">
        <v>2920</v>
      </c>
      <c r="F862" s="105" t="s">
        <v>3029</v>
      </c>
      <c r="G862" s="110"/>
      <c r="H862" s="110"/>
      <c r="I862" s="409"/>
      <c r="J862" s="410" t="s">
        <v>3064</v>
      </c>
      <c r="K862" s="410" t="str">
        <f>_xlfn.XLOOKUP(J862,[1]Sheet1!$A:$A,[1]Sheet1!$B:$B,"")</f>
        <v>#ERROR!</v>
      </c>
      <c r="L862" s="109" t="s">
        <v>3065</v>
      </c>
      <c r="M862" s="104" t="s">
        <v>3066</v>
      </c>
      <c r="N862" s="110"/>
      <c r="O862" s="109" t="s">
        <v>95</v>
      </c>
      <c r="P862" s="106"/>
      <c r="Q862" s="105" t="s">
        <v>2924</v>
      </c>
      <c r="R862" s="407"/>
      <c r="S862" s="407"/>
      <c r="T862" s="110"/>
      <c r="U862" s="106">
        <v>9.403208E9</v>
      </c>
      <c r="V862" s="112">
        <v>0.0</v>
      </c>
      <c r="W862" s="106">
        <v>45.0</v>
      </c>
      <c r="X862" s="106">
        <v>45.0</v>
      </c>
      <c r="Y862" s="113"/>
      <c r="Z862" s="113" t="s">
        <v>148</v>
      </c>
      <c r="AA862" s="114">
        <f t="shared" si="870"/>
        <v>81.69565217</v>
      </c>
      <c r="AB862" s="115"/>
      <c r="AC862" s="212">
        <f t="shared" si="772"/>
        <v>83.12308634</v>
      </c>
      <c r="AD862" s="213">
        <f t="shared" si="799"/>
        <v>89.37966274</v>
      </c>
      <c r="AE862" s="212"/>
      <c r="AF862" s="212" t="str">
        <f t="shared" si="94"/>
        <v>#REF!</v>
      </c>
      <c r="AG862" s="210" t="str">
        <f t="shared" si="95"/>
        <v>#REF!</v>
      </c>
      <c r="AH862" s="120" t="str">
        <f t="shared" si="96"/>
        <v>#REF!</v>
      </c>
      <c r="AI862" s="399">
        <f t="shared" si="497"/>
        <v>0.1</v>
      </c>
      <c r="AJ862" s="399">
        <v>0.1</v>
      </c>
      <c r="AK862" s="400">
        <v>0.29000000000000004</v>
      </c>
      <c r="AL862" s="123">
        <f t="shared" si="11"/>
        <v>24.10569504</v>
      </c>
      <c r="AM862" s="401" t="s">
        <v>10</v>
      </c>
      <c r="AN862" s="125">
        <f t="shared" si="871"/>
        <v>83.12308634</v>
      </c>
      <c r="AO862" s="402">
        <f t="shared" si="775"/>
        <v>0.29</v>
      </c>
      <c r="AP862" s="127"/>
      <c r="AQ862" s="403">
        <f t="shared" ref="AQ862:AR862" si="884">BC862/(1-AI862)</f>
        <v>62.63333333</v>
      </c>
      <c r="AR862" s="404">
        <f t="shared" si="884"/>
        <v>65.57487923</v>
      </c>
      <c r="AS862" s="405">
        <f t="shared" si="733"/>
        <v>0.2333333333</v>
      </c>
      <c r="AT862" s="405">
        <f t="shared" si="777"/>
        <v>0.2111111111</v>
      </c>
      <c r="AU862" s="129">
        <v>66.91</v>
      </c>
      <c r="AV862" s="48" t="s">
        <v>2927</v>
      </c>
      <c r="AW862" s="411"/>
      <c r="AX862" s="411"/>
      <c r="AY862" s="134"/>
      <c r="AZ862" s="214"/>
      <c r="BA862" s="214"/>
      <c r="BB862" s="423"/>
      <c r="BC862" s="412">
        <v>56.37</v>
      </c>
      <c r="BD862" s="132">
        <f t="shared" si="881"/>
        <v>59.0173913</v>
      </c>
      <c r="BE862" s="422"/>
      <c r="BF862" s="48"/>
      <c r="BG862" s="49"/>
      <c r="BH862" s="224">
        <f t="shared" si="863"/>
        <v>277.0769545</v>
      </c>
      <c r="BI862" s="224">
        <f t="shared" si="864"/>
        <v>166.2461727</v>
      </c>
      <c r="BJ862" s="224">
        <f t="shared" si="865"/>
        <v>138.5384772</v>
      </c>
      <c r="BK862" s="224">
        <f t="shared" si="866"/>
        <v>110.8307818</v>
      </c>
      <c r="BL862" s="49"/>
      <c r="BM862" s="49"/>
      <c r="BN862" s="49"/>
      <c r="BO862" s="49"/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49"/>
      <c r="CA862" s="49"/>
      <c r="CB862" s="49"/>
      <c r="CC862" s="49"/>
      <c r="CD862" s="49"/>
      <c r="CE862" s="49"/>
      <c r="CF862" s="49"/>
    </row>
    <row r="863" ht="14.25" customHeight="1">
      <c r="A863" s="103" t="s">
        <v>84</v>
      </c>
      <c r="B863" s="103" t="s">
        <v>120</v>
      </c>
      <c r="C863" s="103" t="s">
        <v>120</v>
      </c>
      <c r="D863" s="103" t="s">
        <v>1886</v>
      </c>
      <c r="E863" s="109" t="s">
        <v>2920</v>
      </c>
      <c r="F863" s="105" t="s">
        <v>3029</v>
      </c>
      <c r="G863" s="110"/>
      <c r="H863" s="110"/>
      <c r="I863" s="409"/>
      <c r="J863" s="410" t="s">
        <v>3067</v>
      </c>
      <c r="K863" s="410" t="str">
        <f>_xlfn.XLOOKUP(J863,[1]Sheet1!$A:$A,[1]Sheet1!$B:$B,"")</f>
        <v>#ERROR!</v>
      </c>
      <c r="L863" s="109" t="s">
        <v>3068</v>
      </c>
      <c r="M863" s="104" t="s">
        <v>3069</v>
      </c>
      <c r="N863" s="110"/>
      <c r="O863" s="109" t="s">
        <v>95</v>
      </c>
      <c r="P863" s="106"/>
      <c r="Q863" s="105" t="s">
        <v>2924</v>
      </c>
      <c r="R863" s="407"/>
      <c r="S863" s="407"/>
      <c r="T863" s="110"/>
      <c r="U863" s="106">
        <v>9.403208E9</v>
      </c>
      <c r="V863" s="112">
        <v>0.0</v>
      </c>
      <c r="W863" s="106">
        <v>45.0</v>
      </c>
      <c r="X863" s="106">
        <v>45.0</v>
      </c>
      <c r="Y863" s="113"/>
      <c r="Z863" s="113" t="s">
        <v>148</v>
      </c>
      <c r="AA863" s="114">
        <f t="shared" si="870"/>
        <v>92.49275362</v>
      </c>
      <c r="AB863" s="115"/>
      <c r="AC863" s="212">
        <f t="shared" si="772"/>
        <v>92.24739743</v>
      </c>
      <c r="AD863" s="213">
        <f t="shared" si="799"/>
        <v>99.19074992</v>
      </c>
      <c r="AE863" s="212"/>
      <c r="AF863" s="212" t="str">
        <f t="shared" si="94"/>
        <v>#REF!</v>
      </c>
      <c r="AG863" s="210" t="str">
        <f t="shared" si="95"/>
        <v>#REF!</v>
      </c>
      <c r="AH863" s="120" t="str">
        <f t="shared" si="96"/>
        <v>#REF!</v>
      </c>
      <c r="AI863" s="399">
        <f t="shared" si="497"/>
        <v>0.1</v>
      </c>
      <c r="AJ863" s="399">
        <v>0.1</v>
      </c>
      <c r="AK863" s="400">
        <v>0.29000000000000004</v>
      </c>
      <c r="AL863" s="123">
        <f t="shared" si="11"/>
        <v>26.75174525</v>
      </c>
      <c r="AM863" s="401" t="s">
        <v>10</v>
      </c>
      <c r="AN863" s="125">
        <f t="shared" si="871"/>
        <v>92.24739743</v>
      </c>
      <c r="AO863" s="402">
        <f t="shared" si="775"/>
        <v>0.29</v>
      </c>
      <c r="AP863" s="127"/>
      <c r="AQ863" s="403">
        <f t="shared" ref="AQ863:AR863" si="885">BC863/(1-AI863)</f>
        <v>70.91111111</v>
      </c>
      <c r="AR863" s="404">
        <f t="shared" si="885"/>
        <v>72.77294686</v>
      </c>
      <c r="AS863" s="405">
        <f t="shared" si="733"/>
        <v>0.2333333333</v>
      </c>
      <c r="AT863" s="405">
        <f t="shared" si="777"/>
        <v>0.2111111111</v>
      </c>
      <c r="AU863" s="129">
        <v>75.74</v>
      </c>
      <c r="AV863" s="48" t="s">
        <v>2927</v>
      </c>
      <c r="AW863" s="411"/>
      <c r="AX863" s="411"/>
      <c r="AY863" s="134"/>
      <c r="AZ863" s="214"/>
      <c r="BA863" s="214"/>
      <c r="BB863" s="423"/>
      <c r="BC863" s="412">
        <v>63.82</v>
      </c>
      <c r="BD863" s="132">
        <f t="shared" si="881"/>
        <v>65.49565217</v>
      </c>
      <c r="BE863" s="422"/>
      <c r="BF863" s="48"/>
      <c r="BG863" s="49"/>
      <c r="BH863" s="224">
        <f t="shared" si="863"/>
        <v>307.4913248</v>
      </c>
      <c r="BI863" s="224">
        <f t="shared" si="864"/>
        <v>184.4947949</v>
      </c>
      <c r="BJ863" s="224">
        <f t="shared" si="865"/>
        <v>153.7456624</v>
      </c>
      <c r="BK863" s="224">
        <f t="shared" si="866"/>
        <v>122.9965299</v>
      </c>
      <c r="BL863" s="49"/>
      <c r="BM863" s="49"/>
      <c r="BN863" s="49"/>
      <c r="BO863" s="49"/>
      <c r="BP863" s="49"/>
      <c r="BQ863" s="49"/>
      <c r="BR863" s="49"/>
      <c r="BS863" s="49"/>
      <c r="BT863" s="49"/>
      <c r="BU863" s="49"/>
      <c r="BV863" s="49"/>
      <c r="BW863" s="49"/>
      <c r="BX863" s="49"/>
      <c r="BY863" s="49"/>
      <c r="BZ863" s="49"/>
      <c r="CA863" s="49"/>
      <c r="CB863" s="49"/>
      <c r="CC863" s="49"/>
      <c r="CD863" s="49"/>
      <c r="CE863" s="49"/>
      <c r="CF863" s="49"/>
    </row>
    <row r="864" ht="14.25" customHeight="1">
      <c r="A864" s="103" t="s">
        <v>84</v>
      </c>
      <c r="B864" s="103" t="s">
        <v>120</v>
      </c>
      <c r="C864" s="103" t="s">
        <v>120</v>
      </c>
      <c r="D864" s="103" t="s">
        <v>1886</v>
      </c>
      <c r="E864" s="109" t="s">
        <v>2920</v>
      </c>
      <c r="F864" s="105" t="s">
        <v>3029</v>
      </c>
      <c r="G864" s="110"/>
      <c r="H864" s="110"/>
      <c r="I864" s="409"/>
      <c r="J864" s="410" t="s">
        <v>3070</v>
      </c>
      <c r="K864" s="410" t="str">
        <f>_xlfn.XLOOKUP(J864,[1]Sheet1!$A:$A,[1]Sheet1!$B:$B,"")</f>
        <v>#ERROR!</v>
      </c>
      <c r="L864" s="109" t="s">
        <v>3071</v>
      </c>
      <c r="M864" s="104" t="s">
        <v>3072</v>
      </c>
      <c r="N864" s="110"/>
      <c r="O864" s="109" t="s">
        <v>95</v>
      </c>
      <c r="P864" s="106"/>
      <c r="Q864" s="105" t="s">
        <v>2924</v>
      </c>
      <c r="R864" s="408"/>
      <c r="S864" s="408"/>
      <c r="T864" s="110"/>
      <c r="U864" s="106">
        <v>9.403208E9</v>
      </c>
      <c r="V864" s="112">
        <v>0.0</v>
      </c>
      <c r="W864" s="106">
        <v>45.0</v>
      </c>
      <c r="X864" s="106">
        <v>45.0</v>
      </c>
      <c r="Y864" s="113"/>
      <c r="Z864" s="113" t="s">
        <v>148</v>
      </c>
      <c r="AA864" s="114">
        <f t="shared" si="870"/>
        <v>0</v>
      </c>
      <c r="AB864" s="115"/>
      <c r="AC864" s="212">
        <f t="shared" si="772"/>
        <v>14.08450704</v>
      </c>
      <c r="AD864" s="213">
        <f t="shared" si="799"/>
        <v>15.14463123</v>
      </c>
      <c r="AE864" s="212"/>
      <c r="AF864" s="212" t="str">
        <f t="shared" si="94"/>
        <v>#REF!</v>
      </c>
      <c r="AG864" s="210" t="str">
        <f t="shared" si="95"/>
        <v>#REF!</v>
      </c>
      <c r="AH864" s="120" t="str">
        <f t="shared" si="96"/>
        <v>#REF!</v>
      </c>
      <c r="AI864" s="399">
        <f t="shared" si="497"/>
        <v>0.1</v>
      </c>
      <c r="AJ864" s="399">
        <v>0.1</v>
      </c>
      <c r="AK864" s="400">
        <v>0.29000000000000004</v>
      </c>
      <c r="AL864" s="123">
        <f t="shared" si="11"/>
        <v>4.084507042</v>
      </c>
      <c r="AM864" s="401" t="s">
        <v>10</v>
      </c>
      <c r="AN864" s="125">
        <f t="shared" si="871"/>
        <v>14.08450704</v>
      </c>
      <c r="AO864" s="402">
        <f t="shared" si="775"/>
        <v>0.29</v>
      </c>
      <c r="AP864" s="127"/>
      <c r="AQ864" s="403">
        <f t="shared" ref="AQ864:AR864" si="886">BC864/(1-AI864)</f>
        <v>0</v>
      </c>
      <c r="AR864" s="404">
        <f t="shared" si="886"/>
        <v>11.11111111</v>
      </c>
      <c r="AS864" s="405" t="str">
        <f t="shared" si="733"/>
        <v>#DIV/0!</v>
      </c>
      <c r="AT864" s="405">
        <f t="shared" si="777"/>
        <v>0.2111111111</v>
      </c>
      <c r="AU864" s="129"/>
      <c r="AV864" s="48" t="s">
        <v>2927</v>
      </c>
      <c r="AW864" s="411"/>
      <c r="AX864" s="411"/>
      <c r="AY864" s="134"/>
      <c r="AZ864" s="214"/>
      <c r="BA864" s="214"/>
      <c r="BB864" s="227"/>
      <c r="BC864" s="412"/>
      <c r="BD864" s="132">
        <f t="shared" si="881"/>
        <v>10</v>
      </c>
      <c r="BE864" s="215"/>
      <c r="BF864" s="48"/>
      <c r="BG864" s="49"/>
      <c r="BH864" s="224">
        <f t="shared" si="863"/>
        <v>46.94835681</v>
      </c>
      <c r="BI864" s="224">
        <f t="shared" si="864"/>
        <v>28.16901408</v>
      </c>
      <c r="BJ864" s="224">
        <f t="shared" si="865"/>
        <v>23.4741784</v>
      </c>
      <c r="BK864" s="224">
        <f t="shared" si="866"/>
        <v>18.77934272</v>
      </c>
      <c r="BL864" s="49"/>
      <c r="BM864" s="49"/>
      <c r="BN864" s="49"/>
      <c r="BO864" s="49"/>
      <c r="BP864" s="49"/>
      <c r="BQ864" s="49"/>
      <c r="BR864" s="49"/>
      <c r="BS864" s="49"/>
      <c r="BT864" s="49"/>
      <c r="BU864" s="49"/>
      <c r="BV864" s="49"/>
      <c r="BW864" s="49"/>
      <c r="BX864" s="49"/>
      <c r="BY864" s="49"/>
      <c r="BZ864" s="49"/>
      <c r="CA864" s="49"/>
      <c r="CB864" s="49"/>
      <c r="CC864" s="49"/>
      <c r="CD864" s="49"/>
      <c r="CE864" s="49"/>
      <c r="CF864" s="49"/>
    </row>
    <row r="865" ht="14.25" customHeight="1">
      <c r="A865" s="103" t="s">
        <v>84</v>
      </c>
      <c r="B865" s="103" t="s">
        <v>3073</v>
      </c>
      <c r="C865" s="103" t="s">
        <v>120</v>
      </c>
      <c r="D865" s="103" t="s">
        <v>1886</v>
      </c>
      <c r="E865" s="109" t="s">
        <v>3074</v>
      </c>
      <c r="F865" s="105" t="s">
        <v>3029</v>
      </c>
      <c r="G865" s="110" t="s">
        <v>3075</v>
      </c>
      <c r="H865" s="110" t="s">
        <v>3076</v>
      </c>
      <c r="I865" s="107"/>
      <c r="J865" s="108" t="s">
        <v>3077</v>
      </c>
      <c r="K865" s="108" t="str">
        <f>_xlfn.XLOOKUP(J865,[1]Sheet1!$A:$A,[1]Sheet1!$B:$B,"")</f>
        <v>#ERROR!</v>
      </c>
      <c r="L865" s="109" t="s">
        <v>3078</v>
      </c>
      <c r="M865" s="104" t="s">
        <v>3079</v>
      </c>
      <c r="N865" s="110" t="s">
        <v>3080</v>
      </c>
      <c r="O865" s="109" t="s">
        <v>147</v>
      </c>
      <c r="P865" s="106"/>
      <c r="Q865" s="105" t="s">
        <v>3081</v>
      </c>
      <c r="R865" s="106"/>
      <c r="S865" s="106"/>
      <c r="T865" s="110"/>
      <c r="U865" s="106">
        <v>9.403208E9</v>
      </c>
      <c r="V865" s="112">
        <v>0.0</v>
      </c>
      <c r="W865" s="106">
        <v>45.0</v>
      </c>
      <c r="X865" s="106">
        <v>45.0</v>
      </c>
      <c r="Y865" s="106"/>
      <c r="Z865" s="106" t="s">
        <v>99</v>
      </c>
      <c r="AA865" s="114">
        <f t="shared" ref="AA865:AA880" si="887">AQ865/(1-(AK865+2%))</f>
        <v>247.2201631</v>
      </c>
      <c r="AB865" s="115"/>
      <c r="AC865" s="212">
        <f t="shared" si="772"/>
        <v>215.9023228</v>
      </c>
      <c r="AD865" s="213">
        <f t="shared" si="799"/>
        <v>232.1530353</v>
      </c>
      <c r="AE865" s="212"/>
      <c r="AF865" s="212" t="str">
        <f t="shared" si="94"/>
        <v>#REF!</v>
      </c>
      <c r="AG865" s="210" t="str">
        <f t="shared" si="95"/>
        <v>#REF!</v>
      </c>
      <c r="AH865" s="120" t="str">
        <f t="shared" si="96"/>
        <v>#REF!</v>
      </c>
      <c r="AI865" s="121">
        <f t="shared" si="497"/>
        <v>0.05</v>
      </c>
      <c r="AJ865" s="121">
        <v>0.05</v>
      </c>
      <c r="AK865" s="418">
        <v>0.27</v>
      </c>
      <c r="AL865" s="123">
        <f t="shared" si="11"/>
        <v>58.29362716</v>
      </c>
      <c r="AM865" s="401" t="s">
        <v>10</v>
      </c>
      <c r="AN865" s="125">
        <f t="shared" si="871"/>
        <v>215.9023228</v>
      </c>
      <c r="AO865" s="402">
        <f t="shared" si="775"/>
        <v>0.27</v>
      </c>
      <c r="AP865" s="127"/>
      <c r="AQ865" s="128">
        <f t="shared" ref="AQ865:AQ880" si="888">BC865/(1-AI865)*$F$6</f>
        <v>175.5263158</v>
      </c>
      <c r="AR865" s="404">
        <f t="shared" ref="AR865:AR880" si="889">BD865/(1-AJ865)</f>
        <v>165.9038902</v>
      </c>
      <c r="AS865" s="405">
        <f t="shared" si="733"/>
        <v>0.29</v>
      </c>
      <c r="AT865" s="405">
        <f t="shared" si="777"/>
        <v>0.2315789474</v>
      </c>
      <c r="AU865" s="129"/>
      <c r="AV865" s="225" t="s">
        <v>3024</v>
      </c>
      <c r="AW865" s="416"/>
      <c r="AX865" s="416"/>
      <c r="AY865" s="361"/>
      <c r="AZ865" s="214"/>
      <c r="BA865" s="214"/>
      <c r="BB865" s="227"/>
      <c r="BC865" s="412">
        <v>145.0</v>
      </c>
      <c r="BD865" s="132">
        <f t="shared" ref="BD865:BD880" si="890">BC865/$F$6*1.25+BC865*V865</f>
        <v>157.6086957</v>
      </c>
      <c r="BE865" s="215"/>
      <c r="BF865" s="48"/>
      <c r="BG865" s="49"/>
      <c r="BH865" s="224">
        <f t="shared" si="863"/>
        <v>719.6744094</v>
      </c>
      <c r="BI865" s="224">
        <f t="shared" si="864"/>
        <v>431.8046456</v>
      </c>
      <c r="BJ865" s="224">
        <f t="shared" si="865"/>
        <v>359.8372047</v>
      </c>
      <c r="BK865" s="224">
        <f t="shared" si="866"/>
        <v>287.8697637</v>
      </c>
      <c r="BL865" s="49"/>
      <c r="BM865" s="49"/>
      <c r="BN865" s="49"/>
      <c r="BO865" s="49"/>
      <c r="BP865" s="49"/>
      <c r="BQ865" s="49"/>
      <c r="BR865" s="49"/>
      <c r="BS865" s="49"/>
      <c r="BT865" s="49"/>
      <c r="BU865" s="49"/>
      <c r="BV865" s="49"/>
      <c r="BW865" s="49"/>
      <c r="BX865" s="49"/>
      <c r="BY865" s="49"/>
      <c r="BZ865" s="49"/>
      <c r="CA865" s="49"/>
      <c r="CB865" s="49"/>
      <c r="CC865" s="49"/>
      <c r="CD865" s="49"/>
      <c r="CE865" s="49"/>
      <c r="CF865" s="49"/>
    </row>
    <row r="866" ht="14.25" customHeight="1">
      <c r="A866" s="103" t="s">
        <v>84</v>
      </c>
      <c r="B866" s="103" t="s">
        <v>3073</v>
      </c>
      <c r="C866" s="103" t="s">
        <v>120</v>
      </c>
      <c r="D866" s="103" t="s">
        <v>1886</v>
      </c>
      <c r="E866" s="109" t="s">
        <v>3074</v>
      </c>
      <c r="F866" s="105" t="s">
        <v>3029</v>
      </c>
      <c r="G866" s="110" t="s">
        <v>3082</v>
      </c>
      <c r="H866" s="110" t="s">
        <v>3076</v>
      </c>
      <c r="I866" s="107"/>
      <c r="J866" s="108" t="s">
        <v>3083</v>
      </c>
      <c r="K866" s="108" t="str">
        <f>_xlfn.XLOOKUP(J866,[1]Sheet1!$A:$A,[1]Sheet1!$B:$B,"")</f>
        <v>#ERROR!</v>
      </c>
      <c r="L866" s="109" t="s">
        <v>3084</v>
      </c>
      <c r="M866" s="104" t="s">
        <v>3085</v>
      </c>
      <c r="N866" s="110"/>
      <c r="O866" s="109" t="s">
        <v>147</v>
      </c>
      <c r="P866" s="106"/>
      <c r="Q866" s="105" t="s">
        <v>3081</v>
      </c>
      <c r="R866" s="106"/>
      <c r="S866" s="106"/>
      <c r="T866" s="110"/>
      <c r="U866" s="106">
        <v>9.403208E9</v>
      </c>
      <c r="V866" s="112">
        <v>0.0</v>
      </c>
      <c r="W866" s="106">
        <v>45.0</v>
      </c>
      <c r="X866" s="106">
        <v>45.0</v>
      </c>
      <c r="Y866" s="106"/>
      <c r="Z866" s="106" t="s">
        <v>99</v>
      </c>
      <c r="AA866" s="114">
        <f t="shared" si="887"/>
        <v>264.2698295</v>
      </c>
      <c r="AB866" s="115"/>
      <c r="AC866" s="212">
        <f t="shared" si="772"/>
        <v>230.7921382</v>
      </c>
      <c r="AD866" s="213">
        <f t="shared" si="799"/>
        <v>248.1635894</v>
      </c>
      <c r="AE866" s="212"/>
      <c r="AF866" s="212" t="str">
        <f t="shared" si="94"/>
        <v>#REF!</v>
      </c>
      <c r="AG866" s="210" t="str">
        <f t="shared" si="95"/>
        <v>#REF!</v>
      </c>
      <c r="AH866" s="120" t="str">
        <f t="shared" si="96"/>
        <v>#REF!</v>
      </c>
      <c r="AI866" s="121">
        <f t="shared" si="497"/>
        <v>0.05</v>
      </c>
      <c r="AJ866" s="121">
        <v>0.05</v>
      </c>
      <c r="AK866" s="418">
        <v>0.27</v>
      </c>
      <c r="AL866" s="123">
        <f t="shared" si="11"/>
        <v>62.31387731</v>
      </c>
      <c r="AM866" s="401" t="s">
        <v>10</v>
      </c>
      <c r="AN866" s="125">
        <f t="shared" si="871"/>
        <v>230.7921382</v>
      </c>
      <c r="AO866" s="402">
        <f t="shared" si="775"/>
        <v>0.27</v>
      </c>
      <c r="AP866" s="127"/>
      <c r="AQ866" s="128">
        <f t="shared" si="888"/>
        <v>187.6315789</v>
      </c>
      <c r="AR866" s="404">
        <f t="shared" si="889"/>
        <v>177.3455378</v>
      </c>
      <c r="AS866" s="405">
        <f t="shared" si="733"/>
        <v>0.29</v>
      </c>
      <c r="AT866" s="405">
        <f t="shared" si="777"/>
        <v>0.2315789474</v>
      </c>
      <c r="AU866" s="129"/>
      <c r="AV866" s="225" t="s">
        <v>3024</v>
      </c>
      <c r="AW866" s="416"/>
      <c r="AX866" s="416"/>
      <c r="AY866" s="361"/>
      <c r="AZ866" s="214"/>
      <c r="BA866" s="214"/>
      <c r="BB866" s="227"/>
      <c r="BC866" s="412">
        <v>155.0</v>
      </c>
      <c r="BD866" s="132">
        <f t="shared" si="890"/>
        <v>168.4782609</v>
      </c>
      <c r="BE866" s="215"/>
      <c r="BF866" s="48"/>
      <c r="BG866" s="49"/>
      <c r="BH866" s="224">
        <f t="shared" si="863"/>
        <v>769.3071273</v>
      </c>
      <c r="BI866" s="224">
        <f t="shared" si="864"/>
        <v>461.5842764</v>
      </c>
      <c r="BJ866" s="224">
        <f t="shared" si="865"/>
        <v>384.6535636</v>
      </c>
      <c r="BK866" s="224">
        <f t="shared" si="866"/>
        <v>307.7228509</v>
      </c>
      <c r="BL866" s="49"/>
      <c r="BM866" s="49"/>
      <c r="BN866" s="49"/>
      <c r="BO866" s="49"/>
      <c r="BP866" s="49"/>
      <c r="BQ866" s="49"/>
      <c r="BR866" s="49"/>
      <c r="BS866" s="49"/>
      <c r="BT866" s="49"/>
      <c r="BU866" s="49"/>
      <c r="BV866" s="49"/>
      <c r="BW866" s="49"/>
      <c r="BX866" s="49"/>
      <c r="BY866" s="49"/>
      <c r="BZ866" s="49"/>
      <c r="CA866" s="49"/>
      <c r="CB866" s="49"/>
      <c r="CC866" s="49"/>
      <c r="CD866" s="49"/>
      <c r="CE866" s="49"/>
      <c r="CF866" s="49"/>
    </row>
    <row r="867" ht="14.25" customHeight="1">
      <c r="A867" s="103" t="s">
        <v>84</v>
      </c>
      <c r="B867" s="103" t="s">
        <v>3073</v>
      </c>
      <c r="C867" s="103" t="s">
        <v>120</v>
      </c>
      <c r="D867" s="103" t="s">
        <v>1886</v>
      </c>
      <c r="E867" s="109" t="s">
        <v>3074</v>
      </c>
      <c r="F867" s="105" t="s">
        <v>3029</v>
      </c>
      <c r="G867" s="110" t="s">
        <v>3086</v>
      </c>
      <c r="H867" s="110" t="s">
        <v>3076</v>
      </c>
      <c r="I867" s="107"/>
      <c r="J867" s="108" t="s">
        <v>3087</v>
      </c>
      <c r="K867" s="108" t="str">
        <f>_xlfn.XLOOKUP(J867,[1]Sheet1!$A:$A,[1]Sheet1!$B:$B,"")</f>
        <v>#ERROR!</v>
      </c>
      <c r="L867" s="109" t="s">
        <v>3088</v>
      </c>
      <c r="M867" s="104" t="s">
        <v>3089</v>
      </c>
      <c r="N867" s="110"/>
      <c r="O867" s="109" t="s">
        <v>147</v>
      </c>
      <c r="P867" s="106"/>
      <c r="Q867" s="105" t="s">
        <v>3081</v>
      </c>
      <c r="R867" s="106"/>
      <c r="S867" s="106"/>
      <c r="T867" s="110"/>
      <c r="U867" s="106">
        <v>9.403208E9</v>
      </c>
      <c r="V867" s="112">
        <v>0.0</v>
      </c>
      <c r="W867" s="106">
        <v>45.0</v>
      </c>
      <c r="X867" s="106">
        <v>45.0</v>
      </c>
      <c r="Y867" s="106"/>
      <c r="Z867" s="106" t="s">
        <v>99</v>
      </c>
      <c r="AA867" s="114">
        <f t="shared" si="887"/>
        <v>281.3194959</v>
      </c>
      <c r="AB867" s="115"/>
      <c r="AC867" s="212">
        <f t="shared" si="772"/>
        <v>245.6819535</v>
      </c>
      <c r="AD867" s="213">
        <f t="shared" si="799"/>
        <v>264.1741436</v>
      </c>
      <c r="AE867" s="212"/>
      <c r="AF867" s="212" t="str">
        <f t="shared" si="94"/>
        <v>#REF!</v>
      </c>
      <c r="AG867" s="210" t="str">
        <f t="shared" si="95"/>
        <v>#REF!</v>
      </c>
      <c r="AH867" s="120" t="str">
        <f t="shared" si="96"/>
        <v>#REF!</v>
      </c>
      <c r="AI867" s="121">
        <f t="shared" si="497"/>
        <v>0.05</v>
      </c>
      <c r="AJ867" s="121">
        <v>0.05</v>
      </c>
      <c r="AK867" s="418">
        <v>0.27</v>
      </c>
      <c r="AL867" s="123">
        <f t="shared" si="11"/>
        <v>66.33412746</v>
      </c>
      <c r="AM867" s="401" t="s">
        <v>10</v>
      </c>
      <c r="AN867" s="125">
        <f t="shared" si="871"/>
        <v>245.6819535</v>
      </c>
      <c r="AO867" s="402">
        <f t="shared" si="775"/>
        <v>0.27</v>
      </c>
      <c r="AP867" s="127"/>
      <c r="AQ867" s="128">
        <f t="shared" si="888"/>
        <v>199.7368421</v>
      </c>
      <c r="AR867" s="404">
        <f t="shared" si="889"/>
        <v>188.7871854</v>
      </c>
      <c r="AS867" s="405">
        <f t="shared" si="733"/>
        <v>0.29</v>
      </c>
      <c r="AT867" s="405">
        <f t="shared" si="777"/>
        <v>0.2315789474</v>
      </c>
      <c r="AU867" s="129"/>
      <c r="AV867" s="225" t="s">
        <v>3024</v>
      </c>
      <c r="AW867" s="416"/>
      <c r="AX867" s="416"/>
      <c r="AY867" s="361"/>
      <c r="AZ867" s="214"/>
      <c r="BA867" s="214"/>
      <c r="BB867" s="227"/>
      <c r="BC867" s="412">
        <v>165.0</v>
      </c>
      <c r="BD867" s="132">
        <f t="shared" si="890"/>
        <v>179.3478261</v>
      </c>
      <c r="BE867" s="215"/>
      <c r="BF867" s="48"/>
      <c r="BG867" s="49"/>
      <c r="BH867" s="224">
        <f t="shared" si="863"/>
        <v>818.9398451</v>
      </c>
      <c r="BI867" s="224">
        <f t="shared" si="864"/>
        <v>491.3639071</v>
      </c>
      <c r="BJ867" s="224">
        <f t="shared" si="865"/>
        <v>409.4699226</v>
      </c>
      <c r="BK867" s="224">
        <f t="shared" si="866"/>
        <v>327.5759381</v>
      </c>
      <c r="BL867" s="49"/>
      <c r="BM867" s="49"/>
      <c r="BN867" s="49"/>
      <c r="BO867" s="49"/>
      <c r="BP867" s="49"/>
      <c r="BQ867" s="49"/>
      <c r="BR867" s="49"/>
      <c r="BS867" s="49"/>
      <c r="BT867" s="49"/>
      <c r="BU867" s="49"/>
      <c r="BV867" s="49"/>
      <c r="BW867" s="49"/>
      <c r="BX867" s="49"/>
      <c r="BY867" s="49"/>
      <c r="BZ867" s="49"/>
      <c r="CA867" s="49"/>
      <c r="CB867" s="49"/>
      <c r="CC867" s="49"/>
      <c r="CD867" s="49"/>
      <c r="CE867" s="49"/>
      <c r="CF867" s="49"/>
    </row>
    <row r="868" ht="14.25" customHeight="1">
      <c r="A868" s="103" t="s">
        <v>84</v>
      </c>
      <c r="B868" s="103" t="s">
        <v>3073</v>
      </c>
      <c r="C868" s="103" t="s">
        <v>120</v>
      </c>
      <c r="D868" s="103" t="s">
        <v>1886</v>
      </c>
      <c r="E868" s="109" t="s">
        <v>3074</v>
      </c>
      <c r="F868" s="105" t="s">
        <v>3029</v>
      </c>
      <c r="G868" s="110" t="s">
        <v>3090</v>
      </c>
      <c r="H868" s="110" t="s">
        <v>3076</v>
      </c>
      <c r="I868" s="107"/>
      <c r="J868" s="108" t="s">
        <v>3091</v>
      </c>
      <c r="K868" s="108" t="str">
        <f>_xlfn.XLOOKUP(J868,[1]Sheet1!$A:$A,[1]Sheet1!$B:$B,"")</f>
        <v>#ERROR!</v>
      </c>
      <c r="L868" s="109" t="s">
        <v>3092</v>
      </c>
      <c r="M868" s="104" t="s">
        <v>3093</v>
      </c>
      <c r="N868" s="110"/>
      <c r="O868" s="109" t="s">
        <v>147</v>
      </c>
      <c r="P868" s="106"/>
      <c r="Q868" s="105" t="s">
        <v>3081</v>
      </c>
      <c r="R868" s="106"/>
      <c r="S868" s="106"/>
      <c r="T868" s="110"/>
      <c r="U868" s="106">
        <v>9.403208E9</v>
      </c>
      <c r="V868" s="112">
        <v>0.0</v>
      </c>
      <c r="W868" s="106">
        <v>45.0</v>
      </c>
      <c r="X868" s="106">
        <v>45.0</v>
      </c>
      <c r="Y868" s="106"/>
      <c r="Z868" s="106" t="s">
        <v>99</v>
      </c>
      <c r="AA868" s="114">
        <f t="shared" si="887"/>
        <v>306.8939956</v>
      </c>
      <c r="AB868" s="115"/>
      <c r="AC868" s="212">
        <f t="shared" si="772"/>
        <v>268.0166766</v>
      </c>
      <c r="AD868" s="213">
        <f t="shared" si="799"/>
        <v>288.1899748</v>
      </c>
      <c r="AE868" s="212"/>
      <c r="AF868" s="212" t="str">
        <f t="shared" si="94"/>
        <v>#REF!</v>
      </c>
      <c r="AG868" s="210" t="str">
        <f t="shared" si="95"/>
        <v>#REF!</v>
      </c>
      <c r="AH868" s="120" t="str">
        <f t="shared" si="96"/>
        <v>#REF!</v>
      </c>
      <c r="AI868" s="121">
        <f t="shared" si="497"/>
        <v>0.05</v>
      </c>
      <c r="AJ868" s="121">
        <v>0.05</v>
      </c>
      <c r="AK868" s="418">
        <v>0.27</v>
      </c>
      <c r="AL868" s="123">
        <f t="shared" si="11"/>
        <v>72.36450268</v>
      </c>
      <c r="AM868" s="401" t="s">
        <v>10</v>
      </c>
      <c r="AN868" s="125">
        <f t="shared" si="871"/>
        <v>268.0166766</v>
      </c>
      <c r="AO868" s="402">
        <f t="shared" si="775"/>
        <v>0.27</v>
      </c>
      <c r="AP868" s="127"/>
      <c r="AQ868" s="128">
        <f t="shared" si="888"/>
        <v>217.8947368</v>
      </c>
      <c r="AR868" s="404">
        <f t="shared" si="889"/>
        <v>205.9496568</v>
      </c>
      <c r="AS868" s="405">
        <f t="shared" si="733"/>
        <v>0.29</v>
      </c>
      <c r="AT868" s="405">
        <f t="shared" si="777"/>
        <v>0.2315789474</v>
      </c>
      <c r="AU868" s="129"/>
      <c r="AV868" s="225" t="s">
        <v>3024</v>
      </c>
      <c r="AW868" s="416"/>
      <c r="AX868" s="416"/>
      <c r="AY868" s="361"/>
      <c r="AZ868" s="214"/>
      <c r="BA868" s="214"/>
      <c r="BB868" s="227"/>
      <c r="BC868" s="412">
        <v>180.0</v>
      </c>
      <c r="BD868" s="132">
        <f t="shared" si="890"/>
        <v>195.6521739</v>
      </c>
      <c r="BE868" s="215"/>
      <c r="BF868" s="48"/>
      <c r="BG868" s="49"/>
      <c r="BH868" s="224">
        <f t="shared" si="863"/>
        <v>893.388922</v>
      </c>
      <c r="BI868" s="224">
        <f t="shared" si="864"/>
        <v>536.0333532</v>
      </c>
      <c r="BJ868" s="224">
        <f t="shared" si="865"/>
        <v>446.694461</v>
      </c>
      <c r="BK868" s="224">
        <f t="shared" si="866"/>
        <v>357.3555688</v>
      </c>
      <c r="BL868" s="49"/>
      <c r="BM868" s="49"/>
      <c r="BN868" s="49"/>
      <c r="BO868" s="49"/>
      <c r="BP868" s="49"/>
      <c r="BQ868" s="49"/>
      <c r="BR868" s="49"/>
      <c r="BS868" s="49"/>
      <c r="BT868" s="49"/>
      <c r="BU868" s="49"/>
      <c r="BV868" s="49"/>
      <c r="BW868" s="49"/>
      <c r="BX868" s="49"/>
      <c r="BY868" s="49"/>
      <c r="BZ868" s="49"/>
      <c r="CA868" s="49"/>
      <c r="CB868" s="49"/>
      <c r="CC868" s="49"/>
      <c r="CD868" s="49"/>
      <c r="CE868" s="49"/>
      <c r="CF868" s="49"/>
    </row>
    <row r="869" ht="14.25" customHeight="1">
      <c r="A869" s="103" t="s">
        <v>84</v>
      </c>
      <c r="B869" s="103" t="s">
        <v>3073</v>
      </c>
      <c r="C869" s="103" t="s">
        <v>120</v>
      </c>
      <c r="D869" s="103" t="s">
        <v>1886</v>
      </c>
      <c r="E869" s="109" t="s">
        <v>3074</v>
      </c>
      <c r="F869" s="105" t="s">
        <v>3029</v>
      </c>
      <c r="G869" s="110" t="s">
        <v>3094</v>
      </c>
      <c r="H869" s="110" t="s">
        <v>3076</v>
      </c>
      <c r="I869" s="107"/>
      <c r="J869" s="108" t="s">
        <v>3095</v>
      </c>
      <c r="K869" s="108" t="str">
        <f>_xlfn.XLOOKUP(J869,[1]Sheet1!$A:$A,[1]Sheet1!$B:$B,"")</f>
        <v>#ERROR!</v>
      </c>
      <c r="L869" s="109" t="s">
        <v>3096</v>
      </c>
      <c r="M869" s="104" t="s">
        <v>3097</v>
      </c>
      <c r="N869" s="110"/>
      <c r="O869" s="109" t="s">
        <v>147</v>
      </c>
      <c r="P869" s="106"/>
      <c r="Q869" s="105" t="s">
        <v>3081</v>
      </c>
      <c r="R869" s="106"/>
      <c r="S869" s="106"/>
      <c r="T869" s="110"/>
      <c r="U869" s="106">
        <v>9.403208E9</v>
      </c>
      <c r="V869" s="112">
        <v>0.0</v>
      </c>
      <c r="W869" s="106">
        <v>45.0</v>
      </c>
      <c r="X869" s="106">
        <v>45.0</v>
      </c>
      <c r="Y869" s="106"/>
      <c r="Z869" s="106" t="s">
        <v>99</v>
      </c>
      <c r="AA869" s="114">
        <f t="shared" si="887"/>
        <v>366.567828</v>
      </c>
      <c r="AB869" s="115"/>
      <c r="AC869" s="212">
        <f t="shared" si="772"/>
        <v>320.1310304</v>
      </c>
      <c r="AD869" s="213">
        <f t="shared" si="799"/>
        <v>344.2269144</v>
      </c>
      <c r="AE869" s="212"/>
      <c r="AF869" s="212" t="str">
        <f t="shared" si="94"/>
        <v>#REF!</v>
      </c>
      <c r="AG869" s="210" t="str">
        <f t="shared" si="95"/>
        <v>#REF!</v>
      </c>
      <c r="AH869" s="120" t="str">
        <f t="shared" si="96"/>
        <v>#REF!</v>
      </c>
      <c r="AI869" s="121">
        <f t="shared" si="497"/>
        <v>0.05</v>
      </c>
      <c r="AJ869" s="121">
        <v>0.05</v>
      </c>
      <c r="AK869" s="418">
        <v>0.27</v>
      </c>
      <c r="AL869" s="123">
        <f t="shared" si="11"/>
        <v>86.4353782</v>
      </c>
      <c r="AM869" s="401" t="s">
        <v>10</v>
      </c>
      <c r="AN869" s="125">
        <f t="shared" si="871"/>
        <v>320.1310304</v>
      </c>
      <c r="AO869" s="402">
        <f t="shared" si="775"/>
        <v>0.27</v>
      </c>
      <c r="AP869" s="127"/>
      <c r="AQ869" s="128">
        <f t="shared" si="888"/>
        <v>260.2631579</v>
      </c>
      <c r="AR869" s="404">
        <f t="shared" si="889"/>
        <v>245.9954233</v>
      </c>
      <c r="AS869" s="405">
        <f t="shared" si="733"/>
        <v>0.29</v>
      </c>
      <c r="AT869" s="405">
        <f t="shared" si="777"/>
        <v>0.2315789474</v>
      </c>
      <c r="AU869" s="129">
        <v>258.41</v>
      </c>
      <c r="AV869" s="225" t="s">
        <v>3024</v>
      </c>
      <c r="AW869" s="416"/>
      <c r="AX869" s="416"/>
      <c r="AY869" s="361"/>
      <c r="AZ869" s="214"/>
      <c r="BA869" s="214"/>
      <c r="BB869" s="227"/>
      <c r="BC869" s="412">
        <v>215.0</v>
      </c>
      <c r="BD869" s="132">
        <f t="shared" si="890"/>
        <v>233.6956522</v>
      </c>
      <c r="BE869" s="215"/>
      <c r="BF869" s="48"/>
      <c r="BG869" s="49"/>
      <c r="BH869" s="224">
        <f t="shared" si="863"/>
        <v>1067.103435</v>
      </c>
      <c r="BI869" s="224">
        <f t="shared" si="864"/>
        <v>640.2620608</v>
      </c>
      <c r="BJ869" s="224">
        <f t="shared" si="865"/>
        <v>533.5517173</v>
      </c>
      <c r="BK869" s="224">
        <f t="shared" si="866"/>
        <v>426.8413738</v>
      </c>
      <c r="BL869" s="49"/>
      <c r="BM869" s="49"/>
      <c r="BN869" s="49"/>
      <c r="BO869" s="49"/>
      <c r="BP869" s="49"/>
      <c r="BQ869" s="49"/>
      <c r="BR869" s="49"/>
      <c r="BS869" s="49"/>
      <c r="BT869" s="49"/>
      <c r="BU869" s="49"/>
      <c r="BV869" s="49"/>
      <c r="BW869" s="49"/>
      <c r="BX869" s="49"/>
      <c r="BY869" s="49"/>
      <c r="BZ869" s="49"/>
      <c r="CA869" s="49"/>
      <c r="CB869" s="49"/>
      <c r="CC869" s="49"/>
      <c r="CD869" s="49"/>
      <c r="CE869" s="49"/>
      <c r="CF869" s="49"/>
    </row>
    <row r="870" ht="14.25" customHeight="1">
      <c r="A870" s="103" t="s">
        <v>84</v>
      </c>
      <c r="B870" s="103" t="s">
        <v>3073</v>
      </c>
      <c r="C870" s="103" t="s">
        <v>120</v>
      </c>
      <c r="D870" s="103" t="s">
        <v>1886</v>
      </c>
      <c r="E870" s="109" t="s">
        <v>3074</v>
      </c>
      <c r="F870" s="105" t="s">
        <v>3029</v>
      </c>
      <c r="G870" s="110" t="s">
        <v>3094</v>
      </c>
      <c r="H870" s="110" t="s">
        <v>3076</v>
      </c>
      <c r="I870" s="107"/>
      <c r="J870" s="108" t="s">
        <v>3098</v>
      </c>
      <c r="K870" s="108" t="str">
        <f>_xlfn.XLOOKUP(J870,[1]Sheet1!$A:$A,[1]Sheet1!$B:$B,"")</f>
        <v>#ERROR!</v>
      </c>
      <c r="L870" s="109" t="s">
        <v>3099</v>
      </c>
      <c r="M870" s="104" t="s">
        <v>3100</v>
      </c>
      <c r="N870" s="110"/>
      <c r="O870" s="109" t="s">
        <v>147</v>
      </c>
      <c r="P870" s="106"/>
      <c r="Q870" s="105" t="s">
        <v>3081</v>
      </c>
      <c r="R870" s="106"/>
      <c r="S870" s="106"/>
      <c r="T870" s="110"/>
      <c r="U870" s="106">
        <v>9.403208E9</v>
      </c>
      <c r="V870" s="112">
        <v>0.0</v>
      </c>
      <c r="W870" s="106">
        <v>45.0</v>
      </c>
      <c r="X870" s="106">
        <v>45.0</v>
      </c>
      <c r="Y870" s="106"/>
      <c r="Z870" s="106" t="s">
        <v>99</v>
      </c>
      <c r="AA870" s="114">
        <f t="shared" si="887"/>
        <v>288.1393625</v>
      </c>
      <c r="AB870" s="115"/>
      <c r="AC870" s="212">
        <f t="shared" si="772"/>
        <v>251.6378797</v>
      </c>
      <c r="AD870" s="213">
        <f t="shared" si="799"/>
        <v>270.5783653</v>
      </c>
      <c r="AE870" s="212"/>
      <c r="AF870" s="212" t="str">
        <f t="shared" si="94"/>
        <v>#REF!</v>
      </c>
      <c r="AG870" s="210" t="str">
        <f t="shared" si="95"/>
        <v>#REF!</v>
      </c>
      <c r="AH870" s="120" t="str">
        <f t="shared" si="96"/>
        <v>#REF!</v>
      </c>
      <c r="AI870" s="121">
        <f t="shared" si="497"/>
        <v>0.05</v>
      </c>
      <c r="AJ870" s="121">
        <v>0.05</v>
      </c>
      <c r="AK870" s="418">
        <v>0.27</v>
      </c>
      <c r="AL870" s="123">
        <f t="shared" si="11"/>
        <v>67.94222752</v>
      </c>
      <c r="AM870" s="401" t="s">
        <v>10</v>
      </c>
      <c r="AN870" s="125">
        <f t="shared" si="871"/>
        <v>251.6378797</v>
      </c>
      <c r="AO870" s="402">
        <f t="shared" si="775"/>
        <v>0.27</v>
      </c>
      <c r="AP870" s="127"/>
      <c r="AQ870" s="128">
        <f t="shared" si="888"/>
        <v>204.5789474</v>
      </c>
      <c r="AR870" s="404">
        <f t="shared" si="889"/>
        <v>193.3638444</v>
      </c>
      <c r="AS870" s="405">
        <f t="shared" si="733"/>
        <v>0.29</v>
      </c>
      <c r="AT870" s="405">
        <f t="shared" si="777"/>
        <v>0.2315789474</v>
      </c>
      <c r="AU870" s="129"/>
      <c r="AV870" s="225" t="s">
        <v>3024</v>
      </c>
      <c r="AW870" s="416"/>
      <c r="AX870" s="416"/>
      <c r="AY870" s="361"/>
      <c r="AZ870" s="214"/>
      <c r="BA870" s="214"/>
      <c r="BB870" s="227"/>
      <c r="BC870" s="412">
        <v>169.0</v>
      </c>
      <c r="BD870" s="132">
        <f t="shared" si="890"/>
        <v>183.6956522</v>
      </c>
      <c r="BE870" s="215"/>
      <c r="BF870" s="48"/>
      <c r="BG870" s="49"/>
      <c r="BH870" s="224">
        <f t="shared" si="863"/>
        <v>838.7929323</v>
      </c>
      <c r="BI870" s="224">
        <f t="shared" si="864"/>
        <v>503.2757594</v>
      </c>
      <c r="BJ870" s="224">
        <f t="shared" si="865"/>
        <v>419.3964662</v>
      </c>
      <c r="BK870" s="224">
        <f t="shared" si="866"/>
        <v>335.5171729</v>
      </c>
      <c r="BL870" s="49"/>
      <c r="BM870" s="49"/>
      <c r="BN870" s="49"/>
      <c r="BO870" s="49"/>
      <c r="BP870" s="49"/>
      <c r="BQ870" s="49"/>
      <c r="BR870" s="49"/>
      <c r="BS870" s="49"/>
      <c r="BT870" s="49"/>
      <c r="BU870" s="49"/>
      <c r="BV870" s="49"/>
      <c r="BW870" s="49"/>
      <c r="BX870" s="49"/>
      <c r="BY870" s="49"/>
      <c r="BZ870" s="49"/>
      <c r="CA870" s="49"/>
      <c r="CB870" s="49"/>
      <c r="CC870" s="49"/>
      <c r="CD870" s="49"/>
      <c r="CE870" s="49"/>
      <c r="CF870" s="49"/>
    </row>
    <row r="871" ht="14.25" customHeight="1">
      <c r="A871" s="103" t="s">
        <v>84</v>
      </c>
      <c r="B871" s="103" t="s">
        <v>3073</v>
      </c>
      <c r="C871" s="103" t="s">
        <v>120</v>
      </c>
      <c r="D871" s="103" t="s">
        <v>1886</v>
      </c>
      <c r="E871" s="109" t="s">
        <v>3074</v>
      </c>
      <c r="F871" s="105" t="s">
        <v>3029</v>
      </c>
      <c r="G871" s="110" t="s">
        <v>3075</v>
      </c>
      <c r="H871" s="110" t="s">
        <v>3101</v>
      </c>
      <c r="I871" s="107"/>
      <c r="J871" s="108" t="s">
        <v>3102</v>
      </c>
      <c r="K871" s="108" t="str">
        <f>_xlfn.XLOOKUP(J871,[1]Sheet1!$A:$A,[1]Sheet1!$B:$B,"")</f>
        <v>#ERROR!</v>
      </c>
      <c r="L871" s="109" t="s">
        <v>3103</v>
      </c>
      <c r="M871" s="104" t="s">
        <v>3104</v>
      </c>
      <c r="N871" s="110"/>
      <c r="O871" s="109" t="s">
        <v>147</v>
      </c>
      <c r="P871" s="106"/>
      <c r="Q871" s="105" t="s">
        <v>3081</v>
      </c>
      <c r="R871" s="106"/>
      <c r="S871" s="106"/>
      <c r="T871" s="110"/>
      <c r="U871" s="106">
        <v>9.403208E9</v>
      </c>
      <c r="V871" s="112">
        <v>0.0</v>
      </c>
      <c r="W871" s="106">
        <v>45.0</v>
      </c>
      <c r="X871" s="106">
        <v>45.0</v>
      </c>
      <c r="Y871" s="106"/>
      <c r="Z871" s="106" t="s">
        <v>99</v>
      </c>
      <c r="AA871" s="114">
        <f t="shared" si="887"/>
        <v>289.8443291</v>
      </c>
      <c r="AB871" s="115"/>
      <c r="AC871" s="212">
        <f t="shared" si="772"/>
        <v>253.1268612</v>
      </c>
      <c r="AD871" s="213">
        <f t="shared" si="799"/>
        <v>272.1794207</v>
      </c>
      <c r="AE871" s="212"/>
      <c r="AF871" s="212" t="str">
        <f t="shared" si="94"/>
        <v>#REF!</v>
      </c>
      <c r="AG871" s="210" t="str">
        <f t="shared" si="95"/>
        <v>#REF!</v>
      </c>
      <c r="AH871" s="120" t="str">
        <f t="shared" si="96"/>
        <v>#REF!</v>
      </c>
      <c r="AI871" s="121">
        <f t="shared" si="497"/>
        <v>0.05</v>
      </c>
      <c r="AJ871" s="121">
        <v>0.05</v>
      </c>
      <c r="AK871" s="418">
        <v>0.27</v>
      </c>
      <c r="AL871" s="123">
        <f t="shared" si="11"/>
        <v>68.34425253</v>
      </c>
      <c r="AM871" s="401" t="s">
        <v>10</v>
      </c>
      <c r="AN871" s="125">
        <f t="shared" si="871"/>
        <v>253.1268612</v>
      </c>
      <c r="AO871" s="402">
        <f t="shared" si="775"/>
        <v>0.27</v>
      </c>
      <c r="AP871" s="127"/>
      <c r="AQ871" s="128">
        <f t="shared" si="888"/>
        <v>205.7894737</v>
      </c>
      <c r="AR871" s="404">
        <f t="shared" si="889"/>
        <v>194.5080092</v>
      </c>
      <c r="AS871" s="405">
        <f t="shared" si="733"/>
        <v>0.29</v>
      </c>
      <c r="AT871" s="405">
        <f t="shared" si="777"/>
        <v>0.2315789474</v>
      </c>
      <c r="AU871" s="129"/>
      <c r="AV871" s="225" t="s">
        <v>3024</v>
      </c>
      <c r="AW871" s="416"/>
      <c r="AX871" s="416"/>
      <c r="AY871" s="361"/>
      <c r="AZ871" s="214"/>
      <c r="BA871" s="214"/>
      <c r="BB871" s="227"/>
      <c r="BC871" s="412">
        <v>170.0</v>
      </c>
      <c r="BD871" s="132">
        <f t="shared" si="890"/>
        <v>184.7826087</v>
      </c>
      <c r="BE871" s="215"/>
      <c r="BF871" s="48"/>
      <c r="BG871" s="49"/>
      <c r="BH871" s="224">
        <f t="shared" si="863"/>
        <v>843.7562041</v>
      </c>
      <c r="BI871" s="224">
        <f t="shared" si="864"/>
        <v>506.2537225</v>
      </c>
      <c r="BJ871" s="224">
        <f t="shared" si="865"/>
        <v>421.878102</v>
      </c>
      <c r="BK871" s="224">
        <f t="shared" si="866"/>
        <v>337.5024816</v>
      </c>
      <c r="BL871" s="49"/>
      <c r="BM871" s="49"/>
      <c r="BN871" s="49"/>
      <c r="BO871" s="49"/>
      <c r="BP871" s="49"/>
      <c r="BQ871" s="49"/>
      <c r="BR871" s="49"/>
      <c r="BS871" s="49"/>
      <c r="BT871" s="49"/>
      <c r="BU871" s="49"/>
      <c r="BV871" s="49"/>
      <c r="BW871" s="49"/>
      <c r="BX871" s="49"/>
      <c r="BY871" s="49"/>
      <c r="BZ871" s="49"/>
      <c r="CA871" s="49"/>
      <c r="CB871" s="49"/>
      <c r="CC871" s="49"/>
      <c r="CD871" s="49"/>
      <c r="CE871" s="49"/>
      <c r="CF871" s="49"/>
    </row>
    <row r="872" ht="14.25" customHeight="1">
      <c r="A872" s="103" t="s">
        <v>84</v>
      </c>
      <c r="B872" s="103" t="s">
        <v>3073</v>
      </c>
      <c r="C872" s="103" t="s">
        <v>120</v>
      </c>
      <c r="D872" s="103" t="s">
        <v>1886</v>
      </c>
      <c r="E872" s="109" t="s">
        <v>3074</v>
      </c>
      <c r="F872" s="105" t="s">
        <v>3029</v>
      </c>
      <c r="G872" s="110" t="s">
        <v>3082</v>
      </c>
      <c r="H872" s="110" t="s">
        <v>3101</v>
      </c>
      <c r="I872" s="107"/>
      <c r="J872" s="108" t="s">
        <v>3105</v>
      </c>
      <c r="K872" s="108" t="str">
        <f>_xlfn.XLOOKUP(J872,[1]Sheet1!$A:$A,[1]Sheet1!$B:$B,"")</f>
        <v>#ERROR!</v>
      </c>
      <c r="L872" s="109" t="s">
        <v>3106</v>
      </c>
      <c r="M872" s="104" t="s">
        <v>3107</v>
      </c>
      <c r="N872" s="110"/>
      <c r="O872" s="109" t="s">
        <v>147</v>
      </c>
      <c r="P872" s="106"/>
      <c r="Q872" s="105" t="s">
        <v>3081</v>
      </c>
      <c r="R872" s="106"/>
      <c r="S872" s="106"/>
      <c r="T872" s="110"/>
      <c r="U872" s="106">
        <v>9.403208E9</v>
      </c>
      <c r="V872" s="112">
        <v>0.0</v>
      </c>
      <c r="W872" s="106">
        <v>45.0</v>
      </c>
      <c r="X872" s="106">
        <v>45.0</v>
      </c>
      <c r="Y872" s="106"/>
      <c r="Z872" s="106" t="s">
        <v>99</v>
      </c>
      <c r="AA872" s="114">
        <f t="shared" si="887"/>
        <v>398.9621942</v>
      </c>
      <c r="AB872" s="115"/>
      <c r="AC872" s="212">
        <f t="shared" si="772"/>
        <v>348.4216796</v>
      </c>
      <c r="AD872" s="213">
        <f t="shared" si="799"/>
        <v>374.6469673</v>
      </c>
      <c r="AE872" s="212"/>
      <c r="AF872" s="212" t="str">
        <f t="shared" si="94"/>
        <v>#REF!</v>
      </c>
      <c r="AG872" s="210" t="str">
        <f t="shared" si="95"/>
        <v>#REF!</v>
      </c>
      <c r="AH872" s="120" t="str">
        <f t="shared" si="96"/>
        <v>#REF!</v>
      </c>
      <c r="AI872" s="121">
        <f t="shared" si="497"/>
        <v>0.05</v>
      </c>
      <c r="AJ872" s="121">
        <v>0.05</v>
      </c>
      <c r="AK872" s="418">
        <v>0.27</v>
      </c>
      <c r="AL872" s="123">
        <f t="shared" si="11"/>
        <v>94.07385348</v>
      </c>
      <c r="AM872" s="401" t="s">
        <v>10</v>
      </c>
      <c r="AN872" s="125">
        <f t="shared" si="871"/>
        <v>348.4216796</v>
      </c>
      <c r="AO872" s="402">
        <f t="shared" si="775"/>
        <v>0.27</v>
      </c>
      <c r="AP872" s="127"/>
      <c r="AQ872" s="128">
        <f t="shared" si="888"/>
        <v>283.2631579</v>
      </c>
      <c r="AR872" s="404">
        <f t="shared" si="889"/>
        <v>267.7345538</v>
      </c>
      <c r="AS872" s="405">
        <f t="shared" si="733"/>
        <v>0.29</v>
      </c>
      <c r="AT872" s="405">
        <f t="shared" si="777"/>
        <v>0.2315789474</v>
      </c>
      <c r="AU872" s="129"/>
      <c r="AV872" s="225" t="s">
        <v>3024</v>
      </c>
      <c r="AW872" s="416"/>
      <c r="AX872" s="416"/>
      <c r="AY872" s="361"/>
      <c r="AZ872" s="214"/>
      <c r="BA872" s="214"/>
      <c r="BB872" s="227"/>
      <c r="BC872" s="412">
        <v>234.0</v>
      </c>
      <c r="BD872" s="132">
        <f t="shared" si="890"/>
        <v>254.3478261</v>
      </c>
      <c r="BE872" s="215"/>
      <c r="BF872" s="48"/>
      <c r="BG872" s="49"/>
      <c r="BH872" s="224">
        <f t="shared" si="863"/>
        <v>1161.405599</v>
      </c>
      <c r="BI872" s="224">
        <f t="shared" si="864"/>
        <v>696.8433591</v>
      </c>
      <c r="BJ872" s="224">
        <f t="shared" si="865"/>
        <v>580.7027993</v>
      </c>
      <c r="BK872" s="224">
        <f t="shared" si="866"/>
        <v>464.5622394</v>
      </c>
      <c r="BL872" s="49"/>
      <c r="BM872" s="49"/>
      <c r="BN872" s="49"/>
      <c r="BO872" s="49"/>
      <c r="BP872" s="49"/>
      <c r="BQ872" s="49"/>
      <c r="BR872" s="49"/>
      <c r="BS872" s="49"/>
      <c r="BT872" s="49"/>
      <c r="BU872" s="49"/>
      <c r="BV872" s="49"/>
      <c r="BW872" s="49"/>
      <c r="BX872" s="49"/>
      <c r="BY872" s="49"/>
      <c r="BZ872" s="49"/>
      <c r="CA872" s="49"/>
      <c r="CB872" s="49"/>
      <c r="CC872" s="49"/>
      <c r="CD872" s="49"/>
      <c r="CE872" s="49"/>
      <c r="CF872" s="49"/>
    </row>
    <row r="873" ht="14.25" customHeight="1">
      <c r="A873" s="103" t="s">
        <v>84</v>
      </c>
      <c r="B873" s="103" t="s">
        <v>3073</v>
      </c>
      <c r="C873" s="103" t="s">
        <v>120</v>
      </c>
      <c r="D873" s="103" t="s">
        <v>1886</v>
      </c>
      <c r="E873" s="109" t="s">
        <v>3074</v>
      </c>
      <c r="F873" s="105" t="s">
        <v>3029</v>
      </c>
      <c r="G873" s="110" t="s">
        <v>3086</v>
      </c>
      <c r="H873" s="110" t="s">
        <v>3101</v>
      </c>
      <c r="I873" s="107"/>
      <c r="J873" s="108" t="s">
        <v>3108</v>
      </c>
      <c r="K873" s="108" t="str">
        <f>_xlfn.XLOOKUP(J873,[1]Sheet1!$A:$A,[1]Sheet1!$B:$B,"")</f>
        <v>#ERROR!</v>
      </c>
      <c r="L873" s="109" t="s">
        <v>3109</v>
      </c>
      <c r="M873" s="104" t="s">
        <v>3110</v>
      </c>
      <c r="N873" s="110"/>
      <c r="O873" s="109" t="s">
        <v>147</v>
      </c>
      <c r="P873" s="106"/>
      <c r="Q873" s="105" t="s">
        <v>3081</v>
      </c>
      <c r="R873" s="106"/>
      <c r="S873" s="106"/>
      <c r="T873" s="110"/>
      <c r="U873" s="106">
        <v>9.403208E9</v>
      </c>
      <c r="V873" s="112">
        <v>0.0</v>
      </c>
      <c r="W873" s="106">
        <v>45.0</v>
      </c>
      <c r="X873" s="106">
        <v>45.0</v>
      </c>
      <c r="Y873" s="106"/>
      <c r="Z873" s="106" t="s">
        <v>99</v>
      </c>
      <c r="AA873" s="114">
        <f t="shared" si="887"/>
        <v>417.7168273</v>
      </c>
      <c r="AB873" s="115"/>
      <c r="AC873" s="212">
        <f t="shared" si="772"/>
        <v>364.8004765</v>
      </c>
      <c r="AD873" s="213">
        <f t="shared" si="799"/>
        <v>392.2585769</v>
      </c>
      <c r="AE873" s="212"/>
      <c r="AF873" s="212" t="str">
        <f t="shared" si="94"/>
        <v>#REF!</v>
      </c>
      <c r="AG873" s="210" t="str">
        <f t="shared" si="95"/>
        <v>#REF!</v>
      </c>
      <c r="AH873" s="120" t="str">
        <f t="shared" si="96"/>
        <v>#REF!</v>
      </c>
      <c r="AI873" s="121">
        <f t="shared" si="497"/>
        <v>0.05</v>
      </c>
      <c r="AJ873" s="121">
        <v>0.05</v>
      </c>
      <c r="AK873" s="418">
        <v>0.27</v>
      </c>
      <c r="AL873" s="123">
        <f t="shared" si="11"/>
        <v>98.49612865</v>
      </c>
      <c r="AM873" s="401" t="s">
        <v>10</v>
      </c>
      <c r="AN873" s="125">
        <f t="shared" si="871"/>
        <v>364.8004765</v>
      </c>
      <c r="AO873" s="402">
        <f t="shared" si="775"/>
        <v>0.27</v>
      </c>
      <c r="AP873" s="127"/>
      <c r="AQ873" s="128">
        <f t="shared" si="888"/>
        <v>296.5789474</v>
      </c>
      <c r="AR873" s="404">
        <f t="shared" si="889"/>
        <v>280.3203661</v>
      </c>
      <c r="AS873" s="405">
        <f t="shared" si="733"/>
        <v>0.29</v>
      </c>
      <c r="AT873" s="405">
        <f t="shared" si="777"/>
        <v>0.2315789474</v>
      </c>
      <c r="AU873" s="129"/>
      <c r="AV873" s="225" t="s">
        <v>3024</v>
      </c>
      <c r="AW873" s="416"/>
      <c r="AX873" s="416"/>
      <c r="AY873" s="361"/>
      <c r="AZ873" s="214"/>
      <c r="BA873" s="214"/>
      <c r="BB873" s="227"/>
      <c r="BC873" s="412">
        <v>245.0</v>
      </c>
      <c r="BD873" s="132">
        <f t="shared" si="890"/>
        <v>266.3043478</v>
      </c>
      <c r="BE873" s="215"/>
      <c r="BF873" s="48"/>
      <c r="BG873" s="49"/>
      <c r="BH873" s="224">
        <f t="shared" si="863"/>
        <v>1216.001588</v>
      </c>
      <c r="BI873" s="224">
        <f t="shared" si="864"/>
        <v>729.6009529</v>
      </c>
      <c r="BJ873" s="224">
        <f t="shared" si="865"/>
        <v>608.0007941</v>
      </c>
      <c r="BK873" s="224">
        <f t="shared" si="866"/>
        <v>486.4006353</v>
      </c>
      <c r="BL873" s="49"/>
      <c r="BM873" s="49"/>
      <c r="BN873" s="49"/>
      <c r="BO873" s="49"/>
      <c r="BP873" s="49"/>
      <c r="BQ873" s="49"/>
      <c r="BR873" s="49"/>
      <c r="BS873" s="49"/>
      <c r="BT873" s="49"/>
      <c r="BU873" s="49"/>
      <c r="BV873" s="49"/>
      <c r="BW873" s="49"/>
      <c r="BX873" s="49"/>
      <c r="BY873" s="49"/>
      <c r="BZ873" s="49"/>
      <c r="CA873" s="49"/>
      <c r="CB873" s="49"/>
      <c r="CC873" s="49"/>
      <c r="CD873" s="49"/>
      <c r="CE873" s="49"/>
      <c r="CF873" s="49"/>
    </row>
    <row r="874" ht="14.25" customHeight="1">
      <c r="A874" s="103" t="s">
        <v>84</v>
      </c>
      <c r="B874" s="103" t="s">
        <v>3073</v>
      </c>
      <c r="C874" s="103" t="s">
        <v>120</v>
      </c>
      <c r="D874" s="103" t="s">
        <v>1886</v>
      </c>
      <c r="E874" s="109" t="s">
        <v>3074</v>
      </c>
      <c r="F874" s="105" t="s">
        <v>3029</v>
      </c>
      <c r="G874" s="110" t="s">
        <v>3090</v>
      </c>
      <c r="H874" s="110" t="s">
        <v>3101</v>
      </c>
      <c r="I874" s="107"/>
      <c r="J874" s="108" t="s">
        <v>3111</v>
      </c>
      <c r="K874" s="108" t="str">
        <f>_xlfn.XLOOKUP(J874,[1]Sheet1!$A:$A,[1]Sheet1!$B:$B,"")</f>
        <v>#ERROR!</v>
      </c>
      <c r="L874" s="109" t="s">
        <v>3112</v>
      </c>
      <c r="M874" s="104" t="s">
        <v>3113</v>
      </c>
      <c r="N874" s="110"/>
      <c r="O874" s="109" t="s">
        <v>147</v>
      </c>
      <c r="P874" s="106"/>
      <c r="Q874" s="105" t="s">
        <v>3081</v>
      </c>
      <c r="R874" s="106"/>
      <c r="S874" s="106"/>
      <c r="T874" s="110"/>
      <c r="U874" s="106">
        <v>9.403208E9</v>
      </c>
      <c r="V874" s="112">
        <v>0.0</v>
      </c>
      <c r="W874" s="106">
        <v>45.0</v>
      </c>
      <c r="X874" s="106">
        <v>45.0</v>
      </c>
      <c r="Y874" s="106"/>
      <c r="Z874" s="106" t="s">
        <v>99</v>
      </c>
      <c r="AA874" s="114">
        <f t="shared" si="887"/>
        <v>462.04596</v>
      </c>
      <c r="AB874" s="115"/>
      <c r="AC874" s="212">
        <f t="shared" si="772"/>
        <v>403.5139964</v>
      </c>
      <c r="AD874" s="213">
        <f t="shared" si="799"/>
        <v>433.8860177</v>
      </c>
      <c r="AE874" s="212"/>
      <c r="AF874" s="212" t="str">
        <f t="shared" si="94"/>
        <v>#REF!</v>
      </c>
      <c r="AG874" s="210" t="str">
        <f t="shared" si="95"/>
        <v>#REF!</v>
      </c>
      <c r="AH874" s="120" t="str">
        <f t="shared" si="96"/>
        <v>#REF!</v>
      </c>
      <c r="AI874" s="121">
        <f t="shared" si="497"/>
        <v>0.05</v>
      </c>
      <c r="AJ874" s="121">
        <v>0.05</v>
      </c>
      <c r="AK874" s="418">
        <v>0.27</v>
      </c>
      <c r="AL874" s="123">
        <f t="shared" si="11"/>
        <v>108.948779</v>
      </c>
      <c r="AM874" s="401" t="s">
        <v>10</v>
      </c>
      <c r="AN874" s="125">
        <f t="shared" si="871"/>
        <v>403.5139964</v>
      </c>
      <c r="AO874" s="402">
        <f t="shared" si="775"/>
        <v>0.27</v>
      </c>
      <c r="AP874" s="127"/>
      <c r="AQ874" s="128">
        <f t="shared" si="888"/>
        <v>328.0526316</v>
      </c>
      <c r="AR874" s="404">
        <f t="shared" si="889"/>
        <v>310.0686499</v>
      </c>
      <c r="AS874" s="405">
        <f t="shared" si="733"/>
        <v>0.29</v>
      </c>
      <c r="AT874" s="405">
        <f t="shared" si="777"/>
        <v>0.2315789474</v>
      </c>
      <c r="AU874" s="129"/>
      <c r="AV874" s="225" t="s">
        <v>3024</v>
      </c>
      <c r="AW874" s="416"/>
      <c r="AX874" s="416"/>
      <c r="AY874" s="361"/>
      <c r="AZ874" s="214"/>
      <c r="BA874" s="214"/>
      <c r="BB874" s="227"/>
      <c r="BC874" s="412">
        <v>271.0</v>
      </c>
      <c r="BD874" s="132">
        <f t="shared" si="890"/>
        <v>294.5652174</v>
      </c>
      <c r="BE874" s="215"/>
      <c r="BF874" s="48"/>
      <c r="BG874" s="49"/>
      <c r="BH874" s="224">
        <f t="shared" si="863"/>
        <v>1345.046655</v>
      </c>
      <c r="BI874" s="224">
        <f t="shared" si="864"/>
        <v>807.0279929</v>
      </c>
      <c r="BJ874" s="224">
        <f t="shared" si="865"/>
        <v>672.5233274</v>
      </c>
      <c r="BK874" s="224">
        <f t="shared" si="866"/>
        <v>538.0186619</v>
      </c>
      <c r="BL874" s="49"/>
      <c r="BM874" s="49"/>
      <c r="BN874" s="49"/>
      <c r="BO874" s="49"/>
      <c r="BP874" s="49"/>
      <c r="BQ874" s="49"/>
      <c r="BR874" s="49"/>
      <c r="BS874" s="49"/>
      <c r="BT874" s="49"/>
      <c r="BU874" s="49"/>
      <c r="BV874" s="49"/>
      <c r="BW874" s="49"/>
      <c r="BX874" s="49"/>
      <c r="BY874" s="49"/>
      <c r="BZ874" s="49"/>
      <c r="CA874" s="49"/>
      <c r="CB874" s="49"/>
      <c r="CC874" s="49"/>
      <c r="CD874" s="49"/>
      <c r="CE874" s="49"/>
      <c r="CF874" s="49"/>
    </row>
    <row r="875" ht="14.25" customHeight="1">
      <c r="A875" s="103" t="s">
        <v>84</v>
      </c>
      <c r="B875" s="103" t="s">
        <v>3073</v>
      </c>
      <c r="C875" s="103" t="s">
        <v>120</v>
      </c>
      <c r="D875" s="103" t="s">
        <v>1886</v>
      </c>
      <c r="E875" s="109" t="s">
        <v>3074</v>
      </c>
      <c r="F875" s="105" t="s">
        <v>3029</v>
      </c>
      <c r="G875" s="110" t="s">
        <v>3094</v>
      </c>
      <c r="H875" s="110" t="s">
        <v>3101</v>
      </c>
      <c r="I875" s="107"/>
      <c r="J875" s="108" t="s">
        <v>3114</v>
      </c>
      <c r="K875" s="108" t="str">
        <f>_xlfn.XLOOKUP(J875,[1]Sheet1!$A:$A,[1]Sheet1!$B:$B,"")</f>
        <v>#ERROR!</v>
      </c>
      <c r="L875" s="109" t="s">
        <v>3115</v>
      </c>
      <c r="M875" s="104" t="s">
        <v>3116</v>
      </c>
      <c r="N875" s="110"/>
      <c r="O875" s="109" t="s">
        <v>147</v>
      </c>
      <c r="P875" s="106"/>
      <c r="Q875" s="105" t="s">
        <v>3081</v>
      </c>
      <c r="R875" s="106"/>
      <c r="S875" s="106"/>
      <c r="T875" s="110"/>
      <c r="U875" s="106">
        <v>9.403208E9</v>
      </c>
      <c r="V875" s="112">
        <v>0.0</v>
      </c>
      <c r="W875" s="106">
        <v>45.0</v>
      </c>
      <c r="X875" s="106">
        <v>45.0</v>
      </c>
      <c r="Y875" s="106"/>
      <c r="Z875" s="106" t="s">
        <v>99</v>
      </c>
      <c r="AA875" s="114">
        <f t="shared" si="887"/>
        <v>542.1793921</v>
      </c>
      <c r="AB875" s="115"/>
      <c r="AC875" s="212">
        <f t="shared" si="772"/>
        <v>473.4961286</v>
      </c>
      <c r="AD875" s="213">
        <f t="shared" si="799"/>
        <v>509.1356222</v>
      </c>
      <c r="AE875" s="212"/>
      <c r="AF875" s="212" t="str">
        <f t="shared" si="94"/>
        <v>#REF!</v>
      </c>
      <c r="AG875" s="210" t="str">
        <f t="shared" si="95"/>
        <v>#REF!</v>
      </c>
      <c r="AH875" s="120" t="str">
        <f t="shared" si="96"/>
        <v>#REF!</v>
      </c>
      <c r="AI875" s="121">
        <f t="shared" si="497"/>
        <v>0.05</v>
      </c>
      <c r="AJ875" s="121">
        <v>0.05</v>
      </c>
      <c r="AK875" s="418">
        <v>0.27</v>
      </c>
      <c r="AL875" s="123">
        <f t="shared" si="11"/>
        <v>127.8439547</v>
      </c>
      <c r="AM875" s="401" t="s">
        <v>10</v>
      </c>
      <c r="AN875" s="125">
        <f t="shared" si="871"/>
        <v>473.4961286</v>
      </c>
      <c r="AO875" s="402">
        <f t="shared" si="775"/>
        <v>0.27</v>
      </c>
      <c r="AP875" s="127"/>
      <c r="AQ875" s="128">
        <f t="shared" si="888"/>
        <v>384.9473684</v>
      </c>
      <c r="AR875" s="404">
        <f t="shared" si="889"/>
        <v>363.8443936</v>
      </c>
      <c r="AS875" s="405">
        <f t="shared" si="733"/>
        <v>0.29</v>
      </c>
      <c r="AT875" s="405">
        <f t="shared" si="777"/>
        <v>0.2315789474</v>
      </c>
      <c r="AU875" s="129"/>
      <c r="AV875" s="225" t="s">
        <v>3024</v>
      </c>
      <c r="AW875" s="416"/>
      <c r="AX875" s="416"/>
      <c r="AY875" s="361"/>
      <c r="AZ875" s="214"/>
      <c r="BA875" s="214"/>
      <c r="BB875" s="227"/>
      <c r="BC875" s="412">
        <v>318.0</v>
      </c>
      <c r="BD875" s="132">
        <f t="shared" si="890"/>
        <v>345.6521739</v>
      </c>
      <c r="BE875" s="215"/>
      <c r="BF875" s="48"/>
      <c r="BG875" s="49"/>
      <c r="BH875" s="224">
        <f t="shared" si="863"/>
        <v>1578.320429</v>
      </c>
      <c r="BI875" s="224">
        <f t="shared" si="864"/>
        <v>946.9922573</v>
      </c>
      <c r="BJ875" s="224">
        <f t="shared" si="865"/>
        <v>789.1602144</v>
      </c>
      <c r="BK875" s="224">
        <f t="shared" si="866"/>
        <v>631.3281715</v>
      </c>
      <c r="BL875" s="49"/>
      <c r="BM875" s="49"/>
      <c r="BN875" s="49"/>
      <c r="BO875" s="49"/>
      <c r="BP875" s="49"/>
      <c r="BQ875" s="49"/>
      <c r="BR875" s="49"/>
      <c r="BS875" s="49"/>
      <c r="BT875" s="49"/>
      <c r="BU875" s="49"/>
      <c r="BV875" s="49"/>
      <c r="BW875" s="49"/>
      <c r="BX875" s="49"/>
      <c r="BY875" s="49"/>
      <c r="BZ875" s="49"/>
      <c r="CA875" s="49"/>
      <c r="CB875" s="49"/>
      <c r="CC875" s="49"/>
      <c r="CD875" s="49"/>
      <c r="CE875" s="49"/>
      <c r="CF875" s="49"/>
    </row>
    <row r="876" ht="14.25" customHeight="1">
      <c r="A876" s="103" t="s">
        <v>84</v>
      </c>
      <c r="B876" s="103" t="s">
        <v>3073</v>
      </c>
      <c r="C876" s="103" t="s">
        <v>120</v>
      </c>
      <c r="D876" s="103" t="s">
        <v>1886</v>
      </c>
      <c r="E876" s="109" t="s">
        <v>3074</v>
      </c>
      <c r="F876" s="105" t="s">
        <v>3029</v>
      </c>
      <c r="G876" s="110" t="s">
        <v>3094</v>
      </c>
      <c r="H876" s="110" t="s">
        <v>3101</v>
      </c>
      <c r="I876" s="107"/>
      <c r="J876" s="108" t="s">
        <v>3117</v>
      </c>
      <c r="K876" s="108" t="str">
        <f>_xlfn.XLOOKUP(J876,[1]Sheet1!$A:$A,[1]Sheet1!$B:$B,"")</f>
        <v>#ERROR!</v>
      </c>
      <c r="L876" s="109" t="s">
        <v>3118</v>
      </c>
      <c r="M876" s="104" t="s">
        <v>3119</v>
      </c>
      <c r="N876" s="110"/>
      <c r="O876" s="109" t="s">
        <v>147</v>
      </c>
      <c r="P876" s="106"/>
      <c r="Q876" s="105" t="s">
        <v>3081</v>
      </c>
      <c r="R876" s="106"/>
      <c r="S876" s="106"/>
      <c r="T876" s="110"/>
      <c r="U876" s="106">
        <v>9.403208E9</v>
      </c>
      <c r="V876" s="112">
        <v>0.0</v>
      </c>
      <c r="W876" s="106">
        <v>45.0</v>
      </c>
      <c r="X876" s="106">
        <v>45.0</v>
      </c>
      <c r="Y876" s="106"/>
      <c r="Z876" s="106" t="s">
        <v>99</v>
      </c>
      <c r="AA876" s="114">
        <f t="shared" si="887"/>
        <v>306.8939956</v>
      </c>
      <c r="AB876" s="115"/>
      <c r="AC876" s="212">
        <f t="shared" si="772"/>
        <v>268.0166766</v>
      </c>
      <c r="AD876" s="213">
        <f t="shared" si="799"/>
        <v>288.1899748</v>
      </c>
      <c r="AE876" s="212"/>
      <c r="AF876" s="212" t="str">
        <f t="shared" si="94"/>
        <v>#REF!</v>
      </c>
      <c r="AG876" s="210" t="str">
        <f t="shared" si="95"/>
        <v>#REF!</v>
      </c>
      <c r="AH876" s="120" t="str">
        <f t="shared" si="96"/>
        <v>#REF!</v>
      </c>
      <c r="AI876" s="121">
        <f t="shared" si="497"/>
        <v>0.05</v>
      </c>
      <c r="AJ876" s="121">
        <v>0.05</v>
      </c>
      <c r="AK876" s="418">
        <v>0.27</v>
      </c>
      <c r="AL876" s="123">
        <f t="shared" si="11"/>
        <v>72.36450268</v>
      </c>
      <c r="AM876" s="401" t="s">
        <v>10</v>
      </c>
      <c r="AN876" s="125">
        <f t="shared" si="871"/>
        <v>268.0166766</v>
      </c>
      <c r="AO876" s="402">
        <f t="shared" si="775"/>
        <v>0.27</v>
      </c>
      <c r="AP876" s="127"/>
      <c r="AQ876" s="128">
        <f t="shared" si="888"/>
        <v>217.8947368</v>
      </c>
      <c r="AR876" s="404">
        <f t="shared" si="889"/>
        <v>205.9496568</v>
      </c>
      <c r="AS876" s="405">
        <f t="shared" si="733"/>
        <v>0.29</v>
      </c>
      <c r="AT876" s="405">
        <f t="shared" si="777"/>
        <v>0.2315789474</v>
      </c>
      <c r="AU876" s="129"/>
      <c r="AV876" s="225" t="s">
        <v>3024</v>
      </c>
      <c r="AW876" s="416"/>
      <c r="AX876" s="416"/>
      <c r="AY876" s="361"/>
      <c r="AZ876" s="214"/>
      <c r="BA876" s="214"/>
      <c r="BB876" s="227"/>
      <c r="BC876" s="412">
        <v>180.0</v>
      </c>
      <c r="BD876" s="132">
        <f t="shared" si="890"/>
        <v>195.6521739</v>
      </c>
      <c r="BE876" s="215"/>
      <c r="BF876" s="48"/>
      <c r="BG876" s="49"/>
      <c r="BH876" s="224">
        <f t="shared" si="863"/>
        <v>893.388922</v>
      </c>
      <c r="BI876" s="224">
        <f t="shared" si="864"/>
        <v>536.0333532</v>
      </c>
      <c r="BJ876" s="224">
        <f t="shared" si="865"/>
        <v>446.694461</v>
      </c>
      <c r="BK876" s="224">
        <f t="shared" si="866"/>
        <v>357.3555688</v>
      </c>
      <c r="BL876" s="49"/>
      <c r="BM876" s="49"/>
      <c r="BN876" s="49"/>
      <c r="BO876" s="49"/>
      <c r="BP876" s="49"/>
      <c r="BQ876" s="49"/>
      <c r="BR876" s="49"/>
      <c r="BS876" s="49"/>
      <c r="BT876" s="49"/>
      <c r="BU876" s="49"/>
      <c r="BV876" s="49"/>
      <c r="BW876" s="49"/>
      <c r="BX876" s="49"/>
      <c r="BY876" s="49"/>
      <c r="BZ876" s="49"/>
      <c r="CA876" s="49"/>
      <c r="CB876" s="49"/>
      <c r="CC876" s="49"/>
      <c r="CD876" s="49"/>
      <c r="CE876" s="49"/>
      <c r="CF876" s="49"/>
    </row>
    <row r="877" ht="14.25" customHeight="1">
      <c r="A877" s="103" t="s">
        <v>84</v>
      </c>
      <c r="B877" s="103" t="s">
        <v>3073</v>
      </c>
      <c r="C877" s="103" t="s">
        <v>120</v>
      </c>
      <c r="D877" s="103" t="s">
        <v>1886</v>
      </c>
      <c r="E877" s="109" t="s">
        <v>3074</v>
      </c>
      <c r="F877" s="105" t="s">
        <v>3029</v>
      </c>
      <c r="G877" s="110" t="s">
        <v>3094</v>
      </c>
      <c r="H877" s="110" t="s">
        <v>3120</v>
      </c>
      <c r="I877" s="107"/>
      <c r="J877" s="108" t="s">
        <v>3121</v>
      </c>
      <c r="K877" s="108" t="str">
        <f>_xlfn.XLOOKUP(J877,[1]Sheet1!$A:$A,[1]Sheet1!$B:$B,"")</f>
        <v>#ERROR!</v>
      </c>
      <c r="L877" s="109" t="s">
        <v>3122</v>
      </c>
      <c r="M877" s="104" t="s">
        <v>3123</v>
      </c>
      <c r="N877" s="110"/>
      <c r="O877" s="109" t="s">
        <v>147</v>
      </c>
      <c r="P877" s="106"/>
      <c r="Q877" s="105" t="s">
        <v>3081</v>
      </c>
      <c r="R877" s="106"/>
      <c r="S877" s="106"/>
      <c r="T877" s="110"/>
      <c r="U877" s="106">
        <v>9.403208E9</v>
      </c>
      <c r="V877" s="112">
        <v>0.0</v>
      </c>
      <c r="W877" s="106">
        <v>45.0</v>
      </c>
      <c r="X877" s="106">
        <v>45.0</v>
      </c>
      <c r="Y877" s="106"/>
      <c r="Z877" s="106" t="s">
        <v>99</v>
      </c>
      <c r="AA877" s="114">
        <f t="shared" si="887"/>
        <v>468.8658265</v>
      </c>
      <c r="AB877" s="115"/>
      <c r="AC877" s="212">
        <f t="shared" si="772"/>
        <v>409.4699226</v>
      </c>
      <c r="AD877" s="213">
        <f t="shared" si="799"/>
        <v>440.2902393</v>
      </c>
      <c r="AE877" s="212"/>
      <c r="AF877" s="212" t="str">
        <f t="shared" si="94"/>
        <v>#REF!</v>
      </c>
      <c r="AG877" s="210" t="str">
        <f t="shared" si="95"/>
        <v>#REF!</v>
      </c>
      <c r="AH877" s="120" t="str">
        <f t="shared" si="96"/>
        <v>#REF!</v>
      </c>
      <c r="AI877" s="121">
        <f t="shared" si="497"/>
        <v>0.05</v>
      </c>
      <c r="AJ877" s="121">
        <v>0.05</v>
      </c>
      <c r="AK877" s="418">
        <v>0.27</v>
      </c>
      <c r="AL877" s="123">
        <f t="shared" si="11"/>
        <v>110.5568791</v>
      </c>
      <c r="AM877" s="401" t="s">
        <v>10</v>
      </c>
      <c r="AN877" s="125">
        <f t="shared" si="871"/>
        <v>409.4699226</v>
      </c>
      <c r="AO877" s="402">
        <f t="shared" si="775"/>
        <v>0.27</v>
      </c>
      <c r="AP877" s="127"/>
      <c r="AQ877" s="128">
        <f t="shared" si="888"/>
        <v>332.8947368</v>
      </c>
      <c r="AR877" s="404">
        <f t="shared" si="889"/>
        <v>314.6453089</v>
      </c>
      <c r="AS877" s="405">
        <f t="shared" si="733"/>
        <v>0.29</v>
      </c>
      <c r="AT877" s="405">
        <f t="shared" si="777"/>
        <v>0.2315789474</v>
      </c>
      <c r="AU877" s="129"/>
      <c r="AV877" s="225" t="s">
        <v>3024</v>
      </c>
      <c r="AW877" s="416"/>
      <c r="AX877" s="416"/>
      <c r="AY877" s="361"/>
      <c r="AZ877" s="214"/>
      <c r="BA877" s="214"/>
      <c r="BB877" s="227"/>
      <c r="BC877" s="412">
        <v>275.0</v>
      </c>
      <c r="BD877" s="132">
        <f t="shared" si="890"/>
        <v>298.9130435</v>
      </c>
      <c r="BE877" s="215"/>
      <c r="BF877" s="48"/>
      <c r="BG877" s="49"/>
      <c r="BH877" s="224">
        <f t="shared" si="863"/>
        <v>1364.899742</v>
      </c>
      <c r="BI877" s="224">
        <f t="shared" si="864"/>
        <v>818.9398451</v>
      </c>
      <c r="BJ877" s="224">
        <f t="shared" si="865"/>
        <v>682.449871</v>
      </c>
      <c r="BK877" s="224">
        <f t="shared" si="866"/>
        <v>545.9598968</v>
      </c>
      <c r="BL877" s="49"/>
      <c r="BM877" s="49"/>
      <c r="BN877" s="49"/>
      <c r="BO877" s="49"/>
      <c r="BP877" s="49"/>
      <c r="BQ877" s="49"/>
      <c r="BR877" s="49"/>
      <c r="BS877" s="49"/>
      <c r="BT877" s="49"/>
      <c r="BU877" s="49"/>
      <c r="BV877" s="49"/>
      <c r="BW877" s="49"/>
      <c r="BX877" s="49"/>
      <c r="BY877" s="49"/>
      <c r="BZ877" s="49"/>
      <c r="CA877" s="49"/>
      <c r="CB877" s="49"/>
      <c r="CC877" s="49"/>
      <c r="CD877" s="49"/>
      <c r="CE877" s="49"/>
      <c r="CF877" s="49"/>
    </row>
    <row r="878" ht="14.25" customHeight="1">
      <c r="A878" s="103" t="s">
        <v>84</v>
      </c>
      <c r="B878" s="103" t="s">
        <v>3073</v>
      </c>
      <c r="C878" s="103" t="s">
        <v>120</v>
      </c>
      <c r="D878" s="103" t="s">
        <v>1886</v>
      </c>
      <c r="E878" s="109" t="s">
        <v>3074</v>
      </c>
      <c r="F878" s="105" t="s">
        <v>3029</v>
      </c>
      <c r="G878" s="110" t="s">
        <v>3094</v>
      </c>
      <c r="H878" s="110" t="s">
        <v>3124</v>
      </c>
      <c r="I878" s="107"/>
      <c r="J878" s="108" t="s">
        <v>3125</v>
      </c>
      <c r="K878" s="108" t="str">
        <f>_xlfn.XLOOKUP(J878,[1]Sheet1!$A:$A,[1]Sheet1!$B:$B,"")</f>
        <v>#ERROR!</v>
      </c>
      <c r="L878" s="109" t="s">
        <v>3126</v>
      </c>
      <c r="M878" s="104" t="s">
        <v>3127</v>
      </c>
      <c r="N878" s="110"/>
      <c r="O878" s="109" t="s">
        <v>147</v>
      </c>
      <c r="P878" s="106"/>
      <c r="Q878" s="105" t="s">
        <v>3081</v>
      </c>
      <c r="R878" s="106"/>
      <c r="S878" s="106"/>
      <c r="T878" s="110"/>
      <c r="U878" s="106">
        <v>9.403208E9</v>
      </c>
      <c r="V878" s="112">
        <v>0.0</v>
      </c>
      <c r="W878" s="106">
        <v>45.0</v>
      </c>
      <c r="X878" s="106">
        <v>45.0</v>
      </c>
      <c r="Y878" s="106"/>
      <c r="Z878" s="106" t="s">
        <v>99</v>
      </c>
      <c r="AA878" s="114">
        <f t="shared" si="887"/>
        <v>417.7168273</v>
      </c>
      <c r="AB878" s="115"/>
      <c r="AC878" s="212">
        <f t="shared" si="772"/>
        <v>364.8004765</v>
      </c>
      <c r="AD878" s="213">
        <f t="shared" si="799"/>
        <v>392.2585769</v>
      </c>
      <c r="AE878" s="212"/>
      <c r="AF878" s="212" t="str">
        <f t="shared" si="94"/>
        <v>#REF!</v>
      </c>
      <c r="AG878" s="210" t="str">
        <f t="shared" si="95"/>
        <v>#REF!</v>
      </c>
      <c r="AH878" s="120" t="str">
        <f t="shared" si="96"/>
        <v>#REF!</v>
      </c>
      <c r="AI878" s="121">
        <f t="shared" si="497"/>
        <v>0.05</v>
      </c>
      <c r="AJ878" s="121">
        <v>0.05</v>
      </c>
      <c r="AK878" s="418">
        <v>0.27</v>
      </c>
      <c r="AL878" s="123">
        <f t="shared" si="11"/>
        <v>98.49612865</v>
      </c>
      <c r="AM878" s="401" t="s">
        <v>10</v>
      </c>
      <c r="AN878" s="125">
        <f t="shared" si="871"/>
        <v>364.8004765</v>
      </c>
      <c r="AO878" s="402">
        <f t="shared" si="775"/>
        <v>0.27</v>
      </c>
      <c r="AP878" s="127"/>
      <c r="AQ878" s="128">
        <f t="shared" si="888"/>
        <v>296.5789474</v>
      </c>
      <c r="AR878" s="404">
        <f t="shared" si="889"/>
        <v>280.3203661</v>
      </c>
      <c r="AS878" s="405">
        <f t="shared" si="733"/>
        <v>0.29</v>
      </c>
      <c r="AT878" s="405">
        <f t="shared" si="777"/>
        <v>0.2315789474</v>
      </c>
      <c r="AU878" s="129">
        <v>294.47</v>
      </c>
      <c r="AV878" s="225" t="s">
        <v>3024</v>
      </c>
      <c r="AW878" s="416"/>
      <c r="AX878" s="416"/>
      <c r="AY878" s="361"/>
      <c r="AZ878" s="214"/>
      <c r="BA878" s="214"/>
      <c r="BB878" s="227"/>
      <c r="BC878" s="412">
        <v>245.0</v>
      </c>
      <c r="BD878" s="132">
        <f t="shared" si="890"/>
        <v>266.3043478</v>
      </c>
      <c r="BE878" s="215"/>
      <c r="BF878" s="48"/>
      <c r="BG878" s="49"/>
      <c r="BH878" s="224">
        <f t="shared" si="863"/>
        <v>1216.001588</v>
      </c>
      <c r="BI878" s="224">
        <f t="shared" si="864"/>
        <v>729.6009529</v>
      </c>
      <c r="BJ878" s="224">
        <f t="shared" si="865"/>
        <v>608.0007941</v>
      </c>
      <c r="BK878" s="224">
        <f t="shared" si="866"/>
        <v>486.4006353</v>
      </c>
      <c r="BL878" s="49"/>
      <c r="BM878" s="49"/>
      <c r="BN878" s="49"/>
      <c r="BO878" s="49"/>
      <c r="BP878" s="49"/>
      <c r="BQ878" s="49"/>
      <c r="BR878" s="49"/>
      <c r="BS878" s="49"/>
      <c r="BT878" s="49"/>
      <c r="BU878" s="49"/>
      <c r="BV878" s="49"/>
      <c r="BW878" s="49"/>
      <c r="BX878" s="49"/>
      <c r="BY878" s="49"/>
      <c r="BZ878" s="49"/>
      <c r="CA878" s="49"/>
      <c r="CB878" s="49"/>
      <c r="CC878" s="49"/>
      <c r="CD878" s="49"/>
      <c r="CE878" s="49"/>
      <c r="CF878" s="49"/>
    </row>
    <row r="879" ht="14.25" customHeight="1">
      <c r="A879" s="103" t="s">
        <v>84</v>
      </c>
      <c r="B879" s="103" t="s">
        <v>3073</v>
      </c>
      <c r="C879" s="103" t="s">
        <v>120</v>
      </c>
      <c r="D879" s="103" t="s">
        <v>1886</v>
      </c>
      <c r="E879" s="109" t="s">
        <v>3074</v>
      </c>
      <c r="F879" s="105" t="s">
        <v>3029</v>
      </c>
      <c r="G879" s="110" t="s">
        <v>3094</v>
      </c>
      <c r="H879" s="110" t="s">
        <v>3124</v>
      </c>
      <c r="I879" s="107"/>
      <c r="J879" s="108" t="s">
        <v>3128</v>
      </c>
      <c r="K879" s="108" t="str">
        <f>_xlfn.XLOOKUP(J879,[1]Sheet1!$A:$A,[1]Sheet1!$B:$B,"")</f>
        <v>#ERROR!</v>
      </c>
      <c r="L879" s="109" t="s">
        <v>3129</v>
      </c>
      <c r="M879" s="104" t="s">
        <v>3130</v>
      </c>
      <c r="N879" s="110"/>
      <c r="O879" s="109" t="s">
        <v>147</v>
      </c>
      <c r="P879" s="106"/>
      <c r="Q879" s="105" t="s">
        <v>3081</v>
      </c>
      <c r="R879" s="106"/>
      <c r="S879" s="106"/>
      <c r="T879" s="110"/>
      <c r="U879" s="106">
        <v>9.403208E9</v>
      </c>
      <c r="V879" s="112">
        <v>0.0</v>
      </c>
      <c r="W879" s="106">
        <v>45.0</v>
      </c>
      <c r="X879" s="106">
        <v>45.0</v>
      </c>
      <c r="Y879" s="106"/>
      <c r="Z879" s="106" t="s">
        <v>99</v>
      </c>
      <c r="AA879" s="114">
        <f t="shared" si="887"/>
        <v>315.4188288</v>
      </c>
      <c r="AB879" s="115"/>
      <c r="AC879" s="212">
        <f t="shared" si="772"/>
        <v>275.4615843</v>
      </c>
      <c r="AD879" s="213">
        <f t="shared" si="799"/>
        <v>296.1952519</v>
      </c>
      <c r="AE879" s="212"/>
      <c r="AF879" s="212" t="str">
        <f t="shared" si="94"/>
        <v>#REF!</v>
      </c>
      <c r="AG879" s="210" t="str">
        <f t="shared" si="95"/>
        <v>#REF!</v>
      </c>
      <c r="AH879" s="120" t="str">
        <f t="shared" si="96"/>
        <v>#REF!</v>
      </c>
      <c r="AI879" s="121">
        <f t="shared" si="497"/>
        <v>0.05</v>
      </c>
      <c r="AJ879" s="121">
        <v>0.05</v>
      </c>
      <c r="AK879" s="418">
        <v>0.27</v>
      </c>
      <c r="AL879" s="123">
        <f t="shared" si="11"/>
        <v>74.37462775</v>
      </c>
      <c r="AM879" s="401" t="s">
        <v>10</v>
      </c>
      <c r="AN879" s="125">
        <f t="shared" si="871"/>
        <v>275.4615843</v>
      </c>
      <c r="AO879" s="402">
        <f t="shared" si="775"/>
        <v>0.27</v>
      </c>
      <c r="AP879" s="127"/>
      <c r="AQ879" s="128">
        <f t="shared" si="888"/>
        <v>223.9473684</v>
      </c>
      <c r="AR879" s="404">
        <f t="shared" si="889"/>
        <v>211.6704805</v>
      </c>
      <c r="AS879" s="405">
        <f t="shared" si="733"/>
        <v>0.29</v>
      </c>
      <c r="AT879" s="405">
        <f t="shared" si="777"/>
        <v>0.2315789474</v>
      </c>
      <c r="AU879" s="129"/>
      <c r="AV879" s="225" t="s">
        <v>3024</v>
      </c>
      <c r="AW879" s="416"/>
      <c r="AX879" s="416"/>
      <c r="AY879" s="361"/>
      <c r="AZ879" s="214"/>
      <c r="BA879" s="214"/>
      <c r="BB879" s="227"/>
      <c r="BC879" s="412">
        <v>185.0</v>
      </c>
      <c r="BD879" s="132">
        <f t="shared" si="890"/>
        <v>201.0869565</v>
      </c>
      <c r="BE879" s="215"/>
      <c r="BF879" s="48"/>
      <c r="BG879" s="49"/>
      <c r="BH879" s="224">
        <f t="shared" si="863"/>
        <v>918.2052809</v>
      </c>
      <c r="BI879" s="224">
        <f t="shared" si="864"/>
        <v>550.9231686</v>
      </c>
      <c r="BJ879" s="224">
        <f t="shared" si="865"/>
        <v>459.1026405</v>
      </c>
      <c r="BK879" s="224">
        <f t="shared" si="866"/>
        <v>367.2821124</v>
      </c>
      <c r="BL879" s="49"/>
      <c r="BM879" s="49"/>
      <c r="BN879" s="49"/>
      <c r="BO879" s="49"/>
      <c r="BP879" s="49"/>
      <c r="BQ879" s="49"/>
      <c r="BR879" s="49"/>
      <c r="BS879" s="49"/>
      <c r="BT879" s="49"/>
      <c r="BU879" s="49"/>
      <c r="BV879" s="49"/>
      <c r="BW879" s="49"/>
      <c r="BX879" s="49"/>
      <c r="BY879" s="49"/>
      <c r="BZ879" s="49"/>
      <c r="CA879" s="49"/>
      <c r="CB879" s="49"/>
      <c r="CC879" s="49"/>
      <c r="CD879" s="49"/>
      <c r="CE879" s="49"/>
      <c r="CF879" s="49"/>
    </row>
    <row r="880" ht="14.25" customHeight="1">
      <c r="A880" s="103" t="s">
        <v>84</v>
      </c>
      <c r="B880" s="103" t="s">
        <v>3073</v>
      </c>
      <c r="C880" s="103" t="s">
        <v>120</v>
      </c>
      <c r="D880" s="103" t="s">
        <v>1886</v>
      </c>
      <c r="E880" s="109" t="s">
        <v>3074</v>
      </c>
      <c r="F880" s="105" t="s">
        <v>3029</v>
      </c>
      <c r="G880" s="110" t="s">
        <v>3094</v>
      </c>
      <c r="H880" s="110" t="s">
        <v>3124</v>
      </c>
      <c r="I880" s="107"/>
      <c r="J880" s="108" t="s">
        <v>3131</v>
      </c>
      <c r="K880" s="108" t="str">
        <f>_xlfn.XLOOKUP(J880,[1]Sheet1!$A:$A,[1]Sheet1!$B:$B,"")</f>
        <v>#ERROR!</v>
      </c>
      <c r="L880" s="109" t="s">
        <v>3132</v>
      </c>
      <c r="M880" s="104" t="s">
        <v>3133</v>
      </c>
      <c r="N880" s="110"/>
      <c r="O880" s="109" t="s">
        <v>147</v>
      </c>
      <c r="P880" s="106"/>
      <c r="Q880" s="105" t="s">
        <v>3081</v>
      </c>
      <c r="R880" s="106"/>
      <c r="S880" s="106"/>
      <c r="T880" s="110"/>
      <c r="U880" s="106">
        <v>9.403208E9</v>
      </c>
      <c r="V880" s="112">
        <v>0.0</v>
      </c>
      <c r="W880" s="106">
        <v>45.0</v>
      </c>
      <c r="X880" s="106">
        <v>45.0</v>
      </c>
      <c r="Y880" s="106"/>
      <c r="Z880" s="106" t="s">
        <v>99</v>
      </c>
      <c r="AA880" s="114">
        <f t="shared" si="887"/>
        <v>551.0452187</v>
      </c>
      <c r="AB880" s="115"/>
      <c r="AC880" s="212">
        <f t="shared" si="772"/>
        <v>481.2388326</v>
      </c>
      <c r="AD880" s="213">
        <f t="shared" si="799"/>
        <v>517.4611104</v>
      </c>
      <c r="AE880" s="212"/>
      <c r="AF880" s="212" t="str">
        <f t="shared" si="94"/>
        <v>#REF!</v>
      </c>
      <c r="AG880" s="210" t="str">
        <f t="shared" si="95"/>
        <v>#REF!</v>
      </c>
      <c r="AH880" s="120" t="str">
        <f t="shared" si="96"/>
        <v>#REF!</v>
      </c>
      <c r="AI880" s="121">
        <f t="shared" si="497"/>
        <v>0.05</v>
      </c>
      <c r="AJ880" s="121">
        <v>0.05</v>
      </c>
      <c r="AK880" s="418">
        <v>0.27</v>
      </c>
      <c r="AL880" s="123">
        <f t="shared" si="11"/>
        <v>129.9344848</v>
      </c>
      <c r="AM880" s="401" t="s">
        <v>10</v>
      </c>
      <c r="AN880" s="125">
        <f t="shared" si="871"/>
        <v>481.2388326</v>
      </c>
      <c r="AO880" s="402">
        <f t="shared" si="775"/>
        <v>0.27</v>
      </c>
      <c r="AP880" s="127"/>
      <c r="AQ880" s="128">
        <f t="shared" si="888"/>
        <v>391.2421053</v>
      </c>
      <c r="AR880" s="404">
        <f t="shared" si="889"/>
        <v>369.7940503</v>
      </c>
      <c r="AS880" s="405">
        <f t="shared" si="733"/>
        <v>0.29</v>
      </c>
      <c r="AT880" s="405">
        <f t="shared" si="777"/>
        <v>0.2315789474</v>
      </c>
      <c r="AU880" s="129"/>
      <c r="AV880" s="225" t="s">
        <v>3024</v>
      </c>
      <c r="AW880" s="416"/>
      <c r="AX880" s="416"/>
      <c r="AY880" s="361"/>
      <c r="AZ880" s="214"/>
      <c r="BA880" s="214"/>
      <c r="BB880" s="227"/>
      <c r="BC880" s="412">
        <v>323.2</v>
      </c>
      <c r="BD880" s="132">
        <f t="shared" si="890"/>
        <v>351.3043478</v>
      </c>
      <c r="BE880" s="215"/>
      <c r="BF880" s="48"/>
      <c r="BG880" s="49"/>
      <c r="BH880" s="224">
        <f t="shared" si="863"/>
        <v>1604.129442</v>
      </c>
      <c r="BI880" s="224">
        <f t="shared" si="864"/>
        <v>962.4776653</v>
      </c>
      <c r="BJ880" s="224">
        <f t="shared" si="865"/>
        <v>802.0647211</v>
      </c>
      <c r="BK880" s="224">
        <f t="shared" si="866"/>
        <v>641.6517769</v>
      </c>
      <c r="BL880" s="49"/>
      <c r="BM880" s="49"/>
      <c r="BN880" s="49"/>
      <c r="BO880" s="49"/>
      <c r="BP880" s="49"/>
      <c r="BQ880" s="49"/>
      <c r="BR880" s="49"/>
      <c r="BS880" s="49"/>
      <c r="BT880" s="49"/>
      <c r="BU880" s="49"/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</row>
    <row r="881" ht="14.25" customHeight="1">
      <c r="A881" s="103" t="s">
        <v>84</v>
      </c>
      <c r="B881" s="103" t="s">
        <v>3073</v>
      </c>
      <c r="C881" s="103" t="s">
        <v>120</v>
      </c>
      <c r="D881" s="103" t="s">
        <v>1886</v>
      </c>
      <c r="E881" s="109" t="s">
        <v>3074</v>
      </c>
      <c r="F881" s="105" t="s">
        <v>3029</v>
      </c>
      <c r="G881" s="110" t="s">
        <v>3082</v>
      </c>
      <c r="H881" s="110" t="s">
        <v>3134</v>
      </c>
      <c r="I881" s="107"/>
      <c r="J881" s="108" t="s">
        <v>3135</v>
      </c>
      <c r="K881" s="108"/>
      <c r="L881" s="109" t="s">
        <v>3136</v>
      </c>
      <c r="M881" s="104" t="s">
        <v>3137</v>
      </c>
      <c r="N881" s="110"/>
      <c r="O881" s="109" t="s">
        <v>147</v>
      </c>
      <c r="P881" s="106"/>
      <c r="Q881" s="105" t="s">
        <v>3081</v>
      </c>
      <c r="R881" s="106"/>
      <c r="S881" s="106"/>
      <c r="T881" s="110"/>
      <c r="U881" s="106">
        <v>9.403208E9</v>
      </c>
      <c r="V881" s="112">
        <v>0.0</v>
      </c>
      <c r="W881" s="106">
        <v>45.0</v>
      </c>
      <c r="X881" s="106">
        <v>45.0</v>
      </c>
      <c r="Y881" s="106"/>
      <c r="Z881" s="106" t="s">
        <v>99</v>
      </c>
      <c r="AA881" s="114">
        <v>372.9160739687055</v>
      </c>
      <c r="AB881" s="115"/>
      <c r="AC881" s="224">
        <v>320.44010889292196</v>
      </c>
      <c r="AD881" s="213">
        <f t="shared" si="799"/>
        <v>344.5592569</v>
      </c>
      <c r="AE881" s="224"/>
      <c r="AF881" s="224" t="str">
        <f t="shared" si="94"/>
        <v>#REF!</v>
      </c>
      <c r="AG881" s="119" t="str">
        <f t="shared" si="95"/>
        <v>#REF!</v>
      </c>
      <c r="AH881" s="120" t="str">
        <f t="shared" si="96"/>
        <v>#REF!</v>
      </c>
      <c r="AI881" s="112">
        <v>0.05</v>
      </c>
      <c r="AJ881" s="112">
        <v>0.05</v>
      </c>
      <c r="AK881" s="424">
        <v>0.24</v>
      </c>
      <c r="AL881" s="123">
        <f t="shared" si="11"/>
        <v>76.90562613</v>
      </c>
      <c r="AM881" s="113" t="s">
        <v>10</v>
      </c>
      <c r="AN881" s="125">
        <v>320.44010889292196</v>
      </c>
      <c r="AO881" s="402">
        <v>0.24</v>
      </c>
      <c r="AP881" s="127"/>
      <c r="AQ881" s="128">
        <v>275.9578947368421</v>
      </c>
      <c r="AR881" s="404">
        <v>256.35208711433756</v>
      </c>
      <c r="AS881" s="405">
        <v>0.26</v>
      </c>
      <c r="AT881" s="405">
        <v>0.19999999999999996</v>
      </c>
      <c r="AU881" s="129"/>
      <c r="AV881" s="225" t="s">
        <v>3024</v>
      </c>
      <c r="AW881" s="416"/>
      <c r="AX881" s="416"/>
      <c r="AY881" s="361"/>
      <c r="AZ881" s="214"/>
      <c r="BA881" s="214"/>
      <c r="BB881" s="227"/>
      <c r="BC881" s="412">
        <v>255.0</v>
      </c>
      <c r="BD881" s="132">
        <v>243.5344827586207</v>
      </c>
      <c r="BE881" s="224"/>
      <c r="BF881" s="224"/>
      <c r="BG881" s="224"/>
      <c r="BH881" s="224">
        <f t="shared" si="863"/>
        <v>1068.133696</v>
      </c>
      <c r="BI881" s="224">
        <f t="shared" si="864"/>
        <v>640.8802178</v>
      </c>
      <c r="BJ881" s="224">
        <f t="shared" si="865"/>
        <v>534.0668482</v>
      </c>
      <c r="BK881" s="224">
        <f t="shared" si="866"/>
        <v>427.2534785</v>
      </c>
      <c r="BL881" s="49"/>
      <c r="BM881" s="49"/>
      <c r="BN881" s="49"/>
      <c r="BO881" s="49"/>
      <c r="BP881" s="49"/>
      <c r="BQ881" s="49"/>
      <c r="BR881" s="49"/>
      <c r="BS881" s="49"/>
      <c r="BT881" s="49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</row>
    <row r="882" ht="14.25" customHeight="1">
      <c r="A882" s="103" t="s">
        <v>84</v>
      </c>
      <c r="B882" s="103" t="s">
        <v>3073</v>
      </c>
      <c r="C882" s="103" t="s">
        <v>120</v>
      </c>
      <c r="D882" s="103" t="s">
        <v>1886</v>
      </c>
      <c r="E882" s="109" t="s">
        <v>3074</v>
      </c>
      <c r="F882" s="105" t="s">
        <v>3029</v>
      </c>
      <c r="G882" s="110" t="s">
        <v>3086</v>
      </c>
      <c r="H882" s="110" t="s">
        <v>3134</v>
      </c>
      <c r="I882" s="107"/>
      <c r="J882" s="108" t="s">
        <v>3138</v>
      </c>
      <c r="K882" s="108"/>
      <c r="L882" s="109" t="s">
        <v>3139</v>
      </c>
      <c r="M882" s="104" t="s">
        <v>3140</v>
      </c>
      <c r="N882" s="110"/>
      <c r="O882" s="109" t="s">
        <v>147</v>
      </c>
      <c r="P882" s="106"/>
      <c r="Q882" s="105" t="s">
        <v>3081</v>
      </c>
      <c r="R882" s="106"/>
      <c r="S882" s="106"/>
      <c r="T882" s="110"/>
      <c r="U882" s="106">
        <v>9.403208E9</v>
      </c>
      <c r="V882" s="112">
        <v>0.0</v>
      </c>
      <c r="W882" s="106">
        <v>45.0</v>
      </c>
      <c r="X882" s="106">
        <v>45.0</v>
      </c>
      <c r="Y882" s="106"/>
      <c r="Z882" s="106" t="s">
        <v>99</v>
      </c>
      <c r="AA882" s="114">
        <f t="shared" ref="AA882:AA1096" si="891">AQ882/(1-(AK882+2%))</f>
        <v>440.0426743</v>
      </c>
      <c r="AB882" s="115"/>
      <c r="AC882" s="224">
        <f t="shared" ref="AC882:AC1096" si="892">BD882/(1-AK882)</f>
        <v>384.7254005</v>
      </c>
      <c r="AD882" s="213">
        <f t="shared" si="799"/>
        <v>413.6832263</v>
      </c>
      <c r="AE882" s="224"/>
      <c r="AF882" s="224" t="str">
        <f t="shared" si="94"/>
        <v>#REF!</v>
      </c>
      <c r="AG882" s="119" t="str">
        <f t="shared" si="95"/>
        <v>#REF!</v>
      </c>
      <c r="AH882" s="120" t="str">
        <f t="shared" si="96"/>
        <v>#REF!</v>
      </c>
      <c r="AI882" s="112">
        <f t="shared" ref="AI882:AI1096" si="893">AJ882</f>
        <v>0.05</v>
      </c>
      <c r="AJ882" s="112">
        <v>0.05</v>
      </c>
      <c r="AK882" s="424">
        <v>0.24</v>
      </c>
      <c r="AL882" s="123">
        <f t="shared" si="11"/>
        <v>92.33409611</v>
      </c>
      <c r="AM882" s="113" t="s">
        <v>10</v>
      </c>
      <c r="AN882" s="125">
        <f t="shared" ref="AN882:AN1096" si="894">AC882</f>
        <v>384.7254005</v>
      </c>
      <c r="AO882" s="402">
        <f t="shared" ref="AO882:AO1096" si="895">1-(BD882/AN882)</f>
        <v>0.24</v>
      </c>
      <c r="AP882" s="127"/>
      <c r="AQ882" s="128">
        <f t="shared" ref="AQ882:AQ1058" si="896">BC882/(1-AI882)*$F$6</f>
        <v>325.6315789</v>
      </c>
      <c r="AR882" s="404">
        <f t="shared" ref="AR882:AR1058" si="897">BD882/(1-AJ882)</f>
        <v>307.7803204</v>
      </c>
      <c r="AS882" s="405">
        <f t="shared" ref="AS882:AS1096" si="898">1-(AQ882/AA882)</f>
        <v>0.26</v>
      </c>
      <c r="AT882" s="405">
        <f t="shared" ref="AT882:AT1096" si="899">1-(AR882/AC882)</f>
        <v>0.2</v>
      </c>
      <c r="AU882" s="129"/>
      <c r="AV882" s="225" t="s">
        <v>3024</v>
      </c>
      <c r="AW882" s="416"/>
      <c r="AX882" s="416"/>
      <c r="AY882" s="361"/>
      <c r="AZ882" s="214"/>
      <c r="BA882" s="214"/>
      <c r="BB882" s="227"/>
      <c r="BC882" s="412">
        <v>269.0</v>
      </c>
      <c r="BD882" s="132">
        <f t="shared" ref="BD882:BD891" si="900">BC882/$F$6*1.25+BC882*V882</f>
        <v>292.3913043</v>
      </c>
      <c r="BE882" s="215"/>
      <c r="BF882" s="48"/>
      <c r="BG882" s="49"/>
      <c r="BH882" s="224"/>
      <c r="BI882" s="224"/>
      <c r="BJ882" s="224"/>
      <c r="BK882" s="224"/>
      <c r="BL882" s="49"/>
      <c r="BM882" s="49"/>
      <c r="BN882" s="49"/>
      <c r="BO882" s="49"/>
      <c r="BP882" s="49"/>
      <c r="BQ882" s="49"/>
      <c r="BR882" s="49"/>
      <c r="BS882" s="49"/>
      <c r="BT882" s="49"/>
      <c r="BU882" s="49"/>
      <c r="BV882" s="49"/>
      <c r="BW882" s="49"/>
      <c r="BX882" s="49"/>
      <c r="BY882" s="49"/>
      <c r="BZ882" s="49"/>
      <c r="CA882" s="49"/>
      <c r="CB882" s="49"/>
      <c r="CC882" s="49"/>
      <c r="CD882" s="49"/>
      <c r="CE882" s="49"/>
      <c r="CF882" s="49"/>
    </row>
    <row r="883" ht="14.25" customHeight="1">
      <c r="A883" s="103" t="s">
        <v>84</v>
      </c>
      <c r="B883" s="103" t="s">
        <v>3073</v>
      </c>
      <c r="C883" s="103" t="s">
        <v>120</v>
      </c>
      <c r="D883" s="103" t="s">
        <v>1886</v>
      </c>
      <c r="E883" s="109" t="s">
        <v>3074</v>
      </c>
      <c r="F883" s="105" t="s">
        <v>3029</v>
      </c>
      <c r="G883" s="110" t="s">
        <v>3086</v>
      </c>
      <c r="H883" s="110" t="s">
        <v>3134</v>
      </c>
      <c r="I883" s="107"/>
      <c r="J883" s="108" t="s">
        <v>3141</v>
      </c>
      <c r="K883" s="108" t="str">
        <f>_xlfn.XLOOKUP(J883,[1]Sheet1!$A:$A,[1]Sheet1!$B:$B,"")</f>
        <v>#ERROR!</v>
      </c>
      <c r="L883" s="109" t="s">
        <v>3142</v>
      </c>
      <c r="M883" s="104" t="s">
        <v>3143</v>
      </c>
      <c r="N883" s="110"/>
      <c r="O883" s="109" t="s">
        <v>147</v>
      </c>
      <c r="P883" s="106"/>
      <c r="Q883" s="105" t="s">
        <v>3081</v>
      </c>
      <c r="R883" s="106"/>
      <c r="S883" s="106"/>
      <c r="T883" s="110"/>
      <c r="U883" s="106">
        <v>9.403208E9</v>
      </c>
      <c r="V883" s="112">
        <v>0.0</v>
      </c>
      <c r="W883" s="106">
        <v>45.0</v>
      </c>
      <c r="X883" s="106">
        <v>45.0</v>
      </c>
      <c r="Y883" s="106"/>
      <c r="Z883" s="106" t="s">
        <v>99</v>
      </c>
      <c r="AA883" s="114">
        <f t="shared" si="891"/>
        <v>385.3224611</v>
      </c>
      <c r="AB883" s="115"/>
      <c r="AC883" s="224">
        <f t="shared" si="892"/>
        <v>336.5098273</v>
      </c>
      <c r="AD883" s="213">
        <f t="shared" si="799"/>
        <v>361.838524</v>
      </c>
      <c r="AE883" s="224"/>
      <c r="AF883" s="224" t="str">
        <f t="shared" si="94"/>
        <v>#REF!</v>
      </c>
      <c r="AG883" s="119" t="str">
        <f t="shared" si="95"/>
        <v>#REF!</v>
      </c>
      <c r="AH883" s="120" t="str">
        <f t="shared" si="96"/>
        <v>#REF!</v>
      </c>
      <c r="AI883" s="112">
        <f t="shared" si="893"/>
        <v>0.05</v>
      </c>
      <c r="AJ883" s="112">
        <v>0.05</v>
      </c>
      <c r="AK883" s="424">
        <v>0.27</v>
      </c>
      <c r="AL883" s="123">
        <f t="shared" si="11"/>
        <v>90.85765337</v>
      </c>
      <c r="AM883" s="113" t="s">
        <v>10</v>
      </c>
      <c r="AN883" s="125">
        <f t="shared" si="894"/>
        <v>336.5098273</v>
      </c>
      <c r="AO883" s="402">
        <f t="shared" si="895"/>
        <v>0.27</v>
      </c>
      <c r="AP883" s="127"/>
      <c r="AQ883" s="128">
        <f t="shared" si="896"/>
        <v>273.5789474</v>
      </c>
      <c r="AR883" s="404">
        <f t="shared" si="897"/>
        <v>258.5812357</v>
      </c>
      <c r="AS883" s="405">
        <f t="shared" si="898"/>
        <v>0.29</v>
      </c>
      <c r="AT883" s="405">
        <f t="shared" si="899"/>
        <v>0.2315789474</v>
      </c>
      <c r="AU883" s="129"/>
      <c r="AV883" s="225" t="s">
        <v>3024</v>
      </c>
      <c r="AW883" s="416"/>
      <c r="AX883" s="416"/>
      <c r="AY883" s="361"/>
      <c r="AZ883" s="214"/>
      <c r="BA883" s="214"/>
      <c r="BB883" s="227"/>
      <c r="BC883" s="412">
        <v>226.0</v>
      </c>
      <c r="BD883" s="132">
        <f t="shared" si="900"/>
        <v>245.6521739</v>
      </c>
      <c r="BE883" s="215"/>
      <c r="BF883" s="48"/>
      <c r="BG883" s="49"/>
      <c r="BH883" s="224">
        <f>AC883/0.3</f>
        <v>1121.699424</v>
      </c>
      <c r="BI883" s="224">
        <f>BH883*0.6</f>
        <v>673.0196546</v>
      </c>
      <c r="BJ883" s="224">
        <f>BH883*0.5</f>
        <v>560.8497121</v>
      </c>
      <c r="BK883" s="224">
        <f>BH883*0.4</f>
        <v>448.6797697</v>
      </c>
      <c r="BL883" s="49"/>
      <c r="BM883" s="49"/>
      <c r="BN883" s="49"/>
      <c r="BO883" s="49"/>
      <c r="BP883" s="49"/>
      <c r="BQ883" s="49"/>
      <c r="BR883" s="49"/>
      <c r="BS883" s="49"/>
      <c r="BT883" s="49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</row>
    <row r="884" ht="14.25" customHeight="1">
      <c r="A884" s="103" t="s">
        <v>84</v>
      </c>
      <c r="B884" s="103" t="s">
        <v>3073</v>
      </c>
      <c r="C884" s="103" t="s">
        <v>120</v>
      </c>
      <c r="D884" s="103" t="s">
        <v>1886</v>
      </c>
      <c r="E884" s="109" t="s">
        <v>3074</v>
      </c>
      <c r="F884" s="105" t="s">
        <v>3029</v>
      </c>
      <c r="G884" s="110" t="s">
        <v>3090</v>
      </c>
      <c r="H884" s="110" t="s">
        <v>3134</v>
      </c>
      <c r="I884" s="107"/>
      <c r="J884" s="108" t="s">
        <v>3144</v>
      </c>
      <c r="K884" s="108"/>
      <c r="L884" s="109" t="s">
        <v>3145</v>
      </c>
      <c r="M884" s="104" t="s">
        <v>3146</v>
      </c>
      <c r="N884" s="110"/>
      <c r="O884" s="109" t="s">
        <v>147</v>
      </c>
      <c r="P884" s="106"/>
      <c r="Q884" s="105" t="s">
        <v>3081</v>
      </c>
      <c r="R884" s="106"/>
      <c r="S884" s="106"/>
      <c r="T884" s="110"/>
      <c r="U884" s="106">
        <v>9.403208E9</v>
      </c>
      <c r="V884" s="112">
        <v>0.0</v>
      </c>
      <c r="W884" s="106">
        <v>45.0</v>
      </c>
      <c r="X884" s="106">
        <v>45.0</v>
      </c>
      <c r="Y884" s="106"/>
      <c r="Z884" s="106" t="s">
        <v>99</v>
      </c>
      <c r="AA884" s="114">
        <f t="shared" si="891"/>
        <v>482.5746799</v>
      </c>
      <c r="AB884" s="115"/>
      <c r="AC884" s="224">
        <f t="shared" si="892"/>
        <v>421.9107551</v>
      </c>
      <c r="AD884" s="213">
        <f t="shared" si="799"/>
        <v>453.6674787</v>
      </c>
      <c r="AE884" s="224"/>
      <c r="AF884" s="224" t="str">
        <f t="shared" si="94"/>
        <v>#REF!</v>
      </c>
      <c r="AG884" s="119" t="str">
        <f t="shared" si="95"/>
        <v>#REF!</v>
      </c>
      <c r="AH884" s="120" t="str">
        <f t="shared" si="96"/>
        <v>#REF!</v>
      </c>
      <c r="AI884" s="112">
        <f t="shared" si="893"/>
        <v>0.05</v>
      </c>
      <c r="AJ884" s="112">
        <v>0.05</v>
      </c>
      <c r="AK884" s="424">
        <v>0.24</v>
      </c>
      <c r="AL884" s="123">
        <f t="shared" si="11"/>
        <v>101.2585812</v>
      </c>
      <c r="AM884" s="113" t="s">
        <v>10</v>
      </c>
      <c r="AN884" s="125">
        <f t="shared" si="894"/>
        <v>421.9107551</v>
      </c>
      <c r="AO884" s="402">
        <f t="shared" si="895"/>
        <v>0.24</v>
      </c>
      <c r="AP884" s="127"/>
      <c r="AQ884" s="128">
        <f t="shared" si="896"/>
        <v>357.1052632</v>
      </c>
      <c r="AR884" s="404">
        <f t="shared" si="897"/>
        <v>337.5286041</v>
      </c>
      <c r="AS884" s="405">
        <f t="shared" si="898"/>
        <v>0.26</v>
      </c>
      <c r="AT884" s="405">
        <f t="shared" si="899"/>
        <v>0.2</v>
      </c>
      <c r="AU884" s="129"/>
      <c r="AV884" s="225" t="s">
        <v>3024</v>
      </c>
      <c r="AW884" s="416"/>
      <c r="AX884" s="416"/>
      <c r="AY884" s="361"/>
      <c r="AZ884" s="214"/>
      <c r="BA884" s="214"/>
      <c r="BB884" s="227"/>
      <c r="BC884" s="412">
        <v>295.0</v>
      </c>
      <c r="BD884" s="132">
        <f t="shared" si="900"/>
        <v>320.6521739</v>
      </c>
      <c r="BE884" s="215"/>
      <c r="BF884" s="48"/>
      <c r="BG884" s="49"/>
      <c r="BH884" s="224"/>
      <c r="BI884" s="224"/>
      <c r="BJ884" s="224"/>
      <c r="BK884" s="224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</row>
    <row r="885" ht="14.25" customHeight="1">
      <c r="A885" s="103" t="s">
        <v>84</v>
      </c>
      <c r="B885" s="103" t="s">
        <v>3073</v>
      </c>
      <c r="C885" s="103" t="s">
        <v>120</v>
      </c>
      <c r="D885" s="103" t="s">
        <v>1886</v>
      </c>
      <c r="E885" s="109" t="s">
        <v>3074</v>
      </c>
      <c r="F885" s="105" t="s">
        <v>3029</v>
      </c>
      <c r="G885" s="110" t="s">
        <v>3090</v>
      </c>
      <c r="H885" s="110" t="s">
        <v>3134</v>
      </c>
      <c r="I885" s="107"/>
      <c r="J885" s="108" t="s">
        <v>3147</v>
      </c>
      <c r="K885" s="108" t="str">
        <f>_xlfn.XLOOKUP(J885,[1]Sheet1!$A:$A,[1]Sheet1!$B:$B,"")</f>
        <v>#ERROR!</v>
      </c>
      <c r="L885" s="109" t="s">
        <v>3148</v>
      </c>
      <c r="M885" s="104" t="s">
        <v>3149</v>
      </c>
      <c r="N885" s="110"/>
      <c r="O885" s="109" t="s">
        <v>147</v>
      </c>
      <c r="P885" s="106"/>
      <c r="Q885" s="105" t="s">
        <v>3081</v>
      </c>
      <c r="R885" s="106"/>
      <c r="S885" s="106"/>
      <c r="T885" s="110"/>
      <c r="U885" s="106">
        <v>9.403208E9</v>
      </c>
      <c r="V885" s="112">
        <v>0.0</v>
      </c>
      <c r="W885" s="106">
        <v>45.0</v>
      </c>
      <c r="X885" s="106">
        <v>45.0</v>
      </c>
      <c r="Y885" s="106"/>
      <c r="Z885" s="106" t="s">
        <v>99</v>
      </c>
      <c r="AA885" s="114">
        <f t="shared" si="891"/>
        <v>405.7820608</v>
      </c>
      <c r="AB885" s="115"/>
      <c r="AC885" s="224">
        <f t="shared" si="892"/>
        <v>354.3776057</v>
      </c>
      <c r="AD885" s="213">
        <f t="shared" si="799"/>
        <v>381.0511889</v>
      </c>
      <c r="AE885" s="224"/>
      <c r="AF885" s="224" t="str">
        <f t="shared" si="94"/>
        <v>#REF!</v>
      </c>
      <c r="AG885" s="119" t="str">
        <f t="shared" si="95"/>
        <v>#REF!</v>
      </c>
      <c r="AH885" s="120" t="str">
        <f t="shared" si="96"/>
        <v>#REF!</v>
      </c>
      <c r="AI885" s="112">
        <f t="shared" si="893"/>
        <v>0.05</v>
      </c>
      <c r="AJ885" s="112">
        <v>0.05</v>
      </c>
      <c r="AK885" s="424">
        <v>0.27</v>
      </c>
      <c r="AL885" s="123">
        <f t="shared" si="11"/>
        <v>95.68195354</v>
      </c>
      <c r="AM885" s="113" t="s">
        <v>10</v>
      </c>
      <c r="AN885" s="125">
        <f t="shared" si="894"/>
        <v>354.3776057</v>
      </c>
      <c r="AO885" s="402">
        <f t="shared" si="895"/>
        <v>0.27</v>
      </c>
      <c r="AP885" s="127"/>
      <c r="AQ885" s="128">
        <f t="shared" si="896"/>
        <v>288.1052632</v>
      </c>
      <c r="AR885" s="404">
        <f t="shared" si="897"/>
        <v>272.3112128</v>
      </c>
      <c r="AS885" s="405">
        <f t="shared" si="898"/>
        <v>0.29</v>
      </c>
      <c r="AT885" s="405">
        <f t="shared" si="899"/>
        <v>0.2315789474</v>
      </c>
      <c r="AU885" s="129"/>
      <c r="AV885" s="225" t="s">
        <v>3024</v>
      </c>
      <c r="AW885" s="416"/>
      <c r="AX885" s="416"/>
      <c r="AY885" s="361"/>
      <c r="AZ885" s="214"/>
      <c r="BA885" s="214"/>
      <c r="BB885" s="227"/>
      <c r="BC885" s="412">
        <v>238.0</v>
      </c>
      <c r="BD885" s="132">
        <f t="shared" si="900"/>
        <v>258.6956522</v>
      </c>
      <c r="BE885" s="215"/>
      <c r="BF885" s="48"/>
      <c r="BG885" s="49"/>
      <c r="BH885" s="224">
        <f>AC885/0.3</f>
        <v>1181.258686</v>
      </c>
      <c r="BI885" s="224">
        <f>BH885*0.6</f>
        <v>708.7552114</v>
      </c>
      <c r="BJ885" s="224">
        <f>BH885*0.5</f>
        <v>590.6293429</v>
      </c>
      <c r="BK885" s="224">
        <f>BH885*0.4</f>
        <v>472.5034743</v>
      </c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</row>
    <row r="886" ht="14.25" customHeight="1">
      <c r="A886" s="103" t="s">
        <v>84</v>
      </c>
      <c r="B886" s="103" t="s">
        <v>3073</v>
      </c>
      <c r="C886" s="103" t="s">
        <v>120</v>
      </c>
      <c r="D886" s="103" t="s">
        <v>1886</v>
      </c>
      <c r="E886" s="109" t="s">
        <v>3074</v>
      </c>
      <c r="F886" s="105" t="s">
        <v>3029</v>
      </c>
      <c r="G886" s="110" t="s">
        <v>3094</v>
      </c>
      <c r="H886" s="110" t="s">
        <v>3134</v>
      </c>
      <c r="I886" s="107"/>
      <c r="J886" s="108" t="s">
        <v>3150</v>
      </c>
      <c r="K886" s="108"/>
      <c r="L886" s="109" t="s">
        <v>3151</v>
      </c>
      <c r="M886" s="104" t="s">
        <v>3152</v>
      </c>
      <c r="N886" s="110"/>
      <c r="O886" s="109" t="s">
        <v>147</v>
      </c>
      <c r="P886" s="106"/>
      <c r="Q886" s="105" t="s">
        <v>3081</v>
      </c>
      <c r="R886" s="106"/>
      <c r="S886" s="106"/>
      <c r="T886" s="110"/>
      <c r="U886" s="106">
        <v>9.403208E9</v>
      </c>
      <c r="V886" s="112">
        <v>0.0</v>
      </c>
      <c r="W886" s="106">
        <v>45.0</v>
      </c>
      <c r="X886" s="106">
        <v>45.0</v>
      </c>
      <c r="Y886" s="106"/>
      <c r="Z886" s="106" t="s">
        <v>99</v>
      </c>
      <c r="AA886" s="114">
        <f t="shared" si="891"/>
        <v>559.2290586</v>
      </c>
      <c r="AB886" s="115"/>
      <c r="AC886" s="224">
        <f t="shared" si="892"/>
        <v>488.385944</v>
      </c>
      <c r="AD886" s="213">
        <f t="shared" si="799"/>
        <v>525.1461764</v>
      </c>
      <c r="AE886" s="224"/>
      <c r="AF886" s="224" t="str">
        <f t="shared" si="94"/>
        <v>#REF!</v>
      </c>
      <c r="AG886" s="119" t="str">
        <f t="shared" si="95"/>
        <v>#REF!</v>
      </c>
      <c r="AH886" s="120" t="str">
        <f t="shared" si="96"/>
        <v>#REF!</v>
      </c>
      <c r="AI886" s="112">
        <f t="shared" si="893"/>
        <v>0.05</v>
      </c>
      <c r="AJ886" s="112">
        <v>0.05</v>
      </c>
      <c r="AK886" s="424">
        <v>0.27</v>
      </c>
      <c r="AL886" s="123">
        <f t="shared" si="11"/>
        <v>131.8642049</v>
      </c>
      <c r="AM886" s="113" t="s">
        <v>10</v>
      </c>
      <c r="AN886" s="125">
        <f t="shared" si="894"/>
        <v>488.385944</v>
      </c>
      <c r="AO886" s="402">
        <f t="shared" si="895"/>
        <v>0.27</v>
      </c>
      <c r="AP886" s="127"/>
      <c r="AQ886" s="128">
        <f t="shared" si="896"/>
        <v>397.0526316</v>
      </c>
      <c r="AR886" s="404">
        <f t="shared" si="897"/>
        <v>375.2860412</v>
      </c>
      <c r="AS886" s="405">
        <f t="shared" si="898"/>
        <v>0.29</v>
      </c>
      <c r="AT886" s="405">
        <f t="shared" si="899"/>
        <v>0.2315789474</v>
      </c>
      <c r="AU886" s="129"/>
      <c r="AV886" s="225" t="s">
        <v>3024</v>
      </c>
      <c r="AW886" s="416"/>
      <c r="AX886" s="416"/>
      <c r="AY886" s="361"/>
      <c r="AZ886" s="214"/>
      <c r="BA886" s="214"/>
      <c r="BB886" s="227"/>
      <c r="BC886" s="412">
        <v>328.0</v>
      </c>
      <c r="BD886" s="132">
        <f t="shared" si="900"/>
        <v>356.5217391</v>
      </c>
      <c r="BE886" s="215"/>
      <c r="BF886" s="48"/>
      <c r="BG886" s="49"/>
      <c r="BH886" s="224"/>
      <c r="BI886" s="224"/>
      <c r="BJ886" s="224"/>
      <c r="BK886" s="224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</row>
    <row r="887" ht="14.25" customHeight="1">
      <c r="A887" s="103" t="s">
        <v>84</v>
      </c>
      <c r="B887" s="103" t="s">
        <v>3073</v>
      </c>
      <c r="C887" s="103" t="s">
        <v>120</v>
      </c>
      <c r="D887" s="103" t="s">
        <v>1886</v>
      </c>
      <c r="E887" s="109" t="s">
        <v>3074</v>
      </c>
      <c r="F887" s="105" t="s">
        <v>3029</v>
      </c>
      <c r="G887" s="110" t="s">
        <v>3094</v>
      </c>
      <c r="H887" s="110" t="s">
        <v>3134</v>
      </c>
      <c r="I887" s="107"/>
      <c r="J887" s="108" t="s">
        <v>3153</v>
      </c>
      <c r="K887" s="108" t="str">
        <f>_xlfn.XLOOKUP(J887,[1]Sheet1!$A:$A,[1]Sheet1!$B:$B,"")</f>
        <v>#ERROR!</v>
      </c>
      <c r="L887" s="109" t="s">
        <v>3154</v>
      </c>
      <c r="M887" s="104" t="s">
        <v>3155</v>
      </c>
      <c r="N887" s="110"/>
      <c r="O887" s="109" t="s">
        <v>147</v>
      </c>
      <c r="P887" s="106"/>
      <c r="Q887" s="105" t="s">
        <v>3081</v>
      </c>
      <c r="R887" s="106"/>
      <c r="S887" s="106"/>
      <c r="T887" s="110"/>
      <c r="U887" s="106">
        <v>9.403208E9</v>
      </c>
      <c r="V887" s="112">
        <v>0.0</v>
      </c>
      <c r="W887" s="106">
        <v>45.0</v>
      </c>
      <c r="X887" s="106">
        <v>45.0</v>
      </c>
      <c r="Y887" s="106"/>
      <c r="Z887" s="106" t="s">
        <v>99</v>
      </c>
      <c r="AA887" s="114">
        <f t="shared" si="891"/>
        <v>451.8161601</v>
      </c>
      <c r="AB887" s="115"/>
      <c r="AC887" s="212">
        <f t="shared" si="892"/>
        <v>394.5801072</v>
      </c>
      <c r="AD887" s="213">
        <f t="shared" si="799"/>
        <v>424.2796852</v>
      </c>
      <c r="AE887" s="212"/>
      <c r="AF887" s="212" t="str">
        <f t="shared" si="94"/>
        <v>#REF!</v>
      </c>
      <c r="AG887" s="210" t="str">
        <f t="shared" si="95"/>
        <v>#REF!</v>
      </c>
      <c r="AH887" s="120" t="str">
        <f t="shared" si="96"/>
        <v>#REF!</v>
      </c>
      <c r="AI887" s="121">
        <f t="shared" si="893"/>
        <v>0.05</v>
      </c>
      <c r="AJ887" s="121">
        <v>0.05</v>
      </c>
      <c r="AK887" s="418">
        <v>0.27</v>
      </c>
      <c r="AL887" s="123">
        <f t="shared" si="11"/>
        <v>106.5366289</v>
      </c>
      <c r="AM887" s="401" t="s">
        <v>10</v>
      </c>
      <c r="AN887" s="125">
        <f t="shared" si="894"/>
        <v>394.5801072</v>
      </c>
      <c r="AO887" s="402">
        <f t="shared" si="895"/>
        <v>0.27</v>
      </c>
      <c r="AP887" s="127"/>
      <c r="AQ887" s="128">
        <f t="shared" si="896"/>
        <v>320.7894737</v>
      </c>
      <c r="AR887" s="404">
        <f t="shared" si="897"/>
        <v>303.2036613</v>
      </c>
      <c r="AS887" s="405">
        <f t="shared" si="898"/>
        <v>0.29</v>
      </c>
      <c r="AT887" s="405">
        <f t="shared" si="899"/>
        <v>0.2315789474</v>
      </c>
      <c r="AU887" s="129">
        <v>318.51</v>
      </c>
      <c r="AV887" s="225" t="s">
        <v>3024</v>
      </c>
      <c r="AW887" s="416"/>
      <c r="AX887" s="416"/>
      <c r="AY887" s="361"/>
      <c r="AZ887" s="214"/>
      <c r="BA887" s="214"/>
      <c r="BB887" s="227"/>
      <c r="BC887" s="412">
        <v>265.0</v>
      </c>
      <c r="BD887" s="132">
        <f t="shared" si="900"/>
        <v>288.0434783</v>
      </c>
      <c r="BE887" s="215"/>
      <c r="BF887" s="48"/>
      <c r="BG887" s="49"/>
      <c r="BH887" s="224">
        <f t="shared" ref="BH887:BH906" si="901">AC887/0.3</f>
        <v>1315.267024</v>
      </c>
      <c r="BI887" s="224">
        <f t="shared" ref="BI887:BI906" si="902">BH887*0.6</f>
        <v>789.1602144</v>
      </c>
      <c r="BJ887" s="224">
        <f t="shared" ref="BJ887:BJ906" si="903">BH887*0.5</f>
        <v>657.633512</v>
      </c>
      <c r="BK887" s="224">
        <f t="shared" ref="BK887:BK906" si="904">BH887*0.4</f>
        <v>526.1068096</v>
      </c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</row>
    <row r="888" ht="14.25" customHeight="1">
      <c r="A888" s="103" t="s">
        <v>84</v>
      </c>
      <c r="B888" s="103" t="s">
        <v>3073</v>
      </c>
      <c r="C888" s="103" t="s">
        <v>120</v>
      </c>
      <c r="D888" s="103" t="s">
        <v>1886</v>
      </c>
      <c r="E888" s="109" t="s">
        <v>3074</v>
      </c>
      <c r="F888" s="105" t="s">
        <v>3029</v>
      </c>
      <c r="G888" s="110" t="s">
        <v>3094</v>
      </c>
      <c r="H888" s="110" t="s">
        <v>3134</v>
      </c>
      <c r="I888" s="107"/>
      <c r="J888" s="108" t="s">
        <v>3156</v>
      </c>
      <c r="K888" s="108" t="str">
        <f>_xlfn.XLOOKUP(J888,[1]Sheet1!$A:$A,[1]Sheet1!$B:$B,"")</f>
        <v>#ERROR!</v>
      </c>
      <c r="L888" s="109" t="s">
        <v>3157</v>
      </c>
      <c r="M888" s="104" t="s">
        <v>3158</v>
      </c>
      <c r="N888" s="110"/>
      <c r="O888" s="109" t="s">
        <v>147</v>
      </c>
      <c r="P888" s="106"/>
      <c r="Q888" s="105" t="s">
        <v>3081</v>
      </c>
      <c r="R888" s="106"/>
      <c r="S888" s="106"/>
      <c r="T888" s="110"/>
      <c r="U888" s="106">
        <v>9.403208E9</v>
      </c>
      <c r="V888" s="112">
        <v>0.0</v>
      </c>
      <c r="W888" s="106">
        <v>45.0</v>
      </c>
      <c r="X888" s="106">
        <v>45.0</v>
      </c>
      <c r="Y888" s="106"/>
      <c r="Z888" s="106" t="s">
        <v>99</v>
      </c>
      <c r="AA888" s="114">
        <f t="shared" si="891"/>
        <v>358.0429948</v>
      </c>
      <c r="AB888" s="115"/>
      <c r="AC888" s="212">
        <f t="shared" si="892"/>
        <v>312.6861227</v>
      </c>
      <c r="AD888" s="213">
        <f t="shared" si="799"/>
        <v>336.2216373</v>
      </c>
      <c r="AE888" s="212"/>
      <c r="AF888" s="212" t="str">
        <f t="shared" si="94"/>
        <v>#REF!</v>
      </c>
      <c r="AG888" s="210" t="str">
        <f t="shared" si="95"/>
        <v>#REF!</v>
      </c>
      <c r="AH888" s="120" t="str">
        <f t="shared" si="96"/>
        <v>#REF!</v>
      </c>
      <c r="AI888" s="121">
        <f t="shared" si="893"/>
        <v>0.05</v>
      </c>
      <c r="AJ888" s="121">
        <v>0.05</v>
      </c>
      <c r="AK888" s="418">
        <v>0.27</v>
      </c>
      <c r="AL888" s="123">
        <f t="shared" si="11"/>
        <v>84.42525313</v>
      </c>
      <c r="AM888" s="401" t="s">
        <v>10</v>
      </c>
      <c r="AN888" s="125">
        <f t="shared" si="894"/>
        <v>312.6861227</v>
      </c>
      <c r="AO888" s="402">
        <f t="shared" si="895"/>
        <v>0.27</v>
      </c>
      <c r="AP888" s="127"/>
      <c r="AQ888" s="128">
        <f t="shared" si="896"/>
        <v>254.2105263</v>
      </c>
      <c r="AR888" s="404">
        <f t="shared" si="897"/>
        <v>240.2745995</v>
      </c>
      <c r="AS888" s="405">
        <f t="shared" si="898"/>
        <v>0.29</v>
      </c>
      <c r="AT888" s="405">
        <f t="shared" si="899"/>
        <v>0.2315789474</v>
      </c>
      <c r="AU888" s="129"/>
      <c r="AV888" s="225" t="s">
        <v>3024</v>
      </c>
      <c r="AW888" s="416"/>
      <c r="AX888" s="416"/>
      <c r="AY888" s="361"/>
      <c r="AZ888" s="214"/>
      <c r="BA888" s="214"/>
      <c r="BB888" s="227"/>
      <c r="BC888" s="412">
        <v>210.0</v>
      </c>
      <c r="BD888" s="132">
        <f t="shared" si="900"/>
        <v>228.2608696</v>
      </c>
      <c r="BE888" s="215"/>
      <c r="BF888" s="48"/>
      <c r="BG888" s="49"/>
      <c r="BH888" s="224">
        <f t="shared" si="901"/>
        <v>1042.287076</v>
      </c>
      <c r="BI888" s="224">
        <f t="shared" si="902"/>
        <v>625.3722454</v>
      </c>
      <c r="BJ888" s="224">
        <f t="shared" si="903"/>
        <v>521.1435378</v>
      </c>
      <c r="BK888" s="224">
        <f t="shared" si="904"/>
        <v>416.9148303</v>
      </c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</row>
    <row r="889" ht="14.25" customHeight="1">
      <c r="A889" s="103" t="s">
        <v>84</v>
      </c>
      <c r="B889" s="103" t="s">
        <v>3073</v>
      </c>
      <c r="C889" s="103" t="s">
        <v>120</v>
      </c>
      <c r="D889" s="103" t="s">
        <v>1886</v>
      </c>
      <c r="E889" s="109" t="s">
        <v>3074</v>
      </c>
      <c r="F889" s="105" t="s">
        <v>3029</v>
      </c>
      <c r="G889" s="110" t="s">
        <v>3094</v>
      </c>
      <c r="H889" s="110" t="s">
        <v>3159</v>
      </c>
      <c r="I889" s="107"/>
      <c r="J889" s="108" t="s">
        <v>3160</v>
      </c>
      <c r="K889" s="108" t="str">
        <f>_xlfn.XLOOKUP(J889,[1]Sheet1!$A:$A,[1]Sheet1!$B:$B,"")</f>
        <v>#ERROR!</v>
      </c>
      <c r="L889" s="109" t="s">
        <v>3161</v>
      </c>
      <c r="M889" s="104" t="s">
        <v>3162</v>
      </c>
      <c r="N889" s="110"/>
      <c r="O889" s="109" t="s">
        <v>147</v>
      </c>
      <c r="P889" s="106"/>
      <c r="Q889" s="105" t="s">
        <v>3081</v>
      </c>
      <c r="R889" s="106"/>
      <c r="S889" s="106"/>
      <c r="T889" s="110"/>
      <c r="U889" s="106">
        <v>9.403208E9</v>
      </c>
      <c r="V889" s="112">
        <v>0.0</v>
      </c>
      <c r="W889" s="106">
        <v>45.0</v>
      </c>
      <c r="X889" s="106">
        <v>45.0</v>
      </c>
      <c r="Y889" s="106"/>
      <c r="Z889" s="106" t="s">
        <v>99</v>
      </c>
      <c r="AA889" s="114">
        <f t="shared" si="891"/>
        <v>511.4899926</v>
      </c>
      <c r="AB889" s="115"/>
      <c r="AC889" s="212">
        <f t="shared" si="892"/>
        <v>446.694461</v>
      </c>
      <c r="AD889" s="213">
        <f t="shared" si="799"/>
        <v>480.3166247</v>
      </c>
      <c r="AE889" s="212"/>
      <c r="AF889" s="212" t="str">
        <f t="shared" si="94"/>
        <v>#REF!</v>
      </c>
      <c r="AG889" s="210" t="str">
        <f t="shared" si="95"/>
        <v>#REF!</v>
      </c>
      <c r="AH889" s="120" t="str">
        <f t="shared" si="96"/>
        <v>#REF!</v>
      </c>
      <c r="AI889" s="121">
        <f t="shared" si="893"/>
        <v>0.05</v>
      </c>
      <c r="AJ889" s="121">
        <v>0.05</v>
      </c>
      <c r="AK889" s="418">
        <v>0.27</v>
      </c>
      <c r="AL889" s="123">
        <f t="shared" si="11"/>
        <v>120.6075045</v>
      </c>
      <c r="AM889" s="401" t="s">
        <v>10</v>
      </c>
      <c r="AN889" s="125">
        <f t="shared" si="894"/>
        <v>446.694461</v>
      </c>
      <c r="AO889" s="402">
        <f t="shared" si="895"/>
        <v>0.27</v>
      </c>
      <c r="AP889" s="127"/>
      <c r="AQ889" s="128">
        <f t="shared" si="896"/>
        <v>363.1578947</v>
      </c>
      <c r="AR889" s="404">
        <f t="shared" si="897"/>
        <v>343.2494279</v>
      </c>
      <c r="AS889" s="405">
        <f t="shared" si="898"/>
        <v>0.29</v>
      </c>
      <c r="AT889" s="405">
        <f t="shared" si="899"/>
        <v>0.2315789474</v>
      </c>
      <c r="AU889" s="129"/>
      <c r="AV889" s="225" t="s">
        <v>3024</v>
      </c>
      <c r="AW889" s="416"/>
      <c r="AX889" s="416"/>
      <c r="AY889" s="361"/>
      <c r="AZ889" s="214"/>
      <c r="BA889" s="214"/>
      <c r="BB889" s="227"/>
      <c r="BC889" s="412">
        <v>300.0</v>
      </c>
      <c r="BD889" s="132">
        <f t="shared" si="900"/>
        <v>326.0869565</v>
      </c>
      <c r="BE889" s="215"/>
      <c r="BF889" s="48"/>
      <c r="BG889" s="49"/>
      <c r="BH889" s="224">
        <f t="shared" si="901"/>
        <v>1488.981537</v>
      </c>
      <c r="BI889" s="224">
        <f t="shared" si="902"/>
        <v>893.388922</v>
      </c>
      <c r="BJ889" s="224">
        <f t="shared" si="903"/>
        <v>744.4907683</v>
      </c>
      <c r="BK889" s="224">
        <f t="shared" si="904"/>
        <v>595.5926147</v>
      </c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</row>
    <row r="890" ht="14.25" customHeight="1">
      <c r="A890" s="103" t="s">
        <v>84</v>
      </c>
      <c r="B890" s="103" t="s">
        <v>3073</v>
      </c>
      <c r="C890" s="103" t="s">
        <v>120</v>
      </c>
      <c r="D890" s="103" t="s">
        <v>1886</v>
      </c>
      <c r="E890" s="109" t="s">
        <v>3074</v>
      </c>
      <c r="F890" s="105" t="s">
        <v>3029</v>
      </c>
      <c r="G890" s="110" t="s">
        <v>3094</v>
      </c>
      <c r="H890" s="110" t="s">
        <v>3159</v>
      </c>
      <c r="I890" s="107"/>
      <c r="J890" s="108" t="s">
        <v>3131</v>
      </c>
      <c r="K890" s="108" t="str">
        <f>_xlfn.XLOOKUP(J890,[1]Sheet1!$A:$A,[1]Sheet1!$B:$B,"")</f>
        <v>#ERROR!</v>
      </c>
      <c r="L890" s="109" t="s">
        <v>3163</v>
      </c>
      <c r="M890" s="104" t="s">
        <v>3133</v>
      </c>
      <c r="N890" s="110"/>
      <c r="O890" s="109" t="s">
        <v>147</v>
      </c>
      <c r="P890" s="106"/>
      <c r="Q890" s="105" t="s">
        <v>3081</v>
      </c>
      <c r="R890" s="106"/>
      <c r="S890" s="106"/>
      <c r="T890" s="110"/>
      <c r="U890" s="106">
        <v>9.403208E9</v>
      </c>
      <c r="V890" s="112">
        <v>0.0</v>
      </c>
      <c r="W890" s="106">
        <v>45.0</v>
      </c>
      <c r="X890" s="106">
        <v>45.0</v>
      </c>
      <c r="Y890" s="106"/>
      <c r="Z890" s="106" t="s">
        <v>99</v>
      </c>
      <c r="AA890" s="114">
        <f t="shared" si="891"/>
        <v>417.7168273</v>
      </c>
      <c r="AB890" s="115"/>
      <c r="AC890" s="212">
        <f t="shared" si="892"/>
        <v>364.8004765</v>
      </c>
      <c r="AD890" s="213">
        <f t="shared" si="799"/>
        <v>392.2585769</v>
      </c>
      <c r="AE890" s="212"/>
      <c r="AF890" s="212" t="str">
        <f t="shared" si="94"/>
        <v>#REF!</v>
      </c>
      <c r="AG890" s="210" t="str">
        <f t="shared" si="95"/>
        <v>#REF!</v>
      </c>
      <c r="AH890" s="120" t="str">
        <f t="shared" si="96"/>
        <v>#REF!</v>
      </c>
      <c r="AI890" s="121">
        <f t="shared" si="893"/>
        <v>0.05</v>
      </c>
      <c r="AJ890" s="121">
        <v>0.05</v>
      </c>
      <c r="AK890" s="418">
        <v>0.27</v>
      </c>
      <c r="AL890" s="123">
        <f t="shared" si="11"/>
        <v>98.49612865</v>
      </c>
      <c r="AM890" s="401" t="s">
        <v>10</v>
      </c>
      <c r="AN890" s="125">
        <f t="shared" si="894"/>
        <v>364.8004765</v>
      </c>
      <c r="AO890" s="402">
        <f t="shared" si="895"/>
        <v>0.27</v>
      </c>
      <c r="AP890" s="127"/>
      <c r="AQ890" s="128">
        <f t="shared" si="896"/>
        <v>296.5789474</v>
      </c>
      <c r="AR890" s="404">
        <f t="shared" si="897"/>
        <v>280.3203661</v>
      </c>
      <c r="AS890" s="405">
        <f t="shared" si="898"/>
        <v>0.29</v>
      </c>
      <c r="AT890" s="405">
        <f t="shared" si="899"/>
        <v>0.2315789474</v>
      </c>
      <c r="AU890" s="129"/>
      <c r="AV890" s="225" t="s">
        <v>3024</v>
      </c>
      <c r="AW890" s="416"/>
      <c r="AX890" s="416"/>
      <c r="AY890" s="361"/>
      <c r="AZ890" s="214"/>
      <c r="BA890" s="214"/>
      <c r="BB890" s="227"/>
      <c r="BC890" s="412">
        <v>245.0</v>
      </c>
      <c r="BD890" s="132">
        <f t="shared" si="900"/>
        <v>266.3043478</v>
      </c>
      <c r="BE890" s="215"/>
      <c r="BF890" s="48"/>
      <c r="BG890" s="49"/>
      <c r="BH890" s="224">
        <f t="shared" si="901"/>
        <v>1216.001588</v>
      </c>
      <c r="BI890" s="224">
        <f t="shared" si="902"/>
        <v>729.6009529</v>
      </c>
      <c r="BJ890" s="224">
        <f t="shared" si="903"/>
        <v>608.0007941</v>
      </c>
      <c r="BK890" s="224">
        <f t="shared" si="904"/>
        <v>486.4006353</v>
      </c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</row>
    <row r="891" ht="14.25" customHeight="1">
      <c r="A891" s="425" t="s">
        <v>84</v>
      </c>
      <c r="B891" s="425" t="s">
        <v>3073</v>
      </c>
      <c r="C891" s="425" t="s">
        <v>120</v>
      </c>
      <c r="D891" s="425" t="s">
        <v>1886</v>
      </c>
      <c r="E891" s="426" t="s">
        <v>3074</v>
      </c>
      <c r="F891" s="427" t="s">
        <v>3029</v>
      </c>
      <c r="G891" s="428" t="s">
        <v>3094</v>
      </c>
      <c r="H891" s="428" t="s">
        <v>3159</v>
      </c>
      <c r="I891" s="429"/>
      <c r="J891" s="430" t="s">
        <v>3164</v>
      </c>
      <c r="K891" s="431" t="str">
        <f>_xlfn.XLOOKUP(J891,[1]Sheet1!$A:$A,[1]Sheet1!$B:$B,"")</f>
        <v>#ERROR!</v>
      </c>
      <c r="L891" s="432" t="s">
        <v>3165</v>
      </c>
      <c r="M891" s="433" t="s">
        <v>3166</v>
      </c>
      <c r="N891" s="428"/>
      <c r="O891" s="426" t="s">
        <v>147</v>
      </c>
      <c r="P891" s="434"/>
      <c r="Q891" s="427" t="s">
        <v>3081</v>
      </c>
      <c r="R891" s="434"/>
      <c r="S891" s="434"/>
      <c r="T891" s="428"/>
      <c r="U891" s="434">
        <v>9.403208E9</v>
      </c>
      <c r="V891" s="435">
        <v>0.0</v>
      </c>
      <c r="W891" s="434">
        <v>45.0</v>
      </c>
      <c r="X891" s="434">
        <v>45.0</v>
      </c>
      <c r="Y891" s="434"/>
      <c r="Z891" s="434" t="s">
        <v>99</v>
      </c>
      <c r="AA891" s="114">
        <f t="shared" si="891"/>
        <v>663.2320237</v>
      </c>
      <c r="AB891" s="436"/>
      <c r="AC891" s="437">
        <f t="shared" si="892"/>
        <v>579.2138177</v>
      </c>
      <c r="AD891" s="213">
        <f t="shared" si="799"/>
        <v>622.8105567</v>
      </c>
      <c r="AE891" s="437"/>
      <c r="AF891" s="437" t="str">
        <f t="shared" si="94"/>
        <v>#REF!</v>
      </c>
      <c r="AG891" s="438" t="str">
        <f t="shared" si="95"/>
        <v>#REF!</v>
      </c>
      <c r="AH891" s="120" t="str">
        <f t="shared" si="96"/>
        <v>#REF!</v>
      </c>
      <c r="AI891" s="435">
        <f t="shared" si="893"/>
        <v>0.05</v>
      </c>
      <c r="AJ891" s="435">
        <v>0.05</v>
      </c>
      <c r="AK891" s="439">
        <v>0.27</v>
      </c>
      <c r="AL891" s="123">
        <f t="shared" si="11"/>
        <v>156.3877308</v>
      </c>
      <c r="AM891" s="440" t="s">
        <v>10</v>
      </c>
      <c r="AN891" s="441">
        <f t="shared" si="894"/>
        <v>579.2138177</v>
      </c>
      <c r="AO891" s="442">
        <f t="shared" si="895"/>
        <v>0.27</v>
      </c>
      <c r="AP891" s="127"/>
      <c r="AQ891" s="443">
        <f t="shared" si="896"/>
        <v>470.8947368</v>
      </c>
      <c r="AR891" s="444">
        <f t="shared" si="897"/>
        <v>445.0800915</v>
      </c>
      <c r="AS891" s="445">
        <f t="shared" si="898"/>
        <v>0.29</v>
      </c>
      <c r="AT891" s="445">
        <f t="shared" si="899"/>
        <v>0.2315789474</v>
      </c>
      <c r="AU891" s="129"/>
      <c r="AV891" s="446" t="s">
        <v>3024</v>
      </c>
      <c r="AW891" s="447"/>
      <c r="AX891" s="447"/>
      <c r="AY891" s="448"/>
      <c r="AZ891" s="449"/>
      <c r="BA891" s="449"/>
      <c r="BB891" s="450"/>
      <c r="BC891" s="451">
        <v>389.0</v>
      </c>
      <c r="BD891" s="452">
        <f t="shared" si="900"/>
        <v>422.826087</v>
      </c>
      <c r="BE891" s="453"/>
      <c r="BF891" s="454"/>
      <c r="BG891" s="455"/>
      <c r="BH891" s="437">
        <f t="shared" si="901"/>
        <v>1930.712726</v>
      </c>
      <c r="BI891" s="437">
        <f t="shared" si="902"/>
        <v>1158.427635</v>
      </c>
      <c r="BJ891" s="437">
        <f t="shared" si="903"/>
        <v>965.3563629</v>
      </c>
      <c r="BK891" s="437">
        <f t="shared" si="904"/>
        <v>772.2850903</v>
      </c>
      <c r="BL891" s="49"/>
      <c r="BM891" s="455"/>
      <c r="BN891" s="455"/>
      <c r="BO891" s="455"/>
      <c r="BP891" s="455"/>
      <c r="BQ891" s="455"/>
      <c r="BR891" s="455"/>
      <c r="BS891" s="455"/>
      <c r="BT891" s="455"/>
      <c r="BU891" s="455"/>
      <c r="BV891" s="455"/>
      <c r="BW891" s="455"/>
      <c r="BX891" s="455"/>
      <c r="BY891" s="455"/>
      <c r="BZ891" s="455"/>
      <c r="CA891" s="455"/>
      <c r="CB891" s="455"/>
      <c r="CC891" s="455"/>
      <c r="CD891" s="455"/>
      <c r="CE891" s="455"/>
      <c r="CF891" s="455"/>
    </row>
    <row r="892" ht="14.25" customHeight="1">
      <c r="A892" s="103" t="s">
        <v>84</v>
      </c>
      <c r="B892" s="103" t="s">
        <v>3073</v>
      </c>
      <c r="C892" s="103" t="s">
        <v>120</v>
      </c>
      <c r="D892" s="103" t="s">
        <v>1886</v>
      </c>
      <c r="E892" s="109" t="s">
        <v>3074</v>
      </c>
      <c r="F892" s="105" t="s">
        <v>3029</v>
      </c>
      <c r="G892" s="110"/>
      <c r="H892" s="110"/>
      <c r="I892" s="107"/>
      <c r="J892" s="108" t="s">
        <v>3167</v>
      </c>
      <c r="K892" s="108" t="str">
        <f>_xlfn.XLOOKUP(J892,[1]Sheet1!$A:$A,[1]Sheet1!$B:$B,"")</f>
        <v>#ERROR!</v>
      </c>
      <c r="L892" s="109" t="s">
        <v>3168</v>
      </c>
      <c r="M892" s="104" t="s">
        <v>3169</v>
      </c>
      <c r="N892" s="110"/>
      <c r="O892" s="109" t="s">
        <v>147</v>
      </c>
      <c r="P892" s="106"/>
      <c r="Q892" s="105" t="s">
        <v>3081</v>
      </c>
      <c r="R892" s="106"/>
      <c r="S892" s="106"/>
      <c r="T892" s="110"/>
      <c r="U892" s="106">
        <v>9.403208E9</v>
      </c>
      <c r="V892" s="112">
        <v>0.0</v>
      </c>
      <c r="W892" s="106">
        <v>45.0</v>
      </c>
      <c r="X892" s="106">
        <v>45.0</v>
      </c>
      <c r="Y892" s="106"/>
      <c r="Z892" s="106" t="s">
        <v>99</v>
      </c>
      <c r="AA892" s="114">
        <f t="shared" si="891"/>
        <v>0</v>
      </c>
      <c r="AB892" s="115"/>
      <c r="AC892" s="212">
        <f t="shared" si="892"/>
        <v>0</v>
      </c>
      <c r="AD892" s="213">
        <f t="shared" si="799"/>
        <v>0</v>
      </c>
      <c r="AE892" s="212"/>
      <c r="AF892" s="212" t="str">
        <f t="shared" si="94"/>
        <v>#REF!</v>
      </c>
      <c r="AG892" s="210" t="str">
        <f t="shared" si="95"/>
        <v>#REF!</v>
      </c>
      <c r="AH892" s="120" t="str">
        <f t="shared" si="96"/>
        <v>#REF!</v>
      </c>
      <c r="AI892" s="121">
        <f t="shared" si="893"/>
        <v>0.05</v>
      </c>
      <c r="AJ892" s="121">
        <v>0.05</v>
      </c>
      <c r="AK892" s="418">
        <v>0.27</v>
      </c>
      <c r="AL892" s="123">
        <f t="shared" si="11"/>
        <v>0</v>
      </c>
      <c r="AM892" s="401" t="s">
        <v>10</v>
      </c>
      <c r="AN892" s="125">
        <f t="shared" si="894"/>
        <v>0</v>
      </c>
      <c r="AO892" s="402" t="str">
        <f t="shared" si="895"/>
        <v>#DIV/0!</v>
      </c>
      <c r="AP892" s="127"/>
      <c r="AQ892" s="128">
        <f t="shared" si="896"/>
        <v>0</v>
      </c>
      <c r="AR892" s="404">
        <f t="shared" si="897"/>
        <v>0</v>
      </c>
      <c r="AS892" s="405" t="str">
        <f t="shared" si="898"/>
        <v>#DIV/0!</v>
      </c>
      <c r="AT892" s="405" t="str">
        <f t="shared" si="899"/>
        <v>#DIV/0!</v>
      </c>
      <c r="AU892" s="129"/>
      <c r="AV892" s="225" t="s">
        <v>3024</v>
      </c>
      <c r="AW892" s="416"/>
      <c r="AX892" s="416"/>
      <c r="AY892" s="361"/>
      <c r="AZ892" s="214"/>
      <c r="BA892" s="214"/>
      <c r="BB892" s="227"/>
      <c r="BC892" s="412"/>
      <c r="BD892" s="132"/>
      <c r="BE892" s="215"/>
      <c r="BF892" s="48"/>
      <c r="BG892" s="49"/>
      <c r="BH892" s="224">
        <f t="shared" si="901"/>
        <v>0</v>
      </c>
      <c r="BI892" s="224">
        <f t="shared" si="902"/>
        <v>0</v>
      </c>
      <c r="BJ892" s="224">
        <f t="shared" si="903"/>
        <v>0</v>
      </c>
      <c r="BK892" s="224">
        <f t="shared" si="904"/>
        <v>0</v>
      </c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</row>
    <row r="893" ht="14.25" customHeight="1">
      <c r="A893" s="103" t="s">
        <v>84</v>
      </c>
      <c r="B893" s="103" t="s">
        <v>3073</v>
      </c>
      <c r="C893" s="103" t="s">
        <v>120</v>
      </c>
      <c r="D893" s="103" t="s">
        <v>1886</v>
      </c>
      <c r="E893" s="109" t="s">
        <v>3074</v>
      </c>
      <c r="F893" s="105" t="s">
        <v>3029</v>
      </c>
      <c r="G893" s="110"/>
      <c r="H893" s="110"/>
      <c r="I893" s="107"/>
      <c r="J893" s="108" t="s">
        <v>3170</v>
      </c>
      <c r="K893" s="108" t="str">
        <f>_xlfn.XLOOKUP(J893,[1]Sheet1!$A:$A,[1]Sheet1!$B:$B,"")</f>
        <v>#ERROR!</v>
      </c>
      <c r="L893" s="109" t="s">
        <v>3171</v>
      </c>
      <c r="M893" s="104" t="s">
        <v>3172</v>
      </c>
      <c r="N893" s="110"/>
      <c r="O893" s="109" t="s">
        <v>147</v>
      </c>
      <c r="P893" s="106"/>
      <c r="Q893" s="105" t="s">
        <v>3081</v>
      </c>
      <c r="R893" s="106"/>
      <c r="S893" s="106"/>
      <c r="T893" s="110"/>
      <c r="U893" s="106">
        <v>9.403208E9</v>
      </c>
      <c r="V893" s="112">
        <v>0.0</v>
      </c>
      <c r="W893" s="106">
        <v>45.0</v>
      </c>
      <c r="X893" s="106">
        <v>45.0</v>
      </c>
      <c r="Y893" s="106"/>
      <c r="Z893" s="106" t="s">
        <v>99</v>
      </c>
      <c r="AA893" s="114">
        <f t="shared" si="891"/>
        <v>0</v>
      </c>
      <c r="AB893" s="115"/>
      <c r="AC893" s="212">
        <f t="shared" si="892"/>
        <v>0</v>
      </c>
      <c r="AD893" s="213">
        <f t="shared" si="799"/>
        <v>0</v>
      </c>
      <c r="AE893" s="212"/>
      <c r="AF893" s="212" t="str">
        <f t="shared" si="94"/>
        <v>#REF!</v>
      </c>
      <c r="AG893" s="210" t="str">
        <f t="shared" si="95"/>
        <v>#REF!</v>
      </c>
      <c r="AH893" s="120" t="str">
        <f t="shared" si="96"/>
        <v>#REF!</v>
      </c>
      <c r="AI893" s="121">
        <f t="shared" si="893"/>
        <v>0.05</v>
      </c>
      <c r="AJ893" s="121">
        <v>0.05</v>
      </c>
      <c r="AK893" s="418">
        <v>0.27</v>
      </c>
      <c r="AL893" s="123">
        <f t="shared" si="11"/>
        <v>0</v>
      </c>
      <c r="AM893" s="401" t="s">
        <v>10</v>
      </c>
      <c r="AN893" s="125">
        <f t="shared" si="894"/>
        <v>0</v>
      </c>
      <c r="AO893" s="402" t="str">
        <f t="shared" si="895"/>
        <v>#DIV/0!</v>
      </c>
      <c r="AP893" s="127"/>
      <c r="AQ893" s="128">
        <f t="shared" si="896"/>
        <v>0</v>
      </c>
      <c r="AR893" s="404">
        <f t="shared" si="897"/>
        <v>0</v>
      </c>
      <c r="AS893" s="405" t="str">
        <f t="shared" si="898"/>
        <v>#DIV/0!</v>
      </c>
      <c r="AT893" s="405" t="str">
        <f t="shared" si="899"/>
        <v>#DIV/0!</v>
      </c>
      <c r="AU893" s="129"/>
      <c r="AV893" s="225" t="s">
        <v>3024</v>
      </c>
      <c r="AW893" s="416"/>
      <c r="AX893" s="416"/>
      <c r="AY893" s="361"/>
      <c r="AZ893" s="214"/>
      <c r="BA893" s="214"/>
      <c r="BB893" s="227"/>
      <c r="BC893" s="412"/>
      <c r="BD893" s="132"/>
      <c r="BE893" s="215"/>
      <c r="BF893" s="48"/>
      <c r="BG893" s="49"/>
      <c r="BH893" s="224">
        <f t="shared" si="901"/>
        <v>0</v>
      </c>
      <c r="BI893" s="224">
        <f t="shared" si="902"/>
        <v>0</v>
      </c>
      <c r="BJ893" s="224">
        <f t="shared" si="903"/>
        <v>0</v>
      </c>
      <c r="BK893" s="224">
        <f t="shared" si="904"/>
        <v>0</v>
      </c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</row>
    <row r="894" ht="14.25" customHeight="1">
      <c r="A894" s="103" t="s">
        <v>84</v>
      </c>
      <c r="B894" s="103" t="s">
        <v>3073</v>
      </c>
      <c r="C894" s="103" t="s">
        <v>120</v>
      </c>
      <c r="D894" s="103" t="s">
        <v>1886</v>
      </c>
      <c r="E894" s="109" t="s">
        <v>3074</v>
      </c>
      <c r="F894" s="105" t="s">
        <v>3029</v>
      </c>
      <c r="G894" s="110"/>
      <c r="H894" s="110"/>
      <c r="I894" s="107"/>
      <c r="J894" s="108" t="s">
        <v>3173</v>
      </c>
      <c r="K894" s="108" t="str">
        <f>_xlfn.XLOOKUP(J894,[1]Sheet1!$A:$A,[1]Sheet1!$B:$B,"")</f>
        <v>#ERROR!</v>
      </c>
      <c r="L894" s="109" t="s">
        <v>3174</v>
      </c>
      <c r="M894" s="104" t="s">
        <v>3175</v>
      </c>
      <c r="N894" s="110"/>
      <c r="O894" s="109" t="s">
        <v>147</v>
      </c>
      <c r="P894" s="106"/>
      <c r="Q894" s="105" t="s">
        <v>3081</v>
      </c>
      <c r="R894" s="106"/>
      <c r="S894" s="106"/>
      <c r="T894" s="110"/>
      <c r="U894" s="106">
        <v>9.403208E9</v>
      </c>
      <c r="V894" s="112">
        <v>0.0</v>
      </c>
      <c r="W894" s="106">
        <v>45.0</v>
      </c>
      <c r="X894" s="106">
        <v>45.0</v>
      </c>
      <c r="Y894" s="106"/>
      <c r="Z894" s="106" t="s">
        <v>99</v>
      </c>
      <c r="AA894" s="114">
        <f t="shared" si="891"/>
        <v>0</v>
      </c>
      <c r="AB894" s="115"/>
      <c r="AC894" s="212">
        <f t="shared" si="892"/>
        <v>0</v>
      </c>
      <c r="AD894" s="213">
        <f t="shared" si="799"/>
        <v>0</v>
      </c>
      <c r="AE894" s="212"/>
      <c r="AF894" s="212" t="str">
        <f t="shared" si="94"/>
        <v>#REF!</v>
      </c>
      <c r="AG894" s="210" t="str">
        <f t="shared" si="95"/>
        <v>#REF!</v>
      </c>
      <c r="AH894" s="120" t="str">
        <f t="shared" si="96"/>
        <v>#REF!</v>
      </c>
      <c r="AI894" s="121">
        <f t="shared" si="893"/>
        <v>0.05</v>
      </c>
      <c r="AJ894" s="121">
        <v>0.05</v>
      </c>
      <c r="AK894" s="418">
        <v>0.27</v>
      </c>
      <c r="AL894" s="123">
        <f t="shared" si="11"/>
        <v>0</v>
      </c>
      <c r="AM894" s="401" t="s">
        <v>10</v>
      </c>
      <c r="AN894" s="125">
        <f t="shared" si="894"/>
        <v>0</v>
      </c>
      <c r="AO894" s="402" t="str">
        <f t="shared" si="895"/>
        <v>#DIV/0!</v>
      </c>
      <c r="AP894" s="127"/>
      <c r="AQ894" s="128">
        <f t="shared" si="896"/>
        <v>0</v>
      </c>
      <c r="AR894" s="404">
        <f t="shared" si="897"/>
        <v>0</v>
      </c>
      <c r="AS894" s="405" t="str">
        <f t="shared" si="898"/>
        <v>#DIV/0!</v>
      </c>
      <c r="AT894" s="405" t="str">
        <f t="shared" si="899"/>
        <v>#DIV/0!</v>
      </c>
      <c r="AU894" s="129"/>
      <c r="AV894" s="225" t="s">
        <v>3024</v>
      </c>
      <c r="AW894" s="416"/>
      <c r="AX894" s="416"/>
      <c r="AY894" s="361"/>
      <c r="AZ894" s="214"/>
      <c r="BA894" s="214"/>
      <c r="BB894" s="227"/>
      <c r="BC894" s="412"/>
      <c r="BD894" s="132"/>
      <c r="BE894" s="215"/>
      <c r="BF894" s="48"/>
      <c r="BG894" s="49"/>
      <c r="BH894" s="224">
        <f t="shared" si="901"/>
        <v>0</v>
      </c>
      <c r="BI894" s="224">
        <f t="shared" si="902"/>
        <v>0</v>
      </c>
      <c r="BJ894" s="224">
        <f t="shared" si="903"/>
        <v>0</v>
      </c>
      <c r="BK894" s="224">
        <f t="shared" si="904"/>
        <v>0</v>
      </c>
      <c r="BL894" s="49"/>
      <c r="BM894" s="49"/>
      <c r="BN894" s="49"/>
      <c r="BO894" s="49"/>
      <c r="BP894" s="49"/>
      <c r="BQ894" s="49"/>
      <c r="BR894" s="49"/>
      <c r="BS894" s="49"/>
      <c r="BT894" s="49"/>
      <c r="BU894" s="49"/>
      <c r="BV894" s="49"/>
      <c r="BW894" s="49"/>
      <c r="BX894" s="49"/>
      <c r="BY894" s="49"/>
      <c r="BZ894" s="49"/>
      <c r="CA894" s="49"/>
      <c r="CB894" s="49"/>
      <c r="CC894" s="49"/>
      <c r="CD894" s="49"/>
      <c r="CE894" s="49"/>
      <c r="CF894" s="49"/>
    </row>
    <row r="895" ht="14.25" customHeight="1">
      <c r="A895" s="103" t="s">
        <v>84</v>
      </c>
      <c r="B895" s="103" t="s">
        <v>3073</v>
      </c>
      <c r="C895" s="103" t="s">
        <v>120</v>
      </c>
      <c r="D895" s="103" t="s">
        <v>1886</v>
      </c>
      <c r="E895" s="109" t="s">
        <v>3074</v>
      </c>
      <c r="F895" s="105" t="s">
        <v>3029</v>
      </c>
      <c r="G895" s="110"/>
      <c r="H895" s="110"/>
      <c r="I895" s="107"/>
      <c r="J895" s="108" t="s">
        <v>3176</v>
      </c>
      <c r="K895" s="108" t="str">
        <f>_xlfn.XLOOKUP(J895,[1]Sheet1!$A:$A,[1]Sheet1!$B:$B,"")</f>
        <v>#ERROR!</v>
      </c>
      <c r="L895" s="109" t="s">
        <v>3177</v>
      </c>
      <c r="M895" s="104" t="s">
        <v>3178</v>
      </c>
      <c r="N895" s="110"/>
      <c r="O895" s="109" t="s">
        <v>147</v>
      </c>
      <c r="P895" s="106"/>
      <c r="Q895" s="105" t="s">
        <v>3081</v>
      </c>
      <c r="R895" s="106"/>
      <c r="S895" s="106"/>
      <c r="T895" s="110"/>
      <c r="U895" s="106">
        <v>9.403208E9</v>
      </c>
      <c r="V895" s="112">
        <v>0.0</v>
      </c>
      <c r="W895" s="106">
        <v>45.0</v>
      </c>
      <c r="X895" s="106">
        <v>45.0</v>
      </c>
      <c r="Y895" s="106"/>
      <c r="Z895" s="106" t="s">
        <v>99</v>
      </c>
      <c r="AA895" s="114">
        <f t="shared" si="891"/>
        <v>0</v>
      </c>
      <c r="AB895" s="115"/>
      <c r="AC895" s="212">
        <f t="shared" si="892"/>
        <v>0</v>
      </c>
      <c r="AD895" s="213">
        <f t="shared" si="799"/>
        <v>0</v>
      </c>
      <c r="AE895" s="212"/>
      <c r="AF895" s="212" t="str">
        <f t="shared" si="94"/>
        <v>#REF!</v>
      </c>
      <c r="AG895" s="210" t="str">
        <f t="shared" si="95"/>
        <v>#REF!</v>
      </c>
      <c r="AH895" s="120" t="str">
        <f t="shared" si="96"/>
        <v>#REF!</v>
      </c>
      <c r="AI895" s="121">
        <f t="shared" si="893"/>
        <v>0.05</v>
      </c>
      <c r="AJ895" s="121">
        <v>0.05</v>
      </c>
      <c r="AK895" s="418">
        <v>0.27</v>
      </c>
      <c r="AL895" s="123">
        <f t="shared" si="11"/>
        <v>0</v>
      </c>
      <c r="AM895" s="401" t="s">
        <v>10</v>
      </c>
      <c r="AN895" s="125">
        <f t="shared" si="894"/>
        <v>0</v>
      </c>
      <c r="AO895" s="402" t="str">
        <f t="shared" si="895"/>
        <v>#DIV/0!</v>
      </c>
      <c r="AP895" s="127"/>
      <c r="AQ895" s="128">
        <f t="shared" si="896"/>
        <v>0</v>
      </c>
      <c r="AR895" s="404">
        <f t="shared" si="897"/>
        <v>0</v>
      </c>
      <c r="AS895" s="405" t="str">
        <f t="shared" si="898"/>
        <v>#DIV/0!</v>
      </c>
      <c r="AT895" s="405" t="str">
        <f t="shared" si="899"/>
        <v>#DIV/0!</v>
      </c>
      <c r="AU895" s="129"/>
      <c r="AV895" s="225" t="s">
        <v>3024</v>
      </c>
      <c r="AW895" s="416"/>
      <c r="AX895" s="416"/>
      <c r="AY895" s="361"/>
      <c r="AZ895" s="214"/>
      <c r="BA895" s="214"/>
      <c r="BB895" s="227"/>
      <c r="BC895" s="412"/>
      <c r="BD895" s="132"/>
      <c r="BE895" s="215"/>
      <c r="BF895" s="48"/>
      <c r="BG895" s="49"/>
      <c r="BH895" s="224">
        <f t="shared" si="901"/>
        <v>0</v>
      </c>
      <c r="BI895" s="224">
        <f t="shared" si="902"/>
        <v>0</v>
      </c>
      <c r="BJ895" s="224">
        <f t="shared" si="903"/>
        <v>0</v>
      </c>
      <c r="BK895" s="224">
        <f t="shared" si="904"/>
        <v>0</v>
      </c>
      <c r="BL895" s="49"/>
      <c r="BM895" s="49"/>
      <c r="BN895" s="49"/>
      <c r="BO895" s="49"/>
      <c r="BP895" s="49"/>
      <c r="BQ895" s="49"/>
      <c r="BR895" s="49"/>
      <c r="BS895" s="49"/>
      <c r="BT895" s="49"/>
      <c r="BU895" s="49"/>
      <c r="BV895" s="49"/>
      <c r="BW895" s="49"/>
      <c r="BX895" s="49"/>
      <c r="BY895" s="49"/>
      <c r="BZ895" s="49"/>
      <c r="CA895" s="49"/>
      <c r="CB895" s="49"/>
      <c r="CC895" s="49"/>
      <c r="CD895" s="49"/>
      <c r="CE895" s="49"/>
      <c r="CF895" s="49"/>
    </row>
    <row r="896" ht="14.25" customHeight="1">
      <c r="A896" s="103" t="s">
        <v>84</v>
      </c>
      <c r="B896" s="103" t="s">
        <v>3073</v>
      </c>
      <c r="C896" s="103" t="s">
        <v>120</v>
      </c>
      <c r="D896" s="103" t="s">
        <v>1886</v>
      </c>
      <c r="E896" s="109" t="s">
        <v>3074</v>
      </c>
      <c r="F896" s="105" t="s">
        <v>3029</v>
      </c>
      <c r="G896" s="110"/>
      <c r="H896" s="110"/>
      <c r="I896" s="107"/>
      <c r="J896" s="108" t="s">
        <v>3179</v>
      </c>
      <c r="K896" s="108" t="str">
        <f>_xlfn.XLOOKUP(J896,[1]Sheet1!$A:$A,[1]Sheet1!$B:$B,"")</f>
        <v>#ERROR!</v>
      </c>
      <c r="L896" s="109" t="s">
        <v>3180</v>
      </c>
      <c r="M896" s="104" t="s">
        <v>3181</v>
      </c>
      <c r="N896" s="110"/>
      <c r="O896" s="109" t="s">
        <v>147</v>
      </c>
      <c r="P896" s="106"/>
      <c r="Q896" s="105" t="s">
        <v>3081</v>
      </c>
      <c r="R896" s="106"/>
      <c r="S896" s="106"/>
      <c r="T896" s="110"/>
      <c r="U896" s="106">
        <v>9.403208E9</v>
      </c>
      <c r="V896" s="112">
        <v>0.0</v>
      </c>
      <c r="W896" s="106">
        <v>45.0</v>
      </c>
      <c r="X896" s="106">
        <v>45.0</v>
      </c>
      <c r="Y896" s="106"/>
      <c r="Z896" s="106" t="s">
        <v>99</v>
      </c>
      <c r="AA896" s="114">
        <f t="shared" si="891"/>
        <v>0</v>
      </c>
      <c r="AB896" s="115"/>
      <c r="AC896" s="212">
        <f t="shared" si="892"/>
        <v>0</v>
      </c>
      <c r="AD896" s="213">
        <f t="shared" si="799"/>
        <v>0</v>
      </c>
      <c r="AE896" s="212"/>
      <c r="AF896" s="212" t="str">
        <f t="shared" si="94"/>
        <v>#REF!</v>
      </c>
      <c r="AG896" s="210" t="str">
        <f t="shared" si="95"/>
        <v>#REF!</v>
      </c>
      <c r="AH896" s="120" t="str">
        <f t="shared" si="96"/>
        <v>#REF!</v>
      </c>
      <c r="AI896" s="121">
        <f t="shared" si="893"/>
        <v>0.05</v>
      </c>
      <c r="AJ896" s="121">
        <v>0.05</v>
      </c>
      <c r="AK896" s="418">
        <v>0.27</v>
      </c>
      <c r="AL896" s="123">
        <f t="shared" si="11"/>
        <v>0</v>
      </c>
      <c r="AM896" s="401" t="s">
        <v>10</v>
      </c>
      <c r="AN896" s="125">
        <f t="shared" si="894"/>
        <v>0</v>
      </c>
      <c r="AO896" s="402" t="str">
        <f t="shared" si="895"/>
        <v>#DIV/0!</v>
      </c>
      <c r="AP896" s="127"/>
      <c r="AQ896" s="128">
        <f t="shared" si="896"/>
        <v>0</v>
      </c>
      <c r="AR896" s="404">
        <f t="shared" si="897"/>
        <v>0</v>
      </c>
      <c r="AS896" s="405" t="str">
        <f t="shared" si="898"/>
        <v>#DIV/0!</v>
      </c>
      <c r="AT896" s="405" t="str">
        <f t="shared" si="899"/>
        <v>#DIV/0!</v>
      </c>
      <c r="AU896" s="129"/>
      <c r="AV896" s="225" t="s">
        <v>3024</v>
      </c>
      <c r="AW896" s="416"/>
      <c r="AX896" s="416"/>
      <c r="AY896" s="361"/>
      <c r="AZ896" s="214"/>
      <c r="BA896" s="214"/>
      <c r="BB896" s="227"/>
      <c r="BC896" s="412"/>
      <c r="BD896" s="132"/>
      <c r="BE896" s="215"/>
      <c r="BF896" s="48"/>
      <c r="BG896" s="49"/>
      <c r="BH896" s="224">
        <f t="shared" si="901"/>
        <v>0</v>
      </c>
      <c r="BI896" s="224">
        <f t="shared" si="902"/>
        <v>0</v>
      </c>
      <c r="BJ896" s="224">
        <f t="shared" si="903"/>
        <v>0</v>
      </c>
      <c r="BK896" s="224">
        <f t="shared" si="904"/>
        <v>0</v>
      </c>
      <c r="BL896" s="49"/>
      <c r="BM896" s="49"/>
      <c r="BN896" s="49"/>
      <c r="BO896" s="49"/>
      <c r="BP896" s="49"/>
      <c r="BQ896" s="49"/>
      <c r="BR896" s="49"/>
      <c r="BS896" s="49"/>
      <c r="BT896" s="49"/>
      <c r="BU896" s="49"/>
      <c r="BV896" s="49"/>
      <c r="BW896" s="49"/>
      <c r="BX896" s="49"/>
      <c r="BY896" s="49"/>
      <c r="BZ896" s="49"/>
      <c r="CA896" s="49"/>
      <c r="CB896" s="49"/>
      <c r="CC896" s="49"/>
      <c r="CD896" s="49"/>
      <c r="CE896" s="49"/>
      <c r="CF896" s="49"/>
    </row>
    <row r="897" ht="14.25" customHeight="1">
      <c r="A897" s="103" t="s">
        <v>84</v>
      </c>
      <c r="B897" s="103" t="s">
        <v>3073</v>
      </c>
      <c r="C897" s="103" t="s">
        <v>120</v>
      </c>
      <c r="D897" s="103" t="s">
        <v>1886</v>
      </c>
      <c r="E897" s="109" t="s">
        <v>3074</v>
      </c>
      <c r="F897" s="105" t="s">
        <v>3029</v>
      </c>
      <c r="G897" s="110"/>
      <c r="H897" s="110"/>
      <c r="I897" s="107"/>
      <c r="J897" s="108" t="s">
        <v>3182</v>
      </c>
      <c r="K897" s="108" t="str">
        <f>_xlfn.XLOOKUP(J897,[1]Sheet1!$A:$A,[1]Sheet1!$B:$B,"")</f>
        <v>#ERROR!</v>
      </c>
      <c r="L897" s="109" t="s">
        <v>3183</v>
      </c>
      <c r="M897" s="104" t="s">
        <v>3184</v>
      </c>
      <c r="N897" s="110"/>
      <c r="O897" s="109" t="s">
        <v>147</v>
      </c>
      <c r="P897" s="106"/>
      <c r="Q897" s="105" t="s">
        <v>3081</v>
      </c>
      <c r="R897" s="106"/>
      <c r="S897" s="106"/>
      <c r="T897" s="110"/>
      <c r="U897" s="106">
        <v>9.403208E9</v>
      </c>
      <c r="V897" s="112">
        <v>0.0</v>
      </c>
      <c r="W897" s="106">
        <v>45.0</v>
      </c>
      <c r="X897" s="106">
        <v>45.0</v>
      </c>
      <c r="Y897" s="106"/>
      <c r="Z897" s="106" t="s">
        <v>99</v>
      </c>
      <c r="AA897" s="114">
        <f t="shared" si="891"/>
        <v>0</v>
      </c>
      <c r="AB897" s="115"/>
      <c r="AC897" s="212">
        <f t="shared" si="892"/>
        <v>0</v>
      </c>
      <c r="AD897" s="213">
        <f t="shared" si="799"/>
        <v>0</v>
      </c>
      <c r="AE897" s="212"/>
      <c r="AF897" s="212" t="str">
        <f t="shared" si="94"/>
        <v>#REF!</v>
      </c>
      <c r="AG897" s="210" t="str">
        <f t="shared" si="95"/>
        <v>#REF!</v>
      </c>
      <c r="AH897" s="120" t="str">
        <f t="shared" si="96"/>
        <v>#REF!</v>
      </c>
      <c r="AI897" s="121">
        <f t="shared" si="893"/>
        <v>0.05</v>
      </c>
      <c r="AJ897" s="121">
        <v>0.05</v>
      </c>
      <c r="AK897" s="418">
        <v>0.27</v>
      </c>
      <c r="AL897" s="123">
        <f t="shared" si="11"/>
        <v>0</v>
      </c>
      <c r="AM897" s="401" t="s">
        <v>10</v>
      </c>
      <c r="AN897" s="125">
        <f t="shared" si="894"/>
        <v>0</v>
      </c>
      <c r="AO897" s="402" t="str">
        <f t="shared" si="895"/>
        <v>#DIV/0!</v>
      </c>
      <c r="AP897" s="127"/>
      <c r="AQ897" s="128">
        <f t="shared" si="896"/>
        <v>0</v>
      </c>
      <c r="AR897" s="404">
        <f t="shared" si="897"/>
        <v>0</v>
      </c>
      <c r="AS897" s="405" t="str">
        <f t="shared" si="898"/>
        <v>#DIV/0!</v>
      </c>
      <c r="AT897" s="405" t="str">
        <f t="shared" si="899"/>
        <v>#DIV/0!</v>
      </c>
      <c r="AU897" s="129"/>
      <c r="AV897" s="225" t="s">
        <v>3024</v>
      </c>
      <c r="AW897" s="416"/>
      <c r="AX897" s="416"/>
      <c r="AY897" s="361"/>
      <c r="AZ897" s="214"/>
      <c r="BA897" s="214"/>
      <c r="BB897" s="227"/>
      <c r="BC897" s="412"/>
      <c r="BD897" s="132"/>
      <c r="BE897" s="215"/>
      <c r="BF897" s="48"/>
      <c r="BG897" s="49"/>
      <c r="BH897" s="224">
        <f t="shared" si="901"/>
        <v>0</v>
      </c>
      <c r="BI897" s="224">
        <f t="shared" si="902"/>
        <v>0</v>
      </c>
      <c r="BJ897" s="224">
        <f t="shared" si="903"/>
        <v>0</v>
      </c>
      <c r="BK897" s="224">
        <f t="shared" si="904"/>
        <v>0</v>
      </c>
      <c r="BL897" s="49"/>
      <c r="BM897" s="49"/>
      <c r="BN897" s="49"/>
      <c r="BO897" s="49"/>
      <c r="BP897" s="49"/>
      <c r="BQ897" s="49"/>
      <c r="BR897" s="49"/>
      <c r="BS897" s="49"/>
      <c r="BT897" s="49"/>
      <c r="BU897" s="49"/>
      <c r="BV897" s="49"/>
      <c r="BW897" s="49"/>
      <c r="BX897" s="49"/>
      <c r="BY897" s="49"/>
      <c r="BZ897" s="49"/>
      <c r="CA897" s="49"/>
      <c r="CB897" s="49"/>
      <c r="CC897" s="49"/>
      <c r="CD897" s="49"/>
      <c r="CE897" s="49"/>
      <c r="CF897" s="49"/>
    </row>
    <row r="898" ht="14.25" customHeight="1">
      <c r="A898" s="103" t="s">
        <v>84</v>
      </c>
      <c r="B898" s="103" t="s">
        <v>3073</v>
      </c>
      <c r="C898" s="103" t="s">
        <v>120</v>
      </c>
      <c r="D898" s="103" t="s">
        <v>1886</v>
      </c>
      <c r="E898" s="109" t="s">
        <v>3074</v>
      </c>
      <c r="F898" s="105" t="s">
        <v>3185</v>
      </c>
      <c r="G898" s="110" t="s">
        <v>3075</v>
      </c>
      <c r="H898" s="110" t="s">
        <v>3076</v>
      </c>
      <c r="I898" s="107"/>
      <c r="J898" s="108" t="s">
        <v>3186</v>
      </c>
      <c r="K898" s="108" t="str">
        <f>_xlfn.XLOOKUP(J898,[1]Sheet1!$A:$A,[1]Sheet1!$B:$B,"")</f>
        <v>#ERROR!</v>
      </c>
      <c r="L898" s="109" t="s">
        <v>3187</v>
      </c>
      <c r="M898" s="104" t="s">
        <v>3188</v>
      </c>
      <c r="N898" s="110"/>
      <c r="O898" s="109" t="s">
        <v>147</v>
      </c>
      <c r="P898" s="106"/>
      <c r="Q898" s="105" t="s">
        <v>3081</v>
      </c>
      <c r="R898" s="106"/>
      <c r="S898" s="106"/>
      <c r="T898" s="110"/>
      <c r="U898" s="106">
        <v>9.403208E9</v>
      </c>
      <c r="V898" s="112">
        <v>0.0</v>
      </c>
      <c r="W898" s="106">
        <v>45.0</v>
      </c>
      <c r="X898" s="106">
        <v>45.0</v>
      </c>
      <c r="Y898" s="106"/>
      <c r="Z898" s="106" t="s">
        <v>99</v>
      </c>
      <c r="AA898" s="114">
        <f t="shared" si="891"/>
        <v>290.1946647</v>
      </c>
      <c r="AB898" s="115"/>
      <c r="AC898" s="212">
        <f t="shared" si="892"/>
        <v>253.6231884</v>
      </c>
      <c r="AD898" s="213">
        <f t="shared" si="799"/>
        <v>272.7131058</v>
      </c>
      <c r="AE898" s="212"/>
      <c r="AF898" s="212" t="str">
        <f t="shared" si="94"/>
        <v>#REF!</v>
      </c>
      <c r="AG898" s="210" t="str">
        <f t="shared" si="95"/>
        <v>#REF!</v>
      </c>
      <c r="AH898" s="120" t="str">
        <f t="shared" si="96"/>
        <v>#REF!</v>
      </c>
      <c r="AI898" s="121">
        <f t="shared" si="893"/>
        <v>0.05</v>
      </c>
      <c r="AJ898" s="121">
        <v>0.05</v>
      </c>
      <c r="AK898" s="418">
        <v>0.25</v>
      </c>
      <c r="AL898" s="123">
        <f t="shared" si="11"/>
        <v>63.4057971</v>
      </c>
      <c r="AM898" s="401" t="s">
        <v>10</v>
      </c>
      <c r="AN898" s="125">
        <f t="shared" si="894"/>
        <v>253.6231884</v>
      </c>
      <c r="AO898" s="402">
        <f t="shared" si="895"/>
        <v>0.25</v>
      </c>
      <c r="AP898" s="127"/>
      <c r="AQ898" s="128">
        <f t="shared" si="896"/>
        <v>211.8421053</v>
      </c>
      <c r="AR898" s="404">
        <f t="shared" si="897"/>
        <v>200.228833</v>
      </c>
      <c r="AS898" s="405">
        <f t="shared" si="898"/>
        <v>0.27</v>
      </c>
      <c r="AT898" s="405">
        <f t="shared" si="899"/>
        <v>0.2105263158</v>
      </c>
      <c r="AU898" s="129"/>
      <c r="AV898" s="225" t="s">
        <v>3024</v>
      </c>
      <c r="AW898" s="416"/>
      <c r="AX898" s="416"/>
      <c r="AY898" s="361"/>
      <c r="AZ898" s="214"/>
      <c r="BA898" s="214"/>
      <c r="BB898" s="227"/>
      <c r="BC898" s="412">
        <v>175.0</v>
      </c>
      <c r="BD898" s="132">
        <f t="shared" ref="BD898:BD1096" si="905">BC898/$F$6*1.25+BC898*V898</f>
        <v>190.2173913</v>
      </c>
      <c r="BE898" s="215"/>
      <c r="BF898" s="48"/>
      <c r="BG898" s="49"/>
      <c r="BH898" s="224">
        <f t="shared" si="901"/>
        <v>845.410628</v>
      </c>
      <c r="BI898" s="224">
        <f t="shared" si="902"/>
        <v>507.2463768</v>
      </c>
      <c r="BJ898" s="224">
        <f t="shared" si="903"/>
        <v>422.705314</v>
      </c>
      <c r="BK898" s="224">
        <f t="shared" si="904"/>
        <v>338.1642512</v>
      </c>
      <c r="BL898" s="49"/>
      <c r="BM898" s="49"/>
      <c r="BN898" s="49"/>
      <c r="BO898" s="49"/>
      <c r="BP898" s="49"/>
      <c r="BQ898" s="49"/>
      <c r="BR898" s="49"/>
      <c r="BS898" s="49"/>
      <c r="BT898" s="49"/>
      <c r="BU898" s="49"/>
      <c r="BV898" s="49"/>
      <c r="BW898" s="49"/>
      <c r="BX898" s="49"/>
      <c r="BY898" s="49"/>
      <c r="BZ898" s="49"/>
      <c r="CA898" s="49"/>
      <c r="CB898" s="49"/>
      <c r="CC898" s="49"/>
      <c r="CD898" s="49"/>
      <c r="CE898" s="49"/>
      <c r="CF898" s="49"/>
    </row>
    <row r="899" ht="14.25" customHeight="1">
      <c r="A899" s="103" t="s">
        <v>84</v>
      </c>
      <c r="B899" s="103" t="s">
        <v>3073</v>
      </c>
      <c r="C899" s="103" t="s">
        <v>120</v>
      </c>
      <c r="D899" s="103" t="s">
        <v>1886</v>
      </c>
      <c r="E899" s="109" t="s">
        <v>3074</v>
      </c>
      <c r="F899" s="105" t="s">
        <v>3185</v>
      </c>
      <c r="G899" s="110" t="s">
        <v>3082</v>
      </c>
      <c r="H899" s="110" t="s">
        <v>3076</v>
      </c>
      <c r="I899" s="107"/>
      <c r="J899" s="108" t="s">
        <v>3189</v>
      </c>
      <c r="K899" s="108" t="str">
        <f>_xlfn.XLOOKUP(J899,[1]Sheet1!$A:$A,[1]Sheet1!$B:$B,"")</f>
        <v>#ERROR!</v>
      </c>
      <c r="L899" s="109" t="s">
        <v>3190</v>
      </c>
      <c r="M899" s="104" t="s">
        <v>3191</v>
      </c>
      <c r="N899" s="110"/>
      <c r="O899" s="109" t="s">
        <v>147</v>
      </c>
      <c r="P899" s="106"/>
      <c r="Q899" s="105" t="s">
        <v>3081</v>
      </c>
      <c r="R899" s="106"/>
      <c r="S899" s="106"/>
      <c r="T899" s="110"/>
      <c r="U899" s="106">
        <v>9.403208E9</v>
      </c>
      <c r="V899" s="112">
        <v>0.0</v>
      </c>
      <c r="W899" s="106">
        <v>45.0</v>
      </c>
      <c r="X899" s="106">
        <v>45.0</v>
      </c>
      <c r="Y899" s="106"/>
      <c r="Z899" s="106" t="s">
        <v>99</v>
      </c>
      <c r="AA899" s="114">
        <f t="shared" si="891"/>
        <v>298.4859409</v>
      </c>
      <c r="AB899" s="115"/>
      <c r="AC899" s="212">
        <f t="shared" si="892"/>
        <v>260.8695652</v>
      </c>
      <c r="AD899" s="213">
        <f t="shared" si="799"/>
        <v>280.5049088</v>
      </c>
      <c r="AE899" s="212"/>
      <c r="AF899" s="212" t="str">
        <f t="shared" si="94"/>
        <v>#REF!</v>
      </c>
      <c r="AG899" s="210" t="str">
        <f t="shared" si="95"/>
        <v>#REF!</v>
      </c>
      <c r="AH899" s="120" t="str">
        <f t="shared" si="96"/>
        <v>#REF!</v>
      </c>
      <c r="AI899" s="121">
        <f t="shared" si="893"/>
        <v>0.05</v>
      </c>
      <c r="AJ899" s="121">
        <v>0.05</v>
      </c>
      <c r="AK899" s="418">
        <v>0.25</v>
      </c>
      <c r="AL899" s="123">
        <f t="shared" si="11"/>
        <v>65.2173913</v>
      </c>
      <c r="AM899" s="401" t="s">
        <v>10</v>
      </c>
      <c r="AN899" s="125">
        <f t="shared" si="894"/>
        <v>260.8695652</v>
      </c>
      <c r="AO899" s="402">
        <f t="shared" si="895"/>
        <v>0.25</v>
      </c>
      <c r="AP899" s="127"/>
      <c r="AQ899" s="128">
        <f t="shared" si="896"/>
        <v>217.8947368</v>
      </c>
      <c r="AR899" s="404">
        <f t="shared" si="897"/>
        <v>205.9496568</v>
      </c>
      <c r="AS899" s="405">
        <f t="shared" si="898"/>
        <v>0.27</v>
      </c>
      <c r="AT899" s="405">
        <f t="shared" si="899"/>
        <v>0.2105263158</v>
      </c>
      <c r="AU899" s="129"/>
      <c r="AV899" s="225" t="s">
        <v>3024</v>
      </c>
      <c r="AW899" s="416"/>
      <c r="AX899" s="416"/>
      <c r="AY899" s="361"/>
      <c r="AZ899" s="214"/>
      <c r="BA899" s="214"/>
      <c r="BB899" s="227"/>
      <c r="BC899" s="412">
        <v>180.0</v>
      </c>
      <c r="BD899" s="132">
        <f t="shared" si="905"/>
        <v>195.6521739</v>
      </c>
      <c r="BE899" s="215"/>
      <c r="BF899" s="48"/>
      <c r="BG899" s="49"/>
      <c r="BH899" s="224">
        <f t="shared" si="901"/>
        <v>869.5652174</v>
      </c>
      <c r="BI899" s="224">
        <f t="shared" si="902"/>
        <v>521.7391304</v>
      </c>
      <c r="BJ899" s="224">
        <f t="shared" si="903"/>
        <v>434.7826087</v>
      </c>
      <c r="BK899" s="224">
        <f t="shared" si="904"/>
        <v>347.826087</v>
      </c>
      <c r="BL899" s="49"/>
      <c r="BM899" s="49"/>
      <c r="BN899" s="49"/>
      <c r="BO899" s="49"/>
      <c r="BP899" s="49"/>
      <c r="BQ899" s="49"/>
      <c r="BR899" s="49"/>
      <c r="BS899" s="49"/>
      <c r="BT899" s="49"/>
      <c r="BU899" s="49"/>
      <c r="BV899" s="49"/>
      <c r="BW899" s="49"/>
      <c r="BX899" s="49"/>
      <c r="BY899" s="49"/>
      <c r="BZ899" s="49"/>
      <c r="CA899" s="49"/>
      <c r="CB899" s="49"/>
      <c r="CC899" s="49"/>
      <c r="CD899" s="49"/>
      <c r="CE899" s="49"/>
      <c r="CF899" s="49"/>
    </row>
    <row r="900" ht="14.25" customHeight="1">
      <c r="A900" s="103" t="s">
        <v>84</v>
      </c>
      <c r="B900" s="103" t="s">
        <v>3073</v>
      </c>
      <c r="C900" s="103" t="s">
        <v>120</v>
      </c>
      <c r="D900" s="103" t="s">
        <v>1886</v>
      </c>
      <c r="E900" s="109" t="s">
        <v>3074</v>
      </c>
      <c r="F900" s="105" t="s">
        <v>3185</v>
      </c>
      <c r="G900" s="110" t="s">
        <v>3086</v>
      </c>
      <c r="H900" s="110" t="s">
        <v>3076</v>
      </c>
      <c r="I900" s="107"/>
      <c r="J900" s="108" t="s">
        <v>3192</v>
      </c>
      <c r="K900" s="108" t="str">
        <f>_xlfn.XLOOKUP(J900,[1]Sheet1!$A:$A,[1]Sheet1!$B:$B,"")</f>
        <v>#ERROR!</v>
      </c>
      <c r="L900" s="109" t="s">
        <v>3193</v>
      </c>
      <c r="M900" s="104" t="s">
        <v>3194</v>
      </c>
      <c r="N900" s="110"/>
      <c r="O900" s="109" t="s">
        <v>147</v>
      </c>
      <c r="P900" s="106"/>
      <c r="Q900" s="105" t="s">
        <v>3081</v>
      </c>
      <c r="R900" s="106"/>
      <c r="S900" s="106"/>
      <c r="T900" s="110"/>
      <c r="U900" s="106">
        <v>9.403208E9</v>
      </c>
      <c r="V900" s="112">
        <v>0.0</v>
      </c>
      <c r="W900" s="106">
        <v>45.0</v>
      </c>
      <c r="X900" s="106">
        <v>45.0</v>
      </c>
      <c r="Y900" s="106"/>
      <c r="Z900" s="106" t="s">
        <v>99</v>
      </c>
      <c r="AA900" s="114">
        <f t="shared" si="891"/>
        <v>315.0684932</v>
      </c>
      <c r="AB900" s="115"/>
      <c r="AC900" s="212">
        <f t="shared" si="892"/>
        <v>275.3623188</v>
      </c>
      <c r="AD900" s="213">
        <f t="shared" si="799"/>
        <v>296.0885149</v>
      </c>
      <c r="AE900" s="212"/>
      <c r="AF900" s="212" t="str">
        <f t="shared" si="94"/>
        <v>#REF!</v>
      </c>
      <c r="AG900" s="210" t="str">
        <f t="shared" si="95"/>
        <v>#REF!</v>
      </c>
      <c r="AH900" s="120" t="str">
        <f t="shared" si="96"/>
        <v>#REF!</v>
      </c>
      <c r="AI900" s="121">
        <f t="shared" si="893"/>
        <v>0.05</v>
      </c>
      <c r="AJ900" s="121">
        <v>0.05</v>
      </c>
      <c r="AK900" s="418">
        <v>0.25</v>
      </c>
      <c r="AL900" s="123">
        <f t="shared" si="11"/>
        <v>68.84057971</v>
      </c>
      <c r="AM900" s="401" t="s">
        <v>10</v>
      </c>
      <c r="AN900" s="125">
        <f t="shared" si="894"/>
        <v>275.3623188</v>
      </c>
      <c r="AO900" s="402">
        <f t="shared" si="895"/>
        <v>0.25</v>
      </c>
      <c r="AP900" s="127"/>
      <c r="AQ900" s="128">
        <f t="shared" si="896"/>
        <v>230</v>
      </c>
      <c r="AR900" s="404">
        <f t="shared" si="897"/>
        <v>217.3913043</v>
      </c>
      <c r="AS900" s="405">
        <f t="shared" si="898"/>
        <v>0.27</v>
      </c>
      <c r="AT900" s="405">
        <f t="shared" si="899"/>
        <v>0.2105263158</v>
      </c>
      <c r="AU900" s="129"/>
      <c r="AV900" s="225" t="s">
        <v>3024</v>
      </c>
      <c r="AW900" s="416"/>
      <c r="AX900" s="416"/>
      <c r="AY900" s="361"/>
      <c r="AZ900" s="214"/>
      <c r="BA900" s="214"/>
      <c r="BB900" s="227"/>
      <c r="BC900" s="412">
        <v>190.0</v>
      </c>
      <c r="BD900" s="132">
        <f t="shared" si="905"/>
        <v>206.5217391</v>
      </c>
      <c r="BE900" s="215"/>
      <c r="BF900" s="48"/>
      <c r="BG900" s="49"/>
      <c r="BH900" s="224">
        <f t="shared" si="901"/>
        <v>917.8743961</v>
      </c>
      <c r="BI900" s="224">
        <f t="shared" si="902"/>
        <v>550.7246377</v>
      </c>
      <c r="BJ900" s="224">
        <f t="shared" si="903"/>
        <v>458.9371981</v>
      </c>
      <c r="BK900" s="224">
        <f t="shared" si="904"/>
        <v>367.1497585</v>
      </c>
      <c r="BL900" s="49"/>
      <c r="BM900" s="49"/>
      <c r="BN900" s="49"/>
      <c r="BO900" s="49"/>
      <c r="BP900" s="49"/>
      <c r="BQ900" s="49"/>
      <c r="BR900" s="49"/>
      <c r="BS900" s="49"/>
      <c r="BT900" s="49"/>
      <c r="BU900" s="49"/>
      <c r="BV900" s="49"/>
      <c r="BW900" s="49"/>
      <c r="BX900" s="49"/>
      <c r="BY900" s="49"/>
      <c r="BZ900" s="49"/>
      <c r="CA900" s="49"/>
      <c r="CB900" s="49"/>
      <c r="CC900" s="49"/>
      <c r="CD900" s="49"/>
      <c r="CE900" s="49"/>
      <c r="CF900" s="49"/>
    </row>
    <row r="901" ht="14.25" customHeight="1">
      <c r="A901" s="103" t="s">
        <v>84</v>
      </c>
      <c r="B901" s="103" t="s">
        <v>3073</v>
      </c>
      <c r="C901" s="103" t="s">
        <v>120</v>
      </c>
      <c r="D901" s="103" t="s">
        <v>1886</v>
      </c>
      <c r="E901" s="109" t="s">
        <v>3074</v>
      </c>
      <c r="F901" s="105" t="s">
        <v>3185</v>
      </c>
      <c r="G901" s="110" t="s">
        <v>3090</v>
      </c>
      <c r="H901" s="110" t="s">
        <v>3076</v>
      </c>
      <c r="I901" s="107"/>
      <c r="J901" s="108" t="s">
        <v>3195</v>
      </c>
      <c r="K901" s="108" t="str">
        <f>_xlfn.XLOOKUP(J901,[1]Sheet1!$A:$A,[1]Sheet1!$B:$B,"")</f>
        <v>#ERROR!</v>
      </c>
      <c r="L901" s="109" t="s">
        <v>3196</v>
      </c>
      <c r="M901" s="104" t="s">
        <v>3197</v>
      </c>
      <c r="N901" s="110"/>
      <c r="O901" s="109" t="s">
        <v>147</v>
      </c>
      <c r="P901" s="106"/>
      <c r="Q901" s="105" t="s">
        <v>3081</v>
      </c>
      <c r="R901" s="106"/>
      <c r="S901" s="106"/>
      <c r="T901" s="110"/>
      <c r="U901" s="106">
        <v>9.403208E9</v>
      </c>
      <c r="V901" s="112">
        <v>0.0</v>
      </c>
      <c r="W901" s="106">
        <v>45.0</v>
      </c>
      <c r="X901" s="106">
        <v>45.0</v>
      </c>
      <c r="Y901" s="106"/>
      <c r="Z901" s="106" t="s">
        <v>99</v>
      </c>
      <c r="AA901" s="114">
        <f t="shared" si="891"/>
        <v>348.2335977</v>
      </c>
      <c r="AB901" s="115"/>
      <c r="AC901" s="212">
        <f t="shared" si="892"/>
        <v>304.3478261</v>
      </c>
      <c r="AD901" s="213">
        <f t="shared" si="799"/>
        <v>327.255727</v>
      </c>
      <c r="AE901" s="212"/>
      <c r="AF901" s="212" t="str">
        <f t="shared" si="94"/>
        <v>#REF!</v>
      </c>
      <c r="AG901" s="210" t="str">
        <f t="shared" si="95"/>
        <v>#REF!</v>
      </c>
      <c r="AH901" s="120" t="str">
        <f t="shared" si="96"/>
        <v>#REF!</v>
      </c>
      <c r="AI901" s="121">
        <f t="shared" si="893"/>
        <v>0.05</v>
      </c>
      <c r="AJ901" s="121">
        <v>0.05</v>
      </c>
      <c r="AK901" s="418">
        <v>0.25</v>
      </c>
      <c r="AL901" s="123">
        <f t="shared" si="11"/>
        <v>76.08695652</v>
      </c>
      <c r="AM901" s="401" t="s">
        <v>10</v>
      </c>
      <c r="AN901" s="125">
        <f t="shared" si="894"/>
        <v>304.3478261</v>
      </c>
      <c r="AO901" s="402">
        <f t="shared" si="895"/>
        <v>0.25</v>
      </c>
      <c r="AP901" s="127"/>
      <c r="AQ901" s="128">
        <f t="shared" si="896"/>
        <v>254.2105263</v>
      </c>
      <c r="AR901" s="404">
        <f t="shared" si="897"/>
        <v>240.2745995</v>
      </c>
      <c r="AS901" s="405">
        <f t="shared" si="898"/>
        <v>0.27</v>
      </c>
      <c r="AT901" s="405">
        <f t="shared" si="899"/>
        <v>0.2105263158</v>
      </c>
      <c r="AU901" s="129"/>
      <c r="AV901" s="225" t="s">
        <v>3024</v>
      </c>
      <c r="AW901" s="416"/>
      <c r="AX901" s="416"/>
      <c r="AY901" s="361"/>
      <c r="AZ901" s="214"/>
      <c r="BA901" s="214"/>
      <c r="BB901" s="227"/>
      <c r="BC901" s="412">
        <v>210.0</v>
      </c>
      <c r="BD901" s="132">
        <f t="shared" si="905"/>
        <v>228.2608696</v>
      </c>
      <c r="BE901" s="215"/>
      <c r="BF901" s="48"/>
      <c r="BG901" s="49"/>
      <c r="BH901" s="224">
        <f t="shared" si="901"/>
        <v>1014.492754</v>
      </c>
      <c r="BI901" s="224">
        <f t="shared" si="902"/>
        <v>608.6956522</v>
      </c>
      <c r="BJ901" s="224">
        <f t="shared" si="903"/>
        <v>507.2463768</v>
      </c>
      <c r="BK901" s="224">
        <f t="shared" si="904"/>
        <v>405.7971014</v>
      </c>
      <c r="BL901" s="49"/>
      <c r="BM901" s="49"/>
      <c r="BN901" s="49"/>
      <c r="BO901" s="49"/>
      <c r="BP901" s="49"/>
      <c r="BQ901" s="49"/>
      <c r="BR901" s="49"/>
      <c r="BS901" s="49"/>
      <c r="BT901" s="49"/>
      <c r="BU901" s="49"/>
      <c r="BV901" s="49"/>
      <c r="BW901" s="49"/>
      <c r="BX901" s="49"/>
      <c r="BY901" s="49"/>
      <c r="BZ901" s="49"/>
      <c r="CA901" s="49"/>
      <c r="CB901" s="49"/>
      <c r="CC901" s="49"/>
      <c r="CD901" s="49"/>
      <c r="CE901" s="49"/>
      <c r="CF901" s="49"/>
    </row>
    <row r="902" ht="14.25" customHeight="1">
      <c r="A902" s="103" t="s">
        <v>84</v>
      </c>
      <c r="B902" s="103" t="s">
        <v>3073</v>
      </c>
      <c r="C902" s="103" t="s">
        <v>120</v>
      </c>
      <c r="D902" s="103" t="s">
        <v>1886</v>
      </c>
      <c r="E902" s="109" t="s">
        <v>3074</v>
      </c>
      <c r="F902" s="105" t="s">
        <v>3185</v>
      </c>
      <c r="G902" s="110" t="s">
        <v>3094</v>
      </c>
      <c r="H902" s="110" t="s">
        <v>3076</v>
      </c>
      <c r="I902" s="107"/>
      <c r="J902" s="108" t="s">
        <v>3198</v>
      </c>
      <c r="K902" s="108" t="str">
        <f>_xlfn.XLOOKUP(J902,[1]Sheet1!$A:$A,[1]Sheet1!$B:$B,"")</f>
        <v>#ERROR!</v>
      </c>
      <c r="L902" s="109" t="s">
        <v>3199</v>
      </c>
      <c r="M902" s="104" t="s">
        <v>3200</v>
      </c>
      <c r="N902" s="110"/>
      <c r="O902" s="109" t="s">
        <v>147</v>
      </c>
      <c r="P902" s="106"/>
      <c r="Q902" s="105" t="s">
        <v>3081</v>
      </c>
      <c r="R902" s="106"/>
      <c r="S902" s="106"/>
      <c r="T902" s="110"/>
      <c r="U902" s="106">
        <v>9.403208E9</v>
      </c>
      <c r="V902" s="112">
        <v>0.0</v>
      </c>
      <c r="W902" s="106">
        <v>45.0</v>
      </c>
      <c r="X902" s="106">
        <v>45.0</v>
      </c>
      <c r="Y902" s="106"/>
      <c r="Z902" s="106" t="s">
        <v>99</v>
      </c>
      <c r="AA902" s="114">
        <f t="shared" si="891"/>
        <v>406.2725306</v>
      </c>
      <c r="AB902" s="115"/>
      <c r="AC902" s="212">
        <f t="shared" si="892"/>
        <v>355.0724638</v>
      </c>
      <c r="AD902" s="213">
        <f t="shared" si="799"/>
        <v>381.7983481</v>
      </c>
      <c r="AE902" s="212"/>
      <c r="AF902" s="212" t="str">
        <f t="shared" si="94"/>
        <v>#REF!</v>
      </c>
      <c r="AG902" s="210" t="str">
        <f t="shared" si="95"/>
        <v>#REF!</v>
      </c>
      <c r="AH902" s="120" t="str">
        <f t="shared" si="96"/>
        <v>#REF!</v>
      </c>
      <c r="AI902" s="121">
        <f t="shared" si="893"/>
        <v>0.05</v>
      </c>
      <c r="AJ902" s="121">
        <v>0.05</v>
      </c>
      <c r="AK902" s="418">
        <v>0.25</v>
      </c>
      <c r="AL902" s="123">
        <f t="shared" si="11"/>
        <v>88.76811594</v>
      </c>
      <c r="AM902" s="401" t="s">
        <v>10</v>
      </c>
      <c r="AN902" s="125">
        <f t="shared" si="894"/>
        <v>355.0724638</v>
      </c>
      <c r="AO902" s="402">
        <f t="shared" si="895"/>
        <v>0.25</v>
      </c>
      <c r="AP902" s="127"/>
      <c r="AQ902" s="128">
        <f t="shared" si="896"/>
        <v>296.5789474</v>
      </c>
      <c r="AR902" s="404">
        <f t="shared" si="897"/>
        <v>280.3203661</v>
      </c>
      <c r="AS902" s="405">
        <f t="shared" si="898"/>
        <v>0.27</v>
      </c>
      <c r="AT902" s="405">
        <f t="shared" si="899"/>
        <v>0.2105263158</v>
      </c>
      <c r="AU902" s="129"/>
      <c r="AV902" s="225" t="s">
        <v>3024</v>
      </c>
      <c r="AW902" s="416"/>
      <c r="AX902" s="416"/>
      <c r="AY902" s="361"/>
      <c r="AZ902" s="214"/>
      <c r="BA902" s="214"/>
      <c r="BB902" s="227"/>
      <c r="BC902" s="412">
        <v>245.0</v>
      </c>
      <c r="BD902" s="132">
        <f t="shared" si="905"/>
        <v>266.3043478</v>
      </c>
      <c r="BE902" s="215"/>
      <c r="BF902" s="48"/>
      <c r="BG902" s="49"/>
      <c r="BH902" s="224">
        <f t="shared" si="901"/>
        <v>1183.574879</v>
      </c>
      <c r="BI902" s="224">
        <f t="shared" si="902"/>
        <v>710.1449275</v>
      </c>
      <c r="BJ902" s="224">
        <f t="shared" si="903"/>
        <v>591.7874396</v>
      </c>
      <c r="BK902" s="224">
        <f t="shared" si="904"/>
        <v>473.4299517</v>
      </c>
      <c r="BL902" s="49"/>
      <c r="BM902" s="49"/>
      <c r="BN902" s="49"/>
      <c r="BO902" s="49"/>
      <c r="BP902" s="49"/>
      <c r="BQ902" s="49"/>
      <c r="BR902" s="49"/>
      <c r="BS902" s="49"/>
      <c r="BT902" s="49"/>
      <c r="BU902" s="49"/>
      <c r="BV902" s="49"/>
      <c r="BW902" s="49"/>
      <c r="BX902" s="49"/>
      <c r="BY902" s="49"/>
      <c r="BZ902" s="49"/>
      <c r="CA902" s="49"/>
      <c r="CB902" s="49"/>
      <c r="CC902" s="49"/>
      <c r="CD902" s="49"/>
      <c r="CE902" s="49"/>
      <c r="CF902" s="49"/>
    </row>
    <row r="903" ht="14.25" customHeight="1">
      <c r="A903" s="103" t="s">
        <v>84</v>
      </c>
      <c r="B903" s="103" t="s">
        <v>3073</v>
      </c>
      <c r="C903" s="103" t="s">
        <v>120</v>
      </c>
      <c r="D903" s="103" t="s">
        <v>1886</v>
      </c>
      <c r="E903" s="109" t="s">
        <v>3074</v>
      </c>
      <c r="F903" s="105" t="s">
        <v>3185</v>
      </c>
      <c r="G903" s="110" t="s">
        <v>3075</v>
      </c>
      <c r="H903" s="110" t="s">
        <v>3101</v>
      </c>
      <c r="I903" s="107"/>
      <c r="J903" s="108" t="s">
        <v>3201</v>
      </c>
      <c r="K903" s="108" t="str">
        <f>_xlfn.XLOOKUP(J903,[1]Sheet1!$A:$A,[1]Sheet1!$B:$B,"")</f>
        <v>#ERROR!</v>
      </c>
      <c r="L903" s="109" t="s">
        <v>3202</v>
      </c>
      <c r="M903" s="104" t="s">
        <v>3203</v>
      </c>
      <c r="N903" s="110"/>
      <c r="O903" s="109" t="s">
        <v>147</v>
      </c>
      <c r="P903" s="106"/>
      <c r="Q903" s="105" t="s">
        <v>3081</v>
      </c>
      <c r="R903" s="106"/>
      <c r="S903" s="106"/>
      <c r="T903" s="110"/>
      <c r="U903" s="106">
        <v>9.403208E9</v>
      </c>
      <c r="V903" s="112">
        <v>0.0</v>
      </c>
      <c r="W903" s="106">
        <v>45.0</v>
      </c>
      <c r="X903" s="106">
        <v>45.0</v>
      </c>
      <c r="Y903" s="106"/>
      <c r="Z903" s="106" t="s">
        <v>99</v>
      </c>
      <c r="AA903" s="114">
        <f t="shared" si="891"/>
        <v>315.0684932</v>
      </c>
      <c r="AB903" s="115"/>
      <c r="AC903" s="212">
        <f t="shared" si="892"/>
        <v>275.3623188</v>
      </c>
      <c r="AD903" s="213">
        <f t="shared" si="799"/>
        <v>296.0885149</v>
      </c>
      <c r="AE903" s="212"/>
      <c r="AF903" s="212" t="str">
        <f t="shared" si="94"/>
        <v>#REF!</v>
      </c>
      <c r="AG903" s="210" t="str">
        <f t="shared" si="95"/>
        <v>#REF!</v>
      </c>
      <c r="AH903" s="120" t="str">
        <f t="shared" si="96"/>
        <v>#REF!</v>
      </c>
      <c r="AI903" s="121">
        <f t="shared" si="893"/>
        <v>0.05</v>
      </c>
      <c r="AJ903" s="121">
        <v>0.05</v>
      </c>
      <c r="AK903" s="418">
        <v>0.25</v>
      </c>
      <c r="AL903" s="123">
        <f t="shared" si="11"/>
        <v>68.84057971</v>
      </c>
      <c r="AM903" s="401" t="s">
        <v>10</v>
      </c>
      <c r="AN903" s="125">
        <f t="shared" si="894"/>
        <v>275.3623188</v>
      </c>
      <c r="AO903" s="402">
        <f t="shared" si="895"/>
        <v>0.25</v>
      </c>
      <c r="AP903" s="127"/>
      <c r="AQ903" s="128">
        <f t="shared" si="896"/>
        <v>230</v>
      </c>
      <c r="AR903" s="404">
        <f t="shared" si="897"/>
        <v>217.3913043</v>
      </c>
      <c r="AS903" s="405">
        <f t="shared" si="898"/>
        <v>0.27</v>
      </c>
      <c r="AT903" s="405">
        <f t="shared" si="899"/>
        <v>0.2105263158</v>
      </c>
      <c r="AU903" s="129"/>
      <c r="AV903" s="225" t="s">
        <v>3024</v>
      </c>
      <c r="AW903" s="416"/>
      <c r="AX903" s="416"/>
      <c r="AY903" s="361"/>
      <c r="AZ903" s="214"/>
      <c r="BA903" s="214"/>
      <c r="BB903" s="227"/>
      <c r="BC903" s="412">
        <v>190.0</v>
      </c>
      <c r="BD903" s="132">
        <f t="shared" si="905"/>
        <v>206.5217391</v>
      </c>
      <c r="BE903" s="215"/>
      <c r="BF903" s="48"/>
      <c r="BG903" s="49"/>
      <c r="BH903" s="224">
        <f t="shared" si="901"/>
        <v>917.8743961</v>
      </c>
      <c r="BI903" s="224">
        <f t="shared" si="902"/>
        <v>550.7246377</v>
      </c>
      <c r="BJ903" s="224">
        <f t="shared" si="903"/>
        <v>458.9371981</v>
      </c>
      <c r="BK903" s="224">
        <f t="shared" si="904"/>
        <v>367.1497585</v>
      </c>
      <c r="BL903" s="49"/>
      <c r="BM903" s="49"/>
      <c r="BN903" s="49"/>
      <c r="BO903" s="49"/>
      <c r="BP903" s="49"/>
      <c r="BQ903" s="49"/>
      <c r="BR903" s="49"/>
      <c r="BS903" s="49"/>
      <c r="BT903" s="49"/>
      <c r="BU903" s="49"/>
      <c r="BV903" s="49"/>
      <c r="BW903" s="49"/>
      <c r="BX903" s="49"/>
      <c r="BY903" s="49"/>
      <c r="BZ903" s="49"/>
      <c r="CA903" s="49"/>
      <c r="CB903" s="49"/>
      <c r="CC903" s="49"/>
      <c r="CD903" s="49"/>
      <c r="CE903" s="49"/>
      <c r="CF903" s="49"/>
    </row>
    <row r="904" ht="14.25" customHeight="1">
      <c r="A904" s="103" t="s">
        <v>84</v>
      </c>
      <c r="B904" s="103" t="s">
        <v>3073</v>
      </c>
      <c r="C904" s="103" t="s">
        <v>120</v>
      </c>
      <c r="D904" s="103" t="s">
        <v>1886</v>
      </c>
      <c r="E904" s="109" t="s">
        <v>3074</v>
      </c>
      <c r="F904" s="105" t="s">
        <v>3185</v>
      </c>
      <c r="G904" s="110" t="s">
        <v>3086</v>
      </c>
      <c r="H904" s="110" t="s">
        <v>3101</v>
      </c>
      <c r="I904" s="107"/>
      <c r="J904" s="108" t="s">
        <v>3204</v>
      </c>
      <c r="K904" s="108" t="str">
        <f>_xlfn.XLOOKUP(J904,[1]Sheet1!$A:$A,[1]Sheet1!$B:$B,"")</f>
        <v>#ERROR!</v>
      </c>
      <c r="L904" s="109" t="s">
        <v>3205</v>
      </c>
      <c r="M904" s="104" t="s">
        <v>3206</v>
      </c>
      <c r="N904" s="110"/>
      <c r="O904" s="109" t="s">
        <v>147</v>
      </c>
      <c r="P904" s="106"/>
      <c r="Q904" s="105" t="s">
        <v>3081</v>
      </c>
      <c r="R904" s="106"/>
      <c r="S904" s="106"/>
      <c r="T904" s="110"/>
      <c r="U904" s="106">
        <v>9.403208E9</v>
      </c>
      <c r="V904" s="112">
        <v>0.0</v>
      </c>
      <c r="W904" s="106">
        <v>45.0</v>
      </c>
      <c r="X904" s="106">
        <v>45.0</v>
      </c>
      <c r="Y904" s="106"/>
      <c r="Z904" s="106" t="s">
        <v>99</v>
      </c>
      <c r="AA904" s="114">
        <f t="shared" si="891"/>
        <v>348.2335977</v>
      </c>
      <c r="AB904" s="115"/>
      <c r="AC904" s="212">
        <f t="shared" si="892"/>
        <v>304.3478261</v>
      </c>
      <c r="AD904" s="213">
        <f t="shared" si="799"/>
        <v>327.255727</v>
      </c>
      <c r="AE904" s="212"/>
      <c r="AF904" s="212" t="str">
        <f t="shared" si="94"/>
        <v>#REF!</v>
      </c>
      <c r="AG904" s="210" t="str">
        <f t="shared" si="95"/>
        <v>#REF!</v>
      </c>
      <c r="AH904" s="120" t="str">
        <f t="shared" si="96"/>
        <v>#REF!</v>
      </c>
      <c r="AI904" s="121">
        <f t="shared" si="893"/>
        <v>0.05</v>
      </c>
      <c r="AJ904" s="121">
        <v>0.05</v>
      </c>
      <c r="AK904" s="418">
        <v>0.25</v>
      </c>
      <c r="AL904" s="123">
        <f t="shared" si="11"/>
        <v>76.08695652</v>
      </c>
      <c r="AM904" s="401" t="s">
        <v>10</v>
      </c>
      <c r="AN904" s="125">
        <f t="shared" si="894"/>
        <v>304.3478261</v>
      </c>
      <c r="AO904" s="402">
        <f t="shared" si="895"/>
        <v>0.25</v>
      </c>
      <c r="AP904" s="127"/>
      <c r="AQ904" s="128">
        <f t="shared" si="896"/>
        <v>254.2105263</v>
      </c>
      <c r="AR904" s="404">
        <f t="shared" si="897"/>
        <v>240.2745995</v>
      </c>
      <c r="AS904" s="405">
        <f t="shared" si="898"/>
        <v>0.27</v>
      </c>
      <c r="AT904" s="405">
        <f t="shared" si="899"/>
        <v>0.2105263158</v>
      </c>
      <c r="AU904" s="129"/>
      <c r="AV904" s="225" t="s">
        <v>3024</v>
      </c>
      <c r="AW904" s="416"/>
      <c r="AX904" s="416"/>
      <c r="AY904" s="361"/>
      <c r="AZ904" s="214"/>
      <c r="BA904" s="214"/>
      <c r="BB904" s="227"/>
      <c r="BC904" s="412">
        <v>210.0</v>
      </c>
      <c r="BD904" s="132">
        <f t="shared" si="905"/>
        <v>228.2608696</v>
      </c>
      <c r="BE904" s="215"/>
      <c r="BF904" s="48"/>
      <c r="BG904" s="49"/>
      <c r="BH904" s="224">
        <f t="shared" si="901"/>
        <v>1014.492754</v>
      </c>
      <c r="BI904" s="224">
        <f t="shared" si="902"/>
        <v>608.6956522</v>
      </c>
      <c r="BJ904" s="224">
        <f t="shared" si="903"/>
        <v>507.2463768</v>
      </c>
      <c r="BK904" s="224">
        <f t="shared" si="904"/>
        <v>405.7971014</v>
      </c>
      <c r="BL904" s="49"/>
      <c r="BM904" s="49"/>
      <c r="BN904" s="49"/>
      <c r="BO904" s="49"/>
      <c r="BP904" s="49"/>
      <c r="BQ904" s="49"/>
      <c r="BR904" s="49"/>
      <c r="BS904" s="49"/>
      <c r="BT904" s="49"/>
      <c r="BU904" s="49"/>
      <c r="BV904" s="49"/>
      <c r="BW904" s="49"/>
      <c r="BX904" s="49"/>
      <c r="BY904" s="49"/>
      <c r="BZ904" s="49"/>
      <c r="CA904" s="49"/>
      <c r="CB904" s="49"/>
      <c r="CC904" s="49"/>
      <c r="CD904" s="49"/>
      <c r="CE904" s="49"/>
      <c r="CF904" s="49"/>
    </row>
    <row r="905" ht="14.25" customHeight="1">
      <c r="A905" s="103" t="s">
        <v>84</v>
      </c>
      <c r="B905" s="103" t="s">
        <v>3073</v>
      </c>
      <c r="C905" s="103" t="s">
        <v>120</v>
      </c>
      <c r="D905" s="103" t="s">
        <v>1886</v>
      </c>
      <c r="E905" s="109" t="s">
        <v>3074</v>
      </c>
      <c r="F905" s="105" t="s">
        <v>3185</v>
      </c>
      <c r="G905" s="110" t="s">
        <v>3094</v>
      </c>
      <c r="H905" s="110" t="s">
        <v>3101</v>
      </c>
      <c r="I905" s="107"/>
      <c r="J905" s="108" t="s">
        <v>3207</v>
      </c>
      <c r="K905" s="108" t="str">
        <f>_xlfn.XLOOKUP(J905,[1]Sheet1!$A:$A,[1]Sheet1!$B:$B,"")</f>
        <v>#ERROR!</v>
      </c>
      <c r="L905" s="109" t="s">
        <v>3208</v>
      </c>
      <c r="M905" s="104" t="s">
        <v>3209</v>
      </c>
      <c r="N905" s="110"/>
      <c r="O905" s="109" t="s">
        <v>147</v>
      </c>
      <c r="P905" s="106"/>
      <c r="Q905" s="105" t="s">
        <v>3081</v>
      </c>
      <c r="R905" s="106"/>
      <c r="S905" s="106"/>
      <c r="T905" s="110"/>
      <c r="U905" s="106">
        <v>9.403208E9</v>
      </c>
      <c r="V905" s="112">
        <v>0.0</v>
      </c>
      <c r="W905" s="106">
        <v>45.0</v>
      </c>
      <c r="X905" s="106">
        <v>45.0</v>
      </c>
      <c r="Y905" s="106"/>
      <c r="Z905" s="106" t="s">
        <v>99</v>
      </c>
      <c r="AA905" s="114">
        <f t="shared" si="891"/>
        <v>439.4376352</v>
      </c>
      <c r="AB905" s="115"/>
      <c r="AC905" s="212">
        <f t="shared" si="892"/>
        <v>384.057971</v>
      </c>
      <c r="AD905" s="213">
        <f t="shared" si="799"/>
        <v>412.9655602</v>
      </c>
      <c r="AE905" s="212"/>
      <c r="AF905" s="212" t="str">
        <f t="shared" si="94"/>
        <v>#REF!</v>
      </c>
      <c r="AG905" s="210" t="str">
        <f t="shared" si="95"/>
        <v>#REF!</v>
      </c>
      <c r="AH905" s="120" t="str">
        <f t="shared" si="96"/>
        <v>#REF!</v>
      </c>
      <c r="AI905" s="121">
        <f t="shared" si="893"/>
        <v>0.05</v>
      </c>
      <c r="AJ905" s="121">
        <v>0.05</v>
      </c>
      <c r="AK905" s="418">
        <v>0.25</v>
      </c>
      <c r="AL905" s="123">
        <f t="shared" si="11"/>
        <v>96.01449275</v>
      </c>
      <c r="AM905" s="401" t="s">
        <v>10</v>
      </c>
      <c r="AN905" s="125">
        <f t="shared" si="894"/>
        <v>384.057971</v>
      </c>
      <c r="AO905" s="402">
        <f t="shared" si="895"/>
        <v>0.25</v>
      </c>
      <c r="AP905" s="127"/>
      <c r="AQ905" s="128">
        <f t="shared" si="896"/>
        <v>320.7894737</v>
      </c>
      <c r="AR905" s="404">
        <f t="shared" si="897"/>
        <v>303.2036613</v>
      </c>
      <c r="AS905" s="405">
        <f t="shared" si="898"/>
        <v>0.27</v>
      </c>
      <c r="AT905" s="405">
        <f t="shared" si="899"/>
        <v>0.2105263158</v>
      </c>
      <c r="AU905" s="129"/>
      <c r="AV905" s="225" t="s">
        <v>3024</v>
      </c>
      <c r="AW905" s="416"/>
      <c r="AX905" s="416"/>
      <c r="AY905" s="361"/>
      <c r="AZ905" s="214"/>
      <c r="BA905" s="214"/>
      <c r="BB905" s="227"/>
      <c r="BC905" s="412">
        <v>265.0</v>
      </c>
      <c r="BD905" s="132">
        <f t="shared" si="905"/>
        <v>288.0434783</v>
      </c>
      <c r="BE905" s="215"/>
      <c r="BF905" s="48"/>
      <c r="BG905" s="49"/>
      <c r="BH905" s="224">
        <f t="shared" si="901"/>
        <v>1280.193237</v>
      </c>
      <c r="BI905" s="224">
        <f t="shared" si="902"/>
        <v>768.115942</v>
      </c>
      <c r="BJ905" s="224">
        <f t="shared" si="903"/>
        <v>640.0966184</v>
      </c>
      <c r="BK905" s="224">
        <f t="shared" si="904"/>
        <v>512.0772947</v>
      </c>
      <c r="BL905" s="49"/>
      <c r="BM905" s="49"/>
      <c r="BN905" s="49"/>
      <c r="BO905" s="49"/>
      <c r="BP905" s="49"/>
      <c r="BQ905" s="49"/>
      <c r="BR905" s="49"/>
      <c r="BS905" s="49"/>
      <c r="BT905" s="49"/>
      <c r="BU905" s="49"/>
      <c r="BV905" s="49"/>
      <c r="BW905" s="49"/>
      <c r="BX905" s="49"/>
      <c r="BY905" s="49"/>
      <c r="BZ905" s="49"/>
      <c r="CA905" s="49"/>
      <c r="CB905" s="49"/>
      <c r="CC905" s="49"/>
      <c r="CD905" s="49"/>
      <c r="CE905" s="49"/>
      <c r="CF905" s="49"/>
    </row>
    <row r="906" ht="14.25" customHeight="1">
      <c r="A906" s="103" t="s">
        <v>84</v>
      </c>
      <c r="B906" s="103" t="s">
        <v>3073</v>
      </c>
      <c r="C906" s="103" t="s">
        <v>120</v>
      </c>
      <c r="D906" s="103" t="s">
        <v>1886</v>
      </c>
      <c r="E906" s="109" t="s">
        <v>3074</v>
      </c>
      <c r="F906" s="105" t="s">
        <v>3185</v>
      </c>
      <c r="G906" s="110" t="s">
        <v>3094</v>
      </c>
      <c r="H906" s="110" t="s">
        <v>3120</v>
      </c>
      <c r="I906" s="107"/>
      <c r="J906" s="108" t="s">
        <v>3210</v>
      </c>
      <c r="K906" s="108" t="str">
        <f>_xlfn.XLOOKUP(J906,[1]Sheet1!$A:$A,[1]Sheet1!$B:$B,"")</f>
        <v>#ERROR!</v>
      </c>
      <c r="L906" s="109" t="s">
        <v>3211</v>
      </c>
      <c r="M906" s="104" t="s">
        <v>3212</v>
      </c>
      <c r="N906" s="110"/>
      <c r="O906" s="109" t="s">
        <v>147</v>
      </c>
      <c r="P906" s="106"/>
      <c r="Q906" s="105" t="s">
        <v>3081</v>
      </c>
      <c r="R906" s="106"/>
      <c r="S906" s="106"/>
      <c r="T906" s="110"/>
      <c r="U906" s="106">
        <v>9.403208E9</v>
      </c>
      <c r="V906" s="112">
        <v>0.0</v>
      </c>
      <c r="W906" s="106">
        <v>45.0</v>
      </c>
      <c r="X906" s="106">
        <v>45.0</v>
      </c>
      <c r="Y906" s="106"/>
      <c r="Z906" s="106" t="s">
        <v>99</v>
      </c>
      <c r="AA906" s="114">
        <f t="shared" si="891"/>
        <v>480.8940159</v>
      </c>
      <c r="AB906" s="115"/>
      <c r="AC906" s="212">
        <f t="shared" si="892"/>
        <v>420.2898551</v>
      </c>
      <c r="AD906" s="213">
        <f t="shared" si="799"/>
        <v>451.9245753</v>
      </c>
      <c r="AE906" s="212"/>
      <c r="AF906" s="212" t="str">
        <f t="shared" si="94"/>
        <v>#REF!</v>
      </c>
      <c r="AG906" s="210" t="str">
        <f t="shared" si="95"/>
        <v>#REF!</v>
      </c>
      <c r="AH906" s="120" t="str">
        <f t="shared" si="96"/>
        <v>#REF!</v>
      </c>
      <c r="AI906" s="121">
        <f t="shared" si="893"/>
        <v>0.05</v>
      </c>
      <c r="AJ906" s="121">
        <v>0.05</v>
      </c>
      <c r="AK906" s="418">
        <v>0.25</v>
      </c>
      <c r="AL906" s="123">
        <f t="shared" si="11"/>
        <v>105.0724638</v>
      </c>
      <c r="AM906" s="401" t="s">
        <v>10</v>
      </c>
      <c r="AN906" s="125">
        <f t="shared" si="894"/>
        <v>420.2898551</v>
      </c>
      <c r="AO906" s="402">
        <f t="shared" si="895"/>
        <v>0.25</v>
      </c>
      <c r="AP906" s="127"/>
      <c r="AQ906" s="128">
        <f t="shared" si="896"/>
        <v>351.0526316</v>
      </c>
      <c r="AR906" s="404">
        <f t="shared" si="897"/>
        <v>331.8077803</v>
      </c>
      <c r="AS906" s="405">
        <f t="shared" si="898"/>
        <v>0.27</v>
      </c>
      <c r="AT906" s="405">
        <f t="shared" si="899"/>
        <v>0.2105263158</v>
      </c>
      <c r="AU906" s="129"/>
      <c r="AV906" s="225" t="s">
        <v>3024</v>
      </c>
      <c r="AW906" s="416"/>
      <c r="AX906" s="416"/>
      <c r="AY906" s="361"/>
      <c r="AZ906" s="214"/>
      <c r="BA906" s="214"/>
      <c r="BB906" s="227"/>
      <c r="BC906" s="412">
        <v>290.0</v>
      </c>
      <c r="BD906" s="132">
        <f t="shared" si="905"/>
        <v>315.2173913</v>
      </c>
      <c r="BE906" s="215"/>
      <c r="BF906" s="48"/>
      <c r="BG906" s="49"/>
      <c r="BH906" s="224">
        <f t="shared" si="901"/>
        <v>1400.966184</v>
      </c>
      <c r="BI906" s="224">
        <f t="shared" si="902"/>
        <v>840.5797101</v>
      </c>
      <c r="BJ906" s="224">
        <f t="shared" si="903"/>
        <v>700.4830918</v>
      </c>
      <c r="BK906" s="224">
        <f t="shared" si="904"/>
        <v>560.3864734</v>
      </c>
      <c r="BL906" s="49"/>
      <c r="BM906" s="49"/>
      <c r="BN906" s="49"/>
      <c r="BO906" s="49"/>
      <c r="BP906" s="49"/>
      <c r="BQ906" s="49"/>
      <c r="BR906" s="49"/>
      <c r="BS906" s="49"/>
      <c r="BT906" s="49"/>
      <c r="BU906" s="49"/>
      <c r="BV906" s="49"/>
      <c r="BW906" s="49"/>
      <c r="BX906" s="49"/>
      <c r="BY906" s="49"/>
      <c r="BZ906" s="49"/>
      <c r="CA906" s="49"/>
      <c r="CB906" s="49"/>
      <c r="CC906" s="49"/>
      <c r="CD906" s="49"/>
      <c r="CE906" s="49"/>
      <c r="CF906" s="49"/>
    </row>
    <row r="907" ht="14.25" customHeight="1">
      <c r="A907" s="317"/>
      <c r="B907" s="317"/>
      <c r="C907" s="317"/>
      <c r="D907" s="317" t="s">
        <v>1886</v>
      </c>
      <c r="E907" s="456" t="s">
        <v>3074</v>
      </c>
      <c r="F907" s="340" t="s">
        <v>3185</v>
      </c>
      <c r="G907" s="318" t="s">
        <v>3094</v>
      </c>
      <c r="H907" s="318" t="s">
        <v>3124</v>
      </c>
      <c r="I907" s="107"/>
      <c r="J907" s="457" t="s">
        <v>3213</v>
      </c>
      <c r="K907" s="457"/>
      <c r="L907" s="456" t="s">
        <v>3214</v>
      </c>
      <c r="M907" s="458" t="s">
        <v>3215</v>
      </c>
      <c r="N907" s="318"/>
      <c r="O907" s="456" t="s">
        <v>147</v>
      </c>
      <c r="P907" s="459"/>
      <c r="Q907" s="340" t="s">
        <v>3081</v>
      </c>
      <c r="R907" s="459"/>
      <c r="S907" s="459"/>
      <c r="T907" s="318"/>
      <c r="U907" s="459">
        <v>9.403208E9</v>
      </c>
      <c r="V907" s="341">
        <v>0.0</v>
      </c>
      <c r="W907" s="459">
        <v>45.0</v>
      </c>
      <c r="X907" s="459">
        <v>45.0</v>
      </c>
      <c r="Y907" s="459"/>
      <c r="Z907" s="459" t="s">
        <v>99</v>
      </c>
      <c r="AA907" s="114">
        <f t="shared" si="891"/>
        <v>547.2242249</v>
      </c>
      <c r="AB907" s="343"/>
      <c r="AC907" s="344">
        <f t="shared" si="892"/>
        <v>478.2608696</v>
      </c>
      <c r="AD907" s="213">
        <f t="shared" si="799"/>
        <v>514.2589995</v>
      </c>
      <c r="AE907" s="344"/>
      <c r="AF907" s="344" t="str">
        <f t="shared" si="94"/>
        <v>#REF!</v>
      </c>
      <c r="AG907" s="345" t="str">
        <f t="shared" si="95"/>
        <v>#REF!</v>
      </c>
      <c r="AH907" s="120" t="str">
        <f t="shared" si="96"/>
        <v>#REF!</v>
      </c>
      <c r="AI907" s="341">
        <f t="shared" si="893"/>
        <v>0.05</v>
      </c>
      <c r="AJ907" s="341">
        <v>0.05</v>
      </c>
      <c r="AK907" s="460">
        <v>0.25</v>
      </c>
      <c r="AL907" s="123">
        <f t="shared" si="11"/>
        <v>119.5652174</v>
      </c>
      <c r="AM907" s="342" t="s">
        <v>10</v>
      </c>
      <c r="AN907" s="461">
        <f t="shared" si="894"/>
        <v>478.2608696</v>
      </c>
      <c r="AO907" s="462">
        <f t="shared" si="895"/>
        <v>0.25</v>
      </c>
      <c r="AP907" s="127"/>
      <c r="AQ907" s="347">
        <f t="shared" si="896"/>
        <v>399.4736842</v>
      </c>
      <c r="AR907" s="463">
        <f t="shared" si="897"/>
        <v>377.5743707</v>
      </c>
      <c r="AS907" s="464">
        <f t="shared" si="898"/>
        <v>0.27</v>
      </c>
      <c r="AT907" s="464">
        <f t="shared" si="899"/>
        <v>0.2105263158</v>
      </c>
      <c r="AU907" s="129"/>
      <c r="AV907" s="465" t="s">
        <v>3024</v>
      </c>
      <c r="AW907" s="466"/>
      <c r="AX907" s="466"/>
      <c r="AY907" s="467"/>
      <c r="AZ907" s="468"/>
      <c r="BA907" s="468"/>
      <c r="BB907" s="469"/>
      <c r="BC907" s="470">
        <v>330.0</v>
      </c>
      <c r="BD907" s="471">
        <f t="shared" si="905"/>
        <v>358.6956522</v>
      </c>
      <c r="BE907" s="472"/>
      <c r="BF907" s="473"/>
      <c r="BG907" s="474"/>
      <c r="BH907" s="344"/>
      <c r="BI907" s="344"/>
      <c r="BJ907" s="344"/>
      <c r="BK907" s="344"/>
      <c r="BL907" s="49"/>
      <c r="BM907" s="474"/>
      <c r="BN907" s="474"/>
      <c r="BO907" s="474"/>
      <c r="BP907" s="474"/>
      <c r="BQ907" s="474"/>
      <c r="BR907" s="474"/>
      <c r="BS907" s="474"/>
      <c r="BT907" s="474"/>
      <c r="BU907" s="474"/>
      <c r="BV907" s="474"/>
      <c r="BW907" s="474"/>
      <c r="BX907" s="474"/>
      <c r="BY907" s="474"/>
      <c r="BZ907" s="474"/>
      <c r="CA907" s="474"/>
      <c r="CB907" s="474"/>
      <c r="CC907" s="474"/>
      <c r="CD907" s="474"/>
      <c r="CE907" s="474"/>
      <c r="CF907" s="474"/>
    </row>
    <row r="908" ht="14.25" customHeight="1">
      <c r="A908" s="317"/>
      <c r="B908" s="317"/>
      <c r="C908" s="317"/>
      <c r="D908" s="317" t="s">
        <v>1886</v>
      </c>
      <c r="E908" s="456" t="s">
        <v>3074</v>
      </c>
      <c r="F908" s="340" t="s">
        <v>3185</v>
      </c>
      <c r="G908" s="318" t="s">
        <v>3082</v>
      </c>
      <c r="H908" s="318" t="s">
        <v>3134</v>
      </c>
      <c r="I908" s="107"/>
      <c r="J908" s="457" t="s">
        <v>3216</v>
      </c>
      <c r="K908" s="457"/>
      <c r="L908" s="456" t="s">
        <v>3217</v>
      </c>
      <c r="M908" s="458" t="s">
        <v>3218</v>
      </c>
      <c r="N908" s="318"/>
      <c r="O908" s="456" t="s">
        <v>147</v>
      </c>
      <c r="P908" s="459"/>
      <c r="Q908" s="340" t="s">
        <v>3081</v>
      </c>
      <c r="R908" s="459"/>
      <c r="S908" s="459"/>
      <c r="T908" s="318"/>
      <c r="U908" s="459">
        <v>9.403208E9</v>
      </c>
      <c r="V908" s="341">
        <v>0.0</v>
      </c>
      <c r="W908" s="459">
        <v>45.0</v>
      </c>
      <c r="X908" s="459">
        <v>45.0</v>
      </c>
      <c r="Y908" s="459"/>
      <c r="Z908" s="459" t="s">
        <v>99</v>
      </c>
      <c r="AA908" s="114">
        <f t="shared" si="891"/>
        <v>439.4376352</v>
      </c>
      <c r="AB908" s="343"/>
      <c r="AC908" s="344">
        <f t="shared" si="892"/>
        <v>384.057971</v>
      </c>
      <c r="AD908" s="213">
        <f t="shared" si="799"/>
        <v>412.9655602</v>
      </c>
      <c r="AE908" s="344"/>
      <c r="AF908" s="344" t="str">
        <f t="shared" si="94"/>
        <v>#REF!</v>
      </c>
      <c r="AG908" s="345" t="str">
        <f t="shared" si="95"/>
        <v>#REF!</v>
      </c>
      <c r="AH908" s="120" t="str">
        <f t="shared" si="96"/>
        <v>#REF!</v>
      </c>
      <c r="AI908" s="341">
        <f t="shared" si="893"/>
        <v>0.05</v>
      </c>
      <c r="AJ908" s="341">
        <v>0.05</v>
      </c>
      <c r="AK908" s="460">
        <v>0.25</v>
      </c>
      <c r="AL908" s="123">
        <f t="shared" si="11"/>
        <v>96.01449275</v>
      </c>
      <c r="AM908" s="342" t="s">
        <v>10</v>
      </c>
      <c r="AN908" s="461">
        <f t="shared" si="894"/>
        <v>384.057971</v>
      </c>
      <c r="AO908" s="462">
        <f t="shared" si="895"/>
        <v>0.25</v>
      </c>
      <c r="AP908" s="127"/>
      <c r="AQ908" s="347">
        <f t="shared" si="896"/>
        <v>320.7894737</v>
      </c>
      <c r="AR908" s="463">
        <f t="shared" si="897"/>
        <v>303.2036613</v>
      </c>
      <c r="AS908" s="464">
        <f t="shared" si="898"/>
        <v>0.27</v>
      </c>
      <c r="AT908" s="464">
        <f t="shared" si="899"/>
        <v>0.2105263158</v>
      </c>
      <c r="AU908" s="129"/>
      <c r="AV908" s="465" t="s">
        <v>3024</v>
      </c>
      <c r="AW908" s="466"/>
      <c r="AX908" s="466"/>
      <c r="AY908" s="467"/>
      <c r="AZ908" s="468"/>
      <c r="BA908" s="468"/>
      <c r="BB908" s="469"/>
      <c r="BC908" s="470">
        <v>265.0</v>
      </c>
      <c r="BD908" s="471">
        <f t="shared" si="905"/>
        <v>288.0434783</v>
      </c>
      <c r="BE908" s="472"/>
      <c r="BF908" s="473"/>
      <c r="BG908" s="474"/>
      <c r="BH908" s="344"/>
      <c r="BI908" s="344"/>
      <c r="BJ908" s="344"/>
      <c r="BK908" s="344"/>
      <c r="BL908" s="49"/>
      <c r="BM908" s="474"/>
      <c r="BN908" s="474"/>
      <c r="BO908" s="474"/>
      <c r="BP908" s="474"/>
      <c r="BQ908" s="474"/>
      <c r="BR908" s="474"/>
      <c r="BS908" s="474"/>
      <c r="BT908" s="474"/>
      <c r="BU908" s="474"/>
      <c r="BV908" s="474"/>
      <c r="BW908" s="474"/>
      <c r="BX908" s="474"/>
      <c r="BY908" s="474"/>
      <c r="BZ908" s="474"/>
      <c r="CA908" s="474"/>
      <c r="CB908" s="474"/>
      <c r="CC908" s="474"/>
      <c r="CD908" s="474"/>
      <c r="CE908" s="474"/>
      <c r="CF908" s="474"/>
    </row>
    <row r="909" ht="14.25" customHeight="1">
      <c r="A909" s="317"/>
      <c r="B909" s="317"/>
      <c r="C909" s="317"/>
      <c r="D909" s="317" t="s">
        <v>1886</v>
      </c>
      <c r="E909" s="456" t="s">
        <v>3074</v>
      </c>
      <c r="F909" s="340" t="s">
        <v>3185</v>
      </c>
      <c r="G909" s="318" t="s">
        <v>3086</v>
      </c>
      <c r="H909" s="318" t="s">
        <v>3134</v>
      </c>
      <c r="I909" s="107"/>
      <c r="J909" s="457" t="s">
        <v>3219</v>
      </c>
      <c r="K909" s="457"/>
      <c r="L909" s="456" t="s">
        <v>3220</v>
      </c>
      <c r="M909" s="458" t="s">
        <v>3221</v>
      </c>
      <c r="N909" s="318"/>
      <c r="O909" s="456" t="s">
        <v>147</v>
      </c>
      <c r="P909" s="459"/>
      <c r="Q909" s="340" t="s">
        <v>3081</v>
      </c>
      <c r="R909" s="459"/>
      <c r="S909" s="459"/>
      <c r="T909" s="318"/>
      <c r="U909" s="459">
        <v>9.403208E9</v>
      </c>
      <c r="V909" s="341">
        <v>0.0</v>
      </c>
      <c r="W909" s="459">
        <v>45.0</v>
      </c>
      <c r="X909" s="459">
        <v>45.0</v>
      </c>
      <c r="Y909" s="459"/>
      <c r="Z909" s="459" t="s">
        <v>99</v>
      </c>
      <c r="AA909" s="114">
        <f t="shared" si="891"/>
        <v>456.0201875</v>
      </c>
      <c r="AB909" s="343"/>
      <c r="AC909" s="344">
        <f t="shared" si="892"/>
        <v>398.5507246</v>
      </c>
      <c r="AD909" s="213">
        <f t="shared" si="799"/>
        <v>428.5491663</v>
      </c>
      <c r="AE909" s="344"/>
      <c r="AF909" s="344" t="str">
        <f t="shared" si="94"/>
        <v>#REF!</v>
      </c>
      <c r="AG909" s="345" t="str">
        <f t="shared" si="95"/>
        <v>#REF!</v>
      </c>
      <c r="AH909" s="120" t="str">
        <f t="shared" si="96"/>
        <v>#REF!</v>
      </c>
      <c r="AI909" s="341">
        <f t="shared" si="893"/>
        <v>0.05</v>
      </c>
      <c r="AJ909" s="341">
        <v>0.05</v>
      </c>
      <c r="AK909" s="460">
        <v>0.25</v>
      </c>
      <c r="AL909" s="123">
        <f t="shared" si="11"/>
        <v>99.63768116</v>
      </c>
      <c r="AM909" s="342" t="s">
        <v>10</v>
      </c>
      <c r="AN909" s="461">
        <f t="shared" si="894"/>
        <v>398.5507246</v>
      </c>
      <c r="AO909" s="462">
        <f t="shared" si="895"/>
        <v>0.25</v>
      </c>
      <c r="AP909" s="127"/>
      <c r="AQ909" s="347">
        <f t="shared" si="896"/>
        <v>332.8947368</v>
      </c>
      <c r="AR909" s="463">
        <f t="shared" si="897"/>
        <v>314.6453089</v>
      </c>
      <c r="AS909" s="464">
        <f t="shared" si="898"/>
        <v>0.27</v>
      </c>
      <c r="AT909" s="464">
        <f t="shared" si="899"/>
        <v>0.2105263158</v>
      </c>
      <c r="AU909" s="129"/>
      <c r="AV909" s="465" t="s">
        <v>3024</v>
      </c>
      <c r="AW909" s="466"/>
      <c r="AX909" s="466"/>
      <c r="AY909" s="467"/>
      <c r="AZ909" s="468"/>
      <c r="BA909" s="468"/>
      <c r="BB909" s="469"/>
      <c r="BC909" s="470">
        <v>275.0</v>
      </c>
      <c r="BD909" s="471">
        <f t="shared" si="905"/>
        <v>298.9130435</v>
      </c>
      <c r="BE909" s="472"/>
      <c r="BF909" s="473"/>
      <c r="BG909" s="474"/>
      <c r="BH909" s="344"/>
      <c r="BI909" s="344"/>
      <c r="BJ909" s="344"/>
      <c r="BK909" s="344"/>
      <c r="BL909" s="49"/>
      <c r="BM909" s="474"/>
      <c r="BN909" s="474"/>
      <c r="BO909" s="474"/>
      <c r="BP909" s="474"/>
      <c r="BQ909" s="474"/>
      <c r="BR909" s="474"/>
      <c r="BS909" s="474"/>
      <c r="BT909" s="474"/>
      <c r="BU909" s="474"/>
      <c r="BV909" s="474"/>
      <c r="BW909" s="474"/>
      <c r="BX909" s="474"/>
      <c r="BY909" s="474"/>
      <c r="BZ909" s="474"/>
      <c r="CA909" s="474"/>
      <c r="CB909" s="474"/>
      <c r="CC909" s="474"/>
      <c r="CD909" s="474"/>
      <c r="CE909" s="474"/>
      <c r="CF909" s="474"/>
    </row>
    <row r="910" ht="14.25" customHeight="1">
      <c r="A910" s="317"/>
      <c r="B910" s="317"/>
      <c r="C910" s="317"/>
      <c r="D910" s="317" t="s">
        <v>1886</v>
      </c>
      <c r="E910" s="456" t="s">
        <v>3074</v>
      </c>
      <c r="F910" s="340" t="s">
        <v>3185</v>
      </c>
      <c r="G910" s="318" t="s">
        <v>3090</v>
      </c>
      <c r="H910" s="318" t="s">
        <v>3134</v>
      </c>
      <c r="I910" s="107"/>
      <c r="J910" s="457" t="s">
        <v>3222</v>
      </c>
      <c r="K910" s="457"/>
      <c r="L910" s="456" t="s">
        <v>3223</v>
      </c>
      <c r="M910" s="458" t="s">
        <v>3224</v>
      </c>
      <c r="N910" s="318"/>
      <c r="O910" s="456" t="s">
        <v>147</v>
      </c>
      <c r="P910" s="459"/>
      <c r="Q910" s="340" t="s">
        <v>3081</v>
      </c>
      <c r="R910" s="459"/>
      <c r="S910" s="459"/>
      <c r="T910" s="318"/>
      <c r="U910" s="459">
        <v>9.403208E9</v>
      </c>
      <c r="V910" s="341">
        <v>0.0</v>
      </c>
      <c r="W910" s="459">
        <v>45.0</v>
      </c>
      <c r="X910" s="459">
        <v>45.0</v>
      </c>
      <c r="Y910" s="459"/>
      <c r="Z910" s="459" t="s">
        <v>99</v>
      </c>
      <c r="AA910" s="114">
        <f t="shared" si="891"/>
        <v>505.7678443</v>
      </c>
      <c r="AB910" s="343"/>
      <c r="AC910" s="344">
        <f t="shared" si="892"/>
        <v>442.0289855</v>
      </c>
      <c r="AD910" s="213">
        <f t="shared" si="799"/>
        <v>475.2999844</v>
      </c>
      <c r="AE910" s="344"/>
      <c r="AF910" s="344" t="str">
        <f t="shared" si="94"/>
        <v>#REF!</v>
      </c>
      <c r="AG910" s="345" t="str">
        <f t="shared" si="95"/>
        <v>#REF!</v>
      </c>
      <c r="AH910" s="120" t="str">
        <f t="shared" si="96"/>
        <v>#REF!</v>
      </c>
      <c r="AI910" s="341">
        <f t="shared" si="893"/>
        <v>0.05</v>
      </c>
      <c r="AJ910" s="341">
        <v>0.05</v>
      </c>
      <c r="AK910" s="460">
        <v>0.25</v>
      </c>
      <c r="AL910" s="123">
        <f t="shared" si="11"/>
        <v>110.5072464</v>
      </c>
      <c r="AM910" s="342" t="s">
        <v>10</v>
      </c>
      <c r="AN910" s="461">
        <f t="shared" si="894"/>
        <v>442.0289855</v>
      </c>
      <c r="AO910" s="462">
        <f t="shared" si="895"/>
        <v>0.25</v>
      </c>
      <c r="AP910" s="127"/>
      <c r="AQ910" s="347">
        <f t="shared" si="896"/>
        <v>369.2105263</v>
      </c>
      <c r="AR910" s="463">
        <f t="shared" si="897"/>
        <v>348.9702517</v>
      </c>
      <c r="AS910" s="464">
        <f t="shared" si="898"/>
        <v>0.27</v>
      </c>
      <c r="AT910" s="464">
        <f t="shared" si="899"/>
        <v>0.2105263158</v>
      </c>
      <c r="AU910" s="129"/>
      <c r="AV910" s="465" t="s">
        <v>3024</v>
      </c>
      <c r="AW910" s="466"/>
      <c r="AX910" s="466"/>
      <c r="AY910" s="467"/>
      <c r="AZ910" s="468"/>
      <c r="BA910" s="468"/>
      <c r="BB910" s="469"/>
      <c r="BC910" s="470">
        <v>305.0</v>
      </c>
      <c r="BD910" s="471">
        <f t="shared" si="905"/>
        <v>331.5217391</v>
      </c>
      <c r="BE910" s="472"/>
      <c r="BF910" s="473"/>
      <c r="BG910" s="474"/>
      <c r="BH910" s="344"/>
      <c r="BI910" s="344"/>
      <c r="BJ910" s="344"/>
      <c r="BK910" s="344"/>
      <c r="BL910" s="49"/>
      <c r="BM910" s="474"/>
      <c r="BN910" s="474"/>
      <c r="BO910" s="474"/>
      <c r="BP910" s="474"/>
      <c r="BQ910" s="474"/>
      <c r="BR910" s="474"/>
      <c r="BS910" s="474"/>
      <c r="BT910" s="474"/>
      <c r="BU910" s="474"/>
      <c r="BV910" s="474"/>
      <c r="BW910" s="474"/>
      <c r="BX910" s="474"/>
      <c r="BY910" s="474"/>
      <c r="BZ910" s="474"/>
      <c r="CA910" s="474"/>
      <c r="CB910" s="474"/>
      <c r="CC910" s="474"/>
      <c r="CD910" s="474"/>
      <c r="CE910" s="474"/>
      <c r="CF910" s="474"/>
    </row>
    <row r="911" ht="14.25" customHeight="1">
      <c r="A911" s="317"/>
      <c r="B911" s="317"/>
      <c r="C911" s="317"/>
      <c r="D911" s="317" t="s">
        <v>1886</v>
      </c>
      <c r="E911" s="456" t="s">
        <v>3074</v>
      </c>
      <c r="F911" s="340" t="s">
        <v>3185</v>
      </c>
      <c r="G911" s="318" t="s">
        <v>3094</v>
      </c>
      <c r="H911" s="318" t="s">
        <v>3134</v>
      </c>
      <c r="I911" s="107"/>
      <c r="J911" s="457" t="s">
        <v>3225</v>
      </c>
      <c r="K911" s="457"/>
      <c r="L911" s="456" t="s">
        <v>3226</v>
      </c>
      <c r="M911" s="458" t="s">
        <v>3227</v>
      </c>
      <c r="N911" s="318"/>
      <c r="O911" s="456" t="s">
        <v>147</v>
      </c>
      <c r="P911" s="459"/>
      <c r="Q911" s="340" t="s">
        <v>3081</v>
      </c>
      <c r="R911" s="459"/>
      <c r="S911" s="459"/>
      <c r="T911" s="318"/>
      <c r="U911" s="459">
        <v>9.403208E9</v>
      </c>
      <c r="V911" s="341">
        <v>0.0</v>
      </c>
      <c r="W911" s="459">
        <v>45.0</v>
      </c>
      <c r="X911" s="459">
        <v>45.0</v>
      </c>
      <c r="Y911" s="459"/>
      <c r="Z911" s="459" t="s">
        <v>99</v>
      </c>
      <c r="AA911" s="114">
        <f t="shared" si="891"/>
        <v>563.8067772</v>
      </c>
      <c r="AB911" s="343"/>
      <c r="AC911" s="344">
        <f t="shared" si="892"/>
        <v>492.7536232</v>
      </c>
      <c r="AD911" s="213">
        <f t="shared" si="799"/>
        <v>529.8426056</v>
      </c>
      <c r="AE911" s="344"/>
      <c r="AF911" s="344" t="str">
        <f t="shared" si="94"/>
        <v>#REF!</v>
      </c>
      <c r="AG911" s="345" t="str">
        <f t="shared" si="95"/>
        <v>#REF!</v>
      </c>
      <c r="AH911" s="120" t="str">
        <f t="shared" si="96"/>
        <v>#REF!</v>
      </c>
      <c r="AI911" s="341">
        <f t="shared" si="893"/>
        <v>0.05</v>
      </c>
      <c r="AJ911" s="341">
        <v>0.05</v>
      </c>
      <c r="AK911" s="460">
        <v>0.25</v>
      </c>
      <c r="AL911" s="123">
        <f t="shared" si="11"/>
        <v>123.1884058</v>
      </c>
      <c r="AM911" s="342" t="s">
        <v>10</v>
      </c>
      <c r="AN911" s="461">
        <f t="shared" si="894"/>
        <v>492.7536232</v>
      </c>
      <c r="AO911" s="462">
        <f t="shared" si="895"/>
        <v>0.25</v>
      </c>
      <c r="AP911" s="127"/>
      <c r="AQ911" s="347">
        <f t="shared" si="896"/>
        <v>411.5789474</v>
      </c>
      <c r="AR911" s="463">
        <f t="shared" si="897"/>
        <v>389.0160183</v>
      </c>
      <c r="AS911" s="464">
        <f t="shared" si="898"/>
        <v>0.27</v>
      </c>
      <c r="AT911" s="464">
        <f t="shared" si="899"/>
        <v>0.2105263158</v>
      </c>
      <c r="AU911" s="129"/>
      <c r="AV911" s="465" t="s">
        <v>3024</v>
      </c>
      <c r="AW911" s="466"/>
      <c r="AX911" s="466"/>
      <c r="AY911" s="467"/>
      <c r="AZ911" s="468"/>
      <c r="BA911" s="468"/>
      <c r="BB911" s="469"/>
      <c r="BC911" s="470">
        <v>340.0</v>
      </c>
      <c r="BD911" s="471">
        <f t="shared" si="905"/>
        <v>369.5652174</v>
      </c>
      <c r="BE911" s="472"/>
      <c r="BF911" s="473"/>
      <c r="BG911" s="474"/>
      <c r="BH911" s="344"/>
      <c r="BI911" s="344"/>
      <c r="BJ911" s="344"/>
      <c r="BK911" s="344"/>
      <c r="BL911" s="49"/>
      <c r="BM911" s="474"/>
      <c r="BN911" s="474"/>
      <c r="BO911" s="474"/>
      <c r="BP911" s="474"/>
      <c r="BQ911" s="474"/>
      <c r="BR911" s="474"/>
      <c r="BS911" s="474"/>
      <c r="BT911" s="474"/>
      <c r="BU911" s="474"/>
      <c r="BV911" s="474"/>
      <c r="BW911" s="474"/>
      <c r="BX911" s="474"/>
      <c r="BY911" s="474"/>
      <c r="BZ911" s="474"/>
      <c r="CA911" s="474"/>
      <c r="CB911" s="474"/>
      <c r="CC911" s="474"/>
      <c r="CD911" s="474"/>
      <c r="CE911" s="474"/>
      <c r="CF911" s="474"/>
    </row>
    <row r="912" ht="14.25" customHeight="1">
      <c r="A912" s="317"/>
      <c r="B912" s="317"/>
      <c r="C912" s="317"/>
      <c r="D912" s="317" t="s">
        <v>1886</v>
      </c>
      <c r="E912" s="456" t="s">
        <v>3074</v>
      </c>
      <c r="F912" s="340" t="s">
        <v>3185</v>
      </c>
      <c r="G912" s="318" t="s">
        <v>3228</v>
      </c>
      <c r="H912" s="318" t="s">
        <v>3134</v>
      </c>
      <c r="I912" s="107"/>
      <c r="J912" s="457" t="s">
        <v>3229</v>
      </c>
      <c r="K912" s="457"/>
      <c r="L912" s="456" t="s">
        <v>3230</v>
      </c>
      <c r="M912" s="458" t="s">
        <v>3231</v>
      </c>
      <c r="N912" s="318"/>
      <c r="O912" s="456" t="s">
        <v>147</v>
      </c>
      <c r="P912" s="459"/>
      <c r="Q912" s="340" t="s">
        <v>3081</v>
      </c>
      <c r="R912" s="459"/>
      <c r="S912" s="459"/>
      <c r="T912" s="318"/>
      <c r="U912" s="459">
        <v>9.403208E9</v>
      </c>
      <c r="V912" s="341">
        <v>0.0</v>
      </c>
      <c r="W912" s="459">
        <v>45.0</v>
      </c>
      <c r="X912" s="459">
        <v>45.0</v>
      </c>
      <c r="Y912" s="459"/>
      <c r="Z912" s="459" t="s">
        <v>99</v>
      </c>
      <c r="AA912" s="114">
        <f t="shared" si="891"/>
        <v>646.7195386</v>
      </c>
      <c r="AB912" s="343"/>
      <c r="AC912" s="344">
        <f t="shared" si="892"/>
        <v>565.2173913</v>
      </c>
      <c r="AD912" s="213">
        <f t="shared" si="799"/>
        <v>607.7606358</v>
      </c>
      <c r="AE912" s="344"/>
      <c r="AF912" s="344" t="str">
        <f t="shared" si="94"/>
        <v>#REF!</v>
      </c>
      <c r="AG912" s="345" t="str">
        <f t="shared" si="95"/>
        <v>#REF!</v>
      </c>
      <c r="AH912" s="120" t="str">
        <f t="shared" si="96"/>
        <v>#REF!</v>
      </c>
      <c r="AI912" s="341">
        <f t="shared" si="893"/>
        <v>0.05</v>
      </c>
      <c r="AJ912" s="341">
        <v>0.05</v>
      </c>
      <c r="AK912" s="460">
        <v>0.25</v>
      </c>
      <c r="AL912" s="123">
        <f t="shared" si="11"/>
        <v>141.3043478</v>
      </c>
      <c r="AM912" s="342" t="s">
        <v>10</v>
      </c>
      <c r="AN912" s="461">
        <f t="shared" si="894"/>
        <v>565.2173913</v>
      </c>
      <c r="AO912" s="462">
        <f t="shared" si="895"/>
        <v>0.25</v>
      </c>
      <c r="AP912" s="127"/>
      <c r="AQ912" s="347">
        <f t="shared" si="896"/>
        <v>472.1052632</v>
      </c>
      <c r="AR912" s="463">
        <f t="shared" si="897"/>
        <v>446.2242563</v>
      </c>
      <c r="AS912" s="464">
        <f t="shared" si="898"/>
        <v>0.27</v>
      </c>
      <c r="AT912" s="464">
        <f t="shared" si="899"/>
        <v>0.2105263158</v>
      </c>
      <c r="AU912" s="129"/>
      <c r="AV912" s="465" t="s">
        <v>3024</v>
      </c>
      <c r="AW912" s="466"/>
      <c r="AX912" s="466"/>
      <c r="AY912" s="467"/>
      <c r="AZ912" s="468"/>
      <c r="BA912" s="468"/>
      <c r="BB912" s="469"/>
      <c r="BC912" s="470">
        <v>390.0</v>
      </c>
      <c r="BD912" s="471">
        <f t="shared" si="905"/>
        <v>423.9130435</v>
      </c>
      <c r="BE912" s="472"/>
      <c r="BF912" s="473"/>
      <c r="BG912" s="474"/>
      <c r="BH912" s="344"/>
      <c r="BI912" s="344"/>
      <c r="BJ912" s="344"/>
      <c r="BK912" s="344"/>
      <c r="BL912" s="49"/>
      <c r="BM912" s="474"/>
      <c r="BN912" s="474"/>
      <c r="BO912" s="474"/>
      <c r="BP912" s="474"/>
      <c r="BQ912" s="474"/>
      <c r="BR912" s="474"/>
      <c r="BS912" s="474"/>
      <c r="BT912" s="474"/>
      <c r="BU912" s="474"/>
      <c r="BV912" s="474"/>
      <c r="BW912" s="474"/>
      <c r="BX912" s="474"/>
      <c r="BY912" s="474"/>
      <c r="BZ912" s="474"/>
      <c r="CA912" s="474"/>
      <c r="CB912" s="474"/>
      <c r="CC912" s="474"/>
      <c r="CD912" s="474"/>
      <c r="CE912" s="474"/>
      <c r="CF912" s="474"/>
    </row>
    <row r="913" ht="14.25" customHeight="1">
      <c r="A913" s="317"/>
      <c r="B913" s="317"/>
      <c r="C913" s="317"/>
      <c r="D913" s="317" t="s">
        <v>1886</v>
      </c>
      <c r="E913" s="456" t="s">
        <v>3074</v>
      </c>
      <c r="F913" s="340" t="s">
        <v>3185</v>
      </c>
      <c r="G913" s="318" t="s">
        <v>3094</v>
      </c>
      <c r="H913" s="318" t="s">
        <v>3159</v>
      </c>
      <c r="I913" s="107"/>
      <c r="J913" s="457" t="s">
        <v>3232</v>
      </c>
      <c r="K913" s="457" t="s">
        <v>3233</v>
      </c>
      <c r="L913" s="456" t="s">
        <v>3234</v>
      </c>
      <c r="M913" s="458" t="s">
        <v>3235</v>
      </c>
      <c r="N913" s="318"/>
      <c r="O913" s="456" t="s">
        <v>147</v>
      </c>
      <c r="P913" s="459"/>
      <c r="Q913" s="340" t="s">
        <v>3081</v>
      </c>
      <c r="R913" s="459"/>
      <c r="S913" s="459"/>
      <c r="T913" s="318"/>
      <c r="U913" s="459">
        <v>9.403208E9</v>
      </c>
      <c r="V913" s="341">
        <v>0.0</v>
      </c>
      <c r="W913" s="459">
        <v>45.0</v>
      </c>
      <c r="X913" s="459">
        <v>45.0</v>
      </c>
      <c r="Y913" s="459"/>
      <c r="Z913" s="459" t="s">
        <v>99</v>
      </c>
      <c r="AA913" s="114">
        <f t="shared" si="891"/>
        <v>638.4282624</v>
      </c>
      <c r="AB913" s="343"/>
      <c r="AC913" s="344">
        <f t="shared" si="892"/>
        <v>557.9710145</v>
      </c>
      <c r="AD913" s="213">
        <f t="shared" si="799"/>
        <v>599.9688328</v>
      </c>
      <c r="AE913" s="344"/>
      <c r="AF913" s="344" t="str">
        <f t="shared" si="94"/>
        <v>#REF!</v>
      </c>
      <c r="AG913" s="345" t="str">
        <f t="shared" si="95"/>
        <v>#REF!</v>
      </c>
      <c r="AH913" s="120" t="str">
        <f t="shared" si="96"/>
        <v>#REF!</v>
      </c>
      <c r="AI913" s="341">
        <f t="shared" si="893"/>
        <v>0.05</v>
      </c>
      <c r="AJ913" s="341">
        <v>0.05</v>
      </c>
      <c r="AK913" s="460">
        <v>0.25</v>
      </c>
      <c r="AL913" s="123">
        <f t="shared" si="11"/>
        <v>139.4927536</v>
      </c>
      <c r="AM913" s="342" t="s">
        <v>10</v>
      </c>
      <c r="AN913" s="461">
        <f t="shared" si="894"/>
        <v>557.9710145</v>
      </c>
      <c r="AO913" s="462">
        <f t="shared" si="895"/>
        <v>0.25</v>
      </c>
      <c r="AP913" s="127"/>
      <c r="AQ913" s="347">
        <f t="shared" si="896"/>
        <v>466.0526316</v>
      </c>
      <c r="AR913" s="463">
        <f t="shared" si="897"/>
        <v>440.5034325</v>
      </c>
      <c r="AS913" s="464">
        <f t="shared" si="898"/>
        <v>0.27</v>
      </c>
      <c r="AT913" s="464">
        <f t="shared" si="899"/>
        <v>0.2105263158</v>
      </c>
      <c r="AU913" s="129"/>
      <c r="AV913" s="465" t="s">
        <v>3024</v>
      </c>
      <c r="AW913" s="466"/>
      <c r="AX913" s="466"/>
      <c r="AY913" s="467"/>
      <c r="AZ913" s="468"/>
      <c r="BA913" s="468"/>
      <c r="BB913" s="469"/>
      <c r="BC913" s="470">
        <v>385.0</v>
      </c>
      <c r="BD913" s="471">
        <f t="shared" si="905"/>
        <v>418.4782609</v>
      </c>
      <c r="BE913" s="472"/>
      <c r="BF913" s="473"/>
      <c r="BG913" s="474"/>
      <c r="BH913" s="344"/>
      <c r="BI913" s="344"/>
      <c r="BJ913" s="344"/>
      <c r="BK913" s="344"/>
      <c r="BL913" s="49"/>
      <c r="BM913" s="474"/>
      <c r="BN913" s="474"/>
      <c r="BO913" s="474"/>
      <c r="BP913" s="474"/>
      <c r="BQ913" s="474"/>
      <c r="BR913" s="474"/>
      <c r="BS913" s="474"/>
      <c r="BT913" s="474"/>
      <c r="BU913" s="474"/>
      <c r="BV913" s="474"/>
      <c r="BW913" s="474"/>
      <c r="BX913" s="474"/>
      <c r="BY913" s="474"/>
      <c r="BZ913" s="474"/>
      <c r="CA913" s="474"/>
      <c r="CB913" s="474"/>
      <c r="CC913" s="474"/>
      <c r="CD913" s="474"/>
      <c r="CE913" s="474"/>
      <c r="CF913" s="474"/>
    </row>
    <row r="914" ht="14.25" customHeight="1">
      <c r="A914" s="317"/>
      <c r="B914" s="317"/>
      <c r="C914" s="317"/>
      <c r="D914" s="317" t="s">
        <v>1886</v>
      </c>
      <c r="E914" s="456" t="s">
        <v>3074</v>
      </c>
      <c r="F914" s="340" t="s">
        <v>3185</v>
      </c>
      <c r="G914" s="318" t="s">
        <v>3228</v>
      </c>
      <c r="H914" s="318" t="s">
        <v>3236</v>
      </c>
      <c r="I914" s="107"/>
      <c r="J914" s="457" t="s">
        <v>3237</v>
      </c>
      <c r="K914" s="457"/>
      <c r="L914" s="456" t="s">
        <v>3238</v>
      </c>
      <c r="M914" s="458" t="s">
        <v>3239</v>
      </c>
      <c r="N914" s="318"/>
      <c r="O914" s="456" t="s">
        <v>147</v>
      </c>
      <c r="P914" s="459"/>
      <c r="Q914" s="340" t="s">
        <v>3081</v>
      </c>
      <c r="R914" s="459"/>
      <c r="S914" s="459"/>
      <c r="T914" s="318"/>
      <c r="U914" s="459">
        <v>9.403208E9</v>
      </c>
      <c r="V914" s="341">
        <v>0.0</v>
      </c>
      <c r="W914" s="459">
        <v>45.0</v>
      </c>
      <c r="X914" s="459">
        <v>45.0</v>
      </c>
      <c r="Y914" s="459"/>
      <c r="Z914" s="459" t="s">
        <v>99</v>
      </c>
      <c r="AA914" s="114">
        <f t="shared" si="891"/>
        <v>704.7584715</v>
      </c>
      <c r="AB914" s="343"/>
      <c r="AC914" s="344">
        <f t="shared" si="892"/>
        <v>615.942029</v>
      </c>
      <c r="AD914" s="213">
        <f t="shared" si="799"/>
        <v>662.303257</v>
      </c>
      <c r="AE914" s="344"/>
      <c r="AF914" s="344" t="str">
        <f t="shared" si="94"/>
        <v>#REF!</v>
      </c>
      <c r="AG914" s="345" t="str">
        <f t="shared" si="95"/>
        <v>#REF!</v>
      </c>
      <c r="AH914" s="120" t="str">
        <f t="shared" si="96"/>
        <v>#REF!</v>
      </c>
      <c r="AI914" s="341">
        <f t="shared" si="893"/>
        <v>0.05</v>
      </c>
      <c r="AJ914" s="341">
        <v>0.05</v>
      </c>
      <c r="AK914" s="460">
        <v>0.25</v>
      </c>
      <c r="AL914" s="123">
        <f t="shared" si="11"/>
        <v>153.9855072</v>
      </c>
      <c r="AM914" s="342" t="s">
        <v>10</v>
      </c>
      <c r="AN914" s="461">
        <f t="shared" si="894"/>
        <v>615.942029</v>
      </c>
      <c r="AO914" s="462">
        <f t="shared" si="895"/>
        <v>0.25</v>
      </c>
      <c r="AP914" s="127"/>
      <c r="AQ914" s="347">
        <f t="shared" si="896"/>
        <v>514.4736842</v>
      </c>
      <c r="AR914" s="463">
        <f t="shared" si="897"/>
        <v>486.2700229</v>
      </c>
      <c r="AS914" s="464">
        <f t="shared" si="898"/>
        <v>0.27</v>
      </c>
      <c r="AT914" s="464">
        <f t="shared" si="899"/>
        <v>0.2105263158</v>
      </c>
      <c r="AU914" s="129"/>
      <c r="AV914" s="465" t="s">
        <v>3024</v>
      </c>
      <c r="AW914" s="466"/>
      <c r="AX914" s="466"/>
      <c r="AY914" s="467"/>
      <c r="AZ914" s="468"/>
      <c r="BA914" s="468"/>
      <c r="BB914" s="469"/>
      <c r="BC914" s="470">
        <v>425.0</v>
      </c>
      <c r="BD914" s="471">
        <f t="shared" si="905"/>
        <v>461.9565217</v>
      </c>
      <c r="BE914" s="472"/>
      <c r="BF914" s="473"/>
      <c r="BG914" s="474"/>
      <c r="BH914" s="344"/>
      <c r="BI914" s="344"/>
      <c r="BJ914" s="344"/>
      <c r="BK914" s="344"/>
      <c r="BL914" s="49"/>
      <c r="BM914" s="474"/>
      <c r="BN914" s="474"/>
      <c r="BO914" s="474"/>
      <c r="BP914" s="474"/>
      <c r="BQ914" s="474"/>
      <c r="BR914" s="474"/>
      <c r="BS914" s="474"/>
      <c r="BT914" s="474"/>
      <c r="BU914" s="474"/>
      <c r="BV914" s="474"/>
      <c r="BW914" s="474"/>
      <c r="BX914" s="474"/>
      <c r="BY914" s="474"/>
      <c r="BZ914" s="474"/>
      <c r="CA914" s="474"/>
      <c r="CB914" s="474"/>
      <c r="CC914" s="474"/>
      <c r="CD914" s="474"/>
      <c r="CE914" s="474"/>
      <c r="CF914" s="474"/>
    </row>
    <row r="915" ht="14.25" customHeight="1">
      <c r="A915" s="317"/>
      <c r="B915" s="317"/>
      <c r="C915" s="317"/>
      <c r="D915" s="317" t="s">
        <v>1886</v>
      </c>
      <c r="E915" s="456" t="s">
        <v>3074</v>
      </c>
      <c r="F915" s="340" t="s">
        <v>3185</v>
      </c>
      <c r="G915" s="318" t="s">
        <v>3094</v>
      </c>
      <c r="H915" s="318" t="s">
        <v>3240</v>
      </c>
      <c r="I915" s="107"/>
      <c r="J915" s="457" t="s">
        <v>3241</v>
      </c>
      <c r="K915" s="457"/>
      <c r="L915" s="456" t="s">
        <v>3242</v>
      </c>
      <c r="M915" s="458" t="s">
        <v>3243</v>
      </c>
      <c r="N915" s="318"/>
      <c r="O915" s="456" t="s">
        <v>147</v>
      </c>
      <c r="P915" s="459"/>
      <c r="Q915" s="340" t="s">
        <v>3081</v>
      </c>
      <c r="R915" s="459"/>
      <c r="S915" s="459"/>
      <c r="T915" s="318"/>
      <c r="U915" s="459">
        <v>9.403208E9</v>
      </c>
      <c r="V915" s="341">
        <v>0.0</v>
      </c>
      <c r="W915" s="459">
        <v>45.0</v>
      </c>
      <c r="X915" s="459">
        <v>45.0</v>
      </c>
      <c r="Y915" s="459"/>
      <c r="Z915" s="459" t="s">
        <v>99</v>
      </c>
      <c r="AA915" s="114">
        <f t="shared" si="891"/>
        <v>713.0497477</v>
      </c>
      <c r="AB915" s="343"/>
      <c r="AC915" s="344">
        <f t="shared" si="892"/>
        <v>623.1884058</v>
      </c>
      <c r="AD915" s="213">
        <f t="shared" si="799"/>
        <v>670.09506</v>
      </c>
      <c r="AE915" s="344"/>
      <c r="AF915" s="344" t="str">
        <f t="shared" si="94"/>
        <v>#REF!</v>
      </c>
      <c r="AG915" s="345" t="str">
        <f t="shared" si="95"/>
        <v>#REF!</v>
      </c>
      <c r="AH915" s="120" t="str">
        <f t="shared" si="96"/>
        <v>#REF!</v>
      </c>
      <c r="AI915" s="341">
        <f t="shared" si="893"/>
        <v>0.05</v>
      </c>
      <c r="AJ915" s="341">
        <v>0.05</v>
      </c>
      <c r="AK915" s="460">
        <v>0.25</v>
      </c>
      <c r="AL915" s="123">
        <f t="shared" si="11"/>
        <v>155.7971014</v>
      </c>
      <c r="AM915" s="342" t="s">
        <v>10</v>
      </c>
      <c r="AN915" s="461">
        <f t="shared" si="894"/>
        <v>623.1884058</v>
      </c>
      <c r="AO915" s="462">
        <f t="shared" si="895"/>
        <v>0.25</v>
      </c>
      <c r="AP915" s="127"/>
      <c r="AQ915" s="347">
        <f t="shared" si="896"/>
        <v>520.5263158</v>
      </c>
      <c r="AR915" s="463">
        <f t="shared" si="897"/>
        <v>491.9908467</v>
      </c>
      <c r="AS915" s="464">
        <f t="shared" si="898"/>
        <v>0.27</v>
      </c>
      <c r="AT915" s="464">
        <f t="shared" si="899"/>
        <v>0.2105263158</v>
      </c>
      <c r="AU915" s="129"/>
      <c r="AV915" s="465" t="s">
        <v>3024</v>
      </c>
      <c r="AW915" s="466"/>
      <c r="AX915" s="466"/>
      <c r="AY915" s="467"/>
      <c r="AZ915" s="468"/>
      <c r="BA915" s="468"/>
      <c r="BB915" s="469"/>
      <c r="BC915" s="470">
        <v>430.0</v>
      </c>
      <c r="BD915" s="471">
        <f t="shared" si="905"/>
        <v>467.3913043</v>
      </c>
      <c r="BE915" s="472"/>
      <c r="BF915" s="473"/>
      <c r="BG915" s="474"/>
      <c r="BH915" s="344"/>
      <c r="BI915" s="344"/>
      <c r="BJ915" s="344"/>
      <c r="BK915" s="344"/>
      <c r="BL915" s="49"/>
      <c r="BM915" s="474"/>
      <c r="BN915" s="474"/>
      <c r="BO915" s="474"/>
      <c r="BP915" s="474"/>
      <c r="BQ915" s="474"/>
      <c r="BR915" s="474"/>
      <c r="BS915" s="474"/>
      <c r="BT915" s="474"/>
      <c r="BU915" s="474"/>
      <c r="BV915" s="474"/>
      <c r="BW915" s="474"/>
      <c r="BX915" s="474"/>
      <c r="BY915" s="474"/>
      <c r="BZ915" s="474"/>
      <c r="CA915" s="474"/>
      <c r="CB915" s="474"/>
      <c r="CC915" s="474"/>
      <c r="CD915" s="474"/>
      <c r="CE915" s="474"/>
      <c r="CF915" s="474"/>
    </row>
    <row r="916" ht="14.25" customHeight="1">
      <c r="A916" s="317"/>
      <c r="B916" s="317"/>
      <c r="C916" s="317"/>
      <c r="D916" s="317" t="s">
        <v>1886</v>
      </c>
      <c r="E916" s="456" t="s">
        <v>3074</v>
      </c>
      <c r="F916" s="340" t="s">
        <v>3185</v>
      </c>
      <c r="G916" s="318" t="s">
        <v>3228</v>
      </c>
      <c r="H916" s="318" t="s">
        <v>3240</v>
      </c>
      <c r="I916" s="107"/>
      <c r="J916" s="457" t="s">
        <v>3244</v>
      </c>
      <c r="K916" s="457"/>
      <c r="L916" s="456" t="s">
        <v>3245</v>
      </c>
      <c r="M916" s="458" t="s">
        <v>3246</v>
      </c>
      <c r="N916" s="318"/>
      <c r="O916" s="456" t="s">
        <v>147</v>
      </c>
      <c r="P916" s="459"/>
      <c r="Q916" s="340" t="s">
        <v>3081</v>
      </c>
      <c r="R916" s="459"/>
      <c r="S916" s="459"/>
      <c r="T916" s="318"/>
      <c r="U916" s="459">
        <v>9.403208E9</v>
      </c>
      <c r="V916" s="341">
        <v>0.0</v>
      </c>
      <c r="W916" s="459">
        <v>45.0</v>
      </c>
      <c r="X916" s="459">
        <v>45.0</v>
      </c>
      <c r="Y916" s="459"/>
      <c r="Z916" s="459" t="s">
        <v>99</v>
      </c>
      <c r="AA916" s="114">
        <f t="shared" si="891"/>
        <v>779.3799567</v>
      </c>
      <c r="AB916" s="343"/>
      <c r="AC916" s="344">
        <f t="shared" si="892"/>
        <v>681.1594203</v>
      </c>
      <c r="AD916" s="213">
        <f t="shared" si="799"/>
        <v>732.4294842</v>
      </c>
      <c r="AE916" s="344"/>
      <c r="AF916" s="344" t="str">
        <f t="shared" si="94"/>
        <v>#REF!</v>
      </c>
      <c r="AG916" s="345" t="str">
        <f t="shared" si="95"/>
        <v>#REF!</v>
      </c>
      <c r="AH916" s="120" t="str">
        <f t="shared" si="96"/>
        <v>#REF!</v>
      </c>
      <c r="AI916" s="341">
        <f t="shared" si="893"/>
        <v>0.05</v>
      </c>
      <c r="AJ916" s="341">
        <v>0.05</v>
      </c>
      <c r="AK916" s="460">
        <v>0.25</v>
      </c>
      <c r="AL916" s="123">
        <f t="shared" si="11"/>
        <v>170.2898551</v>
      </c>
      <c r="AM916" s="342" t="s">
        <v>10</v>
      </c>
      <c r="AN916" s="461">
        <f t="shared" si="894"/>
        <v>681.1594203</v>
      </c>
      <c r="AO916" s="462">
        <f t="shared" si="895"/>
        <v>0.25</v>
      </c>
      <c r="AP916" s="127"/>
      <c r="AQ916" s="347">
        <f t="shared" si="896"/>
        <v>568.9473684</v>
      </c>
      <c r="AR916" s="463">
        <f t="shared" si="897"/>
        <v>537.7574371</v>
      </c>
      <c r="AS916" s="464">
        <f t="shared" si="898"/>
        <v>0.27</v>
      </c>
      <c r="AT916" s="464">
        <f t="shared" si="899"/>
        <v>0.2105263158</v>
      </c>
      <c r="AU916" s="129"/>
      <c r="AV916" s="465" t="s">
        <v>3024</v>
      </c>
      <c r="AW916" s="466"/>
      <c r="AX916" s="466"/>
      <c r="AY916" s="467"/>
      <c r="AZ916" s="468"/>
      <c r="BA916" s="468"/>
      <c r="BB916" s="469"/>
      <c r="BC916" s="470">
        <v>470.0</v>
      </c>
      <c r="BD916" s="471">
        <f t="shared" si="905"/>
        <v>510.8695652</v>
      </c>
      <c r="BE916" s="472"/>
      <c r="BF916" s="473"/>
      <c r="BG916" s="474"/>
      <c r="BH916" s="344"/>
      <c r="BI916" s="344"/>
      <c r="BJ916" s="344"/>
      <c r="BK916" s="344"/>
      <c r="BL916" s="49"/>
      <c r="BM916" s="474"/>
      <c r="BN916" s="474"/>
      <c r="BO916" s="474"/>
      <c r="BP916" s="474"/>
      <c r="BQ916" s="474"/>
      <c r="BR916" s="474"/>
      <c r="BS916" s="474"/>
      <c r="BT916" s="474"/>
      <c r="BU916" s="474"/>
      <c r="BV916" s="474"/>
      <c r="BW916" s="474"/>
      <c r="BX916" s="474"/>
      <c r="BY916" s="474"/>
      <c r="BZ916" s="474"/>
      <c r="CA916" s="474"/>
      <c r="CB916" s="474"/>
      <c r="CC916" s="474"/>
      <c r="CD916" s="474"/>
      <c r="CE916" s="474"/>
      <c r="CF916" s="474"/>
    </row>
    <row r="917" ht="14.25" customHeight="1">
      <c r="A917" s="103" t="s">
        <v>84</v>
      </c>
      <c r="B917" s="103" t="s">
        <v>3073</v>
      </c>
      <c r="C917" s="103" t="s">
        <v>120</v>
      </c>
      <c r="D917" s="103" t="s">
        <v>1886</v>
      </c>
      <c r="E917" s="109" t="s">
        <v>3074</v>
      </c>
      <c r="F917" s="105" t="s">
        <v>3185</v>
      </c>
      <c r="G917" s="110" t="s">
        <v>3075</v>
      </c>
      <c r="H917" s="110" t="s">
        <v>3076</v>
      </c>
      <c r="I917" s="107"/>
      <c r="J917" s="108" t="s">
        <v>3247</v>
      </c>
      <c r="K917" s="108" t="str">
        <f>_xlfn.XLOOKUP(J917,[1]Sheet1!$A:$A,[1]Sheet1!$B:$B,"")</f>
        <v>#ERROR!</v>
      </c>
      <c r="L917" s="109" t="s">
        <v>3248</v>
      </c>
      <c r="M917" s="104" t="s">
        <v>3249</v>
      </c>
      <c r="N917" s="110"/>
      <c r="O917" s="109" t="s">
        <v>147</v>
      </c>
      <c r="P917" s="106"/>
      <c r="Q917" s="105" t="s">
        <v>3081</v>
      </c>
      <c r="R917" s="106"/>
      <c r="S917" s="106"/>
      <c r="T917" s="110"/>
      <c r="U917" s="106">
        <v>9.403208E9</v>
      </c>
      <c r="V917" s="112">
        <v>0.0</v>
      </c>
      <c r="W917" s="106">
        <v>45.0</v>
      </c>
      <c r="X917" s="106">
        <v>45.0</v>
      </c>
      <c r="Y917" s="106"/>
      <c r="Z917" s="106" t="s">
        <v>99</v>
      </c>
      <c r="AA917" s="114">
        <f t="shared" si="891"/>
        <v>339.9423216</v>
      </c>
      <c r="AB917" s="115"/>
      <c r="AC917" s="212">
        <f t="shared" si="892"/>
        <v>297.1014493</v>
      </c>
      <c r="AD917" s="213">
        <f t="shared" si="799"/>
        <v>319.463924</v>
      </c>
      <c r="AE917" s="212"/>
      <c r="AF917" s="212" t="str">
        <f t="shared" si="94"/>
        <v>#REF!</v>
      </c>
      <c r="AG917" s="210" t="str">
        <f t="shared" si="95"/>
        <v>#REF!</v>
      </c>
      <c r="AH917" s="120" t="str">
        <f t="shared" si="96"/>
        <v>#REF!</v>
      </c>
      <c r="AI917" s="121">
        <f t="shared" si="893"/>
        <v>0.05</v>
      </c>
      <c r="AJ917" s="121">
        <v>0.05</v>
      </c>
      <c r="AK917" s="418">
        <v>0.25</v>
      </c>
      <c r="AL917" s="123">
        <f t="shared" si="11"/>
        <v>74.27536232</v>
      </c>
      <c r="AM917" s="401" t="s">
        <v>10</v>
      </c>
      <c r="AN917" s="125">
        <f t="shared" si="894"/>
        <v>297.1014493</v>
      </c>
      <c r="AO917" s="402">
        <f t="shared" si="895"/>
        <v>0.25</v>
      </c>
      <c r="AP917" s="127"/>
      <c r="AQ917" s="128">
        <f t="shared" si="896"/>
        <v>248.1578947</v>
      </c>
      <c r="AR917" s="404">
        <f t="shared" si="897"/>
        <v>234.5537757</v>
      </c>
      <c r="AS917" s="405">
        <f t="shared" si="898"/>
        <v>0.27</v>
      </c>
      <c r="AT917" s="405">
        <f t="shared" si="899"/>
        <v>0.2105263158</v>
      </c>
      <c r="AU917" s="129"/>
      <c r="AV917" s="225" t="s">
        <v>3024</v>
      </c>
      <c r="AW917" s="416"/>
      <c r="AX917" s="416"/>
      <c r="AY917" s="361"/>
      <c r="AZ917" s="214"/>
      <c r="BA917" s="214"/>
      <c r="BB917" s="227"/>
      <c r="BC917" s="412">
        <v>205.0</v>
      </c>
      <c r="BD917" s="132">
        <f t="shared" si="905"/>
        <v>222.826087</v>
      </c>
      <c r="BE917" s="215"/>
      <c r="BF917" s="48"/>
      <c r="BG917" s="49"/>
      <c r="BH917" s="224">
        <f t="shared" ref="BH917:BH974" si="906">AC917/0.3</f>
        <v>990.3381643</v>
      </c>
      <c r="BI917" s="224">
        <f t="shared" ref="BI917:BI974" si="907">BH917*0.6</f>
        <v>594.2028986</v>
      </c>
      <c r="BJ917" s="224">
        <f t="shared" ref="BJ917:BJ974" si="908">BH917*0.5</f>
        <v>495.1690821</v>
      </c>
      <c r="BK917" s="224">
        <f t="shared" ref="BK917:BK974" si="909">BH917*0.4</f>
        <v>396.1352657</v>
      </c>
      <c r="BL917" s="49"/>
      <c r="BM917" s="49"/>
      <c r="BN917" s="49"/>
      <c r="BO917" s="49"/>
      <c r="BP917" s="49"/>
      <c r="BQ917" s="49"/>
      <c r="BR917" s="49"/>
      <c r="BS917" s="49"/>
      <c r="BT917" s="49"/>
      <c r="BU917" s="49"/>
      <c r="BV917" s="49"/>
      <c r="BW917" s="49"/>
      <c r="BX917" s="49"/>
      <c r="BY917" s="49"/>
      <c r="BZ917" s="49"/>
      <c r="CA917" s="49"/>
      <c r="CB917" s="49"/>
      <c r="CC917" s="49"/>
      <c r="CD917" s="49"/>
      <c r="CE917" s="49"/>
      <c r="CF917" s="49"/>
    </row>
    <row r="918" ht="14.25" customHeight="1">
      <c r="A918" s="103" t="s">
        <v>84</v>
      </c>
      <c r="B918" s="103" t="s">
        <v>3073</v>
      </c>
      <c r="C918" s="103" t="s">
        <v>120</v>
      </c>
      <c r="D918" s="103" t="s">
        <v>1886</v>
      </c>
      <c r="E918" s="109" t="s">
        <v>3074</v>
      </c>
      <c r="F918" s="105" t="s">
        <v>3185</v>
      </c>
      <c r="G918" s="110" t="s">
        <v>3082</v>
      </c>
      <c r="H918" s="110" t="s">
        <v>3076</v>
      </c>
      <c r="I918" s="107"/>
      <c r="J918" s="108" t="s">
        <v>3250</v>
      </c>
      <c r="K918" s="108" t="str">
        <f>_xlfn.XLOOKUP(J918,[1]Sheet1!$A:$A,[1]Sheet1!$B:$B,"")</f>
        <v>#ERROR!</v>
      </c>
      <c r="L918" s="109" t="s">
        <v>3251</v>
      </c>
      <c r="M918" s="104" t="s">
        <v>3252</v>
      </c>
      <c r="N918" s="110"/>
      <c r="O918" s="109" t="s">
        <v>147</v>
      </c>
      <c r="P918" s="106"/>
      <c r="Q918" s="105" t="s">
        <v>3081</v>
      </c>
      <c r="R918" s="106"/>
      <c r="S918" s="106"/>
      <c r="T918" s="110"/>
      <c r="U918" s="106">
        <v>9.403208E9</v>
      </c>
      <c r="V918" s="112">
        <v>0.0</v>
      </c>
      <c r="W918" s="106">
        <v>45.0</v>
      </c>
      <c r="X918" s="106">
        <v>45.0</v>
      </c>
      <c r="Y918" s="106"/>
      <c r="Z918" s="106" t="s">
        <v>99</v>
      </c>
      <c r="AA918" s="114">
        <f t="shared" si="891"/>
        <v>349.8918529</v>
      </c>
      <c r="AB918" s="115"/>
      <c r="AC918" s="212">
        <f t="shared" si="892"/>
        <v>305.7971014</v>
      </c>
      <c r="AD918" s="213">
        <f t="shared" si="799"/>
        <v>328.8140876</v>
      </c>
      <c r="AE918" s="212"/>
      <c r="AF918" s="212" t="str">
        <f t="shared" si="94"/>
        <v>#REF!</v>
      </c>
      <c r="AG918" s="210" t="str">
        <f t="shared" si="95"/>
        <v>#REF!</v>
      </c>
      <c r="AH918" s="120" t="str">
        <f t="shared" si="96"/>
        <v>#REF!</v>
      </c>
      <c r="AI918" s="121">
        <f t="shared" si="893"/>
        <v>0.05</v>
      </c>
      <c r="AJ918" s="121">
        <v>0.05</v>
      </c>
      <c r="AK918" s="418">
        <v>0.25</v>
      </c>
      <c r="AL918" s="123">
        <f t="shared" si="11"/>
        <v>76.44927536</v>
      </c>
      <c r="AM918" s="401" t="s">
        <v>10</v>
      </c>
      <c r="AN918" s="125">
        <f t="shared" si="894"/>
        <v>305.7971014</v>
      </c>
      <c r="AO918" s="402">
        <f t="shared" si="895"/>
        <v>0.25</v>
      </c>
      <c r="AP918" s="127"/>
      <c r="AQ918" s="128">
        <f t="shared" si="896"/>
        <v>255.4210526</v>
      </c>
      <c r="AR918" s="404">
        <f t="shared" si="897"/>
        <v>241.4187643</v>
      </c>
      <c r="AS918" s="405">
        <f t="shared" si="898"/>
        <v>0.27</v>
      </c>
      <c r="AT918" s="405">
        <f t="shared" si="899"/>
        <v>0.2105263158</v>
      </c>
      <c r="AU918" s="129"/>
      <c r="AV918" s="225" t="s">
        <v>3024</v>
      </c>
      <c r="AW918" s="416"/>
      <c r="AX918" s="416"/>
      <c r="AY918" s="361"/>
      <c r="AZ918" s="214"/>
      <c r="BA918" s="214"/>
      <c r="BB918" s="227"/>
      <c r="BC918" s="412">
        <v>211.0</v>
      </c>
      <c r="BD918" s="132">
        <f t="shared" si="905"/>
        <v>229.3478261</v>
      </c>
      <c r="BE918" s="215"/>
      <c r="BF918" s="48"/>
      <c r="BG918" s="49"/>
      <c r="BH918" s="224">
        <f t="shared" si="906"/>
        <v>1019.323671</v>
      </c>
      <c r="BI918" s="224">
        <f t="shared" si="907"/>
        <v>611.5942029</v>
      </c>
      <c r="BJ918" s="224">
        <f t="shared" si="908"/>
        <v>509.6618357</v>
      </c>
      <c r="BK918" s="224">
        <f t="shared" si="909"/>
        <v>407.7294686</v>
      </c>
      <c r="BL918" s="49"/>
      <c r="BM918" s="49"/>
      <c r="BN918" s="49"/>
      <c r="BO918" s="49"/>
      <c r="BP918" s="49"/>
      <c r="BQ918" s="49"/>
      <c r="BR918" s="49"/>
      <c r="BS918" s="49"/>
      <c r="BT918" s="49"/>
      <c r="BU918" s="49"/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</row>
    <row r="919" ht="14.25" customHeight="1">
      <c r="A919" s="103" t="s">
        <v>84</v>
      </c>
      <c r="B919" s="103" t="s">
        <v>3073</v>
      </c>
      <c r="C919" s="103" t="s">
        <v>120</v>
      </c>
      <c r="D919" s="103" t="s">
        <v>1886</v>
      </c>
      <c r="E919" s="109" t="s">
        <v>3074</v>
      </c>
      <c r="F919" s="105" t="s">
        <v>3185</v>
      </c>
      <c r="G919" s="110" t="s">
        <v>3086</v>
      </c>
      <c r="H919" s="110" t="s">
        <v>3076</v>
      </c>
      <c r="I919" s="107"/>
      <c r="J919" s="108" t="s">
        <v>3253</v>
      </c>
      <c r="K919" s="108" t="str">
        <f>_xlfn.XLOOKUP(J919,[1]Sheet1!$A:$A,[1]Sheet1!$B:$B,"")</f>
        <v>#ERROR!</v>
      </c>
      <c r="L919" s="109" t="s">
        <v>3254</v>
      </c>
      <c r="M919" s="104" t="s">
        <v>3255</v>
      </c>
      <c r="N919" s="110"/>
      <c r="O919" s="109" t="s">
        <v>147</v>
      </c>
      <c r="P919" s="106"/>
      <c r="Q919" s="105" t="s">
        <v>3081</v>
      </c>
      <c r="R919" s="106"/>
      <c r="S919" s="106"/>
      <c r="T919" s="110"/>
      <c r="U919" s="106">
        <v>9.403208E9</v>
      </c>
      <c r="V919" s="112">
        <v>0.0</v>
      </c>
      <c r="W919" s="106">
        <v>45.0</v>
      </c>
      <c r="X919" s="106">
        <v>45.0</v>
      </c>
      <c r="Y919" s="106"/>
      <c r="Z919" s="106" t="s">
        <v>99</v>
      </c>
      <c r="AA919" s="114">
        <f t="shared" si="891"/>
        <v>364.81615</v>
      </c>
      <c r="AB919" s="115"/>
      <c r="AC919" s="212">
        <f t="shared" si="892"/>
        <v>318.8405797</v>
      </c>
      <c r="AD919" s="213">
        <f t="shared" si="799"/>
        <v>342.839333</v>
      </c>
      <c r="AE919" s="212"/>
      <c r="AF919" s="212" t="str">
        <f t="shared" si="94"/>
        <v>#REF!</v>
      </c>
      <c r="AG919" s="210" t="str">
        <f t="shared" si="95"/>
        <v>#REF!</v>
      </c>
      <c r="AH919" s="120" t="str">
        <f t="shared" si="96"/>
        <v>#REF!</v>
      </c>
      <c r="AI919" s="121">
        <f t="shared" si="893"/>
        <v>0.05</v>
      </c>
      <c r="AJ919" s="121">
        <v>0.05</v>
      </c>
      <c r="AK919" s="418">
        <v>0.25</v>
      </c>
      <c r="AL919" s="123">
        <f t="shared" si="11"/>
        <v>79.71014493</v>
      </c>
      <c r="AM919" s="401" t="s">
        <v>10</v>
      </c>
      <c r="AN919" s="125">
        <f t="shared" si="894"/>
        <v>318.8405797</v>
      </c>
      <c r="AO919" s="402">
        <f t="shared" si="895"/>
        <v>0.25</v>
      </c>
      <c r="AP919" s="127"/>
      <c r="AQ919" s="128">
        <f t="shared" si="896"/>
        <v>266.3157895</v>
      </c>
      <c r="AR919" s="404">
        <f t="shared" si="897"/>
        <v>251.7162471</v>
      </c>
      <c r="AS919" s="405">
        <f t="shared" si="898"/>
        <v>0.27</v>
      </c>
      <c r="AT919" s="405">
        <f t="shared" si="899"/>
        <v>0.2105263158</v>
      </c>
      <c r="AU919" s="129"/>
      <c r="AV919" s="225" t="s">
        <v>3024</v>
      </c>
      <c r="AW919" s="416"/>
      <c r="AX919" s="416"/>
      <c r="AY919" s="361"/>
      <c r="AZ919" s="214"/>
      <c r="BA919" s="214"/>
      <c r="BB919" s="227"/>
      <c r="BC919" s="412">
        <v>220.0</v>
      </c>
      <c r="BD919" s="132">
        <f t="shared" si="905"/>
        <v>239.1304348</v>
      </c>
      <c r="BE919" s="215"/>
      <c r="BF919" s="48"/>
      <c r="BG919" s="49"/>
      <c r="BH919" s="224">
        <f t="shared" si="906"/>
        <v>1062.801932</v>
      </c>
      <c r="BI919" s="224">
        <f t="shared" si="907"/>
        <v>637.6811594</v>
      </c>
      <c r="BJ919" s="224">
        <f t="shared" si="908"/>
        <v>531.4009662</v>
      </c>
      <c r="BK919" s="224">
        <f t="shared" si="909"/>
        <v>425.1207729</v>
      </c>
      <c r="BL919" s="49"/>
      <c r="BM919" s="49"/>
      <c r="BN919" s="49"/>
      <c r="BO919" s="49"/>
      <c r="BP919" s="49"/>
      <c r="BQ919" s="49"/>
      <c r="BR919" s="49"/>
      <c r="BS919" s="49"/>
      <c r="BT919" s="49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</row>
    <row r="920" ht="14.25" customHeight="1">
      <c r="A920" s="103" t="s">
        <v>84</v>
      </c>
      <c r="B920" s="103" t="s">
        <v>3073</v>
      </c>
      <c r="C920" s="103" t="s">
        <v>120</v>
      </c>
      <c r="D920" s="103" t="s">
        <v>1886</v>
      </c>
      <c r="E920" s="109" t="s">
        <v>3074</v>
      </c>
      <c r="F920" s="105" t="s">
        <v>3185</v>
      </c>
      <c r="G920" s="110" t="s">
        <v>3090</v>
      </c>
      <c r="H920" s="110" t="s">
        <v>3076</v>
      </c>
      <c r="I920" s="107"/>
      <c r="J920" s="108" t="s">
        <v>3256</v>
      </c>
      <c r="K920" s="108" t="str">
        <f>_xlfn.XLOOKUP(J920,[1]Sheet1!$A:$A,[1]Sheet1!$B:$B,"")</f>
        <v>#ERROR!</v>
      </c>
      <c r="L920" s="109" t="s">
        <v>3257</v>
      </c>
      <c r="M920" s="104" t="s">
        <v>3258</v>
      </c>
      <c r="N920" s="110"/>
      <c r="O920" s="109" t="s">
        <v>147</v>
      </c>
      <c r="P920" s="106"/>
      <c r="Q920" s="105" t="s">
        <v>3081</v>
      </c>
      <c r="R920" s="106"/>
      <c r="S920" s="106"/>
      <c r="T920" s="110"/>
      <c r="U920" s="106">
        <v>9.403208E9</v>
      </c>
      <c r="V920" s="112">
        <v>0.0</v>
      </c>
      <c r="W920" s="106">
        <v>45.0</v>
      </c>
      <c r="X920" s="106">
        <v>45.0</v>
      </c>
      <c r="Y920" s="106"/>
      <c r="Z920" s="106" t="s">
        <v>99</v>
      </c>
      <c r="AA920" s="114">
        <f t="shared" si="891"/>
        <v>409.5890411</v>
      </c>
      <c r="AB920" s="115"/>
      <c r="AC920" s="212">
        <f t="shared" si="892"/>
        <v>357.9710145</v>
      </c>
      <c r="AD920" s="213">
        <f t="shared" si="799"/>
        <v>384.9150693</v>
      </c>
      <c r="AE920" s="212"/>
      <c r="AF920" s="212" t="str">
        <f t="shared" si="94"/>
        <v>#REF!</v>
      </c>
      <c r="AG920" s="210" t="str">
        <f t="shared" si="95"/>
        <v>#REF!</v>
      </c>
      <c r="AH920" s="120" t="str">
        <f t="shared" si="96"/>
        <v>#REF!</v>
      </c>
      <c r="AI920" s="121">
        <f t="shared" si="893"/>
        <v>0.05</v>
      </c>
      <c r="AJ920" s="121">
        <v>0.05</v>
      </c>
      <c r="AK920" s="418">
        <v>0.25</v>
      </c>
      <c r="AL920" s="123">
        <f t="shared" si="11"/>
        <v>89.49275362</v>
      </c>
      <c r="AM920" s="401" t="s">
        <v>10</v>
      </c>
      <c r="AN920" s="125">
        <f t="shared" si="894"/>
        <v>357.9710145</v>
      </c>
      <c r="AO920" s="402">
        <f t="shared" si="895"/>
        <v>0.25</v>
      </c>
      <c r="AP920" s="127"/>
      <c r="AQ920" s="128">
        <f t="shared" si="896"/>
        <v>299</v>
      </c>
      <c r="AR920" s="404">
        <f t="shared" si="897"/>
        <v>282.6086957</v>
      </c>
      <c r="AS920" s="405">
        <f t="shared" si="898"/>
        <v>0.27</v>
      </c>
      <c r="AT920" s="405">
        <f t="shared" si="899"/>
        <v>0.2105263158</v>
      </c>
      <c r="AU920" s="129"/>
      <c r="AV920" s="225" t="s">
        <v>3024</v>
      </c>
      <c r="AW920" s="416"/>
      <c r="AX920" s="416"/>
      <c r="AY920" s="361"/>
      <c r="AZ920" s="214"/>
      <c r="BA920" s="214"/>
      <c r="BB920" s="227"/>
      <c r="BC920" s="412">
        <v>247.0</v>
      </c>
      <c r="BD920" s="132">
        <f t="shared" si="905"/>
        <v>268.4782609</v>
      </c>
      <c r="BE920" s="215"/>
      <c r="BF920" s="48"/>
      <c r="BG920" s="49"/>
      <c r="BH920" s="224">
        <f t="shared" si="906"/>
        <v>1193.236715</v>
      </c>
      <c r="BI920" s="224">
        <f t="shared" si="907"/>
        <v>715.942029</v>
      </c>
      <c r="BJ920" s="224">
        <f t="shared" si="908"/>
        <v>596.6183575</v>
      </c>
      <c r="BK920" s="224">
        <f t="shared" si="909"/>
        <v>477.294686</v>
      </c>
      <c r="BL920" s="49"/>
      <c r="BM920" s="49"/>
      <c r="BN920" s="49"/>
      <c r="BO920" s="49"/>
      <c r="BP920" s="49"/>
      <c r="BQ920" s="49"/>
      <c r="BR920" s="49"/>
      <c r="BS920" s="49"/>
      <c r="BT920" s="49"/>
      <c r="BU920" s="49"/>
      <c r="BV920" s="49"/>
      <c r="BW920" s="49"/>
      <c r="BX920" s="49"/>
      <c r="BY920" s="49"/>
      <c r="BZ920" s="49"/>
      <c r="CA920" s="49"/>
      <c r="CB920" s="49"/>
      <c r="CC920" s="49"/>
      <c r="CD920" s="49"/>
      <c r="CE920" s="49"/>
      <c r="CF920" s="49"/>
    </row>
    <row r="921" ht="14.25" customHeight="1">
      <c r="A921" s="103" t="s">
        <v>84</v>
      </c>
      <c r="B921" s="103" t="s">
        <v>3073</v>
      </c>
      <c r="C921" s="103" t="s">
        <v>120</v>
      </c>
      <c r="D921" s="103" t="s">
        <v>1886</v>
      </c>
      <c r="E921" s="109" t="s">
        <v>3074</v>
      </c>
      <c r="F921" s="105" t="s">
        <v>3185</v>
      </c>
      <c r="G921" s="110" t="s">
        <v>3094</v>
      </c>
      <c r="H921" s="110" t="s">
        <v>3076</v>
      </c>
      <c r="I921" s="107"/>
      <c r="J921" s="108" t="s">
        <v>3259</v>
      </c>
      <c r="K921" s="108" t="str">
        <f>_xlfn.XLOOKUP(J921,[1]Sheet1!$A:$A,[1]Sheet1!$B:$B,"")</f>
        <v>#ERROR!</v>
      </c>
      <c r="L921" s="109" t="s">
        <v>3260</v>
      </c>
      <c r="M921" s="104" t="s">
        <v>3261</v>
      </c>
      <c r="N921" s="110"/>
      <c r="O921" s="109" t="s">
        <v>147</v>
      </c>
      <c r="P921" s="106"/>
      <c r="Q921" s="105" t="s">
        <v>3081</v>
      </c>
      <c r="R921" s="106"/>
      <c r="S921" s="106"/>
      <c r="T921" s="110"/>
      <c r="U921" s="106">
        <v>9.403208E9</v>
      </c>
      <c r="V921" s="112">
        <v>0.0</v>
      </c>
      <c r="W921" s="106">
        <v>45.0</v>
      </c>
      <c r="X921" s="106">
        <v>45.0</v>
      </c>
      <c r="Y921" s="106"/>
      <c r="Z921" s="106" t="s">
        <v>99</v>
      </c>
      <c r="AA921" s="114">
        <f t="shared" si="891"/>
        <v>456.0201875</v>
      </c>
      <c r="AB921" s="115"/>
      <c r="AC921" s="212">
        <f t="shared" si="892"/>
        <v>398.5507246</v>
      </c>
      <c r="AD921" s="213">
        <f t="shared" si="799"/>
        <v>428.5491663</v>
      </c>
      <c r="AE921" s="212"/>
      <c r="AF921" s="212" t="str">
        <f t="shared" si="94"/>
        <v>#REF!</v>
      </c>
      <c r="AG921" s="210" t="str">
        <f t="shared" si="95"/>
        <v>#REF!</v>
      </c>
      <c r="AH921" s="120" t="str">
        <f t="shared" si="96"/>
        <v>#REF!</v>
      </c>
      <c r="AI921" s="121">
        <f t="shared" si="893"/>
        <v>0.05</v>
      </c>
      <c r="AJ921" s="121">
        <v>0.05</v>
      </c>
      <c r="AK921" s="418">
        <v>0.25</v>
      </c>
      <c r="AL921" s="123">
        <f t="shared" si="11"/>
        <v>99.63768116</v>
      </c>
      <c r="AM921" s="401" t="s">
        <v>10</v>
      </c>
      <c r="AN921" s="125">
        <f t="shared" si="894"/>
        <v>398.5507246</v>
      </c>
      <c r="AO921" s="402">
        <f t="shared" si="895"/>
        <v>0.25</v>
      </c>
      <c r="AP921" s="127"/>
      <c r="AQ921" s="128">
        <f t="shared" si="896"/>
        <v>332.8947368</v>
      </c>
      <c r="AR921" s="404">
        <f t="shared" si="897"/>
        <v>314.6453089</v>
      </c>
      <c r="AS921" s="405">
        <f t="shared" si="898"/>
        <v>0.27</v>
      </c>
      <c r="AT921" s="405">
        <f t="shared" si="899"/>
        <v>0.2105263158</v>
      </c>
      <c r="AU921" s="129"/>
      <c r="AV921" s="225" t="s">
        <v>3024</v>
      </c>
      <c r="AW921" s="416"/>
      <c r="AX921" s="416"/>
      <c r="AY921" s="361"/>
      <c r="AZ921" s="214"/>
      <c r="BA921" s="214"/>
      <c r="BB921" s="227"/>
      <c r="BC921" s="412">
        <v>275.0</v>
      </c>
      <c r="BD921" s="132">
        <f t="shared" si="905"/>
        <v>298.9130435</v>
      </c>
      <c r="BE921" s="215"/>
      <c r="BF921" s="48"/>
      <c r="BG921" s="49"/>
      <c r="BH921" s="224">
        <f t="shared" si="906"/>
        <v>1328.502415</v>
      </c>
      <c r="BI921" s="224">
        <f t="shared" si="907"/>
        <v>797.1014493</v>
      </c>
      <c r="BJ921" s="224">
        <f t="shared" si="908"/>
        <v>664.2512077</v>
      </c>
      <c r="BK921" s="224">
        <f t="shared" si="909"/>
        <v>531.4009662</v>
      </c>
      <c r="BL921" s="49"/>
      <c r="BM921" s="49"/>
      <c r="BN921" s="49"/>
      <c r="BO921" s="49"/>
      <c r="BP921" s="49"/>
      <c r="BQ921" s="49"/>
      <c r="BR921" s="49"/>
      <c r="BS921" s="49"/>
      <c r="BT921" s="49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</row>
    <row r="922" ht="14.25" customHeight="1">
      <c r="A922" s="103" t="s">
        <v>84</v>
      </c>
      <c r="B922" s="103" t="s">
        <v>3073</v>
      </c>
      <c r="C922" s="103" t="s">
        <v>120</v>
      </c>
      <c r="D922" s="103" t="s">
        <v>1886</v>
      </c>
      <c r="E922" s="109" t="s">
        <v>3074</v>
      </c>
      <c r="F922" s="105" t="s">
        <v>3185</v>
      </c>
      <c r="G922" s="110" t="s">
        <v>3075</v>
      </c>
      <c r="H922" s="110" t="s">
        <v>3101</v>
      </c>
      <c r="I922" s="107"/>
      <c r="J922" s="108" t="s">
        <v>3262</v>
      </c>
      <c r="K922" s="108" t="str">
        <f>_xlfn.XLOOKUP(J922,[1]Sheet1!$A:$A,[1]Sheet1!$B:$B,"")</f>
        <v>#ERROR!</v>
      </c>
      <c r="L922" s="109" t="s">
        <v>3263</v>
      </c>
      <c r="M922" s="104" t="s">
        <v>3264</v>
      </c>
      <c r="N922" s="110"/>
      <c r="O922" s="109" t="s">
        <v>147</v>
      </c>
      <c r="P922" s="106"/>
      <c r="Q922" s="105" t="s">
        <v>3081</v>
      </c>
      <c r="R922" s="106"/>
      <c r="S922" s="106"/>
      <c r="T922" s="110"/>
      <c r="U922" s="106">
        <v>9.403208E9</v>
      </c>
      <c r="V922" s="112">
        <v>0.0</v>
      </c>
      <c r="W922" s="106">
        <v>45.0</v>
      </c>
      <c r="X922" s="106">
        <v>45.0</v>
      </c>
      <c r="Y922" s="106"/>
      <c r="Z922" s="106" t="s">
        <v>99</v>
      </c>
      <c r="AA922" s="114">
        <f t="shared" si="891"/>
        <v>364.81615</v>
      </c>
      <c r="AB922" s="115"/>
      <c r="AC922" s="212">
        <f t="shared" si="892"/>
        <v>318.8405797</v>
      </c>
      <c r="AD922" s="213">
        <f t="shared" si="799"/>
        <v>342.839333</v>
      </c>
      <c r="AE922" s="212"/>
      <c r="AF922" s="212" t="str">
        <f t="shared" si="94"/>
        <v>#REF!</v>
      </c>
      <c r="AG922" s="210" t="str">
        <f t="shared" si="95"/>
        <v>#REF!</v>
      </c>
      <c r="AH922" s="120" t="str">
        <f t="shared" si="96"/>
        <v>#REF!</v>
      </c>
      <c r="AI922" s="121">
        <f t="shared" si="893"/>
        <v>0.05</v>
      </c>
      <c r="AJ922" s="121">
        <v>0.05</v>
      </c>
      <c r="AK922" s="418">
        <v>0.25</v>
      </c>
      <c r="AL922" s="123">
        <f t="shared" si="11"/>
        <v>79.71014493</v>
      </c>
      <c r="AM922" s="401" t="s">
        <v>10</v>
      </c>
      <c r="AN922" s="125">
        <f t="shared" si="894"/>
        <v>318.8405797</v>
      </c>
      <c r="AO922" s="402">
        <f t="shared" si="895"/>
        <v>0.25</v>
      </c>
      <c r="AP922" s="127"/>
      <c r="AQ922" s="128">
        <f t="shared" si="896"/>
        <v>266.3157895</v>
      </c>
      <c r="AR922" s="404">
        <f t="shared" si="897"/>
        <v>251.7162471</v>
      </c>
      <c r="AS922" s="405">
        <f t="shared" si="898"/>
        <v>0.27</v>
      </c>
      <c r="AT922" s="405">
        <f t="shared" si="899"/>
        <v>0.2105263158</v>
      </c>
      <c r="AU922" s="129"/>
      <c r="AV922" s="225" t="s">
        <v>3024</v>
      </c>
      <c r="AW922" s="416"/>
      <c r="AX922" s="416"/>
      <c r="AY922" s="361"/>
      <c r="AZ922" s="214"/>
      <c r="BA922" s="214"/>
      <c r="BB922" s="227"/>
      <c r="BC922" s="412">
        <v>220.0</v>
      </c>
      <c r="BD922" s="132">
        <f t="shared" si="905"/>
        <v>239.1304348</v>
      </c>
      <c r="BE922" s="215"/>
      <c r="BF922" s="48"/>
      <c r="BG922" s="49"/>
      <c r="BH922" s="224">
        <f t="shared" si="906"/>
        <v>1062.801932</v>
      </c>
      <c r="BI922" s="224">
        <f t="shared" si="907"/>
        <v>637.6811594</v>
      </c>
      <c r="BJ922" s="224">
        <f t="shared" si="908"/>
        <v>531.4009662</v>
      </c>
      <c r="BK922" s="224">
        <f t="shared" si="909"/>
        <v>425.1207729</v>
      </c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</row>
    <row r="923" ht="14.25" customHeight="1">
      <c r="A923" s="103" t="s">
        <v>84</v>
      </c>
      <c r="B923" s="103" t="s">
        <v>3073</v>
      </c>
      <c r="C923" s="103" t="s">
        <v>120</v>
      </c>
      <c r="D923" s="103" t="s">
        <v>1886</v>
      </c>
      <c r="E923" s="109" t="s">
        <v>3074</v>
      </c>
      <c r="F923" s="105" t="s">
        <v>3185</v>
      </c>
      <c r="G923" s="110" t="s">
        <v>3086</v>
      </c>
      <c r="H923" s="110" t="s">
        <v>3101</v>
      </c>
      <c r="I923" s="107"/>
      <c r="J923" s="108" t="s">
        <v>3265</v>
      </c>
      <c r="K923" s="108" t="str">
        <f>_xlfn.XLOOKUP(J923,[1]Sheet1!$A:$A,[1]Sheet1!$B:$B,"")</f>
        <v>#ERROR!</v>
      </c>
      <c r="L923" s="109" t="s">
        <v>3266</v>
      </c>
      <c r="M923" s="104" t="s">
        <v>3267</v>
      </c>
      <c r="N923" s="110"/>
      <c r="O923" s="109" t="s">
        <v>147</v>
      </c>
      <c r="P923" s="106"/>
      <c r="Q923" s="105" t="s">
        <v>3081</v>
      </c>
      <c r="R923" s="106"/>
      <c r="S923" s="106"/>
      <c r="T923" s="110"/>
      <c r="U923" s="106">
        <v>9.403208E9</v>
      </c>
      <c r="V923" s="112">
        <v>0.0</v>
      </c>
      <c r="W923" s="106">
        <v>45.0</v>
      </c>
      <c r="X923" s="106">
        <v>45.0</v>
      </c>
      <c r="Y923" s="106"/>
      <c r="Z923" s="106" t="s">
        <v>99</v>
      </c>
      <c r="AA923" s="114">
        <f t="shared" si="891"/>
        <v>397.9812545</v>
      </c>
      <c r="AB923" s="115"/>
      <c r="AC923" s="212">
        <f t="shared" si="892"/>
        <v>347.826087</v>
      </c>
      <c r="AD923" s="213">
        <f t="shared" si="799"/>
        <v>374.0065451</v>
      </c>
      <c r="AE923" s="212"/>
      <c r="AF923" s="212" t="str">
        <f t="shared" si="94"/>
        <v>#REF!</v>
      </c>
      <c r="AG923" s="210" t="str">
        <f t="shared" si="95"/>
        <v>#REF!</v>
      </c>
      <c r="AH923" s="120" t="str">
        <f t="shared" si="96"/>
        <v>#REF!</v>
      </c>
      <c r="AI923" s="121">
        <f t="shared" si="893"/>
        <v>0.05</v>
      </c>
      <c r="AJ923" s="121">
        <v>0.05</v>
      </c>
      <c r="AK923" s="418">
        <v>0.25</v>
      </c>
      <c r="AL923" s="123">
        <f t="shared" si="11"/>
        <v>86.95652174</v>
      </c>
      <c r="AM923" s="401" t="s">
        <v>10</v>
      </c>
      <c r="AN923" s="125">
        <f t="shared" si="894"/>
        <v>347.826087</v>
      </c>
      <c r="AO923" s="402">
        <f t="shared" si="895"/>
        <v>0.25</v>
      </c>
      <c r="AP923" s="127"/>
      <c r="AQ923" s="128">
        <f t="shared" si="896"/>
        <v>290.5263158</v>
      </c>
      <c r="AR923" s="404">
        <f t="shared" si="897"/>
        <v>274.5995423</v>
      </c>
      <c r="AS923" s="405">
        <f t="shared" si="898"/>
        <v>0.27</v>
      </c>
      <c r="AT923" s="405">
        <f t="shared" si="899"/>
        <v>0.2105263158</v>
      </c>
      <c r="AU923" s="129"/>
      <c r="AV923" s="225" t="s">
        <v>3024</v>
      </c>
      <c r="AW923" s="416"/>
      <c r="AX923" s="416"/>
      <c r="AY923" s="361"/>
      <c r="AZ923" s="214"/>
      <c r="BA923" s="214"/>
      <c r="BB923" s="227"/>
      <c r="BC923" s="412">
        <v>240.0</v>
      </c>
      <c r="BD923" s="132">
        <f t="shared" si="905"/>
        <v>260.8695652</v>
      </c>
      <c r="BE923" s="215"/>
      <c r="BF923" s="48"/>
      <c r="BG923" s="49"/>
      <c r="BH923" s="224">
        <f t="shared" si="906"/>
        <v>1159.42029</v>
      </c>
      <c r="BI923" s="224">
        <f t="shared" si="907"/>
        <v>695.6521739</v>
      </c>
      <c r="BJ923" s="224">
        <f t="shared" si="908"/>
        <v>579.7101449</v>
      </c>
      <c r="BK923" s="224">
        <f t="shared" si="909"/>
        <v>463.7681159</v>
      </c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</row>
    <row r="924" ht="14.25" customHeight="1">
      <c r="A924" s="103" t="s">
        <v>84</v>
      </c>
      <c r="B924" s="103" t="s">
        <v>3073</v>
      </c>
      <c r="C924" s="103" t="s">
        <v>120</v>
      </c>
      <c r="D924" s="103" t="s">
        <v>1886</v>
      </c>
      <c r="E924" s="109" t="s">
        <v>3074</v>
      </c>
      <c r="F924" s="105" t="s">
        <v>3185</v>
      </c>
      <c r="G924" s="110" t="s">
        <v>3094</v>
      </c>
      <c r="H924" s="110" t="s">
        <v>3101</v>
      </c>
      <c r="I924" s="107"/>
      <c r="J924" s="108" t="s">
        <v>3268</v>
      </c>
      <c r="K924" s="108" t="str">
        <f>_xlfn.XLOOKUP(J924,[1]Sheet1!$A:$A,[1]Sheet1!$B:$B,"")</f>
        <v>#ERROR!</v>
      </c>
      <c r="L924" s="109" t="s">
        <v>3269</v>
      </c>
      <c r="M924" s="104" t="s">
        <v>3270</v>
      </c>
      <c r="N924" s="110"/>
      <c r="O924" s="109" t="s">
        <v>147</v>
      </c>
      <c r="P924" s="106"/>
      <c r="Q924" s="105" t="s">
        <v>3081</v>
      </c>
      <c r="R924" s="106"/>
      <c r="S924" s="106"/>
      <c r="T924" s="110"/>
      <c r="U924" s="106">
        <v>9.403208E9</v>
      </c>
      <c r="V924" s="112">
        <v>0.0</v>
      </c>
      <c r="W924" s="106">
        <v>45.0</v>
      </c>
      <c r="X924" s="106">
        <v>45.0</v>
      </c>
      <c r="Y924" s="106"/>
      <c r="Z924" s="106" t="s">
        <v>99</v>
      </c>
      <c r="AA924" s="114">
        <f t="shared" si="891"/>
        <v>497.4765681</v>
      </c>
      <c r="AB924" s="115"/>
      <c r="AC924" s="212">
        <f t="shared" si="892"/>
        <v>434.7826087</v>
      </c>
      <c r="AD924" s="213">
        <f t="shared" si="799"/>
        <v>467.5081814</v>
      </c>
      <c r="AE924" s="212"/>
      <c r="AF924" s="212" t="str">
        <f t="shared" si="94"/>
        <v>#REF!</v>
      </c>
      <c r="AG924" s="210" t="str">
        <f t="shared" si="95"/>
        <v>#REF!</v>
      </c>
      <c r="AH924" s="120" t="str">
        <f t="shared" si="96"/>
        <v>#REF!</v>
      </c>
      <c r="AI924" s="121">
        <f t="shared" si="893"/>
        <v>0.05</v>
      </c>
      <c r="AJ924" s="121">
        <v>0.05</v>
      </c>
      <c r="AK924" s="418">
        <v>0.25</v>
      </c>
      <c r="AL924" s="123">
        <f t="shared" si="11"/>
        <v>108.6956522</v>
      </c>
      <c r="AM924" s="401" t="s">
        <v>10</v>
      </c>
      <c r="AN924" s="125">
        <f t="shared" si="894"/>
        <v>434.7826087</v>
      </c>
      <c r="AO924" s="402">
        <f t="shared" si="895"/>
        <v>0.25</v>
      </c>
      <c r="AP924" s="127"/>
      <c r="AQ924" s="128">
        <f t="shared" si="896"/>
        <v>363.1578947</v>
      </c>
      <c r="AR924" s="404">
        <f t="shared" si="897"/>
        <v>343.2494279</v>
      </c>
      <c r="AS924" s="405">
        <f t="shared" si="898"/>
        <v>0.27</v>
      </c>
      <c r="AT924" s="405">
        <f t="shared" si="899"/>
        <v>0.2105263158</v>
      </c>
      <c r="AU924" s="129"/>
      <c r="AV924" s="225" t="s">
        <v>3024</v>
      </c>
      <c r="AW924" s="416"/>
      <c r="AX924" s="416"/>
      <c r="AY924" s="361"/>
      <c r="AZ924" s="214"/>
      <c r="BA924" s="214"/>
      <c r="BB924" s="227"/>
      <c r="BC924" s="412">
        <v>300.0</v>
      </c>
      <c r="BD924" s="132">
        <f t="shared" si="905"/>
        <v>326.0869565</v>
      </c>
      <c r="BE924" s="215"/>
      <c r="BF924" s="48"/>
      <c r="BG924" s="49"/>
      <c r="BH924" s="224">
        <f t="shared" si="906"/>
        <v>1449.275362</v>
      </c>
      <c r="BI924" s="224">
        <f t="shared" si="907"/>
        <v>869.5652174</v>
      </c>
      <c r="BJ924" s="224">
        <f t="shared" si="908"/>
        <v>724.6376812</v>
      </c>
      <c r="BK924" s="224">
        <f t="shared" si="909"/>
        <v>579.7101449</v>
      </c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</row>
    <row r="925" ht="14.25" customHeight="1">
      <c r="A925" s="103" t="s">
        <v>84</v>
      </c>
      <c r="B925" s="103" t="s">
        <v>3073</v>
      </c>
      <c r="C925" s="103" t="s">
        <v>120</v>
      </c>
      <c r="D925" s="103" t="s">
        <v>1886</v>
      </c>
      <c r="E925" s="109" t="s">
        <v>3074</v>
      </c>
      <c r="F925" s="105" t="s">
        <v>3185</v>
      </c>
      <c r="G925" s="110" t="s">
        <v>3094</v>
      </c>
      <c r="H925" s="110" t="s">
        <v>3120</v>
      </c>
      <c r="I925" s="107"/>
      <c r="J925" s="108" t="s">
        <v>3271</v>
      </c>
      <c r="K925" s="108" t="str">
        <f>_xlfn.XLOOKUP(J925,[1]Sheet1!$A:$A,[1]Sheet1!$B:$B,"")</f>
        <v>#ERROR!</v>
      </c>
      <c r="L925" s="109" t="s">
        <v>3272</v>
      </c>
      <c r="M925" s="104" t="s">
        <v>3273</v>
      </c>
      <c r="N925" s="110"/>
      <c r="O925" s="109" t="s">
        <v>147</v>
      </c>
      <c r="P925" s="106"/>
      <c r="Q925" s="105" t="s">
        <v>3081</v>
      </c>
      <c r="R925" s="106"/>
      <c r="S925" s="106"/>
      <c r="T925" s="110"/>
      <c r="U925" s="106">
        <v>9.403208E9</v>
      </c>
      <c r="V925" s="112">
        <v>0.0</v>
      </c>
      <c r="W925" s="106">
        <v>45.0</v>
      </c>
      <c r="X925" s="106">
        <v>45.0</v>
      </c>
      <c r="Y925" s="106"/>
      <c r="Z925" s="106" t="s">
        <v>99</v>
      </c>
      <c r="AA925" s="114">
        <f t="shared" si="891"/>
        <v>547.2242249</v>
      </c>
      <c r="AB925" s="115"/>
      <c r="AC925" s="212">
        <f t="shared" si="892"/>
        <v>478.2608696</v>
      </c>
      <c r="AD925" s="213">
        <f t="shared" si="799"/>
        <v>514.2589995</v>
      </c>
      <c r="AE925" s="212"/>
      <c r="AF925" s="212" t="str">
        <f t="shared" si="94"/>
        <v>#REF!</v>
      </c>
      <c r="AG925" s="210" t="str">
        <f t="shared" si="95"/>
        <v>#REF!</v>
      </c>
      <c r="AH925" s="120" t="str">
        <f t="shared" si="96"/>
        <v>#REF!</v>
      </c>
      <c r="AI925" s="121">
        <f t="shared" si="893"/>
        <v>0.05</v>
      </c>
      <c r="AJ925" s="121">
        <v>0.05</v>
      </c>
      <c r="AK925" s="418">
        <v>0.25</v>
      </c>
      <c r="AL925" s="123">
        <f t="shared" si="11"/>
        <v>119.5652174</v>
      </c>
      <c r="AM925" s="401" t="s">
        <v>10</v>
      </c>
      <c r="AN925" s="125">
        <f t="shared" si="894"/>
        <v>478.2608696</v>
      </c>
      <c r="AO925" s="402">
        <f t="shared" si="895"/>
        <v>0.25</v>
      </c>
      <c r="AP925" s="127"/>
      <c r="AQ925" s="128">
        <f t="shared" si="896"/>
        <v>399.4736842</v>
      </c>
      <c r="AR925" s="404">
        <f t="shared" si="897"/>
        <v>377.5743707</v>
      </c>
      <c r="AS925" s="405">
        <f t="shared" si="898"/>
        <v>0.27</v>
      </c>
      <c r="AT925" s="405">
        <f t="shared" si="899"/>
        <v>0.2105263158</v>
      </c>
      <c r="AU925" s="129"/>
      <c r="AV925" s="225" t="s">
        <v>3024</v>
      </c>
      <c r="AW925" s="416"/>
      <c r="AX925" s="416"/>
      <c r="AY925" s="361"/>
      <c r="AZ925" s="214"/>
      <c r="BA925" s="214"/>
      <c r="BB925" s="227"/>
      <c r="BC925" s="412">
        <v>330.0</v>
      </c>
      <c r="BD925" s="132">
        <f t="shared" si="905"/>
        <v>358.6956522</v>
      </c>
      <c r="BE925" s="215"/>
      <c r="BF925" s="48"/>
      <c r="BG925" s="49"/>
      <c r="BH925" s="224">
        <f t="shared" si="906"/>
        <v>1594.202899</v>
      </c>
      <c r="BI925" s="224">
        <f t="shared" si="907"/>
        <v>956.5217391</v>
      </c>
      <c r="BJ925" s="224">
        <f t="shared" si="908"/>
        <v>797.1014493</v>
      </c>
      <c r="BK925" s="224">
        <f t="shared" si="909"/>
        <v>637.6811594</v>
      </c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</row>
    <row r="926" ht="14.25" customHeight="1">
      <c r="A926" s="103" t="s">
        <v>84</v>
      </c>
      <c r="B926" s="103" t="s">
        <v>3073</v>
      </c>
      <c r="C926" s="103" t="s">
        <v>120</v>
      </c>
      <c r="D926" s="103" t="s">
        <v>1886</v>
      </c>
      <c r="E926" s="109" t="s">
        <v>3074</v>
      </c>
      <c r="F926" s="105" t="s">
        <v>3185</v>
      </c>
      <c r="G926" s="110" t="s">
        <v>3094</v>
      </c>
      <c r="H926" s="110" t="s">
        <v>3124</v>
      </c>
      <c r="I926" s="107"/>
      <c r="J926" s="108" t="s">
        <v>3274</v>
      </c>
      <c r="K926" s="108" t="str">
        <f>_xlfn.XLOOKUP(J926,[1]Sheet1!$A:$A,[1]Sheet1!$B:$B,"")</f>
        <v>#ERROR!</v>
      </c>
      <c r="L926" s="109" t="s">
        <v>3275</v>
      </c>
      <c r="M926" s="104" t="s">
        <v>3276</v>
      </c>
      <c r="N926" s="110"/>
      <c r="O926" s="109" t="s">
        <v>147</v>
      </c>
      <c r="P926" s="106"/>
      <c r="Q926" s="105" t="s">
        <v>3081</v>
      </c>
      <c r="R926" s="106"/>
      <c r="S926" s="106"/>
      <c r="T926" s="110"/>
      <c r="U926" s="106">
        <v>9.403208E9</v>
      </c>
      <c r="V926" s="112">
        <v>0.0</v>
      </c>
      <c r="W926" s="106">
        <v>45.0</v>
      </c>
      <c r="X926" s="106">
        <v>45.0</v>
      </c>
      <c r="Y926" s="106"/>
      <c r="Z926" s="106" t="s">
        <v>99</v>
      </c>
      <c r="AA926" s="114">
        <f t="shared" si="891"/>
        <v>563.8067772</v>
      </c>
      <c r="AB926" s="115"/>
      <c r="AC926" s="212">
        <f t="shared" si="892"/>
        <v>492.7536232</v>
      </c>
      <c r="AD926" s="213">
        <f t="shared" si="799"/>
        <v>529.8426056</v>
      </c>
      <c r="AE926" s="212"/>
      <c r="AF926" s="212" t="str">
        <f t="shared" si="94"/>
        <v>#REF!</v>
      </c>
      <c r="AG926" s="210" t="str">
        <f t="shared" si="95"/>
        <v>#REF!</v>
      </c>
      <c r="AH926" s="120" t="str">
        <f t="shared" si="96"/>
        <v>#REF!</v>
      </c>
      <c r="AI926" s="121">
        <f t="shared" si="893"/>
        <v>0.05</v>
      </c>
      <c r="AJ926" s="121">
        <v>0.05</v>
      </c>
      <c r="AK926" s="418">
        <v>0.25</v>
      </c>
      <c r="AL926" s="123">
        <f t="shared" si="11"/>
        <v>123.1884058</v>
      </c>
      <c r="AM926" s="401" t="s">
        <v>10</v>
      </c>
      <c r="AN926" s="125">
        <f t="shared" si="894"/>
        <v>492.7536232</v>
      </c>
      <c r="AO926" s="402">
        <f t="shared" si="895"/>
        <v>0.25</v>
      </c>
      <c r="AP926" s="127"/>
      <c r="AQ926" s="128">
        <f t="shared" si="896"/>
        <v>411.5789474</v>
      </c>
      <c r="AR926" s="404">
        <f t="shared" si="897"/>
        <v>389.0160183</v>
      </c>
      <c r="AS926" s="405">
        <f t="shared" si="898"/>
        <v>0.27</v>
      </c>
      <c r="AT926" s="405">
        <f t="shared" si="899"/>
        <v>0.2105263158</v>
      </c>
      <c r="AU926" s="129"/>
      <c r="AV926" s="225" t="s">
        <v>3024</v>
      </c>
      <c r="AW926" s="416"/>
      <c r="AX926" s="416"/>
      <c r="AY926" s="361"/>
      <c r="AZ926" s="214"/>
      <c r="BA926" s="214"/>
      <c r="BB926" s="227"/>
      <c r="BC926" s="412">
        <v>340.0</v>
      </c>
      <c r="BD926" s="132">
        <f t="shared" si="905"/>
        <v>369.5652174</v>
      </c>
      <c r="BE926" s="215"/>
      <c r="BF926" s="48"/>
      <c r="BG926" s="49"/>
      <c r="BH926" s="224">
        <f t="shared" si="906"/>
        <v>1642.512077</v>
      </c>
      <c r="BI926" s="224">
        <f t="shared" si="907"/>
        <v>985.5072464</v>
      </c>
      <c r="BJ926" s="224">
        <f t="shared" si="908"/>
        <v>821.2560386</v>
      </c>
      <c r="BK926" s="224">
        <f t="shared" si="909"/>
        <v>657.0048309</v>
      </c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</row>
    <row r="927" ht="14.25" customHeight="1">
      <c r="A927" s="103" t="s">
        <v>84</v>
      </c>
      <c r="B927" s="103" t="s">
        <v>3073</v>
      </c>
      <c r="C927" s="103" t="s">
        <v>120</v>
      </c>
      <c r="D927" s="103" t="s">
        <v>1886</v>
      </c>
      <c r="E927" s="109" t="s">
        <v>3074</v>
      </c>
      <c r="F927" s="105" t="s">
        <v>3185</v>
      </c>
      <c r="G927" s="110" t="s">
        <v>3090</v>
      </c>
      <c r="H927" s="110" t="s">
        <v>3134</v>
      </c>
      <c r="I927" s="107"/>
      <c r="J927" s="108" t="s">
        <v>3277</v>
      </c>
      <c r="K927" s="108" t="str">
        <f>_xlfn.XLOOKUP(J927,[1]Sheet1!$A:$A,[1]Sheet1!$B:$B,"")</f>
        <v>#ERROR!</v>
      </c>
      <c r="L927" s="109" t="s">
        <v>3278</v>
      </c>
      <c r="M927" s="104" t="s">
        <v>3279</v>
      </c>
      <c r="N927" s="110"/>
      <c r="O927" s="109" t="s">
        <v>147</v>
      </c>
      <c r="P927" s="106"/>
      <c r="Q927" s="105" t="s">
        <v>3081</v>
      </c>
      <c r="R927" s="106"/>
      <c r="S927" s="106"/>
      <c r="T927" s="110"/>
      <c r="U927" s="106">
        <v>9.403208E9</v>
      </c>
      <c r="V927" s="112">
        <v>0.0</v>
      </c>
      <c r="W927" s="106">
        <v>45.0</v>
      </c>
      <c r="X927" s="106">
        <v>45.0</v>
      </c>
      <c r="Y927" s="106"/>
      <c r="Z927" s="106" t="s">
        <v>99</v>
      </c>
      <c r="AA927" s="114">
        <f t="shared" si="891"/>
        <v>538.9329488</v>
      </c>
      <c r="AB927" s="115"/>
      <c r="AC927" s="212">
        <f t="shared" si="892"/>
        <v>471.0144928</v>
      </c>
      <c r="AD927" s="213">
        <f t="shared" si="799"/>
        <v>506.4671965</v>
      </c>
      <c r="AE927" s="212"/>
      <c r="AF927" s="212" t="str">
        <f t="shared" si="94"/>
        <v>#REF!</v>
      </c>
      <c r="AG927" s="210" t="str">
        <f t="shared" si="95"/>
        <v>#REF!</v>
      </c>
      <c r="AH927" s="120" t="str">
        <f t="shared" si="96"/>
        <v>#REF!</v>
      </c>
      <c r="AI927" s="121">
        <f t="shared" si="893"/>
        <v>0.05</v>
      </c>
      <c r="AJ927" s="121">
        <v>0.05</v>
      </c>
      <c r="AK927" s="418">
        <v>0.25</v>
      </c>
      <c r="AL927" s="123">
        <f t="shared" si="11"/>
        <v>117.7536232</v>
      </c>
      <c r="AM927" s="401" t="s">
        <v>10</v>
      </c>
      <c r="AN927" s="125">
        <f t="shared" si="894"/>
        <v>471.0144928</v>
      </c>
      <c r="AO927" s="402">
        <f t="shared" si="895"/>
        <v>0.25</v>
      </c>
      <c r="AP927" s="127"/>
      <c r="AQ927" s="128">
        <f t="shared" si="896"/>
        <v>393.4210526</v>
      </c>
      <c r="AR927" s="404">
        <f t="shared" si="897"/>
        <v>371.8535469</v>
      </c>
      <c r="AS927" s="405">
        <f t="shared" si="898"/>
        <v>0.27</v>
      </c>
      <c r="AT927" s="405">
        <f t="shared" si="899"/>
        <v>0.2105263158</v>
      </c>
      <c r="AU927" s="129"/>
      <c r="AV927" s="225" t="s">
        <v>3024</v>
      </c>
      <c r="AW927" s="416"/>
      <c r="AX927" s="416"/>
      <c r="AY927" s="361"/>
      <c r="AZ927" s="214"/>
      <c r="BA927" s="214"/>
      <c r="BB927" s="227"/>
      <c r="BC927" s="412">
        <v>325.0</v>
      </c>
      <c r="BD927" s="132">
        <f t="shared" si="905"/>
        <v>353.2608696</v>
      </c>
      <c r="BE927" s="215"/>
      <c r="BF927" s="48"/>
      <c r="BG927" s="49"/>
      <c r="BH927" s="224">
        <f t="shared" si="906"/>
        <v>1570.048309</v>
      </c>
      <c r="BI927" s="224">
        <f t="shared" si="907"/>
        <v>942.0289855</v>
      </c>
      <c r="BJ927" s="224">
        <f t="shared" si="908"/>
        <v>785.0241546</v>
      </c>
      <c r="BK927" s="224">
        <f t="shared" si="909"/>
        <v>628.0193237</v>
      </c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</row>
    <row r="928" ht="14.25" customHeight="1">
      <c r="A928" s="103" t="s">
        <v>84</v>
      </c>
      <c r="B928" s="103" t="s">
        <v>3073</v>
      </c>
      <c r="C928" s="103" t="s">
        <v>120</v>
      </c>
      <c r="D928" s="103" t="s">
        <v>1886</v>
      </c>
      <c r="E928" s="109" t="s">
        <v>3074</v>
      </c>
      <c r="F928" s="105" t="s">
        <v>3185</v>
      </c>
      <c r="G928" s="110" t="s">
        <v>3094</v>
      </c>
      <c r="H928" s="110" t="s">
        <v>3134</v>
      </c>
      <c r="I928" s="107"/>
      <c r="J928" s="108" t="s">
        <v>3280</v>
      </c>
      <c r="K928" s="108" t="str">
        <f>_xlfn.XLOOKUP(J928,[1]Sheet1!$A:$A,[1]Sheet1!$B:$B,"")</f>
        <v>#ERROR!</v>
      </c>
      <c r="L928" s="109" t="s">
        <v>3281</v>
      </c>
      <c r="M928" s="104" t="s">
        <v>3282</v>
      </c>
      <c r="N928" s="110"/>
      <c r="O928" s="109" t="s">
        <v>147</v>
      </c>
      <c r="P928" s="106"/>
      <c r="Q928" s="105" t="s">
        <v>3081</v>
      </c>
      <c r="R928" s="106"/>
      <c r="S928" s="106"/>
      <c r="T928" s="110"/>
      <c r="U928" s="106">
        <v>9.403208E9</v>
      </c>
      <c r="V928" s="112">
        <v>0.0</v>
      </c>
      <c r="W928" s="106">
        <v>45.0</v>
      </c>
      <c r="X928" s="106">
        <v>45.0</v>
      </c>
      <c r="Y928" s="106"/>
      <c r="Z928" s="106" t="s">
        <v>99</v>
      </c>
      <c r="AA928" s="114">
        <f t="shared" si="891"/>
        <v>563.8067772</v>
      </c>
      <c r="AB928" s="115"/>
      <c r="AC928" s="212">
        <f t="shared" si="892"/>
        <v>492.7536232</v>
      </c>
      <c r="AD928" s="213">
        <f t="shared" si="799"/>
        <v>529.8426056</v>
      </c>
      <c r="AE928" s="212"/>
      <c r="AF928" s="212" t="str">
        <f t="shared" si="94"/>
        <v>#REF!</v>
      </c>
      <c r="AG928" s="210" t="str">
        <f t="shared" si="95"/>
        <v>#REF!</v>
      </c>
      <c r="AH928" s="120" t="str">
        <f t="shared" si="96"/>
        <v>#REF!</v>
      </c>
      <c r="AI928" s="121">
        <f t="shared" si="893"/>
        <v>0.05</v>
      </c>
      <c r="AJ928" s="121">
        <v>0.05</v>
      </c>
      <c r="AK928" s="418">
        <v>0.25</v>
      </c>
      <c r="AL928" s="123">
        <f t="shared" si="11"/>
        <v>123.1884058</v>
      </c>
      <c r="AM928" s="401" t="s">
        <v>10</v>
      </c>
      <c r="AN928" s="125">
        <f t="shared" si="894"/>
        <v>492.7536232</v>
      </c>
      <c r="AO928" s="402">
        <f t="shared" si="895"/>
        <v>0.25</v>
      </c>
      <c r="AP928" s="127"/>
      <c r="AQ928" s="128">
        <f t="shared" si="896"/>
        <v>411.5789474</v>
      </c>
      <c r="AR928" s="404">
        <f t="shared" si="897"/>
        <v>389.0160183</v>
      </c>
      <c r="AS928" s="405">
        <f t="shared" si="898"/>
        <v>0.27</v>
      </c>
      <c r="AT928" s="405">
        <f t="shared" si="899"/>
        <v>0.2105263158</v>
      </c>
      <c r="AU928" s="129"/>
      <c r="AV928" s="225" t="s">
        <v>3024</v>
      </c>
      <c r="AW928" s="416"/>
      <c r="AX928" s="416"/>
      <c r="AY928" s="361"/>
      <c r="AZ928" s="214"/>
      <c r="BA928" s="214"/>
      <c r="BB928" s="227"/>
      <c r="BC928" s="412">
        <v>340.0</v>
      </c>
      <c r="BD928" s="132">
        <f t="shared" si="905"/>
        <v>369.5652174</v>
      </c>
      <c r="BE928" s="215"/>
      <c r="BF928" s="48"/>
      <c r="BG928" s="49"/>
      <c r="BH928" s="224">
        <f t="shared" si="906"/>
        <v>1642.512077</v>
      </c>
      <c r="BI928" s="224">
        <f t="shared" si="907"/>
        <v>985.5072464</v>
      </c>
      <c r="BJ928" s="224">
        <f t="shared" si="908"/>
        <v>821.2560386</v>
      </c>
      <c r="BK928" s="224">
        <f t="shared" si="909"/>
        <v>657.0048309</v>
      </c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</row>
    <row r="929" ht="14.25" customHeight="1">
      <c r="A929" s="103" t="s">
        <v>84</v>
      </c>
      <c r="B929" s="103" t="s">
        <v>3073</v>
      </c>
      <c r="C929" s="103" t="s">
        <v>120</v>
      </c>
      <c r="D929" s="103" t="s">
        <v>1886</v>
      </c>
      <c r="E929" s="109" t="s">
        <v>3074</v>
      </c>
      <c r="F929" s="105" t="s">
        <v>3185</v>
      </c>
      <c r="G929" s="110" t="s">
        <v>3228</v>
      </c>
      <c r="H929" s="110" t="s">
        <v>3134</v>
      </c>
      <c r="I929" s="107"/>
      <c r="J929" s="108" t="s">
        <v>3283</v>
      </c>
      <c r="K929" s="108" t="str">
        <f>_xlfn.XLOOKUP(J929,[1]Sheet1!$A:$A,[1]Sheet1!$B:$B,"")</f>
        <v>#ERROR!</v>
      </c>
      <c r="L929" s="109" t="s">
        <v>3284</v>
      </c>
      <c r="M929" s="104" t="s">
        <v>3285</v>
      </c>
      <c r="N929" s="110"/>
      <c r="O929" s="109" t="s">
        <v>147</v>
      </c>
      <c r="P929" s="106"/>
      <c r="Q929" s="105" t="s">
        <v>3081</v>
      </c>
      <c r="R929" s="106"/>
      <c r="S929" s="106"/>
      <c r="T929" s="110"/>
      <c r="U929" s="106">
        <v>9.403208E9</v>
      </c>
      <c r="V929" s="112">
        <v>0.0</v>
      </c>
      <c r="W929" s="106">
        <v>45.0</v>
      </c>
      <c r="X929" s="106">
        <v>45.0</v>
      </c>
      <c r="Y929" s="106"/>
      <c r="Z929" s="106" t="s">
        <v>99</v>
      </c>
      <c r="AA929" s="114">
        <f t="shared" si="891"/>
        <v>663.3020908</v>
      </c>
      <c r="AB929" s="115"/>
      <c r="AC929" s="212">
        <f t="shared" si="892"/>
        <v>579.7101449</v>
      </c>
      <c r="AD929" s="213">
        <f t="shared" si="799"/>
        <v>623.3442419</v>
      </c>
      <c r="AE929" s="212"/>
      <c r="AF929" s="212" t="str">
        <f t="shared" si="94"/>
        <v>#REF!</v>
      </c>
      <c r="AG929" s="210" t="str">
        <f t="shared" si="95"/>
        <v>#REF!</v>
      </c>
      <c r="AH929" s="120" t="str">
        <f t="shared" si="96"/>
        <v>#REF!</v>
      </c>
      <c r="AI929" s="121">
        <f t="shared" si="893"/>
        <v>0.05</v>
      </c>
      <c r="AJ929" s="121">
        <v>0.05</v>
      </c>
      <c r="AK929" s="418">
        <v>0.25</v>
      </c>
      <c r="AL929" s="123">
        <f t="shared" si="11"/>
        <v>144.9275362</v>
      </c>
      <c r="AM929" s="401" t="s">
        <v>10</v>
      </c>
      <c r="AN929" s="125">
        <f t="shared" si="894"/>
        <v>579.7101449</v>
      </c>
      <c r="AO929" s="402">
        <f t="shared" si="895"/>
        <v>0.25</v>
      </c>
      <c r="AP929" s="127"/>
      <c r="AQ929" s="128">
        <f t="shared" si="896"/>
        <v>484.2105263</v>
      </c>
      <c r="AR929" s="404">
        <f t="shared" si="897"/>
        <v>457.6659039</v>
      </c>
      <c r="AS929" s="405">
        <f t="shared" si="898"/>
        <v>0.27</v>
      </c>
      <c r="AT929" s="405">
        <f t="shared" si="899"/>
        <v>0.2105263158</v>
      </c>
      <c r="AU929" s="129"/>
      <c r="AV929" s="225" t="s">
        <v>3024</v>
      </c>
      <c r="AW929" s="416"/>
      <c r="AX929" s="416"/>
      <c r="AY929" s="361"/>
      <c r="AZ929" s="214"/>
      <c r="BA929" s="214"/>
      <c r="BB929" s="227"/>
      <c r="BC929" s="412">
        <v>400.0</v>
      </c>
      <c r="BD929" s="132">
        <f t="shared" si="905"/>
        <v>434.7826087</v>
      </c>
      <c r="BE929" s="215"/>
      <c r="BF929" s="48"/>
      <c r="BG929" s="49"/>
      <c r="BH929" s="224">
        <f t="shared" si="906"/>
        <v>1932.36715</v>
      </c>
      <c r="BI929" s="224">
        <f t="shared" si="907"/>
        <v>1159.42029</v>
      </c>
      <c r="BJ929" s="224">
        <f t="shared" si="908"/>
        <v>966.1835749</v>
      </c>
      <c r="BK929" s="224">
        <f t="shared" si="909"/>
        <v>772.9468599</v>
      </c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</row>
    <row r="930" ht="14.25" customHeight="1">
      <c r="A930" s="103" t="s">
        <v>84</v>
      </c>
      <c r="B930" s="103" t="s">
        <v>3073</v>
      </c>
      <c r="C930" s="103" t="s">
        <v>120</v>
      </c>
      <c r="D930" s="103" t="s">
        <v>1886</v>
      </c>
      <c r="E930" s="109" t="s">
        <v>3074</v>
      </c>
      <c r="F930" s="105" t="s">
        <v>3185</v>
      </c>
      <c r="G930" s="110" t="s">
        <v>3094</v>
      </c>
      <c r="H930" s="110" t="s">
        <v>3159</v>
      </c>
      <c r="I930" s="107"/>
      <c r="J930" s="108" t="s">
        <v>3286</v>
      </c>
      <c r="K930" s="108" t="str">
        <f>_xlfn.XLOOKUP(J930,[1]Sheet1!$A:$A,[1]Sheet1!$B:$B,"")</f>
        <v>#ERROR!</v>
      </c>
      <c r="L930" s="109" t="s">
        <v>3287</v>
      </c>
      <c r="M930" s="104" t="s">
        <v>3288</v>
      </c>
      <c r="N930" s="110"/>
      <c r="O930" s="109" t="s">
        <v>147</v>
      </c>
      <c r="P930" s="106"/>
      <c r="Q930" s="105" t="s">
        <v>3081</v>
      </c>
      <c r="R930" s="106"/>
      <c r="S930" s="106"/>
      <c r="T930" s="110"/>
      <c r="U930" s="106">
        <v>9.403208E9</v>
      </c>
      <c r="V930" s="112">
        <v>0.0</v>
      </c>
      <c r="W930" s="106">
        <v>45.0</v>
      </c>
      <c r="X930" s="106">
        <v>45.0</v>
      </c>
      <c r="Y930" s="106"/>
      <c r="Z930" s="106" t="s">
        <v>99</v>
      </c>
      <c r="AA930" s="114">
        <f t="shared" si="891"/>
        <v>638.4282624</v>
      </c>
      <c r="AB930" s="115"/>
      <c r="AC930" s="212">
        <f t="shared" si="892"/>
        <v>557.9710145</v>
      </c>
      <c r="AD930" s="213">
        <f t="shared" si="799"/>
        <v>599.9688328</v>
      </c>
      <c r="AE930" s="212"/>
      <c r="AF930" s="212" t="str">
        <f t="shared" si="94"/>
        <v>#REF!</v>
      </c>
      <c r="AG930" s="210" t="str">
        <f t="shared" si="95"/>
        <v>#REF!</v>
      </c>
      <c r="AH930" s="120" t="str">
        <f t="shared" si="96"/>
        <v>#REF!</v>
      </c>
      <c r="AI930" s="121">
        <f t="shared" si="893"/>
        <v>0.05</v>
      </c>
      <c r="AJ930" s="121">
        <v>0.05</v>
      </c>
      <c r="AK930" s="418">
        <v>0.25</v>
      </c>
      <c r="AL930" s="123">
        <f t="shared" si="11"/>
        <v>139.4927536</v>
      </c>
      <c r="AM930" s="401" t="s">
        <v>10</v>
      </c>
      <c r="AN930" s="125">
        <f t="shared" si="894"/>
        <v>557.9710145</v>
      </c>
      <c r="AO930" s="402">
        <f t="shared" si="895"/>
        <v>0.25</v>
      </c>
      <c r="AP930" s="127"/>
      <c r="AQ930" s="128">
        <f t="shared" si="896"/>
        <v>466.0526316</v>
      </c>
      <c r="AR930" s="404">
        <f t="shared" si="897"/>
        <v>440.5034325</v>
      </c>
      <c r="AS930" s="405">
        <f t="shared" si="898"/>
        <v>0.27</v>
      </c>
      <c r="AT930" s="405">
        <f t="shared" si="899"/>
        <v>0.2105263158</v>
      </c>
      <c r="AU930" s="129"/>
      <c r="AV930" s="225" t="s">
        <v>3024</v>
      </c>
      <c r="AW930" s="416"/>
      <c r="AX930" s="416"/>
      <c r="AY930" s="361"/>
      <c r="AZ930" s="214"/>
      <c r="BA930" s="214"/>
      <c r="BB930" s="227"/>
      <c r="BC930" s="412">
        <v>385.0</v>
      </c>
      <c r="BD930" s="132">
        <f t="shared" si="905"/>
        <v>418.4782609</v>
      </c>
      <c r="BE930" s="215"/>
      <c r="BF930" s="48"/>
      <c r="BG930" s="49"/>
      <c r="BH930" s="224">
        <f t="shared" si="906"/>
        <v>1859.903382</v>
      </c>
      <c r="BI930" s="224">
        <f t="shared" si="907"/>
        <v>1115.942029</v>
      </c>
      <c r="BJ930" s="224">
        <f t="shared" si="908"/>
        <v>929.9516908</v>
      </c>
      <c r="BK930" s="224">
        <f t="shared" si="909"/>
        <v>743.9613527</v>
      </c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</row>
    <row r="931" ht="14.25" customHeight="1">
      <c r="A931" s="103" t="s">
        <v>84</v>
      </c>
      <c r="B931" s="103" t="s">
        <v>3073</v>
      </c>
      <c r="C931" s="103" t="s">
        <v>120</v>
      </c>
      <c r="D931" s="103" t="s">
        <v>1886</v>
      </c>
      <c r="E931" s="109" t="s">
        <v>3074</v>
      </c>
      <c r="F931" s="105" t="s">
        <v>3185</v>
      </c>
      <c r="G931" s="110" t="s">
        <v>3094</v>
      </c>
      <c r="H931" s="110" t="s">
        <v>3240</v>
      </c>
      <c r="I931" s="107"/>
      <c r="J931" s="108" t="s">
        <v>3289</v>
      </c>
      <c r="K931" s="108" t="str">
        <f>_xlfn.XLOOKUP(J931,[1]Sheet1!$A:$A,[1]Sheet1!$B:$B,"")</f>
        <v>#ERROR!</v>
      </c>
      <c r="L931" s="109" t="s">
        <v>3290</v>
      </c>
      <c r="M931" s="104" t="s">
        <v>3291</v>
      </c>
      <c r="N931" s="110"/>
      <c r="O931" s="109" t="s">
        <v>147</v>
      </c>
      <c r="P931" s="106"/>
      <c r="Q931" s="105" t="s">
        <v>3081</v>
      </c>
      <c r="R931" s="106"/>
      <c r="S931" s="106"/>
      <c r="T931" s="110"/>
      <c r="U931" s="106">
        <v>9.403208E9</v>
      </c>
      <c r="V931" s="112">
        <v>0.0</v>
      </c>
      <c r="W931" s="106">
        <v>45.0</v>
      </c>
      <c r="X931" s="106">
        <v>45.0</v>
      </c>
      <c r="Y931" s="106"/>
      <c r="Z931" s="106" t="s">
        <v>99</v>
      </c>
      <c r="AA931" s="114">
        <f t="shared" si="891"/>
        <v>721.3410238</v>
      </c>
      <c r="AB931" s="115"/>
      <c r="AC931" s="212">
        <f t="shared" si="892"/>
        <v>630.4347826</v>
      </c>
      <c r="AD931" s="213">
        <f t="shared" si="799"/>
        <v>677.886863</v>
      </c>
      <c r="AE931" s="212"/>
      <c r="AF931" s="212" t="str">
        <f t="shared" si="94"/>
        <v>#REF!</v>
      </c>
      <c r="AG931" s="210" t="str">
        <f t="shared" si="95"/>
        <v>#REF!</v>
      </c>
      <c r="AH931" s="120" t="str">
        <f t="shared" si="96"/>
        <v>#REF!</v>
      </c>
      <c r="AI931" s="121">
        <f t="shared" si="893"/>
        <v>0.05</v>
      </c>
      <c r="AJ931" s="121">
        <v>0.05</v>
      </c>
      <c r="AK931" s="418">
        <v>0.25</v>
      </c>
      <c r="AL931" s="123">
        <f t="shared" si="11"/>
        <v>157.6086957</v>
      </c>
      <c r="AM931" s="401" t="s">
        <v>10</v>
      </c>
      <c r="AN931" s="125">
        <f t="shared" si="894"/>
        <v>630.4347826</v>
      </c>
      <c r="AO931" s="402">
        <f t="shared" si="895"/>
        <v>0.25</v>
      </c>
      <c r="AP931" s="127"/>
      <c r="AQ931" s="128">
        <f t="shared" si="896"/>
        <v>526.5789474</v>
      </c>
      <c r="AR931" s="404">
        <f t="shared" si="897"/>
        <v>497.7116705</v>
      </c>
      <c r="AS931" s="405">
        <f t="shared" si="898"/>
        <v>0.27</v>
      </c>
      <c r="AT931" s="405">
        <f t="shared" si="899"/>
        <v>0.2105263158</v>
      </c>
      <c r="AU931" s="129"/>
      <c r="AV931" s="225" t="s">
        <v>3024</v>
      </c>
      <c r="AW931" s="416"/>
      <c r="AX931" s="416"/>
      <c r="AY931" s="361"/>
      <c r="AZ931" s="214"/>
      <c r="BA931" s="214"/>
      <c r="BB931" s="227"/>
      <c r="BC931" s="412">
        <v>435.0</v>
      </c>
      <c r="BD931" s="132">
        <f t="shared" si="905"/>
        <v>472.826087</v>
      </c>
      <c r="BE931" s="215"/>
      <c r="BF931" s="48"/>
      <c r="BG931" s="49"/>
      <c r="BH931" s="224">
        <f t="shared" si="906"/>
        <v>2101.449275</v>
      </c>
      <c r="BI931" s="224">
        <f t="shared" si="907"/>
        <v>1260.869565</v>
      </c>
      <c r="BJ931" s="224">
        <f t="shared" si="908"/>
        <v>1050.724638</v>
      </c>
      <c r="BK931" s="224">
        <f t="shared" si="909"/>
        <v>840.5797101</v>
      </c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</row>
    <row r="932" ht="14.25" customHeight="1">
      <c r="A932" s="103" t="s">
        <v>84</v>
      </c>
      <c r="B932" s="103" t="s">
        <v>3073</v>
      </c>
      <c r="C932" s="103" t="s">
        <v>120</v>
      </c>
      <c r="D932" s="103" t="s">
        <v>1886</v>
      </c>
      <c r="E932" s="109" t="s">
        <v>3074</v>
      </c>
      <c r="F932" s="105" t="s">
        <v>3185</v>
      </c>
      <c r="G932" s="110" t="s">
        <v>3228</v>
      </c>
      <c r="H932" s="110" t="s">
        <v>3240</v>
      </c>
      <c r="I932" s="107"/>
      <c r="J932" s="108" t="s">
        <v>3292</v>
      </c>
      <c r="K932" s="108" t="str">
        <f>_xlfn.XLOOKUP(J932,[1]Sheet1!$A:$A,[1]Sheet1!$B:$B,"")</f>
        <v>#ERROR!</v>
      </c>
      <c r="L932" s="109" t="s">
        <v>3293</v>
      </c>
      <c r="M932" s="104" t="s">
        <v>3294</v>
      </c>
      <c r="N932" s="110"/>
      <c r="O932" s="109" t="s">
        <v>147</v>
      </c>
      <c r="P932" s="106"/>
      <c r="Q932" s="105" t="s">
        <v>3081</v>
      </c>
      <c r="R932" s="106"/>
      <c r="S932" s="106"/>
      <c r="T932" s="110"/>
      <c r="U932" s="106">
        <v>9.403208E9</v>
      </c>
      <c r="V932" s="112">
        <v>0.0</v>
      </c>
      <c r="W932" s="106">
        <v>45.0</v>
      </c>
      <c r="X932" s="106">
        <v>45.0</v>
      </c>
      <c r="Y932" s="106"/>
      <c r="Z932" s="106" t="s">
        <v>99</v>
      </c>
      <c r="AA932" s="114">
        <f t="shared" si="891"/>
        <v>779.3799567</v>
      </c>
      <c r="AB932" s="115"/>
      <c r="AC932" s="212">
        <f t="shared" si="892"/>
        <v>681.1594203</v>
      </c>
      <c r="AD932" s="213">
        <f t="shared" si="799"/>
        <v>732.4294842</v>
      </c>
      <c r="AE932" s="212"/>
      <c r="AF932" s="212" t="str">
        <f t="shared" si="94"/>
        <v>#REF!</v>
      </c>
      <c r="AG932" s="210" t="str">
        <f t="shared" si="95"/>
        <v>#REF!</v>
      </c>
      <c r="AH932" s="120" t="str">
        <f t="shared" si="96"/>
        <v>#REF!</v>
      </c>
      <c r="AI932" s="121">
        <f t="shared" si="893"/>
        <v>0.05</v>
      </c>
      <c r="AJ932" s="121">
        <v>0.05</v>
      </c>
      <c r="AK932" s="418">
        <v>0.25</v>
      </c>
      <c r="AL932" s="123">
        <f t="shared" si="11"/>
        <v>170.2898551</v>
      </c>
      <c r="AM932" s="401" t="s">
        <v>10</v>
      </c>
      <c r="AN932" s="125">
        <f t="shared" si="894"/>
        <v>681.1594203</v>
      </c>
      <c r="AO932" s="402">
        <f t="shared" si="895"/>
        <v>0.25</v>
      </c>
      <c r="AP932" s="127"/>
      <c r="AQ932" s="128">
        <f t="shared" si="896"/>
        <v>568.9473684</v>
      </c>
      <c r="AR932" s="404">
        <f t="shared" si="897"/>
        <v>537.7574371</v>
      </c>
      <c r="AS932" s="405">
        <f t="shared" si="898"/>
        <v>0.27</v>
      </c>
      <c r="AT932" s="405">
        <f t="shared" si="899"/>
        <v>0.2105263158</v>
      </c>
      <c r="AU932" s="129"/>
      <c r="AV932" s="225" t="s">
        <v>3024</v>
      </c>
      <c r="AW932" s="416"/>
      <c r="AX932" s="416"/>
      <c r="AY932" s="361"/>
      <c r="AZ932" s="214"/>
      <c r="BA932" s="214"/>
      <c r="BB932" s="227"/>
      <c r="BC932" s="412">
        <v>470.0</v>
      </c>
      <c r="BD932" s="132">
        <f t="shared" si="905"/>
        <v>510.8695652</v>
      </c>
      <c r="BE932" s="215"/>
      <c r="BF932" s="48"/>
      <c r="BG932" s="49"/>
      <c r="BH932" s="224">
        <f t="shared" si="906"/>
        <v>2270.531401</v>
      </c>
      <c r="BI932" s="224">
        <f t="shared" si="907"/>
        <v>1362.318841</v>
      </c>
      <c r="BJ932" s="224">
        <f t="shared" si="908"/>
        <v>1135.2657</v>
      </c>
      <c r="BK932" s="224">
        <f t="shared" si="909"/>
        <v>908.2125604</v>
      </c>
      <c r="BL932" s="49"/>
      <c r="BM932" s="49"/>
      <c r="BN932" s="49"/>
      <c r="BO932" s="49"/>
      <c r="BP932" s="49"/>
      <c r="BQ932" s="49"/>
      <c r="BR932" s="49"/>
      <c r="BS932" s="49"/>
      <c r="BT932" s="49"/>
      <c r="BU932" s="49"/>
      <c r="BV932" s="49"/>
      <c r="BW932" s="49"/>
      <c r="BX932" s="49"/>
      <c r="BY932" s="49"/>
      <c r="BZ932" s="49"/>
      <c r="CA932" s="49"/>
      <c r="CB932" s="49"/>
      <c r="CC932" s="49"/>
      <c r="CD932" s="49"/>
      <c r="CE932" s="49"/>
      <c r="CF932" s="49"/>
    </row>
    <row r="933" ht="14.25" customHeight="1">
      <c r="A933" s="103" t="s">
        <v>84</v>
      </c>
      <c r="B933" s="103" t="s">
        <v>3073</v>
      </c>
      <c r="C933" s="103" t="s">
        <v>120</v>
      </c>
      <c r="D933" s="103" t="s">
        <v>1886</v>
      </c>
      <c r="E933" s="109" t="s">
        <v>3074</v>
      </c>
      <c r="F933" s="105" t="s">
        <v>3185</v>
      </c>
      <c r="G933" s="110" t="s">
        <v>3090</v>
      </c>
      <c r="H933" s="110" t="s">
        <v>3134</v>
      </c>
      <c r="I933" s="107"/>
      <c r="J933" s="108" t="s">
        <v>3295</v>
      </c>
      <c r="K933" s="108" t="str">
        <f>_xlfn.XLOOKUP(J933,[1]Sheet1!$A:$A,[1]Sheet1!$B:$B,"")</f>
        <v>#ERROR!</v>
      </c>
      <c r="L933" s="109" t="s">
        <v>3296</v>
      </c>
      <c r="M933" s="104" t="s">
        <v>3297</v>
      </c>
      <c r="N933" s="110"/>
      <c r="O933" s="109" t="s">
        <v>147</v>
      </c>
      <c r="P933" s="106"/>
      <c r="Q933" s="105" t="s">
        <v>3081</v>
      </c>
      <c r="R933" s="106"/>
      <c r="S933" s="106"/>
      <c r="T933" s="110"/>
      <c r="U933" s="106">
        <v>9.403208E9</v>
      </c>
      <c r="V933" s="112">
        <v>0.0</v>
      </c>
      <c r="W933" s="106">
        <v>45.0</v>
      </c>
      <c r="X933" s="106">
        <v>45.0</v>
      </c>
      <c r="Y933" s="106"/>
      <c r="Z933" s="106" t="s">
        <v>99</v>
      </c>
      <c r="AA933" s="114">
        <f t="shared" si="891"/>
        <v>621.8457102</v>
      </c>
      <c r="AB933" s="115"/>
      <c r="AC933" s="212">
        <f t="shared" si="892"/>
        <v>543.4782609</v>
      </c>
      <c r="AD933" s="213">
        <f t="shared" si="799"/>
        <v>584.3852267</v>
      </c>
      <c r="AE933" s="212"/>
      <c r="AF933" s="212" t="str">
        <f t="shared" si="94"/>
        <v>#REF!</v>
      </c>
      <c r="AG933" s="210" t="str">
        <f t="shared" si="95"/>
        <v>#REF!</v>
      </c>
      <c r="AH933" s="120" t="str">
        <f t="shared" si="96"/>
        <v>#REF!</v>
      </c>
      <c r="AI933" s="121">
        <f t="shared" si="893"/>
        <v>0.05</v>
      </c>
      <c r="AJ933" s="121">
        <v>0.05</v>
      </c>
      <c r="AK933" s="418">
        <v>0.25</v>
      </c>
      <c r="AL933" s="123">
        <f t="shared" si="11"/>
        <v>135.8695652</v>
      </c>
      <c r="AM933" s="401" t="s">
        <v>10</v>
      </c>
      <c r="AN933" s="125">
        <f t="shared" si="894"/>
        <v>543.4782609</v>
      </c>
      <c r="AO933" s="402">
        <f t="shared" si="895"/>
        <v>0.25</v>
      </c>
      <c r="AP933" s="127"/>
      <c r="AQ933" s="128">
        <f t="shared" si="896"/>
        <v>453.9473684</v>
      </c>
      <c r="AR933" s="404">
        <f t="shared" si="897"/>
        <v>429.0617849</v>
      </c>
      <c r="AS933" s="405">
        <f t="shared" si="898"/>
        <v>0.27</v>
      </c>
      <c r="AT933" s="405">
        <f t="shared" si="899"/>
        <v>0.2105263158</v>
      </c>
      <c r="AU933" s="129"/>
      <c r="AV933" s="225" t="s">
        <v>3024</v>
      </c>
      <c r="AW933" s="416"/>
      <c r="AX933" s="416"/>
      <c r="AY933" s="361"/>
      <c r="AZ933" s="214"/>
      <c r="BA933" s="214"/>
      <c r="BB933" s="227"/>
      <c r="BC933" s="412">
        <v>375.0</v>
      </c>
      <c r="BD933" s="132">
        <f t="shared" si="905"/>
        <v>407.6086957</v>
      </c>
      <c r="BE933" s="215"/>
      <c r="BF933" s="48"/>
      <c r="BG933" s="49"/>
      <c r="BH933" s="224">
        <f t="shared" si="906"/>
        <v>1811.594203</v>
      </c>
      <c r="BI933" s="224">
        <f t="shared" si="907"/>
        <v>1086.956522</v>
      </c>
      <c r="BJ933" s="224">
        <f t="shared" si="908"/>
        <v>905.7971014</v>
      </c>
      <c r="BK933" s="224">
        <f t="shared" si="909"/>
        <v>724.6376812</v>
      </c>
      <c r="BL933" s="49"/>
      <c r="BM933" s="49"/>
      <c r="BN933" s="49"/>
      <c r="BO933" s="49"/>
      <c r="BP933" s="49"/>
      <c r="BQ933" s="49"/>
      <c r="BR933" s="49"/>
      <c r="BS933" s="49"/>
      <c r="BT933" s="49"/>
      <c r="BU933" s="49"/>
      <c r="BV933" s="49"/>
      <c r="BW933" s="49"/>
      <c r="BX933" s="49"/>
      <c r="BY933" s="49"/>
      <c r="BZ933" s="49"/>
      <c r="CA933" s="49"/>
      <c r="CB933" s="49"/>
      <c r="CC933" s="49"/>
      <c r="CD933" s="49"/>
      <c r="CE933" s="49"/>
      <c r="CF933" s="49"/>
    </row>
    <row r="934" ht="14.25" customHeight="1">
      <c r="A934" s="103" t="s">
        <v>84</v>
      </c>
      <c r="B934" s="103" t="s">
        <v>3073</v>
      </c>
      <c r="C934" s="103" t="s">
        <v>120</v>
      </c>
      <c r="D934" s="103" t="s">
        <v>1886</v>
      </c>
      <c r="E934" s="109" t="s">
        <v>3074</v>
      </c>
      <c r="F934" s="105" t="s">
        <v>3185</v>
      </c>
      <c r="G934" s="110" t="s">
        <v>3094</v>
      </c>
      <c r="H934" s="110" t="s">
        <v>3134</v>
      </c>
      <c r="I934" s="107"/>
      <c r="J934" s="108" t="s">
        <v>3298</v>
      </c>
      <c r="K934" s="108" t="str">
        <f>_xlfn.XLOOKUP(J934,[1]Sheet1!$A:$A,[1]Sheet1!$B:$B,"")</f>
        <v>#ERROR!</v>
      </c>
      <c r="L934" s="109" t="s">
        <v>3299</v>
      </c>
      <c r="M934" s="104" t="s">
        <v>3300</v>
      </c>
      <c r="N934" s="110"/>
      <c r="O934" s="109" t="s">
        <v>147</v>
      </c>
      <c r="P934" s="106"/>
      <c r="Q934" s="105" t="s">
        <v>3081</v>
      </c>
      <c r="R934" s="106"/>
      <c r="S934" s="106"/>
      <c r="T934" s="110"/>
      <c r="U934" s="106">
        <v>9.403208E9</v>
      </c>
      <c r="V934" s="112">
        <v>0.0</v>
      </c>
      <c r="W934" s="106">
        <v>45.0</v>
      </c>
      <c r="X934" s="106">
        <v>45.0</v>
      </c>
      <c r="Y934" s="106"/>
      <c r="Z934" s="106" t="s">
        <v>99</v>
      </c>
      <c r="AA934" s="114">
        <f t="shared" si="891"/>
        <v>696.4671954</v>
      </c>
      <c r="AB934" s="115"/>
      <c r="AC934" s="212">
        <f t="shared" si="892"/>
        <v>608.6956522</v>
      </c>
      <c r="AD934" s="213">
        <f t="shared" si="799"/>
        <v>654.511454</v>
      </c>
      <c r="AE934" s="212"/>
      <c r="AF934" s="212" t="str">
        <f t="shared" si="94"/>
        <v>#REF!</v>
      </c>
      <c r="AG934" s="210" t="str">
        <f t="shared" si="95"/>
        <v>#REF!</v>
      </c>
      <c r="AH934" s="120" t="str">
        <f t="shared" si="96"/>
        <v>#REF!</v>
      </c>
      <c r="AI934" s="121">
        <f t="shared" si="893"/>
        <v>0.05</v>
      </c>
      <c r="AJ934" s="121">
        <v>0.05</v>
      </c>
      <c r="AK934" s="418">
        <v>0.25</v>
      </c>
      <c r="AL934" s="123">
        <f t="shared" si="11"/>
        <v>152.173913</v>
      </c>
      <c r="AM934" s="401" t="s">
        <v>10</v>
      </c>
      <c r="AN934" s="125">
        <f t="shared" si="894"/>
        <v>608.6956522</v>
      </c>
      <c r="AO934" s="402">
        <f t="shared" si="895"/>
        <v>0.25</v>
      </c>
      <c r="AP934" s="127"/>
      <c r="AQ934" s="128">
        <f t="shared" si="896"/>
        <v>508.4210526</v>
      </c>
      <c r="AR934" s="404">
        <f t="shared" si="897"/>
        <v>480.5491991</v>
      </c>
      <c r="AS934" s="405">
        <f t="shared" si="898"/>
        <v>0.27</v>
      </c>
      <c r="AT934" s="405">
        <f t="shared" si="899"/>
        <v>0.2105263158</v>
      </c>
      <c r="AU934" s="129"/>
      <c r="AV934" s="225" t="s">
        <v>3024</v>
      </c>
      <c r="AW934" s="416"/>
      <c r="AX934" s="416"/>
      <c r="AY934" s="361"/>
      <c r="AZ934" s="214"/>
      <c r="BA934" s="214"/>
      <c r="BB934" s="227"/>
      <c r="BC934" s="412">
        <v>420.0</v>
      </c>
      <c r="BD934" s="132">
        <f t="shared" si="905"/>
        <v>456.5217391</v>
      </c>
      <c r="BE934" s="215"/>
      <c r="BF934" s="48"/>
      <c r="BG934" s="49"/>
      <c r="BH934" s="224">
        <f t="shared" si="906"/>
        <v>2028.985507</v>
      </c>
      <c r="BI934" s="224">
        <f t="shared" si="907"/>
        <v>1217.391304</v>
      </c>
      <c r="BJ934" s="224">
        <f t="shared" si="908"/>
        <v>1014.492754</v>
      </c>
      <c r="BK934" s="224">
        <f t="shared" si="909"/>
        <v>811.5942029</v>
      </c>
      <c r="BL934" s="49"/>
      <c r="BM934" s="49"/>
      <c r="BN934" s="49"/>
      <c r="BO934" s="49"/>
      <c r="BP934" s="49"/>
      <c r="BQ934" s="49"/>
      <c r="BR934" s="49"/>
      <c r="BS934" s="49"/>
      <c r="BT934" s="49"/>
      <c r="BU934" s="49"/>
      <c r="BV934" s="49"/>
      <c r="BW934" s="49"/>
      <c r="BX934" s="49"/>
      <c r="BY934" s="49"/>
      <c r="BZ934" s="49"/>
      <c r="CA934" s="49"/>
      <c r="CB934" s="49"/>
      <c r="CC934" s="49"/>
      <c r="CD934" s="49"/>
      <c r="CE934" s="49"/>
      <c r="CF934" s="49"/>
    </row>
    <row r="935" ht="14.25" customHeight="1">
      <c r="A935" s="103" t="s">
        <v>84</v>
      </c>
      <c r="B935" s="103" t="s">
        <v>3073</v>
      </c>
      <c r="C935" s="103" t="s">
        <v>120</v>
      </c>
      <c r="D935" s="103" t="s">
        <v>1886</v>
      </c>
      <c r="E935" s="109" t="s">
        <v>3074</v>
      </c>
      <c r="F935" s="105" t="s">
        <v>3185</v>
      </c>
      <c r="G935" s="110" t="s">
        <v>3228</v>
      </c>
      <c r="H935" s="110" t="s">
        <v>3134</v>
      </c>
      <c r="I935" s="107"/>
      <c r="J935" s="108" t="s">
        <v>3301</v>
      </c>
      <c r="K935" s="108" t="str">
        <f>_xlfn.XLOOKUP(J935,[1]Sheet1!$A:$A,[1]Sheet1!$B:$B,"")</f>
        <v>#ERROR!</v>
      </c>
      <c r="L935" s="109" t="s">
        <v>3302</v>
      </c>
      <c r="M935" s="104" t="s">
        <v>3303</v>
      </c>
      <c r="N935" s="110"/>
      <c r="O935" s="109" t="s">
        <v>147</v>
      </c>
      <c r="P935" s="106"/>
      <c r="Q935" s="105" t="s">
        <v>3081</v>
      </c>
      <c r="R935" s="106"/>
      <c r="S935" s="106"/>
      <c r="T935" s="110"/>
      <c r="U935" s="106">
        <v>9.403208E9</v>
      </c>
      <c r="V935" s="112">
        <v>0.0</v>
      </c>
      <c r="W935" s="106">
        <v>45.0</v>
      </c>
      <c r="X935" s="106">
        <v>45.0</v>
      </c>
      <c r="Y935" s="106"/>
      <c r="Z935" s="106" t="s">
        <v>99</v>
      </c>
      <c r="AA935" s="114">
        <f t="shared" si="891"/>
        <v>754.5061283</v>
      </c>
      <c r="AB935" s="115"/>
      <c r="AC935" s="212">
        <f t="shared" si="892"/>
        <v>659.4202899</v>
      </c>
      <c r="AD935" s="213">
        <f t="shared" si="799"/>
        <v>709.0540751</v>
      </c>
      <c r="AE935" s="212"/>
      <c r="AF935" s="212" t="str">
        <f t="shared" si="94"/>
        <v>#REF!</v>
      </c>
      <c r="AG935" s="210" t="str">
        <f t="shared" si="95"/>
        <v>#REF!</v>
      </c>
      <c r="AH935" s="120" t="str">
        <f t="shared" si="96"/>
        <v>#REF!</v>
      </c>
      <c r="AI935" s="121">
        <f t="shared" si="893"/>
        <v>0.05</v>
      </c>
      <c r="AJ935" s="121">
        <v>0.05</v>
      </c>
      <c r="AK935" s="418">
        <v>0.25</v>
      </c>
      <c r="AL935" s="123">
        <f t="shared" si="11"/>
        <v>164.8550725</v>
      </c>
      <c r="AM935" s="401" t="s">
        <v>10</v>
      </c>
      <c r="AN935" s="125">
        <f t="shared" si="894"/>
        <v>659.4202899</v>
      </c>
      <c r="AO935" s="402">
        <f t="shared" si="895"/>
        <v>0.25</v>
      </c>
      <c r="AP935" s="127"/>
      <c r="AQ935" s="128">
        <f t="shared" si="896"/>
        <v>550.7894737</v>
      </c>
      <c r="AR935" s="404">
        <f t="shared" si="897"/>
        <v>520.5949657</v>
      </c>
      <c r="AS935" s="405">
        <f t="shared" si="898"/>
        <v>0.27</v>
      </c>
      <c r="AT935" s="405">
        <f t="shared" si="899"/>
        <v>0.2105263158</v>
      </c>
      <c r="AU935" s="129"/>
      <c r="AV935" s="225" t="s">
        <v>3024</v>
      </c>
      <c r="AW935" s="416"/>
      <c r="AX935" s="416"/>
      <c r="AY935" s="361"/>
      <c r="AZ935" s="214"/>
      <c r="BA935" s="214"/>
      <c r="BB935" s="227"/>
      <c r="BC935" s="412">
        <v>455.0</v>
      </c>
      <c r="BD935" s="132">
        <f t="shared" si="905"/>
        <v>494.5652174</v>
      </c>
      <c r="BE935" s="215"/>
      <c r="BF935" s="48"/>
      <c r="BG935" s="49"/>
      <c r="BH935" s="224">
        <f t="shared" si="906"/>
        <v>2198.067633</v>
      </c>
      <c r="BI935" s="224">
        <f t="shared" si="907"/>
        <v>1318.84058</v>
      </c>
      <c r="BJ935" s="224">
        <f t="shared" si="908"/>
        <v>1099.033816</v>
      </c>
      <c r="BK935" s="224">
        <f t="shared" si="909"/>
        <v>879.2270531</v>
      </c>
      <c r="BL935" s="49"/>
      <c r="BM935" s="49"/>
      <c r="BN935" s="49"/>
      <c r="BO935" s="49"/>
      <c r="BP935" s="49"/>
      <c r="BQ935" s="49"/>
      <c r="BR935" s="49"/>
      <c r="BS935" s="49"/>
      <c r="BT935" s="49"/>
      <c r="BU935" s="49"/>
      <c r="BV935" s="49"/>
      <c r="BW935" s="49"/>
      <c r="BX935" s="49"/>
      <c r="BY935" s="49"/>
      <c r="BZ935" s="49"/>
      <c r="CA935" s="49"/>
      <c r="CB935" s="49"/>
      <c r="CC935" s="49"/>
      <c r="CD935" s="49"/>
      <c r="CE935" s="49"/>
      <c r="CF935" s="49"/>
    </row>
    <row r="936" ht="14.25" customHeight="1">
      <c r="A936" s="103" t="s">
        <v>84</v>
      </c>
      <c r="B936" s="103" t="s">
        <v>3073</v>
      </c>
      <c r="C936" s="103" t="s">
        <v>120</v>
      </c>
      <c r="D936" s="103" t="s">
        <v>1886</v>
      </c>
      <c r="E936" s="109" t="s">
        <v>3074</v>
      </c>
      <c r="F936" s="105" t="s">
        <v>3185</v>
      </c>
      <c r="G936" s="110" t="s">
        <v>3094</v>
      </c>
      <c r="H936" s="110" t="s">
        <v>3159</v>
      </c>
      <c r="I936" s="107"/>
      <c r="J936" s="108" t="s">
        <v>3304</v>
      </c>
      <c r="K936" s="108" t="str">
        <f>_xlfn.XLOOKUP(J936,[1]Sheet1!$A:$A,[1]Sheet1!$B:$B,"")</f>
        <v>#ERROR!</v>
      </c>
      <c r="L936" s="109" t="s">
        <v>3305</v>
      </c>
      <c r="M936" s="104" t="s">
        <v>3306</v>
      </c>
      <c r="N936" s="110"/>
      <c r="O936" s="109" t="s">
        <v>147</v>
      </c>
      <c r="P936" s="106"/>
      <c r="Q936" s="105" t="s">
        <v>3081</v>
      </c>
      <c r="R936" s="106"/>
      <c r="S936" s="106"/>
      <c r="T936" s="110"/>
      <c r="U936" s="106">
        <v>9.403208E9</v>
      </c>
      <c r="V936" s="112">
        <v>0.0</v>
      </c>
      <c r="W936" s="106">
        <v>45.0</v>
      </c>
      <c r="X936" s="106">
        <v>45.0</v>
      </c>
      <c r="Y936" s="106"/>
      <c r="Z936" s="106" t="s">
        <v>99</v>
      </c>
      <c r="AA936" s="114">
        <f t="shared" si="891"/>
        <v>737.9235761</v>
      </c>
      <c r="AB936" s="115"/>
      <c r="AC936" s="212">
        <f t="shared" si="892"/>
        <v>644.9275362</v>
      </c>
      <c r="AD936" s="213">
        <f t="shared" si="799"/>
        <v>693.4704691</v>
      </c>
      <c r="AE936" s="212"/>
      <c r="AF936" s="212" t="str">
        <f t="shared" si="94"/>
        <v>#REF!</v>
      </c>
      <c r="AG936" s="210" t="str">
        <f t="shared" si="95"/>
        <v>#REF!</v>
      </c>
      <c r="AH936" s="120" t="str">
        <f t="shared" si="96"/>
        <v>#REF!</v>
      </c>
      <c r="AI936" s="121">
        <f t="shared" si="893"/>
        <v>0.05</v>
      </c>
      <c r="AJ936" s="121">
        <v>0.05</v>
      </c>
      <c r="AK936" s="418">
        <v>0.25</v>
      </c>
      <c r="AL936" s="123">
        <f t="shared" si="11"/>
        <v>161.2318841</v>
      </c>
      <c r="AM936" s="401" t="s">
        <v>10</v>
      </c>
      <c r="AN936" s="125">
        <f t="shared" si="894"/>
        <v>644.9275362</v>
      </c>
      <c r="AO936" s="402">
        <f t="shared" si="895"/>
        <v>0.25</v>
      </c>
      <c r="AP936" s="127"/>
      <c r="AQ936" s="128">
        <f t="shared" si="896"/>
        <v>538.6842105</v>
      </c>
      <c r="AR936" s="404">
        <f t="shared" si="897"/>
        <v>509.1533181</v>
      </c>
      <c r="AS936" s="405">
        <f t="shared" si="898"/>
        <v>0.27</v>
      </c>
      <c r="AT936" s="405">
        <f t="shared" si="899"/>
        <v>0.2105263158</v>
      </c>
      <c r="AU936" s="129"/>
      <c r="AV936" s="225" t="s">
        <v>3024</v>
      </c>
      <c r="AW936" s="416"/>
      <c r="AX936" s="416"/>
      <c r="AY936" s="361"/>
      <c r="AZ936" s="214"/>
      <c r="BA936" s="214"/>
      <c r="BB936" s="227"/>
      <c r="BC936" s="412">
        <v>445.0</v>
      </c>
      <c r="BD936" s="132">
        <f t="shared" si="905"/>
        <v>483.6956522</v>
      </c>
      <c r="BE936" s="215"/>
      <c r="BF936" s="48"/>
      <c r="BG936" s="49"/>
      <c r="BH936" s="224">
        <f t="shared" si="906"/>
        <v>2149.758454</v>
      </c>
      <c r="BI936" s="224">
        <f t="shared" si="907"/>
        <v>1289.855072</v>
      </c>
      <c r="BJ936" s="224">
        <f t="shared" si="908"/>
        <v>1074.879227</v>
      </c>
      <c r="BK936" s="224">
        <f t="shared" si="909"/>
        <v>859.9033816</v>
      </c>
      <c r="BL936" s="49"/>
      <c r="BM936" s="49"/>
      <c r="BN936" s="49"/>
      <c r="BO936" s="49"/>
      <c r="BP936" s="49"/>
      <c r="BQ936" s="49"/>
      <c r="BR936" s="49"/>
      <c r="BS936" s="49"/>
      <c r="BT936" s="49"/>
      <c r="BU936" s="49"/>
      <c r="BV936" s="49"/>
      <c r="BW936" s="49"/>
      <c r="BX936" s="49"/>
      <c r="BY936" s="49"/>
      <c r="BZ936" s="49"/>
      <c r="CA936" s="49"/>
      <c r="CB936" s="49"/>
      <c r="CC936" s="49"/>
      <c r="CD936" s="49"/>
      <c r="CE936" s="49"/>
      <c r="CF936" s="49"/>
    </row>
    <row r="937" ht="14.25" customHeight="1">
      <c r="A937" s="103" t="s">
        <v>84</v>
      </c>
      <c r="B937" s="103" t="s">
        <v>3073</v>
      </c>
      <c r="C937" s="103" t="s">
        <v>120</v>
      </c>
      <c r="D937" s="103" t="s">
        <v>1886</v>
      </c>
      <c r="E937" s="109" t="s">
        <v>3074</v>
      </c>
      <c r="F937" s="105" t="s">
        <v>3185</v>
      </c>
      <c r="G937" s="110" t="s">
        <v>3094</v>
      </c>
      <c r="H937" s="110" t="s">
        <v>3240</v>
      </c>
      <c r="I937" s="107"/>
      <c r="J937" s="108" t="s">
        <v>3307</v>
      </c>
      <c r="K937" s="108" t="str">
        <f>_xlfn.XLOOKUP(J937,[1]Sheet1!$A:$A,[1]Sheet1!$B:$B,"")</f>
        <v>#ERROR!</v>
      </c>
      <c r="L937" s="109" t="s">
        <v>3308</v>
      </c>
      <c r="M937" s="104" t="s">
        <v>3309</v>
      </c>
      <c r="N937" s="110"/>
      <c r="O937" s="109" t="s">
        <v>147</v>
      </c>
      <c r="P937" s="106"/>
      <c r="Q937" s="105" t="s">
        <v>3081</v>
      </c>
      <c r="R937" s="106"/>
      <c r="S937" s="106"/>
      <c r="T937" s="110"/>
      <c r="U937" s="106">
        <v>9.403208E9</v>
      </c>
      <c r="V937" s="112">
        <v>0.0</v>
      </c>
      <c r="W937" s="106">
        <v>45.0</v>
      </c>
      <c r="X937" s="106">
        <v>45.0</v>
      </c>
      <c r="Y937" s="106"/>
      <c r="Z937" s="106" t="s">
        <v>99</v>
      </c>
      <c r="AA937" s="114">
        <f t="shared" si="891"/>
        <v>812.5450613</v>
      </c>
      <c r="AB937" s="115"/>
      <c r="AC937" s="212">
        <f t="shared" si="892"/>
        <v>710.1449275</v>
      </c>
      <c r="AD937" s="213">
        <f t="shared" si="799"/>
        <v>763.5966963</v>
      </c>
      <c r="AE937" s="212"/>
      <c r="AF937" s="212" t="str">
        <f t="shared" si="94"/>
        <v>#REF!</v>
      </c>
      <c r="AG937" s="210" t="str">
        <f t="shared" si="95"/>
        <v>#REF!</v>
      </c>
      <c r="AH937" s="120" t="str">
        <f t="shared" si="96"/>
        <v>#REF!</v>
      </c>
      <c r="AI937" s="121">
        <f t="shared" si="893"/>
        <v>0.05</v>
      </c>
      <c r="AJ937" s="121">
        <v>0.05</v>
      </c>
      <c r="AK937" s="418">
        <v>0.25</v>
      </c>
      <c r="AL937" s="123">
        <f t="shared" si="11"/>
        <v>177.5362319</v>
      </c>
      <c r="AM937" s="401" t="s">
        <v>10</v>
      </c>
      <c r="AN937" s="125">
        <f t="shared" si="894"/>
        <v>710.1449275</v>
      </c>
      <c r="AO937" s="402">
        <f t="shared" si="895"/>
        <v>0.25</v>
      </c>
      <c r="AP937" s="127"/>
      <c r="AQ937" s="128">
        <f t="shared" si="896"/>
        <v>593.1578947</v>
      </c>
      <c r="AR937" s="404">
        <f t="shared" si="897"/>
        <v>560.6407323</v>
      </c>
      <c r="AS937" s="405">
        <f t="shared" si="898"/>
        <v>0.27</v>
      </c>
      <c r="AT937" s="405">
        <f t="shared" si="899"/>
        <v>0.2105263158</v>
      </c>
      <c r="AU937" s="129"/>
      <c r="AV937" s="225" t="s">
        <v>3024</v>
      </c>
      <c r="AW937" s="416"/>
      <c r="AX937" s="416"/>
      <c r="AY937" s="361"/>
      <c r="AZ937" s="214"/>
      <c r="BA937" s="214"/>
      <c r="BB937" s="227"/>
      <c r="BC937" s="412">
        <v>490.0</v>
      </c>
      <c r="BD937" s="132">
        <f t="shared" si="905"/>
        <v>532.6086957</v>
      </c>
      <c r="BE937" s="215"/>
      <c r="BF937" s="48"/>
      <c r="BG937" s="49"/>
      <c r="BH937" s="224">
        <f t="shared" si="906"/>
        <v>2367.149758</v>
      </c>
      <c r="BI937" s="224">
        <f t="shared" si="907"/>
        <v>1420.289855</v>
      </c>
      <c r="BJ937" s="224">
        <f t="shared" si="908"/>
        <v>1183.574879</v>
      </c>
      <c r="BK937" s="224">
        <f t="shared" si="909"/>
        <v>946.8599034</v>
      </c>
      <c r="BL937" s="49"/>
      <c r="BM937" s="49"/>
      <c r="BN937" s="49"/>
      <c r="BO937" s="49"/>
      <c r="BP937" s="49"/>
      <c r="BQ937" s="49"/>
      <c r="BR937" s="49"/>
      <c r="BS937" s="49"/>
      <c r="BT937" s="49"/>
      <c r="BU937" s="49"/>
      <c r="BV937" s="49"/>
      <c r="BW937" s="49"/>
      <c r="BX937" s="49"/>
      <c r="BY937" s="49"/>
      <c r="BZ937" s="49"/>
      <c r="CA937" s="49"/>
      <c r="CB937" s="49"/>
      <c r="CC937" s="49"/>
      <c r="CD937" s="49"/>
      <c r="CE937" s="49"/>
      <c r="CF937" s="49"/>
    </row>
    <row r="938" ht="14.25" customHeight="1">
      <c r="A938" s="103" t="s">
        <v>84</v>
      </c>
      <c r="B938" s="103" t="s">
        <v>3073</v>
      </c>
      <c r="C938" s="103" t="s">
        <v>120</v>
      </c>
      <c r="D938" s="103" t="s">
        <v>1886</v>
      </c>
      <c r="E938" s="109" t="s">
        <v>3074</v>
      </c>
      <c r="F938" s="105" t="s">
        <v>3185</v>
      </c>
      <c r="G938" s="110" t="s">
        <v>3228</v>
      </c>
      <c r="H938" s="110" t="s">
        <v>3240</v>
      </c>
      <c r="I938" s="107"/>
      <c r="J938" s="108" t="s">
        <v>3310</v>
      </c>
      <c r="K938" s="108" t="str">
        <f>_xlfn.XLOOKUP(J938,[1]Sheet1!$A:$A,[1]Sheet1!$B:$B,"")</f>
        <v>#ERROR!</v>
      </c>
      <c r="L938" s="109" t="s">
        <v>3311</v>
      </c>
      <c r="M938" s="104" t="s">
        <v>3312</v>
      </c>
      <c r="N938" s="110"/>
      <c r="O938" s="109" t="s">
        <v>147</v>
      </c>
      <c r="P938" s="106"/>
      <c r="Q938" s="105" t="s">
        <v>3081</v>
      </c>
      <c r="R938" s="106"/>
      <c r="S938" s="106"/>
      <c r="T938" s="110"/>
      <c r="U938" s="106">
        <v>9.403208E9</v>
      </c>
      <c r="V938" s="112">
        <v>0.0</v>
      </c>
      <c r="W938" s="106">
        <v>45.0</v>
      </c>
      <c r="X938" s="106">
        <v>45.0</v>
      </c>
      <c r="Y938" s="106"/>
      <c r="Z938" s="106" t="s">
        <v>99</v>
      </c>
      <c r="AA938" s="114">
        <f t="shared" si="891"/>
        <v>878.8752704</v>
      </c>
      <c r="AB938" s="115"/>
      <c r="AC938" s="212">
        <f t="shared" si="892"/>
        <v>768.115942</v>
      </c>
      <c r="AD938" s="213">
        <f t="shared" si="799"/>
        <v>825.9311205</v>
      </c>
      <c r="AE938" s="212"/>
      <c r="AF938" s="212" t="str">
        <f t="shared" si="94"/>
        <v>#REF!</v>
      </c>
      <c r="AG938" s="210" t="str">
        <f t="shared" si="95"/>
        <v>#REF!</v>
      </c>
      <c r="AH938" s="120" t="str">
        <f t="shared" si="96"/>
        <v>#REF!</v>
      </c>
      <c r="AI938" s="121">
        <f t="shared" si="893"/>
        <v>0.05</v>
      </c>
      <c r="AJ938" s="121">
        <v>0.05</v>
      </c>
      <c r="AK938" s="418">
        <v>0.25</v>
      </c>
      <c r="AL938" s="123">
        <f t="shared" si="11"/>
        <v>192.0289855</v>
      </c>
      <c r="AM938" s="401" t="s">
        <v>10</v>
      </c>
      <c r="AN938" s="125">
        <f t="shared" si="894"/>
        <v>768.115942</v>
      </c>
      <c r="AO938" s="402">
        <f t="shared" si="895"/>
        <v>0.25</v>
      </c>
      <c r="AP938" s="127"/>
      <c r="AQ938" s="128">
        <f t="shared" si="896"/>
        <v>641.5789474</v>
      </c>
      <c r="AR938" s="404">
        <f t="shared" si="897"/>
        <v>606.4073227</v>
      </c>
      <c r="AS938" s="405">
        <f t="shared" si="898"/>
        <v>0.27</v>
      </c>
      <c r="AT938" s="405">
        <f t="shared" si="899"/>
        <v>0.2105263158</v>
      </c>
      <c r="AU938" s="129"/>
      <c r="AV938" s="225" t="s">
        <v>3024</v>
      </c>
      <c r="AW938" s="416"/>
      <c r="AX938" s="416"/>
      <c r="AY938" s="361"/>
      <c r="AZ938" s="214"/>
      <c r="BA938" s="214"/>
      <c r="BB938" s="227"/>
      <c r="BC938" s="412">
        <v>530.0</v>
      </c>
      <c r="BD938" s="132">
        <f t="shared" si="905"/>
        <v>576.0869565</v>
      </c>
      <c r="BE938" s="215"/>
      <c r="BF938" s="48"/>
      <c r="BG938" s="49"/>
      <c r="BH938" s="224">
        <f t="shared" si="906"/>
        <v>2560.386473</v>
      </c>
      <c r="BI938" s="224">
        <f t="shared" si="907"/>
        <v>1536.231884</v>
      </c>
      <c r="BJ938" s="224">
        <f t="shared" si="908"/>
        <v>1280.193237</v>
      </c>
      <c r="BK938" s="224">
        <f t="shared" si="909"/>
        <v>1024.154589</v>
      </c>
      <c r="BL938" s="49"/>
      <c r="BM938" s="49"/>
      <c r="BN938" s="49"/>
      <c r="BO938" s="49"/>
      <c r="BP938" s="49"/>
      <c r="BQ938" s="49"/>
      <c r="BR938" s="49"/>
      <c r="BS938" s="49"/>
      <c r="BT938" s="49"/>
      <c r="BU938" s="49"/>
      <c r="BV938" s="49"/>
      <c r="BW938" s="49"/>
      <c r="BX938" s="49"/>
      <c r="BY938" s="49"/>
      <c r="BZ938" s="49"/>
      <c r="CA938" s="49"/>
      <c r="CB938" s="49"/>
      <c r="CC938" s="49"/>
      <c r="CD938" s="49"/>
      <c r="CE938" s="49"/>
      <c r="CF938" s="49"/>
    </row>
    <row r="939" ht="14.25" customHeight="1">
      <c r="A939" s="103" t="s">
        <v>84</v>
      </c>
      <c r="B939" s="103" t="s">
        <v>3073</v>
      </c>
      <c r="C939" s="103" t="s">
        <v>120</v>
      </c>
      <c r="D939" s="103" t="s">
        <v>1886</v>
      </c>
      <c r="E939" s="109" t="s">
        <v>3074</v>
      </c>
      <c r="F939" s="105" t="s">
        <v>3185</v>
      </c>
      <c r="G939" s="110" t="s">
        <v>3075</v>
      </c>
      <c r="H939" s="110" t="s">
        <v>3076</v>
      </c>
      <c r="I939" s="107"/>
      <c r="J939" s="108" t="s">
        <v>3313</v>
      </c>
      <c r="K939" s="108" t="str">
        <f>_xlfn.XLOOKUP(J939,[1]Sheet1!$A:$A,[1]Sheet1!$B:$B,"")</f>
        <v>#ERROR!</v>
      </c>
      <c r="L939" s="109" t="s">
        <v>3314</v>
      </c>
      <c r="M939" s="104" t="s">
        <v>3315</v>
      </c>
      <c r="N939" s="110"/>
      <c r="O939" s="109" t="s">
        <v>147</v>
      </c>
      <c r="P939" s="106"/>
      <c r="Q939" s="105" t="s">
        <v>3081</v>
      </c>
      <c r="R939" s="106"/>
      <c r="S939" s="106"/>
      <c r="T939" s="110"/>
      <c r="U939" s="106">
        <v>9.403208E9</v>
      </c>
      <c r="V939" s="112">
        <v>0.0</v>
      </c>
      <c r="W939" s="106">
        <v>45.0</v>
      </c>
      <c r="X939" s="106">
        <v>45.0</v>
      </c>
      <c r="Y939" s="106"/>
      <c r="Z939" s="106" t="s">
        <v>99</v>
      </c>
      <c r="AA939" s="114">
        <f t="shared" si="891"/>
        <v>298.4859409</v>
      </c>
      <c r="AB939" s="115"/>
      <c r="AC939" s="212">
        <f t="shared" si="892"/>
        <v>260.8695652</v>
      </c>
      <c r="AD939" s="213">
        <f t="shared" si="799"/>
        <v>280.5049088</v>
      </c>
      <c r="AE939" s="212"/>
      <c r="AF939" s="212" t="str">
        <f t="shared" si="94"/>
        <v>#REF!</v>
      </c>
      <c r="AG939" s="210" t="str">
        <f t="shared" si="95"/>
        <v>#REF!</v>
      </c>
      <c r="AH939" s="120" t="str">
        <f t="shared" si="96"/>
        <v>#REF!</v>
      </c>
      <c r="AI939" s="121">
        <f t="shared" si="893"/>
        <v>0.05</v>
      </c>
      <c r="AJ939" s="121">
        <v>0.05</v>
      </c>
      <c r="AK939" s="418">
        <v>0.25</v>
      </c>
      <c r="AL939" s="123">
        <f t="shared" si="11"/>
        <v>65.2173913</v>
      </c>
      <c r="AM939" s="401" t="s">
        <v>10</v>
      </c>
      <c r="AN939" s="125">
        <f t="shared" si="894"/>
        <v>260.8695652</v>
      </c>
      <c r="AO939" s="402">
        <f t="shared" si="895"/>
        <v>0.25</v>
      </c>
      <c r="AP939" s="127"/>
      <c r="AQ939" s="128">
        <f t="shared" si="896"/>
        <v>217.8947368</v>
      </c>
      <c r="AR939" s="404">
        <f t="shared" si="897"/>
        <v>205.9496568</v>
      </c>
      <c r="AS939" s="405">
        <f t="shared" si="898"/>
        <v>0.27</v>
      </c>
      <c r="AT939" s="405">
        <f t="shared" si="899"/>
        <v>0.2105263158</v>
      </c>
      <c r="AU939" s="129"/>
      <c r="AV939" s="225" t="s">
        <v>3024</v>
      </c>
      <c r="AW939" s="416"/>
      <c r="AX939" s="416"/>
      <c r="AY939" s="361"/>
      <c r="AZ939" s="214"/>
      <c r="BA939" s="214"/>
      <c r="BB939" s="227"/>
      <c r="BC939" s="412">
        <v>180.0</v>
      </c>
      <c r="BD939" s="132">
        <f t="shared" si="905"/>
        <v>195.6521739</v>
      </c>
      <c r="BE939" s="215"/>
      <c r="BF939" s="48"/>
      <c r="BG939" s="49"/>
      <c r="BH939" s="224">
        <f t="shared" si="906"/>
        <v>869.5652174</v>
      </c>
      <c r="BI939" s="224">
        <f t="shared" si="907"/>
        <v>521.7391304</v>
      </c>
      <c r="BJ939" s="224">
        <f t="shared" si="908"/>
        <v>434.7826087</v>
      </c>
      <c r="BK939" s="224">
        <f t="shared" si="909"/>
        <v>347.826087</v>
      </c>
      <c r="BL939" s="49"/>
      <c r="BM939" s="49"/>
      <c r="BN939" s="49"/>
      <c r="BO939" s="49"/>
      <c r="BP939" s="49"/>
      <c r="BQ939" s="49"/>
      <c r="BR939" s="49"/>
      <c r="BS939" s="49"/>
      <c r="BT939" s="49"/>
      <c r="BU939" s="49"/>
      <c r="BV939" s="49"/>
      <c r="BW939" s="49"/>
      <c r="BX939" s="49"/>
      <c r="BY939" s="49"/>
      <c r="BZ939" s="49"/>
      <c r="CA939" s="49"/>
      <c r="CB939" s="49"/>
      <c r="CC939" s="49"/>
      <c r="CD939" s="49"/>
      <c r="CE939" s="49"/>
      <c r="CF939" s="49"/>
    </row>
    <row r="940" ht="14.25" customHeight="1">
      <c r="A940" s="103" t="s">
        <v>84</v>
      </c>
      <c r="B940" s="103" t="s">
        <v>3073</v>
      </c>
      <c r="C940" s="103" t="s">
        <v>120</v>
      </c>
      <c r="D940" s="103" t="s">
        <v>1886</v>
      </c>
      <c r="E940" s="109" t="s">
        <v>3074</v>
      </c>
      <c r="F940" s="105" t="s">
        <v>3185</v>
      </c>
      <c r="G940" s="110" t="s">
        <v>3082</v>
      </c>
      <c r="H940" s="110" t="s">
        <v>3076</v>
      </c>
      <c r="I940" s="107"/>
      <c r="J940" s="108" t="s">
        <v>3316</v>
      </c>
      <c r="K940" s="108" t="str">
        <f>_xlfn.XLOOKUP(J940,[1]Sheet1!$A:$A,[1]Sheet1!$B:$B,"")</f>
        <v>#ERROR!</v>
      </c>
      <c r="L940" s="109" t="s">
        <v>3317</v>
      </c>
      <c r="M940" s="104" t="s">
        <v>3318</v>
      </c>
      <c r="N940" s="110"/>
      <c r="O940" s="109" t="s">
        <v>147</v>
      </c>
      <c r="P940" s="106"/>
      <c r="Q940" s="105" t="s">
        <v>3081</v>
      </c>
      <c r="R940" s="106"/>
      <c r="S940" s="106"/>
      <c r="T940" s="110"/>
      <c r="U940" s="106">
        <v>9.403208E9</v>
      </c>
      <c r="V940" s="112">
        <v>0.0</v>
      </c>
      <c r="W940" s="106">
        <v>45.0</v>
      </c>
      <c r="X940" s="106">
        <v>45.0</v>
      </c>
      <c r="Y940" s="106"/>
      <c r="Z940" s="106" t="s">
        <v>99</v>
      </c>
      <c r="AA940" s="114">
        <f t="shared" si="891"/>
        <v>315.0684932</v>
      </c>
      <c r="AB940" s="115"/>
      <c r="AC940" s="212">
        <f t="shared" si="892"/>
        <v>275.3623188</v>
      </c>
      <c r="AD940" s="213">
        <f t="shared" si="799"/>
        <v>296.0885149</v>
      </c>
      <c r="AE940" s="212"/>
      <c r="AF940" s="212" t="str">
        <f t="shared" si="94"/>
        <v>#REF!</v>
      </c>
      <c r="AG940" s="210" t="str">
        <f t="shared" si="95"/>
        <v>#REF!</v>
      </c>
      <c r="AH940" s="120" t="str">
        <f t="shared" si="96"/>
        <v>#REF!</v>
      </c>
      <c r="AI940" s="121">
        <f t="shared" si="893"/>
        <v>0.05</v>
      </c>
      <c r="AJ940" s="121">
        <v>0.05</v>
      </c>
      <c r="AK940" s="418">
        <v>0.25</v>
      </c>
      <c r="AL940" s="123">
        <f t="shared" si="11"/>
        <v>68.84057971</v>
      </c>
      <c r="AM940" s="401" t="s">
        <v>10</v>
      </c>
      <c r="AN940" s="125">
        <f t="shared" si="894"/>
        <v>275.3623188</v>
      </c>
      <c r="AO940" s="402">
        <f t="shared" si="895"/>
        <v>0.25</v>
      </c>
      <c r="AP940" s="127"/>
      <c r="AQ940" s="128">
        <f t="shared" si="896"/>
        <v>230</v>
      </c>
      <c r="AR940" s="404">
        <f t="shared" si="897"/>
        <v>217.3913043</v>
      </c>
      <c r="AS940" s="405">
        <f t="shared" si="898"/>
        <v>0.27</v>
      </c>
      <c r="AT940" s="405">
        <f t="shared" si="899"/>
        <v>0.2105263158</v>
      </c>
      <c r="AU940" s="129"/>
      <c r="AV940" s="225" t="s">
        <v>3024</v>
      </c>
      <c r="AW940" s="416"/>
      <c r="AX940" s="416"/>
      <c r="AY940" s="361"/>
      <c r="AZ940" s="214"/>
      <c r="BA940" s="214"/>
      <c r="BB940" s="227"/>
      <c r="BC940" s="412">
        <v>190.0</v>
      </c>
      <c r="BD940" s="132">
        <f t="shared" si="905"/>
        <v>206.5217391</v>
      </c>
      <c r="BE940" s="215"/>
      <c r="BF940" s="48"/>
      <c r="BG940" s="49"/>
      <c r="BH940" s="224">
        <f t="shared" si="906"/>
        <v>917.8743961</v>
      </c>
      <c r="BI940" s="224">
        <f t="shared" si="907"/>
        <v>550.7246377</v>
      </c>
      <c r="BJ940" s="224">
        <f t="shared" si="908"/>
        <v>458.9371981</v>
      </c>
      <c r="BK940" s="224">
        <f t="shared" si="909"/>
        <v>367.1497585</v>
      </c>
      <c r="BL940" s="49"/>
      <c r="BM940" s="49"/>
      <c r="BN940" s="49"/>
      <c r="BO940" s="49"/>
      <c r="BP940" s="49"/>
      <c r="BQ940" s="49"/>
      <c r="BR940" s="49"/>
      <c r="BS940" s="49"/>
      <c r="BT940" s="49"/>
      <c r="BU940" s="49"/>
      <c r="BV940" s="49"/>
      <c r="BW940" s="49"/>
      <c r="BX940" s="49"/>
      <c r="BY940" s="49"/>
      <c r="BZ940" s="49"/>
      <c r="CA940" s="49"/>
      <c r="CB940" s="49"/>
      <c r="CC940" s="49"/>
      <c r="CD940" s="49"/>
      <c r="CE940" s="49"/>
      <c r="CF940" s="49"/>
    </row>
    <row r="941" ht="14.25" customHeight="1">
      <c r="A941" s="103" t="s">
        <v>84</v>
      </c>
      <c r="B941" s="103" t="s">
        <v>3073</v>
      </c>
      <c r="C941" s="103" t="s">
        <v>120</v>
      </c>
      <c r="D941" s="103" t="s">
        <v>1886</v>
      </c>
      <c r="E941" s="109" t="s">
        <v>3074</v>
      </c>
      <c r="F941" s="105" t="s">
        <v>3185</v>
      </c>
      <c r="G941" s="110" t="s">
        <v>3086</v>
      </c>
      <c r="H941" s="110" t="s">
        <v>3076</v>
      </c>
      <c r="I941" s="107"/>
      <c r="J941" s="108" t="s">
        <v>3319</v>
      </c>
      <c r="K941" s="108" t="str">
        <f>_xlfn.XLOOKUP(J941,[1]Sheet1!$A:$A,[1]Sheet1!$B:$B,"")</f>
        <v>#ERROR!</v>
      </c>
      <c r="L941" s="109" t="s">
        <v>3320</v>
      </c>
      <c r="M941" s="104" t="s">
        <v>3321</v>
      </c>
      <c r="N941" s="110"/>
      <c r="O941" s="109" t="s">
        <v>147</v>
      </c>
      <c r="P941" s="106"/>
      <c r="Q941" s="105" t="s">
        <v>3081</v>
      </c>
      <c r="R941" s="106"/>
      <c r="S941" s="106"/>
      <c r="T941" s="110"/>
      <c r="U941" s="106">
        <v>9.403208E9</v>
      </c>
      <c r="V941" s="112">
        <v>0.0</v>
      </c>
      <c r="W941" s="106">
        <v>45.0</v>
      </c>
      <c r="X941" s="106">
        <v>45.0</v>
      </c>
      <c r="Y941" s="106"/>
      <c r="Z941" s="106" t="s">
        <v>99</v>
      </c>
      <c r="AA941" s="114">
        <f t="shared" si="891"/>
        <v>331.6510454</v>
      </c>
      <c r="AB941" s="115"/>
      <c r="AC941" s="212">
        <f t="shared" si="892"/>
        <v>289.8550725</v>
      </c>
      <c r="AD941" s="213">
        <f t="shared" si="799"/>
        <v>311.6721209</v>
      </c>
      <c r="AE941" s="212"/>
      <c r="AF941" s="212" t="str">
        <f t="shared" si="94"/>
        <v>#REF!</v>
      </c>
      <c r="AG941" s="210" t="str">
        <f t="shared" si="95"/>
        <v>#REF!</v>
      </c>
      <c r="AH941" s="120" t="str">
        <f t="shared" si="96"/>
        <v>#REF!</v>
      </c>
      <c r="AI941" s="121">
        <f t="shared" si="893"/>
        <v>0.05</v>
      </c>
      <c r="AJ941" s="121">
        <v>0.05</v>
      </c>
      <c r="AK941" s="418">
        <v>0.25</v>
      </c>
      <c r="AL941" s="123">
        <f t="shared" si="11"/>
        <v>72.46376812</v>
      </c>
      <c r="AM941" s="401" t="s">
        <v>10</v>
      </c>
      <c r="AN941" s="125">
        <f t="shared" si="894"/>
        <v>289.8550725</v>
      </c>
      <c r="AO941" s="402">
        <f t="shared" si="895"/>
        <v>0.25</v>
      </c>
      <c r="AP941" s="127"/>
      <c r="AQ941" s="128">
        <f t="shared" si="896"/>
        <v>242.1052632</v>
      </c>
      <c r="AR941" s="404">
        <f t="shared" si="897"/>
        <v>228.8329519</v>
      </c>
      <c r="AS941" s="405">
        <f t="shared" si="898"/>
        <v>0.27</v>
      </c>
      <c r="AT941" s="405">
        <f t="shared" si="899"/>
        <v>0.2105263158</v>
      </c>
      <c r="AU941" s="129"/>
      <c r="AV941" s="225" t="s">
        <v>3024</v>
      </c>
      <c r="AW941" s="416"/>
      <c r="AX941" s="416"/>
      <c r="AY941" s="361"/>
      <c r="AZ941" s="214"/>
      <c r="BA941" s="214"/>
      <c r="BB941" s="227"/>
      <c r="BC941" s="412">
        <v>200.0</v>
      </c>
      <c r="BD941" s="132">
        <f t="shared" si="905"/>
        <v>217.3913043</v>
      </c>
      <c r="BE941" s="215"/>
      <c r="BF941" s="48"/>
      <c r="BG941" s="49"/>
      <c r="BH941" s="224">
        <f t="shared" si="906"/>
        <v>966.1835749</v>
      </c>
      <c r="BI941" s="224">
        <f t="shared" si="907"/>
        <v>579.7101449</v>
      </c>
      <c r="BJ941" s="224">
        <f t="shared" si="908"/>
        <v>483.0917874</v>
      </c>
      <c r="BK941" s="224">
        <f t="shared" si="909"/>
        <v>386.47343</v>
      </c>
      <c r="BL941" s="49"/>
      <c r="BM941" s="49"/>
      <c r="BN941" s="49"/>
      <c r="BO941" s="49"/>
      <c r="BP941" s="49"/>
      <c r="BQ941" s="49"/>
      <c r="BR941" s="49"/>
      <c r="BS941" s="49"/>
      <c r="BT941" s="49"/>
      <c r="BU941" s="49"/>
      <c r="BV941" s="49"/>
      <c r="BW941" s="49"/>
      <c r="BX941" s="49"/>
      <c r="BY941" s="49"/>
      <c r="BZ941" s="49"/>
      <c r="CA941" s="49"/>
      <c r="CB941" s="49"/>
      <c r="CC941" s="49"/>
      <c r="CD941" s="49"/>
      <c r="CE941" s="49"/>
      <c r="CF941" s="49"/>
    </row>
    <row r="942" ht="14.25" customHeight="1">
      <c r="A942" s="103" t="s">
        <v>84</v>
      </c>
      <c r="B942" s="103" t="s">
        <v>3073</v>
      </c>
      <c r="C942" s="103" t="s">
        <v>120</v>
      </c>
      <c r="D942" s="103" t="s">
        <v>1886</v>
      </c>
      <c r="E942" s="109" t="s">
        <v>3074</v>
      </c>
      <c r="F942" s="105" t="s">
        <v>3185</v>
      </c>
      <c r="G942" s="110" t="s">
        <v>3090</v>
      </c>
      <c r="H942" s="110" t="s">
        <v>3076</v>
      </c>
      <c r="I942" s="107"/>
      <c r="J942" s="108" t="s">
        <v>3322</v>
      </c>
      <c r="K942" s="108" t="str">
        <f>_xlfn.XLOOKUP(J942,[1]Sheet1!$A:$A,[1]Sheet1!$B:$B,"")</f>
        <v>#ERROR!</v>
      </c>
      <c r="L942" s="109" t="s">
        <v>3323</v>
      </c>
      <c r="M942" s="104" t="s">
        <v>3324</v>
      </c>
      <c r="N942" s="110"/>
      <c r="O942" s="109" t="s">
        <v>147</v>
      </c>
      <c r="P942" s="106"/>
      <c r="Q942" s="105" t="s">
        <v>3081</v>
      </c>
      <c r="R942" s="106"/>
      <c r="S942" s="106"/>
      <c r="T942" s="110"/>
      <c r="U942" s="106">
        <v>9.403208E9</v>
      </c>
      <c r="V942" s="112">
        <v>0.0</v>
      </c>
      <c r="W942" s="106">
        <v>45.0</v>
      </c>
      <c r="X942" s="106">
        <v>45.0</v>
      </c>
      <c r="Y942" s="106"/>
      <c r="Z942" s="106" t="s">
        <v>99</v>
      </c>
      <c r="AA942" s="114">
        <f t="shared" si="891"/>
        <v>364.81615</v>
      </c>
      <c r="AB942" s="115"/>
      <c r="AC942" s="212">
        <f t="shared" si="892"/>
        <v>318.8405797</v>
      </c>
      <c r="AD942" s="213">
        <f t="shared" si="799"/>
        <v>342.839333</v>
      </c>
      <c r="AE942" s="212"/>
      <c r="AF942" s="212" t="str">
        <f t="shared" si="94"/>
        <v>#REF!</v>
      </c>
      <c r="AG942" s="210" t="str">
        <f t="shared" si="95"/>
        <v>#REF!</v>
      </c>
      <c r="AH942" s="120" t="str">
        <f t="shared" si="96"/>
        <v>#REF!</v>
      </c>
      <c r="AI942" s="121">
        <f t="shared" si="893"/>
        <v>0.05</v>
      </c>
      <c r="AJ942" s="121">
        <v>0.05</v>
      </c>
      <c r="AK942" s="418">
        <v>0.25</v>
      </c>
      <c r="AL942" s="123">
        <f t="shared" si="11"/>
        <v>79.71014493</v>
      </c>
      <c r="AM942" s="401" t="s">
        <v>10</v>
      </c>
      <c r="AN942" s="125">
        <f t="shared" si="894"/>
        <v>318.8405797</v>
      </c>
      <c r="AO942" s="402">
        <f t="shared" si="895"/>
        <v>0.25</v>
      </c>
      <c r="AP942" s="127"/>
      <c r="AQ942" s="128">
        <f t="shared" si="896"/>
        <v>266.3157895</v>
      </c>
      <c r="AR942" s="404">
        <f t="shared" si="897"/>
        <v>251.7162471</v>
      </c>
      <c r="AS942" s="405">
        <f t="shared" si="898"/>
        <v>0.27</v>
      </c>
      <c r="AT942" s="405">
        <f t="shared" si="899"/>
        <v>0.2105263158</v>
      </c>
      <c r="AU942" s="129"/>
      <c r="AV942" s="225" t="s">
        <v>3024</v>
      </c>
      <c r="AW942" s="416"/>
      <c r="AX942" s="416"/>
      <c r="AY942" s="361"/>
      <c r="AZ942" s="214"/>
      <c r="BA942" s="214"/>
      <c r="BB942" s="227"/>
      <c r="BC942" s="412">
        <v>220.0</v>
      </c>
      <c r="BD942" s="132">
        <f t="shared" si="905"/>
        <v>239.1304348</v>
      </c>
      <c r="BE942" s="215"/>
      <c r="BF942" s="48"/>
      <c r="BG942" s="49"/>
      <c r="BH942" s="224">
        <f t="shared" si="906"/>
        <v>1062.801932</v>
      </c>
      <c r="BI942" s="224">
        <f t="shared" si="907"/>
        <v>637.6811594</v>
      </c>
      <c r="BJ942" s="224">
        <f t="shared" si="908"/>
        <v>531.4009662</v>
      </c>
      <c r="BK942" s="224">
        <f t="shared" si="909"/>
        <v>425.1207729</v>
      </c>
      <c r="BL942" s="49"/>
      <c r="BM942" s="49"/>
      <c r="BN942" s="49"/>
      <c r="BO942" s="49"/>
      <c r="BP942" s="49"/>
      <c r="BQ942" s="49"/>
      <c r="BR942" s="49"/>
      <c r="BS942" s="49"/>
      <c r="BT942" s="49"/>
      <c r="BU942" s="49"/>
      <c r="BV942" s="49"/>
      <c r="BW942" s="49"/>
      <c r="BX942" s="49"/>
      <c r="BY942" s="49"/>
      <c r="BZ942" s="49"/>
      <c r="CA942" s="49"/>
      <c r="CB942" s="49"/>
      <c r="CC942" s="49"/>
      <c r="CD942" s="49"/>
      <c r="CE942" s="49"/>
      <c r="CF942" s="49"/>
    </row>
    <row r="943" ht="14.25" customHeight="1">
      <c r="A943" s="103" t="s">
        <v>84</v>
      </c>
      <c r="B943" s="103" t="s">
        <v>3073</v>
      </c>
      <c r="C943" s="103" t="s">
        <v>120</v>
      </c>
      <c r="D943" s="103" t="s">
        <v>1886</v>
      </c>
      <c r="E943" s="109" t="s">
        <v>3074</v>
      </c>
      <c r="F943" s="105" t="s">
        <v>3185</v>
      </c>
      <c r="G943" s="110" t="s">
        <v>3094</v>
      </c>
      <c r="H943" s="110" t="s">
        <v>3076</v>
      </c>
      <c r="I943" s="107"/>
      <c r="J943" s="108" t="s">
        <v>3325</v>
      </c>
      <c r="K943" s="108" t="str">
        <f>_xlfn.XLOOKUP(J943,[1]Sheet1!$A:$A,[1]Sheet1!$B:$B,"")</f>
        <v>#ERROR!</v>
      </c>
      <c r="L943" s="109" t="s">
        <v>3326</v>
      </c>
      <c r="M943" s="104" t="s">
        <v>3327</v>
      </c>
      <c r="N943" s="110"/>
      <c r="O943" s="109" t="s">
        <v>147</v>
      </c>
      <c r="P943" s="106"/>
      <c r="Q943" s="105" t="s">
        <v>3081</v>
      </c>
      <c r="R943" s="106"/>
      <c r="S943" s="106"/>
      <c r="T943" s="110"/>
      <c r="U943" s="106">
        <v>9.403208E9</v>
      </c>
      <c r="V943" s="112">
        <v>0.0</v>
      </c>
      <c r="W943" s="106">
        <v>45.0</v>
      </c>
      <c r="X943" s="106">
        <v>45.0</v>
      </c>
      <c r="Y943" s="106"/>
      <c r="Z943" s="106" t="s">
        <v>99</v>
      </c>
      <c r="AA943" s="114">
        <f t="shared" si="891"/>
        <v>414.5638068</v>
      </c>
      <c r="AB943" s="115"/>
      <c r="AC943" s="212">
        <f t="shared" si="892"/>
        <v>362.3188406</v>
      </c>
      <c r="AD943" s="213">
        <f t="shared" si="799"/>
        <v>389.5901512</v>
      </c>
      <c r="AE943" s="212"/>
      <c r="AF943" s="212" t="str">
        <f t="shared" si="94"/>
        <v>#REF!</v>
      </c>
      <c r="AG943" s="210" t="str">
        <f t="shared" si="95"/>
        <v>#REF!</v>
      </c>
      <c r="AH943" s="120" t="str">
        <f t="shared" si="96"/>
        <v>#REF!</v>
      </c>
      <c r="AI943" s="121">
        <f t="shared" si="893"/>
        <v>0.05</v>
      </c>
      <c r="AJ943" s="121">
        <v>0.05</v>
      </c>
      <c r="AK943" s="418">
        <v>0.25</v>
      </c>
      <c r="AL943" s="123">
        <f t="shared" si="11"/>
        <v>90.57971014</v>
      </c>
      <c r="AM943" s="401" t="s">
        <v>10</v>
      </c>
      <c r="AN943" s="125">
        <f t="shared" si="894"/>
        <v>362.3188406</v>
      </c>
      <c r="AO943" s="402">
        <f t="shared" si="895"/>
        <v>0.25</v>
      </c>
      <c r="AP943" s="127"/>
      <c r="AQ943" s="128">
        <f t="shared" si="896"/>
        <v>302.6315789</v>
      </c>
      <c r="AR943" s="404">
        <f t="shared" si="897"/>
        <v>286.0411899</v>
      </c>
      <c r="AS943" s="405">
        <f t="shared" si="898"/>
        <v>0.27</v>
      </c>
      <c r="AT943" s="405">
        <f t="shared" si="899"/>
        <v>0.2105263158</v>
      </c>
      <c r="AU943" s="129"/>
      <c r="AV943" s="225" t="s">
        <v>3024</v>
      </c>
      <c r="AW943" s="416"/>
      <c r="AX943" s="416"/>
      <c r="AY943" s="361"/>
      <c r="AZ943" s="214"/>
      <c r="BA943" s="214"/>
      <c r="BB943" s="227"/>
      <c r="BC943" s="412">
        <v>250.0</v>
      </c>
      <c r="BD943" s="132">
        <f t="shared" si="905"/>
        <v>271.7391304</v>
      </c>
      <c r="BE943" s="215"/>
      <c r="BF943" s="48"/>
      <c r="BG943" s="49"/>
      <c r="BH943" s="224">
        <f t="shared" si="906"/>
        <v>1207.729469</v>
      </c>
      <c r="BI943" s="224">
        <f t="shared" si="907"/>
        <v>724.6376812</v>
      </c>
      <c r="BJ943" s="224">
        <f t="shared" si="908"/>
        <v>603.8647343</v>
      </c>
      <c r="BK943" s="224">
        <f t="shared" si="909"/>
        <v>483.0917874</v>
      </c>
      <c r="BL943" s="49"/>
      <c r="BM943" s="49"/>
      <c r="BN943" s="49"/>
      <c r="BO943" s="49"/>
      <c r="BP943" s="49"/>
      <c r="BQ943" s="49"/>
      <c r="BR943" s="49"/>
      <c r="BS943" s="49"/>
      <c r="BT943" s="49"/>
      <c r="BU943" s="49"/>
      <c r="BV943" s="49"/>
      <c r="BW943" s="49"/>
      <c r="BX943" s="49"/>
      <c r="BY943" s="49"/>
      <c r="BZ943" s="49"/>
      <c r="CA943" s="49"/>
      <c r="CB943" s="49"/>
      <c r="CC943" s="49"/>
      <c r="CD943" s="49"/>
      <c r="CE943" s="49"/>
      <c r="CF943" s="49"/>
    </row>
    <row r="944" ht="14.25" customHeight="1">
      <c r="A944" s="103" t="s">
        <v>84</v>
      </c>
      <c r="B944" s="103" t="s">
        <v>3073</v>
      </c>
      <c r="C944" s="103" t="s">
        <v>120</v>
      </c>
      <c r="D944" s="103" t="s">
        <v>1886</v>
      </c>
      <c r="E944" s="109" t="s">
        <v>3074</v>
      </c>
      <c r="F944" s="105" t="s">
        <v>3185</v>
      </c>
      <c r="G944" s="110" t="s">
        <v>3075</v>
      </c>
      <c r="H944" s="110" t="s">
        <v>3101</v>
      </c>
      <c r="I944" s="107"/>
      <c r="J944" s="108" t="s">
        <v>3328</v>
      </c>
      <c r="K944" s="108" t="str">
        <f>_xlfn.XLOOKUP(J944,[1]Sheet1!$A:$A,[1]Sheet1!$B:$B,"")</f>
        <v>#ERROR!</v>
      </c>
      <c r="L944" s="109" t="s">
        <v>3329</v>
      </c>
      <c r="M944" s="104" t="s">
        <v>3330</v>
      </c>
      <c r="N944" s="110"/>
      <c r="O944" s="109" t="s">
        <v>147</v>
      </c>
      <c r="P944" s="106"/>
      <c r="Q944" s="105" t="s">
        <v>3081</v>
      </c>
      <c r="R944" s="106"/>
      <c r="S944" s="106"/>
      <c r="T944" s="110"/>
      <c r="U944" s="106">
        <v>9.403208E9</v>
      </c>
      <c r="V944" s="112">
        <v>0.0</v>
      </c>
      <c r="W944" s="106">
        <v>45.0</v>
      </c>
      <c r="X944" s="106">
        <v>45.0</v>
      </c>
      <c r="Y944" s="106"/>
      <c r="Z944" s="106" t="s">
        <v>99</v>
      </c>
      <c r="AA944" s="114">
        <f t="shared" si="891"/>
        <v>331.6510454</v>
      </c>
      <c r="AB944" s="115"/>
      <c r="AC944" s="212">
        <f t="shared" si="892"/>
        <v>289.8550725</v>
      </c>
      <c r="AD944" s="213">
        <f t="shared" si="799"/>
        <v>311.6721209</v>
      </c>
      <c r="AE944" s="212"/>
      <c r="AF944" s="212" t="str">
        <f t="shared" si="94"/>
        <v>#REF!</v>
      </c>
      <c r="AG944" s="210" t="str">
        <f t="shared" si="95"/>
        <v>#REF!</v>
      </c>
      <c r="AH944" s="120" t="str">
        <f t="shared" si="96"/>
        <v>#REF!</v>
      </c>
      <c r="AI944" s="121">
        <f t="shared" si="893"/>
        <v>0.05</v>
      </c>
      <c r="AJ944" s="121">
        <v>0.05</v>
      </c>
      <c r="AK944" s="418">
        <v>0.25</v>
      </c>
      <c r="AL944" s="123">
        <f t="shared" si="11"/>
        <v>72.46376812</v>
      </c>
      <c r="AM944" s="401" t="s">
        <v>10</v>
      </c>
      <c r="AN944" s="125">
        <f t="shared" si="894"/>
        <v>289.8550725</v>
      </c>
      <c r="AO944" s="402">
        <f t="shared" si="895"/>
        <v>0.25</v>
      </c>
      <c r="AP944" s="127"/>
      <c r="AQ944" s="128">
        <f t="shared" si="896"/>
        <v>242.1052632</v>
      </c>
      <c r="AR944" s="404">
        <f t="shared" si="897"/>
        <v>228.8329519</v>
      </c>
      <c r="AS944" s="405">
        <f t="shared" si="898"/>
        <v>0.27</v>
      </c>
      <c r="AT944" s="405">
        <f t="shared" si="899"/>
        <v>0.2105263158</v>
      </c>
      <c r="AU944" s="129"/>
      <c r="AV944" s="225" t="s">
        <v>3024</v>
      </c>
      <c r="AW944" s="416"/>
      <c r="AX944" s="416"/>
      <c r="AY944" s="361"/>
      <c r="AZ944" s="214"/>
      <c r="BA944" s="214"/>
      <c r="BB944" s="227"/>
      <c r="BC944" s="412">
        <v>200.0</v>
      </c>
      <c r="BD944" s="132">
        <f t="shared" si="905"/>
        <v>217.3913043</v>
      </c>
      <c r="BE944" s="215"/>
      <c r="BF944" s="48"/>
      <c r="BG944" s="49"/>
      <c r="BH944" s="224">
        <f t="shared" si="906"/>
        <v>966.1835749</v>
      </c>
      <c r="BI944" s="224">
        <f t="shared" si="907"/>
        <v>579.7101449</v>
      </c>
      <c r="BJ944" s="224">
        <f t="shared" si="908"/>
        <v>483.0917874</v>
      </c>
      <c r="BK944" s="224">
        <f t="shared" si="909"/>
        <v>386.47343</v>
      </c>
      <c r="BL944" s="49"/>
      <c r="BM944" s="49"/>
      <c r="BN944" s="49"/>
      <c r="BO944" s="49"/>
      <c r="BP944" s="49"/>
      <c r="BQ944" s="49"/>
      <c r="BR944" s="49"/>
      <c r="BS944" s="49"/>
      <c r="BT944" s="49"/>
      <c r="BU944" s="49"/>
      <c r="BV944" s="49"/>
      <c r="BW944" s="49"/>
      <c r="BX944" s="49"/>
      <c r="BY944" s="49"/>
      <c r="BZ944" s="49"/>
      <c r="CA944" s="49"/>
      <c r="CB944" s="49"/>
      <c r="CC944" s="49"/>
      <c r="CD944" s="49"/>
      <c r="CE944" s="49"/>
      <c r="CF944" s="49"/>
    </row>
    <row r="945" ht="14.25" customHeight="1">
      <c r="A945" s="103" t="s">
        <v>84</v>
      </c>
      <c r="B945" s="103" t="s">
        <v>3073</v>
      </c>
      <c r="C945" s="103" t="s">
        <v>120</v>
      </c>
      <c r="D945" s="103" t="s">
        <v>1886</v>
      </c>
      <c r="E945" s="109" t="s">
        <v>3074</v>
      </c>
      <c r="F945" s="105" t="s">
        <v>3185</v>
      </c>
      <c r="G945" s="110" t="s">
        <v>3086</v>
      </c>
      <c r="H945" s="110" t="s">
        <v>3101</v>
      </c>
      <c r="I945" s="107"/>
      <c r="J945" s="108" t="s">
        <v>3331</v>
      </c>
      <c r="K945" s="108" t="str">
        <f>_xlfn.XLOOKUP(J945,[1]Sheet1!$A:$A,[1]Sheet1!$B:$B,"")</f>
        <v>#ERROR!</v>
      </c>
      <c r="L945" s="109" t="s">
        <v>3332</v>
      </c>
      <c r="M945" s="104" t="s">
        <v>3333</v>
      </c>
      <c r="N945" s="110"/>
      <c r="O945" s="109" t="s">
        <v>147</v>
      </c>
      <c r="P945" s="106"/>
      <c r="Q945" s="105" t="s">
        <v>3081</v>
      </c>
      <c r="R945" s="106"/>
      <c r="S945" s="106"/>
      <c r="T945" s="110"/>
      <c r="U945" s="106">
        <v>9.403208E9</v>
      </c>
      <c r="V945" s="112">
        <v>0.0</v>
      </c>
      <c r="W945" s="106">
        <v>45.0</v>
      </c>
      <c r="X945" s="106">
        <v>45.0</v>
      </c>
      <c r="Y945" s="106"/>
      <c r="Z945" s="106" t="s">
        <v>99</v>
      </c>
      <c r="AA945" s="114">
        <f t="shared" si="891"/>
        <v>364.81615</v>
      </c>
      <c r="AB945" s="115"/>
      <c r="AC945" s="212">
        <f t="shared" si="892"/>
        <v>318.8405797</v>
      </c>
      <c r="AD945" s="213">
        <f t="shared" si="799"/>
        <v>342.839333</v>
      </c>
      <c r="AE945" s="212"/>
      <c r="AF945" s="212" t="str">
        <f t="shared" si="94"/>
        <v>#REF!</v>
      </c>
      <c r="AG945" s="210" t="str">
        <f t="shared" si="95"/>
        <v>#REF!</v>
      </c>
      <c r="AH945" s="120" t="str">
        <f t="shared" si="96"/>
        <v>#REF!</v>
      </c>
      <c r="AI945" s="121">
        <f t="shared" si="893"/>
        <v>0.05</v>
      </c>
      <c r="AJ945" s="121">
        <v>0.05</v>
      </c>
      <c r="AK945" s="418">
        <v>0.25</v>
      </c>
      <c r="AL945" s="123">
        <f t="shared" si="11"/>
        <v>79.71014493</v>
      </c>
      <c r="AM945" s="401" t="s">
        <v>10</v>
      </c>
      <c r="AN945" s="125">
        <f t="shared" si="894"/>
        <v>318.8405797</v>
      </c>
      <c r="AO945" s="402">
        <f t="shared" si="895"/>
        <v>0.25</v>
      </c>
      <c r="AP945" s="127"/>
      <c r="AQ945" s="128">
        <f t="shared" si="896"/>
        <v>266.3157895</v>
      </c>
      <c r="AR945" s="404">
        <f t="shared" si="897"/>
        <v>251.7162471</v>
      </c>
      <c r="AS945" s="405">
        <f t="shared" si="898"/>
        <v>0.27</v>
      </c>
      <c r="AT945" s="405">
        <f t="shared" si="899"/>
        <v>0.2105263158</v>
      </c>
      <c r="AU945" s="129"/>
      <c r="AV945" s="225" t="s">
        <v>3024</v>
      </c>
      <c r="AW945" s="416"/>
      <c r="AX945" s="416"/>
      <c r="AY945" s="361"/>
      <c r="AZ945" s="214"/>
      <c r="BA945" s="214"/>
      <c r="BB945" s="227"/>
      <c r="BC945" s="412">
        <v>220.0</v>
      </c>
      <c r="BD945" s="132">
        <f t="shared" si="905"/>
        <v>239.1304348</v>
      </c>
      <c r="BE945" s="215"/>
      <c r="BF945" s="48"/>
      <c r="BG945" s="49"/>
      <c r="BH945" s="224">
        <f t="shared" si="906"/>
        <v>1062.801932</v>
      </c>
      <c r="BI945" s="224">
        <f t="shared" si="907"/>
        <v>637.6811594</v>
      </c>
      <c r="BJ945" s="224">
        <f t="shared" si="908"/>
        <v>531.4009662</v>
      </c>
      <c r="BK945" s="224">
        <f t="shared" si="909"/>
        <v>425.1207729</v>
      </c>
      <c r="BL945" s="49"/>
      <c r="BM945" s="49"/>
      <c r="BN945" s="49"/>
      <c r="BO945" s="49"/>
      <c r="BP945" s="49"/>
      <c r="BQ945" s="49"/>
      <c r="BR945" s="49"/>
      <c r="BS945" s="49"/>
      <c r="BT945" s="49"/>
      <c r="BU945" s="49"/>
      <c r="BV945" s="49"/>
      <c r="BW945" s="49"/>
      <c r="BX945" s="49"/>
      <c r="BY945" s="49"/>
      <c r="BZ945" s="49"/>
      <c r="CA945" s="49"/>
      <c r="CB945" s="49"/>
      <c r="CC945" s="49"/>
      <c r="CD945" s="49"/>
      <c r="CE945" s="49"/>
      <c r="CF945" s="49"/>
    </row>
    <row r="946" ht="14.25" customHeight="1">
      <c r="A946" s="103" t="s">
        <v>84</v>
      </c>
      <c r="B946" s="103" t="s">
        <v>3073</v>
      </c>
      <c r="C946" s="103" t="s">
        <v>120</v>
      </c>
      <c r="D946" s="103" t="s">
        <v>1886</v>
      </c>
      <c r="E946" s="109" t="s">
        <v>3074</v>
      </c>
      <c r="F946" s="105" t="s">
        <v>3185</v>
      </c>
      <c r="G946" s="110" t="s">
        <v>3094</v>
      </c>
      <c r="H946" s="110" t="s">
        <v>3101</v>
      </c>
      <c r="I946" s="107"/>
      <c r="J946" s="108" t="s">
        <v>3334</v>
      </c>
      <c r="K946" s="108" t="str">
        <f>_xlfn.XLOOKUP(J946,[1]Sheet1!$A:$A,[1]Sheet1!$B:$B,"")</f>
        <v>#ERROR!</v>
      </c>
      <c r="L946" s="109" t="s">
        <v>3335</v>
      </c>
      <c r="M946" s="104" t="s">
        <v>3336</v>
      </c>
      <c r="N946" s="110"/>
      <c r="O946" s="109" t="s">
        <v>147</v>
      </c>
      <c r="P946" s="106"/>
      <c r="Q946" s="105" t="s">
        <v>3081</v>
      </c>
      <c r="R946" s="106"/>
      <c r="S946" s="106"/>
      <c r="T946" s="110"/>
      <c r="U946" s="106">
        <v>9.403208E9</v>
      </c>
      <c r="V946" s="112">
        <v>0.0</v>
      </c>
      <c r="W946" s="106">
        <v>45.0</v>
      </c>
      <c r="X946" s="106">
        <v>45.0</v>
      </c>
      <c r="Y946" s="106"/>
      <c r="Z946" s="106" t="s">
        <v>99</v>
      </c>
      <c r="AA946" s="114">
        <f t="shared" si="891"/>
        <v>447.7289113</v>
      </c>
      <c r="AB946" s="115"/>
      <c r="AC946" s="212">
        <f t="shared" si="892"/>
        <v>391.3043478</v>
      </c>
      <c r="AD946" s="213">
        <f t="shared" si="799"/>
        <v>420.7573633</v>
      </c>
      <c r="AE946" s="212"/>
      <c r="AF946" s="212" t="str">
        <f t="shared" si="94"/>
        <v>#REF!</v>
      </c>
      <c r="AG946" s="210" t="str">
        <f t="shared" si="95"/>
        <v>#REF!</v>
      </c>
      <c r="AH946" s="120" t="str">
        <f t="shared" si="96"/>
        <v>#REF!</v>
      </c>
      <c r="AI946" s="121">
        <f t="shared" si="893"/>
        <v>0.05</v>
      </c>
      <c r="AJ946" s="121">
        <v>0.05</v>
      </c>
      <c r="AK946" s="418">
        <v>0.25</v>
      </c>
      <c r="AL946" s="123">
        <f t="shared" si="11"/>
        <v>97.82608696</v>
      </c>
      <c r="AM946" s="401" t="s">
        <v>10</v>
      </c>
      <c r="AN946" s="125">
        <f t="shared" si="894"/>
        <v>391.3043478</v>
      </c>
      <c r="AO946" s="402">
        <f t="shared" si="895"/>
        <v>0.25</v>
      </c>
      <c r="AP946" s="127"/>
      <c r="AQ946" s="128">
        <f t="shared" si="896"/>
        <v>326.8421053</v>
      </c>
      <c r="AR946" s="404">
        <f t="shared" si="897"/>
        <v>308.9244851</v>
      </c>
      <c r="AS946" s="405">
        <f t="shared" si="898"/>
        <v>0.27</v>
      </c>
      <c r="AT946" s="405">
        <f t="shared" si="899"/>
        <v>0.2105263158</v>
      </c>
      <c r="AU946" s="129"/>
      <c r="AV946" s="225" t="s">
        <v>3024</v>
      </c>
      <c r="AW946" s="416"/>
      <c r="AX946" s="416"/>
      <c r="AY946" s="361"/>
      <c r="AZ946" s="214"/>
      <c r="BA946" s="214"/>
      <c r="BB946" s="227"/>
      <c r="BC946" s="412">
        <v>270.0</v>
      </c>
      <c r="BD946" s="132">
        <f t="shared" si="905"/>
        <v>293.4782609</v>
      </c>
      <c r="BE946" s="215"/>
      <c r="BF946" s="48"/>
      <c r="BG946" s="49"/>
      <c r="BH946" s="224">
        <f t="shared" si="906"/>
        <v>1304.347826</v>
      </c>
      <c r="BI946" s="224">
        <f t="shared" si="907"/>
        <v>782.6086957</v>
      </c>
      <c r="BJ946" s="224">
        <f t="shared" si="908"/>
        <v>652.173913</v>
      </c>
      <c r="BK946" s="224">
        <f t="shared" si="909"/>
        <v>521.7391304</v>
      </c>
      <c r="BL946" s="49"/>
      <c r="BM946" s="49"/>
      <c r="BN946" s="49"/>
      <c r="BO946" s="49"/>
      <c r="BP946" s="49"/>
      <c r="BQ946" s="49"/>
      <c r="BR946" s="49"/>
      <c r="BS946" s="49"/>
      <c r="BT946" s="49"/>
      <c r="BU946" s="49"/>
      <c r="BV946" s="49"/>
      <c r="BW946" s="49"/>
      <c r="BX946" s="49"/>
      <c r="BY946" s="49"/>
      <c r="BZ946" s="49"/>
      <c r="CA946" s="49"/>
      <c r="CB946" s="49"/>
      <c r="CC946" s="49"/>
      <c r="CD946" s="49"/>
      <c r="CE946" s="49"/>
      <c r="CF946" s="49"/>
    </row>
    <row r="947" ht="14.25" customHeight="1">
      <c r="A947" s="103" t="s">
        <v>84</v>
      </c>
      <c r="B947" s="103" t="s">
        <v>3073</v>
      </c>
      <c r="C947" s="103" t="s">
        <v>120</v>
      </c>
      <c r="D947" s="103" t="s">
        <v>1886</v>
      </c>
      <c r="E947" s="109" t="s">
        <v>3074</v>
      </c>
      <c r="F947" s="105" t="s">
        <v>3185</v>
      </c>
      <c r="G947" s="110" t="s">
        <v>3228</v>
      </c>
      <c r="H947" s="110" t="s">
        <v>3101</v>
      </c>
      <c r="I947" s="107"/>
      <c r="J947" s="108" t="s">
        <v>3337</v>
      </c>
      <c r="K947" s="108" t="str">
        <f>_xlfn.XLOOKUP(J947,[1]Sheet1!$A:$A,[1]Sheet1!$B:$B,"")</f>
        <v>#ERROR!</v>
      </c>
      <c r="L947" s="109" t="s">
        <v>3338</v>
      </c>
      <c r="M947" s="104" t="s">
        <v>3339</v>
      </c>
      <c r="N947" s="110"/>
      <c r="O947" s="109" t="s">
        <v>147</v>
      </c>
      <c r="P947" s="106"/>
      <c r="Q947" s="105" t="s">
        <v>3081</v>
      </c>
      <c r="R947" s="106"/>
      <c r="S947" s="106"/>
      <c r="T947" s="110"/>
      <c r="U947" s="106">
        <v>9.403208E9</v>
      </c>
      <c r="V947" s="112">
        <v>0.0</v>
      </c>
      <c r="W947" s="106">
        <v>45.0</v>
      </c>
      <c r="X947" s="106">
        <v>45.0</v>
      </c>
      <c r="Y947" s="106"/>
      <c r="Z947" s="106" t="s">
        <v>99</v>
      </c>
      <c r="AA947" s="114">
        <f t="shared" si="891"/>
        <v>480.8940159</v>
      </c>
      <c r="AB947" s="115"/>
      <c r="AC947" s="212">
        <f t="shared" si="892"/>
        <v>420.2898551</v>
      </c>
      <c r="AD947" s="213">
        <f t="shared" si="799"/>
        <v>451.9245753</v>
      </c>
      <c r="AE947" s="212"/>
      <c r="AF947" s="212" t="str">
        <f t="shared" si="94"/>
        <v>#REF!</v>
      </c>
      <c r="AG947" s="210" t="str">
        <f t="shared" si="95"/>
        <v>#REF!</v>
      </c>
      <c r="AH947" s="120" t="str">
        <f t="shared" si="96"/>
        <v>#REF!</v>
      </c>
      <c r="AI947" s="121">
        <f t="shared" si="893"/>
        <v>0.05</v>
      </c>
      <c r="AJ947" s="121">
        <v>0.05</v>
      </c>
      <c r="AK947" s="418">
        <v>0.25</v>
      </c>
      <c r="AL947" s="123">
        <f t="shared" si="11"/>
        <v>105.0724638</v>
      </c>
      <c r="AM947" s="401" t="s">
        <v>10</v>
      </c>
      <c r="AN947" s="125">
        <f t="shared" si="894"/>
        <v>420.2898551</v>
      </c>
      <c r="AO947" s="402">
        <f t="shared" si="895"/>
        <v>0.25</v>
      </c>
      <c r="AP947" s="127"/>
      <c r="AQ947" s="128">
        <f t="shared" si="896"/>
        <v>351.0526316</v>
      </c>
      <c r="AR947" s="404">
        <f t="shared" si="897"/>
        <v>331.8077803</v>
      </c>
      <c r="AS947" s="405">
        <f t="shared" si="898"/>
        <v>0.27</v>
      </c>
      <c r="AT947" s="405">
        <f t="shared" si="899"/>
        <v>0.2105263158</v>
      </c>
      <c r="AU947" s="129"/>
      <c r="AV947" s="225" t="s">
        <v>3024</v>
      </c>
      <c r="AW947" s="416"/>
      <c r="AX947" s="416"/>
      <c r="AY947" s="361"/>
      <c r="AZ947" s="214"/>
      <c r="BA947" s="214"/>
      <c r="BB947" s="227"/>
      <c r="BC947" s="412">
        <v>290.0</v>
      </c>
      <c r="BD947" s="132">
        <f t="shared" si="905"/>
        <v>315.2173913</v>
      </c>
      <c r="BE947" s="215"/>
      <c r="BF947" s="48"/>
      <c r="BG947" s="49"/>
      <c r="BH947" s="224">
        <f t="shared" si="906"/>
        <v>1400.966184</v>
      </c>
      <c r="BI947" s="224">
        <f t="shared" si="907"/>
        <v>840.5797101</v>
      </c>
      <c r="BJ947" s="224">
        <f t="shared" si="908"/>
        <v>700.4830918</v>
      </c>
      <c r="BK947" s="224">
        <f t="shared" si="909"/>
        <v>560.3864734</v>
      </c>
      <c r="BL947" s="49"/>
      <c r="BM947" s="49"/>
      <c r="BN947" s="49"/>
      <c r="BO947" s="49"/>
      <c r="BP947" s="49"/>
      <c r="BQ947" s="49"/>
      <c r="BR947" s="49"/>
      <c r="BS947" s="49"/>
      <c r="BT947" s="49"/>
      <c r="BU947" s="49"/>
      <c r="BV947" s="49"/>
      <c r="BW947" s="49"/>
      <c r="BX947" s="49"/>
      <c r="BY947" s="49"/>
      <c r="BZ947" s="49"/>
      <c r="CA947" s="49"/>
      <c r="CB947" s="49"/>
      <c r="CC947" s="49"/>
      <c r="CD947" s="49"/>
      <c r="CE947" s="49"/>
      <c r="CF947" s="49"/>
    </row>
    <row r="948" ht="14.25" customHeight="1">
      <c r="A948" s="103" t="s">
        <v>84</v>
      </c>
      <c r="B948" s="103" t="s">
        <v>3073</v>
      </c>
      <c r="C948" s="103" t="s">
        <v>120</v>
      </c>
      <c r="D948" s="103" t="s">
        <v>1886</v>
      </c>
      <c r="E948" s="109" t="s">
        <v>3074</v>
      </c>
      <c r="F948" s="105" t="s">
        <v>3185</v>
      </c>
      <c r="G948" s="110" t="s">
        <v>3094</v>
      </c>
      <c r="H948" s="110" t="s">
        <v>3120</v>
      </c>
      <c r="I948" s="107"/>
      <c r="J948" s="108" t="s">
        <v>3340</v>
      </c>
      <c r="K948" s="108" t="str">
        <f>_xlfn.XLOOKUP(J948,[1]Sheet1!$A:$A,[1]Sheet1!$B:$B,"")</f>
        <v>#ERROR!</v>
      </c>
      <c r="L948" s="109" t="s">
        <v>3341</v>
      </c>
      <c r="M948" s="104" t="s">
        <v>3342</v>
      </c>
      <c r="N948" s="110"/>
      <c r="O948" s="109" t="s">
        <v>147</v>
      </c>
      <c r="P948" s="106"/>
      <c r="Q948" s="105" t="s">
        <v>3081</v>
      </c>
      <c r="R948" s="106"/>
      <c r="S948" s="106"/>
      <c r="T948" s="110"/>
      <c r="U948" s="106">
        <v>9.403208E9</v>
      </c>
      <c r="V948" s="112">
        <v>0.0</v>
      </c>
      <c r="W948" s="106">
        <v>45.0</v>
      </c>
      <c r="X948" s="106">
        <v>45.0</v>
      </c>
      <c r="Y948" s="106"/>
      <c r="Z948" s="106" t="s">
        <v>99</v>
      </c>
      <c r="AA948" s="114">
        <f t="shared" si="891"/>
        <v>489.185292</v>
      </c>
      <c r="AB948" s="115"/>
      <c r="AC948" s="212">
        <f t="shared" si="892"/>
        <v>427.5362319</v>
      </c>
      <c r="AD948" s="213">
        <f t="shared" si="799"/>
        <v>459.7163784</v>
      </c>
      <c r="AE948" s="212"/>
      <c r="AF948" s="212" t="str">
        <f t="shared" si="94"/>
        <v>#REF!</v>
      </c>
      <c r="AG948" s="210" t="str">
        <f t="shared" si="95"/>
        <v>#REF!</v>
      </c>
      <c r="AH948" s="120" t="str">
        <f t="shared" si="96"/>
        <v>#REF!</v>
      </c>
      <c r="AI948" s="121">
        <f t="shared" si="893"/>
        <v>0.05</v>
      </c>
      <c r="AJ948" s="121">
        <v>0.05</v>
      </c>
      <c r="AK948" s="418">
        <v>0.25</v>
      </c>
      <c r="AL948" s="123">
        <f t="shared" si="11"/>
        <v>106.884058</v>
      </c>
      <c r="AM948" s="401" t="s">
        <v>10</v>
      </c>
      <c r="AN948" s="125">
        <f t="shared" si="894"/>
        <v>427.5362319</v>
      </c>
      <c r="AO948" s="402">
        <f t="shared" si="895"/>
        <v>0.25</v>
      </c>
      <c r="AP948" s="127"/>
      <c r="AQ948" s="128">
        <f t="shared" si="896"/>
        <v>357.1052632</v>
      </c>
      <c r="AR948" s="404">
        <f t="shared" si="897"/>
        <v>337.5286041</v>
      </c>
      <c r="AS948" s="405">
        <f t="shared" si="898"/>
        <v>0.27</v>
      </c>
      <c r="AT948" s="405">
        <f t="shared" si="899"/>
        <v>0.2105263158</v>
      </c>
      <c r="AU948" s="129"/>
      <c r="AV948" s="225" t="s">
        <v>3024</v>
      </c>
      <c r="AW948" s="416"/>
      <c r="AX948" s="416"/>
      <c r="AY948" s="361"/>
      <c r="AZ948" s="214"/>
      <c r="BA948" s="214"/>
      <c r="BB948" s="227"/>
      <c r="BC948" s="412">
        <v>295.0</v>
      </c>
      <c r="BD948" s="132">
        <f t="shared" si="905"/>
        <v>320.6521739</v>
      </c>
      <c r="BE948" s="215"/>
      <c r="BF948" s="48"/>
      <c r="BG948" s="49"/>
      <c r="BH948" s="224">
        <f t="shared" si="906"/>
        <v>1425.120773</v>
      </c>
      <c r="BI948" s="224">
        <f t="shared" si="907"/>
        <v>855.0724638</v>
      </c>
      <c r="BJ948" s="224">
        <f t="shared" si="908"/>
        <v>712.5603865</v>
      </c>
      <c r="BK948" s="224">
        <f t="shared" si="909"/>
        <v>570.0483092</v>
      </c>
      <c r="BL948" s="49"/>
      <c r="BM948" s="49"/>
      <c r="BN948" s="49"/>
      <c r="BO948" s="49"/>
      <c r="BP948" s="49"/>
      <c r="BQ948" s="49"/>
      <c r="BR948" s="49"/>
      <c r="BS948" s="49"/>
      <c r="BT948" s="49"/>
      <c r="BU948" s="49"/>
      <c r="BV948" s="49"/>
      <c r="BW948" s="49"/>
      <c r="BX948" s="49"/>
      <c r="BY948" s="49"/>
      <c r="BZ948" s="49"/>
      <c r="CA948" s="49"/>
      <c r="CB948" s="49"/>
      <c r="CC948" s="49"/>
      <c r="CD948" s="49"/>
      <c r="CE948" s="49"/>
      <c r="CF948" s="49"/>
    </row>
    <row r="949" ht="14.25" customHeight="1">
      <c r="A949" s="103" t="s">
        <v>84</v>
      </c>
      <c r="B949" s="103" t="s">
        <v>3073</v>
      </c>
      <c r="C949" s="103" t="s">
        <v>120</v>
      </c>
      <c r="D949" s="103" t="s">
        <v>1886</v>
      </c>
      <c r="E949" s="109" t="s">
        <v>3074</v>
      </c>
      <c r="F949" s="105" t="s">
        <v>3185</v>
      </c>
      <c r="G949" s="110" t="s">
        <v>3075</v>
      </c>
      <c r="H949" s="110" t="s">
        <v>3343</v>
      </c>
      <c r="I949" s="107"/>
      <c r="J949" s="108" t="s">
        <v>3344</v>
      </c>
      <c r="K949" s="108" t="str">
        <f>_xlfn.XLOOKUP(J949,[1]Sheet1!$A:$A,[1]Sheet1!$B:$B,"")</f>
        <v>#ERROR!</v>
      </c>
      <c r="L949" s="109" t="s">
        <v>3345</v>
      </c>
      <c r="M949" s="104" t="s">
        <v>3346</v>
      </c>
      <c r="N949" s="110"/>
      <c r="O949" s="109" t="s">
        <v>147</v>
      </c>
      <c r="P949" s="106"/>
      <c r="Q949" s="105" t="s">
        <v>3081</v>
      </c>
      <c r="R949" s="106"/>
      <c r="S949" s="106"/>
      <c r="T949" s="110"/>
      <c r="U949" s="106">
        <v>9.403208E9</v>
      </c>
      <c r="V949" s="112">
        <v>0.0</v>
      </c>
      <c r="W949" s="106">
        <v>45.0</v>
      </c>
      <c r="X949" s="106">
        <v>45.0</v>
      </c>
      <c r="Y949" s="106"/>
      <c r="Z949" s="106" t="s">
        <v>99</v>
      </c>
      <c r="AA949" s="114">
        <f t="shared" si="891"/>
        <v>339.9423216</v>
      </c>
      <c r="AB949" s="115"/>
      <c r="AC949" s="212">
        <f t="shared" si="892"/>
        <v>297.1014493</v>
      </c>
      <c r="AD949" s="213">
        <f t="shared" si="799"/>
        <v>319.463924</v>
      </c>
      <c r="AE949" s="212"/>
      <c r="AF949" s="212" t="str">
        <f t="shared" si="94"/>
        <v>#REF!</v>
      </c>
      <c r="AG949" s="210" t="str">
        <f t="shared" si="95"/>
        <v>#REF!</v>
      </c>
      <c r="AH949" s="120" t="str">
        <f t="shared" si="96"/>
        <v>#REF!</v>
      </c>
      <c r="AI949" s="121">
        <f t="shared" si="893"/>
        <v>0.05</v>
      </c>
      <c r="AJ949" s="121">
        <v>0.05</v>
      </c>
      <c r="AK949" s="418">
        <v>0.25</v>
      </c>
      <c r="AL949" s="123">
        <f t="shared" si="11"/>
        <v>74.27536232</v>
      </c>
      <c r="AM949" s="401" t="s">
        <v>10</v>
      </c>
      <c r="AN949" s="125">
        <f t="shared" si="894"/>
        <v>297.1014493</v>
      </c>
      <c r="AO949" s="402">
        <f t="shared" si="895"/>
        <v>0.25</v>
      </c>
      <c r="AP949" s="127"/>
      <c r="AQ949" s="128">
        <f t="shared" si="896"/>
        <v>248.1578947</v>
      </c>
      <c r="AR949" s="404">
        <f t="shared" si="897"/>
        <v>234.5537757</v>
      </c>
      <c r="AS949" s="405">
        <f t="shared" si="898"/>
        <v>0.27</v>
      </c>
      <c r="AT949" s="405">
        <f t="shared" si="899"/>
        <v>0.2105263158</v>
      </c>
      <c r="AU949" s="129"/>
      <c r="AV949" s="225" t="s">
        <v>3024</v>
      </c>
      <c r="AW949" s="416"/>
      <c r="AX949" s="416"/>
      <c r="AY949" s="361"/>
      <c r="AZ949" s="214"/>
      <c r="BA949" s="214"/>
      <c r="BB949" s="227"/>
      <c r="BC949" s="412">
        <v>205.0</v>
      </c>
      <c r="BD949" s="132">
        <f t="shared" si="905"/>
        <v>222.826087</v>
      </c>
      <c r="BE949" s="215"/>
      <c r="BF949" s="48"/>
      <c r="BG949" s="49"/>
      <c r="BH949" s="224">
        <f t="shared" si="906"/>
        <v>990.3381643</v>
      </c>
      <c r="BI949" s="224">
        <f t="shared" si="907"/>
        <v>594.2028986</v>
      </c>
      <c r="BJ949" s="224">
        <f t="shared" si="908"/>
        <v>495.1690821</v>
      </c>
      <c r="BK949" s="224">
        <f t="shared" si="909"/>
        <v>396.1352657</v>
      </c>
      <c r="BL949" s="49"/>
      <c r="BM949" s="49"/>
      <c r="BN949" s="49"/>
      <c r="BO949" s="49"/>
      <c r="BP949" s="49"/>
      <c r="BQ949" s="49"/>
      <c r="BR949" s="49"/>
      <c r="BS949" s="49"/>
      <c r="BT949" s="49"/>
      <c r="BU949" s="49"/>
      <c r="BV949" s="49"/>
      <c r="BW949" s="49"/>
      <c r="BX949" s="49"/>
      <c r="BY949" s="49"/>
      <c r="BZ949" s="49"/>
      <c r="CA949" s="49"/>
      <c r="CB949" s="49"/>
      <c r="CC949" s="49"/>
      <c r="CD949" s="49"/>
      <c r="CE949" s="49"/>
      <c r="CF949" s="49"/>
    </row>
    <row r="950" ht="14.25" customHeight="1">
      <c r="A950" s="103" t="s">
        <v>84</v>
      </c>
      <c r="B950" s="103" t="s">
        <v>3073</v>
      </c>
      <c r="C950" s="103" t="s">
        <v>120</v>
      </c>
      <c r="D950" s="103" t="s">
        <v>1886</v>
      </c>
      <c r="E950" s="109" t="s">
        <v>3074</v>
      </c>
      <c r="F950" s="105" t="s">
        <v>3185</v>
      </c>
      <c r="G950" s="110" t="s">
        <v>3082</v>
      </c>
      <c r="H950" s="110" t="s">
        <v>3076</v>
      </c>
      <c r="I950" s="107"/>
      <c r="J950" s="108" t="s">
        <v>3347</v>
      </c>
      <c r="K950" s="108" t="str">
        <f>_xlfn.XLOOKUP(J950,[1]Sheet1!$A:$A,[1]Sheet1!$B:$B,"")</f>
        <v>#ERROR!</v>
      </c>
      <c r="L950" s="109" t="s">
        <v>3348</v>
      </c>
      <c r="M950" s="104" t="s">
        <v>3349</v>
      </c>
      <c r="N950" s="110"/>
      <c r="O950" s="109" t="s">
        <v>147</v>
      </c>
      <c r="P950" s="106"/>
      <c r="Q950" s="105" t="s">
        <v>3081</v>
      </c>
      <c r="R950" s="106"/>
      <c r="S950" s="106"/>
      <c r="T950" s="110"/>
      <c r="U950" s="106">
        <v>9.403208E9</v>
      </c>
      <c r="V950" s="112">
        <v>0.0</v>
      </c>
      <c r="W950" s="106">
        <v>45.0</v>
      </c>
      <c r="X950" s="106">
        <v>45.0</v>
      </c>
      <c r="Y950" s="106"/>
      <c r="Z950" s="106" t="s">
        <v>99</v>
      </c>
      <c r="AA950" s="114">
        <f t="shared" si="891"/>
        <v>356.5248738</v>
      </c>
      <c r="AB950" s="115"/>
      <c r="AC950" s="212">
        <f t="shared" si="892"/>
        <v>311.5942029</v>
      </c>
      <c r="AD950" s="213">
        <f t="shared" si="799"/>
        <v>335.04753</v>
      </c>
      <c r="AE950" s="212"/>
      <c r="AF950" s="212" t="str">
        <f t="shared" si="94"/>
        <v>#REF!</v>
      </c>
      <c r="AG950" s="210" t="str">
        <f t="shared" si="95"/>
        <v>#REF!</v>
      </c>
      <c r="AH950" s="120" t="str">
        <f t="shared" si="96"/>
        <v>#REF!</v>
      </c>
      <c r="AI950" s="121">
        <f t="shared" si="893"/>
        <v>0.05</v>
      </c>
      <c r="AJ950" s="121">
        <v>0.05</v>
      </c>
      <c r="AK950" s="418">
        <v>0.25</v>
      </c>
      <c r="AL950" s="123">
        <f t="shared" si="11"/>
        <v>77.89855072</v>
      </c>
      <c r="AM950" s="401" t="s">
        <v>10</v>
      </c>
      <c r="AN950" s="125">
        <f t="shared" si="894"/>
        <v>311.5942029</v>
      </c>
      <c r="AO950" s="402">
        <f t="shared" si="895"/>
        <v>0.25</v>
      </c>
      <c r="AP950" s="127"/>
      <c r="AQ950" s="128">
        <f t="shared" si="896"/>
        <v>260.2631579</v>
      </c>
      <c r="AR950" s="404">
        <f t="shared" si="897"/>
        <v>245.9954233</v>
      </c>
      <c r="AS950" s="405">
        <f t="shared" si="898"/>
        <v>0.27</v>
      </c>
      <c r="AT950" s="405">
        <f t="shared" si="899"/>
        <v>0.2105263158</v>
      </c>
      <c r="AU950" s="129"/>
      <c r="AV950" s="225" t="s">
        <v>3024</v>
      </c>
      <c r="AW950" s="416"/>
      <c r="AX950" s="416"/>
      <c r="AY950" s="361"/>
      <c r="AZ950" s="214"/>
      <c r="BA950" s="214"/>
      <c r="BB950" s="227"/>
      <c r="BC950" s="412">
        <v>215.0</v>
      </c>
      <c r="BD950" s="132">
        <f t="shared" si="905"/>
        <v>233.6956522</v>
      </c>
      <c r="BE950" s="215"/>
      <c r="BF950" s="48"/>
      <c r="BG950" s="49"/>
      <c r="BH950" s="224">
        <f t="shared" si="906"/>
        <v>1038.647343</v>
      </c>
      <c r="BI950" s="224">
        <f t="shared" si="907"/>
        <v>623.1884058</v>
      </c>
      <c r="BJ950" s="224">
        <f t="shared" si="908"/>
        <v>519.3236715</v>
      </c>
      <c r="BK950" s="224">
        <f t="shared" si="909"/>
        <v>415.4589372</v>
      </c>
      <c r="BL950" s="49"/>
      <c r="BM950" s="49"/>
      <c r="BN950" s="49"/>
      <c r="BO950" s="49"/>
      <c r="BP950" s="49"/>
      <c r="BQ950" s="49"/>
      <c r="BR950" s="49"/>
      <c r="BS950" s="49"/>
      <c r="BT950" s="49"/>
      <c r="BU950" s="49"/>
      <c r="BV950" s="49"/>
      <c r="BW950" s="49"/>
      <c r="BX950" s="49"/>
      <c r="BY950" s="49"/>
      <c r="BZ950" s="49"/>
      <c r="CA950" s="49"/>
      <c r="CB950" s="49"/>
      <c r="CC950" s="49"/>
      <c r="CD950" s="49"/>
      <c r="CE950" s="49"/>
      <c r="CF950" s="49"/>
    </row>
    <row r="951" ht="14.25" customHeight="1">
      <c r="A951" s="103" t="s">
        <v>84</v>
      </c>
      <c r="B951" s="103" t="s">
        <v>3073</v>
      </c>
      <c r="C951" s="103" t="s">
        <v>120</v>
      </c>
      <c r="D951" s="103" t="s">
        <v>1886</v>
      </c>
      <c r="E951" s="109" t="s">
        <v>3074</v>
      </c>
      <c r="F951" s="105" t="s">
        <v>3185</v>
      </c>
      <c r="G951" s="110" t="s">
        <v>3086</v>
      </c>
      <c r="H951" s="110" t="s">
        <v>3076</v>
      </c>
      <c r="I951" s="107"/>
      <c r="J951" s="108" t="s">
        <v>3350</v>
      </c>
      <c r="K951" s="108" t="str">
        <f>_xlfn.XLOOKUP(J951,[1]Sheet1!$A:$A,[1]Sheet1!$B:$B,"")</f>
        <v>#ERROR!</v>
      </c>
      <c r="L951" s="109" t="s">
        <v>3351</v>
      </c>
      <c r="M951" s="104" t="s">
        <v>3352</v>
      </c>
      <c r="N951" s="110"/>
      <c r="O951" s="109" t="s">
        <v>147</v>
      </c>
      <c r="P951" s="106"/>
      <c r="Q951" s="105" t="s">
        <v>3081</v>
      </c>
      <c r="R951" s="106"/>
      <c r="S951" s="106"/>
      <c r="T951" s="110"/>
      <c r="U951" s="106">
        <v>9.403208E9</v>
      </c>
      <c r="V951" s="112">
        <v>0.0</v>
      </c>
      <c r="W951" s="106">
        <v>45.0</v>
      </c>
      <c r="X951" s="106">
        <v>45.0</v>
      </c>
      <c r="Y951" s="106"/>
      <c r="Z951" s="106" t="s">
        <v>99</v>
      </c>
      <c r="AA951" s="114">
        <f t="shared" si="891"/>
        <v>373.1074261</v>
      </c>
      <c r="AB951" s="115"/>
      <c r="AC951" s="212">
        <f t="shared" si="892"/>
        <v>326.0869565</v>
      </c>
      <c r="AD951" s="213">
        <f t="shared" si="799"/>
        <v>350.631136</v>
      </c>
      <c r="AE951" s="212"/>
      <c r="AF951" s="212" t="str">
        <f t="shared" si="94"/>
        <v>#REF!</v>
      </c>
      <c r="AG951" s="210" t="str">
        <f t="shared" si="95"/>
        <v>#REF!</v>
      </c>
      <c r="AH951" s="120" t="str">
        <f t="shared" si="96"/>
        <v>#REF!</v>
      </c>
      <c r="AI951" s="121">
        <f t="shared" si="893"/>
        <v>0.05</v>
      </c>
      <c r="AJ951" s="121">
        <v>0.05</v>
      </c>
      <c r="AK951" s="418">
        <v>0.25</v>
      </c>
      <c r="AL951" s="123">
        <f t="shared" si="11"/>
        <v>81.52173913</v>
      </c>
      <c r="AM951" s="401" t="s">
        <v>10</v>
      </c>
      <c r="AN951" s="125">
        <f t="shared" si="894"/>
        <v>326.0869565</v>
      </c>
      <c r="AO951" s="402">
        <f t="shared" si="895"/>
        <v>0.25</v>
      </c>
      <c r="AP951" s="127"/>
      <c r="AQ951" s="128">
        <f t="shared" si="896"/>
        <v>272.3684211</v>
      </c>
      <c r="AR951" s="404">
        <f t="shared" si="897"/>
        <v>257.4370709</v>
      </c>
      <c r="AS951" s="405">
        <f t="shared" si="898"/>
        <v>0.27</v>
      </c>
      <c r="AT951" s="405">
        <f t="shared" si="899"/>
        <v>0.2105263158</v>
      </c>
      <c r="AU951" s="129"/>
      <c r="AV951" s="225" t="s">
        <v>3024</v>
      </c>
      <c r="AW951" s="416"/>
      <c r="AX951" s="416"/>
      <c r="AY951" s="361"/>
      <c r="AZ951" s="214"/>
      <c r="BA951" s="214"/>
      <c r="BB951" s="227"/>
      <c r="BC951" s="412">
        <v>225.0</v>
      </c>
      <c r="BD951" s="132">
        <f t="shared" si="905"/>
        <v>244.5652174</v>
      </c>
      <c r="BE951" s="215"/>
      <c r="BF951" s="48"/>
      <c r="BG951" s="49"/>
      <c r="BH951" s="224">
        <f t="shared" si="906"/>
        <v>1086.956522</v>
      </c>
      <c r="BI951" s="224">
        <f t="shared" si="907"/>
        <v>652.173913</v>
      </c>
      <c r="BJ951" s="224">
        <f t="shared" si="908"/>
        <v>543.4782609</v>
      </c>
      <c r="BK951" s="224">
        <f t="shared" si="909"/>
        <v>434.7826087</v>
      </c>
      <c r="BL951" s="49"/>
      <c r="BM951" s="49"/>
      <c r="BN951" s="49"/>
      <c r="BO951" s="49"/>
      <c r="BP951" s="49"/>
      <c r="BQ951" s="49"/>
      <c r="BR951" s="49"/>
      <c r="BS951" s="49"/>
      <c r="BT951" s="49"/>
      <c r="BU951" s="49"/>
      <c r="BV951" s="49"/>
      <c r="BW951" s="49"/>
      <c r="BX951" s="49"/>
      <c r="BY951" s="49"/>
      <c r="BZ951" s="49"/>
      <c r="CA951" s="49"/>
      <c r="CB951" s="49"/>
      <c r="CC951" s="49"/>
      <c r="CD951" s="49"/>
      <c r="CE951" s="49"/>
      <c r="CF951" s="49"/>
    </row>
    <row r="952" ht="14.25" customHeight="1">
      <c r="A952" s="103" t="s">
        <v>84</v>
      </c>
      <c r="B952" s="103" t="s">
        <v>3073</v>
      </c>
      <c r="C952" s="103" t="s">
        <v>120</v>
      </c>
      <c r="D952" s="103" t="s">
        <v>1886</v>
      </c>
      <c r="E952" s="109" t="s">
        <v>3074</v>
      </c>
      <c r="F952" s="105" t="s">
        <v>3185</v>
      </c>
      <c r="G952" s="110" t="s">
        <v>3090</v>
      </c>
      <c r="H952" s="110" t="s">
        <v>3076</v>
      </c>
      <c r="I952" s="107"/>
      <c r="J952" s="108" t="s">
        <v>3353</v>
      </c>
      <c r="K952" s="108" t="str">
        <f>_xlfn.XLOOKUP(J952,[1]Sheet1!$A:$A,[1]Sheet1!$B:$B,"")</f>
        <v>#ERROR!</v>
      </c>
      <c r="L952" s="109" t="s">
        <v>3354</v>
      </c>
      <c r="M952" s="104" t="s">
        <v>3355</v>
      </c>
      <c r="N952" s="110"/>
      <c r="O952" s="109" t="s">
        <v>147</v>
      </c>
      <c r="P952" s="106"/>
      <c r="Q952" s="105" t="s">
        <v>3081</v>
      </c>
      <c r="R952" s="106"/>
      <c r="S952" s="106"/>
      <c r="T952" s="110"/>
      <c r="U952" s="106">
        <v>9.403208E9</v>
      </c>
      <c r="V952" s="112">
        <v>0.0</v>
      </c>
      <c r="W952" s="106">
        <v>45.0</v>
      </c>
      <c r="X952" s="106">
        <v>45.0</v>
      </c>
      <c r="Y952" s="106"/>
      <c r="Z952" s="106" t="s">
        <v>99</v>
      </c>
      <c r="AA952" s="114">
        <f t="shared" si="891"/>
        <v>414.5638068</v>
      </c>
      <c r="AB952" s="115"/>
      <c r="AC952" s="212">
        <f t="shared" si="892"/>
        <v>362.3188406</v>
      </c>
      <c r="AD952" s="213">
        <f t="shared" si="799"/>
        <v>389.5901512</v>
      </c>
      <c r="AE952" s="212"/>
      <c r="AF952" s="212" t="str">
        <f t="shared" si="94"/>
        <v>#REF!</v>
      </c>
      <c r="AG952" s="210" t="str">
        <f t="shared" si="95"/>
        <v>#REF!</v>
      </c>
      <c r="AH952" s="120" t="str">
        <f t="shared" si="96"/>
        <v>#REF!</v>
      </c>
      <c r="AI952" s="121">
        <f t="shared" si="893"/>
        <v>0.05</v>
      </c>
      <c r="AJ952" s="121">
        <v>0.05</v>
      </c>
      <c r="AK952" s="418">
        <v>0.25</v>
      </c>
      <c r="AL952" s="123">
        <f t="shared" si="11"/>
        <v>90.57971014</v>
      </c>
      <c r="AM952" s="401" t="s">
        <v>10</v>
      </c>
      <c r="AN952" s="125">
        <f t="shared" si="894"/>
        <v>362.3188406</v>
      </c>
      <c r="AO952" s="402">
        <f t="shared" si="895"/>
        <v>0.25</v>
      </c>
      <c r="AP952" s="127"/>
      <c r="AQ952" s="128">
        <f t="shared" si="896"/>
        <v>302.6315789</v>
      </c>
      <c r="AR952" s="404">
        <f t="shared" si="897"/>
        <v>286.0411899</v>
      </c>
      <c r="AS952" s="405">
        <f t="shared" si="898"/>
        <v>0.27</v>
      </c>
      <c r="AT952" s="405">
        <f t="shared" si="899"/>
        <v>0.2105263158</v>
      </c>
      <c r="AU952" s="129"/>
      <c r="AV952" s="225" t="s">
        <v>3024</v>
      </c>
      <c r="AW952" s="416"/>
      <c r="AX952" s="416"/>
      <c r="AY952" s="361"/>
      <c r="AZ952" s="214"/>
      <c r="BA952" s="214"/>
      <c r="BB952" s="227"/>
      <c r="BC952" s="412">
        <v>250.0</v>
      </c>
      <c r="BD952" s="132">
        <f t="shared" si="905"/>
        <v>271.7391304</v>
      </c>
      <c r="BE952" s="215"/>
      <c r="BF952" s="48"/>
      <c r="BG952" s="49"/>
      <c r="BH952" s="224">
        <f t="shared" si="906"/>
        <v>1207.729469</v>
      </c>
      <c r="BI952" s="224">
        <f t="shared" si="907"/>
        <v>724.6376812</v>
      </c>
      <c r="BJ952" s="224">
        <f t="shared" si="908"/>
        <v>603.8647343</v>
      </c>
      <c r="BK952" s="224">
        <f t="shared" si="909"/>
        <v>483.0917874</v>
      </c>
      <c r="BL952" s="49"/>
      <c r="BM952" s="49"/>
      <c r="BN952" s="49"/>
      <c r="BO952" s="49"/>
      <c r="BP952" s="49"/>
      <c r="BQ952" s="49"/>
      <c r="BR952" s="49"/>
      <c r="BS952" s="49"/>
      <c r="BT952" s="49"/>
      <c r="BU952" s="49"/>
      <c r="BV952" s="49"/>
      <c r="BW952" s="49"/>
      <c r="BX952" s="49"/>
      <c r="BY952" s="49"/>
      <c r="BZ952" s="49"/>
      <c r="CA952" s="49"/>
      <c r="CB952" s="49"/>
      <c r="CC952" s="49"/>
      <c r="CD952" s="49"/>
      <c r="CE952" s="49"/>
      <c r="CF952" s="49"/>
    </row>
    <row r="953" ht="14.25" customHeight="1">
      <c r="A953" s="103" t="s">
        <v>84</v>
      </c>
      <c r="B953" s="103" t="s">
        <v>3073</v>
      </c>
      <c r="C953" s="103" t="s">
        <v>120</v>
      </c>
      <c r="D953" s="103" t="s">
        <v>1886</v>
      </c>
      <c r="E953" s="109" t="s">
        <v>3074</v>
      </c>
      <c r="F953" s="105" t="s">
        <v>3185</v>
      </c>
      <c r="G953" s="110" t="s">
        <v>3094</v>
      </c>
      <c r="H953" s="110" t="s">
        <v>3076</v>
      </c>
      <c r="I953" s="107"/>
      <c r="J953" s="108" t="s">
        <v>3356</v>
      </c>
      <c r="K953" s="108" t="str">
        <f>_xlfn.XLOOKUP(J953,[1]Sheet1!$A:$A,[1]Sheet1!$B:$B,"")</f>
        <v>#ERROR!</v>
      </c>
      <c r="L953" s="109" t="s">
        <v>3357</v>
      </c>
      <c r="M953" s="104" t="s">
        <v>3358</v>
      </c>
      <c r="N953" s="110"/>
      <c r="O953" s="109" t="s">
        <v>147</v>
      </c>
      <c r="P953" s="106"/>
      <c r="Q953" s="105" t="s">
        <v>3081</v>
      </c>
      <c r="R953" s="106"/>
      <c r="S953" s="106"/>
      <c r="T953" s="110"/>
      <c r="U953" s="106">
        <v>9.403208E9</v>
      </c>
      <c r="V953" s="112">
        <v>0.0</v>
      </c>
      <c r="W953" s="106">
        <v>45.0</v>
      </c>
      <c r="X953" s="106">
        <v>45.0</v>
      </c>
      <c r="Y953" s="106"/>
      <c r="Z953" s="106" t="s">
        <v>99</v>
      </c>
      <c r="AA953" s="114">
        <f t="shared" si="891"/>
        <v>464.3114636</v>
      </c>
      <c r="AB953" s="115"/>
      <c r="AC953" s="212">
        <f t="shared" si="892"/>
        <v>405.7971014</v>
      </c>
      <c r="AD953" s="213">
        <f t="shared" si="799"/>
        <v>436.3409693</v>
      </c>
      <c r="AE953" s="212"/>
      <c r="AF953" s="212" t="str">
        <f t="shared" si="94"/>
        <v>#REF!</v>
      </c>
      <c r="AG953" s="210" t="str">
        <f t="shared" si="95"/>
        <v>#REF!</v>
      </c>
      <c r="AH953" s="120" t="str">
        <f t="shared" si="96"/>
        <v>#REF!</v>
      </c>
      <c r="AI953" s="121">
        <f t="shared" si="893"/>
        <v>0.05</v>
      </c>
      <c r="AJ953" s="121">
        <v>0.05</v>
      </c>
      <c r="AK953" s="418">
        <v>0.25</v>
      </c>
      <c r="AL953" s="123">
        <f t="shared" si="11"/>
        <v>101.4492754</v>
      </c>
      <c r="AM953" s="401" t="s">
        <v>10</v>
      </c>
      <c r="AN953" s="125">
        <f t="shared" si="894"/>
        <v>405.7971014</v>
      </c>
      <c r="AO953" s="402">
        <f t="shared" si="895"/>
        <v>0.25</v>
      </c>
      <c r="AP953" s="127"/>
      <c r="AQ953" s="128">
        <f t="shared" si="896"/>
        <v>338.9473684</v>
      </c>
      <c r="AR953" s="404">
        <f t="shared" si="897"/>
        <v>320.3661327</v>
      </c>
      <c r="AS953" s="405">
        <f t="shared" si="898"/>
        <v>0.27</v>
      </c>
      <c r="AT953" s="405">
        <f t="shared" si="899"/>
        <v>0.2105263158</v>
      </c>
      <c r="AU953" s="129"/>
      <c r="AV953" s="225" t="s">
        <v>3024</v>
      </c>
      <c r="AW953" s="416"/>
      <c r="AX953" s="416"/>
      <c r="AY953" s="361"/>
      <c r="AZ953" s="214"/>
      <c r="BA953" s="214"/>
      <c r="BB953" s="227"/>
      <c r="BC953" s="412">
        <v>280.0</v>
      </c>
      <c r="BD953" s="132">
        <f t="shared" si="905"/>
        <v>304.3478261</v>
      </c>
      <c r="BE953" s="215"/>
      <c r="BF953" s="48"/>
      <c r="BG953" s="49"/>
      <c r="BH953" s="224">
        <f t="shared" si="906"/>
        <v>1352.657005</v>
      </c>
      <c r="BI953" s="224">
        <f t="shared" si="907"/>
        <v>811.5942029</v>
      </c>
      <c r="BJ953" s="224">
        <f t="shared" si="908"/>
        <v>676.3285024</v>
      </c>
      <c r="BK953" s="224">
        <f t="shared" si="909"/>
        <v>541.0628019</v>
      </c>
      <c r="BL953" s="49"/>
      <c r="BM953" s="49"/>
      <c r="BN953" s="49"/>
      <c r="BO953" s="49"/>
      <c r="BP953" s="49"/>
      <c r="BQ953" s="49"/>
      <c r="BR953" s="49"/>
      <c r="BS953" s="49"/>
      <c r="BT953" s="49"/>
      <c r="BU953" s="49"/>
      <c r="BV953" s="49"/>
      <c r="BW953" s="49"/>
      <c r="BX953" s="49"/>
      <c r="BY953" s="49"/>
      <c r="BZ953" s="49"/>
      <c r="CA953" s="49"/>
      <c r="CB953" s="49"/>
      <c r="CC953" s="49"/>
      <c r="CD953" s="49"/>
      <c r="CE953" s="49"/>
      <c r="CF953" s="49"/>
    </row>
    <row r="954" ht="14.25" customHeight="1">
      <c r="A954" s="103" t="s">
        <v>84</v>
      </c>
      <c r="B954" s="103" t="s">
        <v>3073</v>
      </c>
      <c r="C954" s="103" t="s">
        <v>120</v>
      </c>
      <c r="D954" s="103" t="s">
        <v>1886</v>
      </c>
      <c r="E954" s="109" t="s">
        <v>3074</v>
      </c>
      <c r="F954" s="105" t="s">
        <v>3185</v>
      </c>
      <c r="G954" s="110" t="s">
        <v>3075</v>
      </c>
      <c r="H954" s="110" t="s">
        <v>3101</v>
      </c>
      <c r="I954" s="107"/>
      <c r="J954" s="108" t="s">
        <v>3359</v>
      </c>
      <c r="K954" s="108" t="str">
        <f>_xlfn.XLOOKUP(J954,[1]Sheet1!$A:$A,[1]Sheet1!$B:$B,"")</f>
        <v>#ERROR!</v>
      </c>
      <c r="L954" s="109" t="s">
        <v>3360</v>
      </c>
      <c r="M954" s="104" t="s">
        <v>3361</v>
      </c>
      <c r="N954" s="110"/>
      <c r="O954" s="109" t="s">
        <v>147</v>
      </c>
      <c r="P954" s="106"/>
      <c r="Q954" s="105" t="s">
        <v>3081</v>
      </c>
      <c r="R954" s="106"/>
      <c r="S954" s="106"/>
      <c r="T954" s="110"/>
      <c r="U954" s="106">
        <v>9.403208E9</v>
      </c>
      <c r="V954" s="112">
        <v>0.0</v>
      </c>
      <c r="W954" s="106">
        <v>45.0</v>
      </c>
      <c r="X954" s="106">
        <v>45.0</v>
      </c>
      <c r="Y954" s="106"/>
      <c r="Z954" s="106" t="s">
        <v>99</v>
      </c>
      <c r="AA954" s="114">
        <f t="shared" si="891"/>
        <v>364.81615</v>
      </c>
      <c r="AB954" s="115"/>
      <c r="AC954" s="212">
        <f t="shared" si="892"/>
        <v>318.8405797</v>
      </c>
      <c r="AD954" s="213">
        <f t="shared" si="799"/>
        <v>342.839333</v>
      </c>
      <c r="AE954" s="212"/>
      <c r="AF954" s="212" t="str">
        <f t="shared" si="94"/>
        <v>#REF!</v>
      </c>
      <c r="AG954" s="210" t="str">
        <f t="shared" si="95"/>
        <v>#REF!</v>
      </c>
      <c r="AH954" s="120" t="str">
        <f t="shared" si="96"/>
        <v>#REF!</v>
      </c>
      <c r="AI954" s="121">
        <f t="shared" si="893"/>
        <v>0.05</v>
      </c>
      <c r="AJ954" s="121">
        <v>0.05</v>
      </c>
      <c r="AK954" s="418">
        <v>0.25</v>
      </c>
      <c r="AL954" s="123">
        <f t="shared" si="11"/>
        <v>79.71014493</v>
      </c>
      <c r="AM954" s="401" t="s">
        <v>10</v>
      </c>
      <c r="AN954" s="125">
        <f t="shared" si="894"/>
        <v>318.8405797</v>
      </c>
      <c r="AO954" s="402">
        <f t="shared" si="895"/>
        <v>0.25</v>
      </c>
      <c r="AP954" s="127"/>
      <c r="AQ954" s="128">
        <f t="shared" si="896"/>
        <v>266.3157895</v>
      </c>
      <c r="AR954" s="404">
        <f t="shared" si="897"/>
        <v>251.7162471</v>
      </c>
      <c r="AS954" s="405">
        <f t="shared" si="898"/>
        <v>0.27</v>
      </c>
      <c r="AT954" s="405">
        <f t="shared" si="899"/>
        <v>0.2105263158</v>
      </c>
      <c r="AU954" s="129"/>
      <c r="AV954" s="225" t="s">
        <v>3024</v>
      </c>
      <c r="AW954" s="416"/>
      <c r="AX954" s="416"/>
      <c r="AY954" s="361"/>
      <c r="AZ954" s="214"/>
      <c r="BA954" s="214"/>
      <c r="BB954" s="227"/>
      <c r="BC954" s="412">
        <v>220.0</v>
      </c>
      <c r="BD954" s="132">
        <f t="shared" si="905"/>
        <v>239.1304348</v>
      </c>
      <c r="BE954" s="215"/>
      <c r="BF954" s="48"/>
      <c r="BG954" s="49"/>
      <c r="BH954" s="224">
        <f t="shared" si="906"/>
        <v>1062.801932</v>
      </c>
      <c r="BI954" s="224">
        <f t="shared" si="907"/>
        <v>637.6811594</v>
      </c>
      <c r="BJ954" s="224">
        <f t="shared" si="908"/>
        <v>531.4009662</v>
      </c>
      <c r="BK954" s="224">
        <f t="shared" si="909"/>
        <v>425.1207729</v>
      </c>
      <c r="BL954" s="49"/>
      <c r="BM954" s="49"/>
      <c r="BN954" s="49"/>
      <c r="BO954" s="49"/>
      <c r="BP954" s="49"/>
      <c r="BQ954" s="49"/>
      <c r="BR954" s="49"/>
      <c r="BS954" s="49"/>
      <c r="BT954" s="49"/>
      <c r="BU954" s="49"/>
      <c r="BV954" s="49"/>
      <c r="BW954" s="49"/>
      <c r="BX954" s="49"/>
      <c r="BY954" s="49"/>
      <c r="BZ954" s="49"/>
      <c r="CA954" s="49"/>
      <c r="CB954" s="49"/>
      <c r="CC954" s="49"/>
      <c r="CD954" s="49"/>
      <c r="CE954" s="49"/>
      <c r="CF954" s="49"/>
    </row>
    <row r="955" ht="14.25" customHeight="1">
      <c r="A955" s="103" t="s">
        <v>84</v>
      </c>
      <c r="B955" s="103" t="s">
        <v>3073</v>
      </c>
      <c r="C955" s="103" t="s">
        <v>120</v>
      </c>
      <c r="D955" s="103" t="s">
        <v>1886</v>
      </c>
      <c r="E955" s="109" t="s">
        <v>3074</v>
      </c>
      <c r="F955" s="105" t="s">
        <v>3185</v>
      </c>
      <c r="G955" s="110" t="s">
        <v>3086</v>
      </c>
      <c r="H955" s="110" t="s">
        <v>3101</v>
      </c>
      <c r="I955" s="107"/>
      <c r="J955" s="108" t="s">
        <v>3362</v>
      </c>
      <c r="K955" s="108" t="str">
        <f>_xlfn.XLOOKUP(J955,[1]Sheet1!$A:$A,[1]Sheet1!$B:$B,"")</f>
        <v>#ERROR!</v>
      </c>
      <c r="L955" s="109" t="s">
        <v>3363</v>
      </c>
      <c r="M955" s="104" t="s">
        <v>3364</v>
      </c>
      <c r="N955" s="110"/>
      <c r="O955" s="109" t="s">
        <v>147</v>
      </c>
      <c r="P955" s="106"/>
      <c r="Q955" s="105" t="s">
        <v>3081</v>
      </c>
      <c r="R955" s="106"/>
      <c r="S955" s="106"/>
      <c r="T955" s="110"/>
      <c r="U955" s="106">
        <v>9.403208E9</v>
      </c>
      <c r="V955" s="112">
        <v>0.0</v>
      </c>
      <c r="W955" s="106">
        <v>45.0</v>
      </c>
      <c r="X955" s="106">
        <v>45.0</v>
      </c>
      <c r="Y955" s="106"/>
      <c r="Z955" s="106" t="s">
        <v>99</v>
      </c>
      <c r="AA955" s="114">
        <f t="shared" si="891"/>
        <v>397.9812545</v>
      </c>
      <c r="AB955" s="115"/>
      <c r="AC955" s="212">
        <f t="shared" si="892"/>
        <v>347.826087</v>
      </c>
      <c r="AD955" s="213">
        <f t="shared" si="799"/>
        <v>374.0065451</v>
      </c>
      <c r="AE955" s="212"/>
      <c r="AF955" s="212" t="str">
        <f t="shared" si="94"/>
        <v>#REF!</v>
      </c>
      <c r="AG955" s="210" t="str">
        <f t="shared" si="95"/>
        <v>#REF!</v>
      </c>
      <c r="AH955" s="120" t="str">
        <f t="shared" si="96"/>
        <v>#REF!</v>
      </c>
      <c r="AI955" s="121">
        <f t="shared" si="893"/>
        <v>0.05</v>
      </c>
      <c r="AJ955" s="121">
        <v>0.05</v>
      </c>
      <c r="AK955" s="418">
        <v>0.25</v>
      </c>
      <c r="AL955" s="123">
        <f t="shared" si="11"/>
        <v>86.95652174</v>
      </c>
      <c r="AM955" s="401" t="s">
        <v>10</v>
      </c>
      <c r="AN955" s="125">
        <f t="shared" si="894"/>
        <v>347.826087</v>
      </c>
      <c r="AO955" s="402">
        <f t="shared" si="895"/>
        <v>0.25</v>
      </c>
      <c r="AP955" s="127"/>
      <c r="AQ955" s="128">
        <f t="shared" si="896"/>
        <v>290.5263158</v>
      </c>
      <c r="AR955" s="404">
        <f t="shared" si="897"/>
        <v>274.5995423</v>
      </c>
      <c r="AS955" s="405">
        <f t="shared" si="898"/>
        <v>0.27</v>
      </c>
      <c r="AT955" s="405">
        <f t="shared" si="899"/>
        <v>0.2105263158</v>
      </c>
      <c r="AU955" s="129"/>
      <c r="AV955" s="225" t="s">
        <v>3024</v>
      </c>
      <c r="AW955" s="416"/>
      <c r="AX955" s="416"/>
      <c r="AY955" s="361"/>
      <c r="AZ955" s="214"/>
      <c r="BA955" s="214"/>
      <c r="BB955" s="227"/>
      <c r="BC955" s="412">
        <v>240.0</v>
      </c>
      <c r="BD955" s="132">
        <f t="shared" si="905"/>
        <v>260.8695652</v>
      </c>
      <c r="BE955" s="215"/>
      <c r="BF955" s="48"/>
      <c r="BG955" s="49"/>
      <c r="BH955" s="224">
        <f t="shared" si="906"/>
        <v>1159.42029</v>
      </c>
      <c r="BI955" s="224">
        <f t="shared" si="907"/>
        <v>695.6521739</v>
      </c>
      <c r="BJ955" s="224">
        <f t="shared" si="908"/>
        <v>579.7101449</v>
      </c>
      <c r="BK955" s="224">
        <f t="shared" si="909"/>
        <v>463.7681159</v>
      </c>
      <c r="BL955" s="49"/>
      <c r="BM955" s="49"/>
      <c r="BN955" s="49"/>
      <c r="BO955" s="49"/>
      <c r="BP955" s="49"/>
      <c r="BQ955" s="49"/>
      <c r="BR955" s="49"/>
      <c r="BS955" s="49"/>
      <c r="BT955" s="49"/>
      <c r="BU955" s="49"/>
      <c r="BV955" s="49"/>
      <c r="BW955" s="49"/>
      <c r="BX955" s="49"/>
      <c r="BY955" s="49"/>
      <c r="BZ955" s="49"/>
      <c r="CA955" s="49"/>
      <c r="CB955" s="49"/>
      <c r="CC955" s="49"/>
      <c r="CD955" s="49"/>
      <c r="CE955" s="49"/>
      <c r="CF955" s="49"/>
    </row>
    <row r="956" ht="14.25" customHeight="1">
      <c r="A956" s="103" t="s">
        <v>84</v>
      </c>
      <c r="B956" s="103" t="s">
        <v>3073</v>
      </c>
      <c r="C956" s="103" t="s">
        <v>120</v>
      </c>
      <c r="D956" s="103" t="s">
        <v>1886</v>
      </c>
      <c r="E956" s="109" t="s">
        <v>3074</v>
      </c>
      <c r="F956" s="105" t="s">
        <v>3185</v>
      </c>
      <c r="G956" s="110" t="s">
        <v>3094</v>
      </c>
      <c r="H956" s="110" t="s">
        <v>3101</v>
      </c>
      <c r="I956" s="107"/>
      <c r="J956" s="108" t="s">
        <v>3365</v>
      </c>
      <c r="K956" s="108" t="str">
        <f>_xlfn.XLOOKUP(J956,[1]Sheet1!$A:$A,[1]Sheet1!$B:$B,"")</f>
        <v>#ERROR!</v>
      </c>
      <c r="L956" s="109" t="s">
        <v>3366</v>
      </c>
      <c r="M956" s="104" t="s">
        <v>3367</v>
      </c>
      <c r="N956" s="110"/>
      <c r="O956" s="109" t="s">
        <v>147</v>
      </c>
      <c r="P956" s="106"/>
      <c r="Q956" s="105" t="s">
        <v>3081</v>
      </c>
      <c r="R956" s="106"/>
      <c r="S956" s="106"/>
      <c r="T956" s="110"/>
      <c r="U956" s="106">
        <v>9.403208E9</v>
      </c>
      <c r="V956" s="112">
        <v>0.0</v>
      </c>
      <c r="W956" s="106">
        <v>45.0</v>
      </c>
      <c r="X956" s="106">
        <v>45.0</v>
      </c>
      <c r="Y956" s="106"/>
      <c r="Z956" s="106" t="s">
        <v>99</v>
      </c>
      <c r="AA956" s="114">
        <f t="shared" si="891"/>
        <v>505.7678443</v>
      </c>
      <c r="AB956" s="115"/>
      <c r="AC956" s="212">
        <f t="shared" si="892"/>
        <v>442.0289855</v>
      </c>
      <c r="AD956" s="213">
        <f t="shared" si="799"/>
        <v>475.2999844</v>
      </c>
      <c r="AE956" s="212"/>
      <c r="AF956" s="212" t="str">
        <f t="shared" si="94"/>
        <v>#REF!</v>
      </c>
      <c r="AG956" s="210" t="str">
        <f t="shared" si="95"/>
        <v>#REF!</v>
      </c>
      <c r="AH956" s="120" t="str">
        <f t="shared" si="96"/>
        <v>#REF!</v>
      </c>
      <c r="AI956" s="121">
        <f t="shared" si="893"/>
        <v>0.05</v>
      </c>
      <c r="AJ956" s="121">
        <v>0.05</v>
      </c>
      <c r="AK956" s="418">
        <v>0.25</v>
      </c>
      <c r="AL956" s="123">
        <f t="shared" si="11"/>
        <v>110.5072464</v>
      </c>
      <c r="AM956" s="401" t="s">
        <v>10</v>
      </c>
      <c r="AN956" s="125">
        <f t="shared" si="894"/>
        <v>442.0289855</v>
      </c>
      <c r="AO956" s="402">
        <f t="shared" si="895"/>
        <v>0.25</v>
      </c>
      <c r="AP956" s="127"/>
      <c r="AQ956" s="128">
        <f t="shared" si="896"/>
        <v>369.2105263</v>
      </c>
      <c r="AR956" s="404">
        <f t="shared" si="897"/>
        <v>348.9702517</v>
      </c>
      <c r="AS956" s="405">
        <f t="shared" si="898"/>
        <v>0.27</v>
      </c>
      <c r="AT956" s="405">
        <f t="shared" si="899"/>
        <v>0.2105263158</v>
      </c>
      <c r="AU956" s="129"/>
      <c r="AV956" s="225" t="s">
        <v>3024</v>
      </c>
      <c r="AW956" s="416"/>
      <c r="AX956" s="416"/>
      <c r="AY956" s="361"/>
      <c r="AZ956" s="214"/>
      <c r="BA956" s="214"/>
      <c r="BB956" s="227"/>
      <c r="BC956" s="412">
        <v>305.0</v>
      </c>
      <c r="BD956" s="132">
        <f t="shared" si="905"/>
        <v>331.5217391</v>
      </c>
      <c r="BE956" s="215"/>
      <c r="BF956" s="48"/>
      <c r="BG956" s="49"/>
      <c r="BH956" s="224">
        <f t="shared" si="906"/>
        <v>1473.429952</v>
      </c>
      <c r="BI956" s="224">
        <f t="shared" si="907"/>
        <v>884.057971</v>
      </c>
      <c r="BJ956" s="224">
        <f t="shared" si="908"/>
        <v>736.7149758</v>
      </c>
      <c r="BK956" s="224">
        <f t="shared" si="909"/>
        <v>589.3719807</v>
      </c>
      <c r="BL956" s="49"/>
      <c r="BM956" s="49"/>
      <c r="BN956" s="49"/>
      <c r="BO956" s="49"/>
      <c r="BP956" s="49"/>
      <c r="BQ956" s="49"/>
      <c r="BR956" s="49"/>
      <c r="BS956" s="49"/>
      <c r="BT956" s="49"/>
      <c r="BU956" s="49"/>
      <c r="BV956" s="49"/>
      <c r="BW956" s="49"/>
      <c r="BX956" s="49"/>
      <c r="BY956" s="49"/>
      <c r="BZ956" s="49"/>
      <c r="CA956" s="49"/>
      <c r="CB956" s="49"/>
      <c r="CC956" s="49"/>
      <c r="CD956" s="49"/>
      <c r="CE956" s="49"/>
      <c r="CF956" s="49"/>
    </row>
    <row r="957" ht="14.25" customHeight="1">
      <c r="A957" s="103" t="s">
        <v>84</v>
      </c>
      <c r="B957" s="103" t="s">
        <v>3073</v>
      </c>
      <c r="C957" s="103" t="s">
        <v>120</v>
      </c>
      <c r="D957" s="103" t="s">
        <v>1886</v>
      </c>
      <c r="E957" s="109" t="s">
        <v>3074</v>
      </c>
      <c r="F957" s="105" t="s">
        <v>3185</v>
      </c>
      <c r="G957" s="110" t="s">
        <v>3228</v>
      </c>
      <c r="H957" s="110" t="s">
        <v>3101</v>
      </c>
      <c r="I957" s="107"/>
      <c r="J957" s="108" t="s">
        <v>3368</v>
      </c>
      <c r="K957" s="108" t="str">
        <f>_xlfn.XLOOKUP(J957,[1]Sheet1!$A:$A,[1]Sheet1!$B:$B,"")</f>
        <v>#ERROR!</v>
      </c>
      <c r="L957" s="109" t="s">
        <v>3369</v>
      </c>
      <c r="M957" s="104" t="s">
        <v>3370</v>
      </c>
      <c r="N957" s="110"/>
      <c r="O957" s="109" t="s">
        <v>147</v>
      </c>
      <c r="P957" s="106"/>
      <c r="Q957" s="105" t="s">
        <v>3081</v>
      </c>
      <c r="R957" s="106"/>
      <c r="S957" s="106"/>
      <c r="T957" s="110"/>
      <c r="U957" s="106">
        <v>9.403208E9</v>
      </c>
      <c r="V957" s="112">
        <v>0.0</v>
      </c>
      <c r="W957" s="106">
        <v>45.0</v>
      </c>
      <c r="X957" s="106">
        <v>45.0</v>
      </c>
      <c r="Y957" s="106"/>
      <c r="Z957" s="106" t="s">
        <v>99</v>
      </c>
      <c r="AA957" s="114">
        <f t="shared" si="891"/>
        <v>543.9077145</v>
      </c>
      <c r="AB957" s="115"/>
      <c r="AC957" s="212">
        <f t="shared" si="892"/>
        <v>475.3623188</v>
      </c>
      <c r="AD957" s="213">
        <f t="shared" si="799"/>
        <v>511.1422783</v>
      </c>
      <c r="AE957" s="212"/>
      <c r="AF957" s="212" t="str">
        <f t="shared" si="94"/>
        <v>#REF!</v>
      </c>
      <c r="AG957" s="210" t="str">
        <f t="shared" si="95"/>
        <v>#REF!</v>
      </c>
      <c r="AH957" s="120" t="str">
        <f t="shared" si="96"/>
        <v>#REF!</v>
      </c>
      <c r="AI957" s="121">
        <f t="shared" si="893"/>
        <v>0.05</v>
      </c>
      <c r="AJ957" s="121">
        <v>0.05</v>
      </c>
      <c r="AK957" s="418">
        <v>0.25</v>
      </c>
      <c r="AL957" s="123">
        <f t="shared" si="11"/>
        <v>118.8405797</v>
      </c>
      <c r="AM957" s="401" t="s">
        <v>10</v>
      </c>
      <c r="AN957" s="125">
        <f t="shared" si="894"/>
        <v>475.3623188</v>
      </c>
      <c r="AO957" s="402">
        <f t="shared" si="895"/>
        <v>0.25</v>
      </c>
      <c r="AP957" s="127"/>
      <c r="AQ957" s="128">
        <f t="shared" si="896"/>
        <v>397.0526316</v>
      </c>
      <c r="AR957" s="404">
        <f t="shared" si="897"/>
        <v>375.2860412</v>
      </c>
      <c r="AS957" s="405">
        <f t="shared" si="898"/>
        <v>0.27</v>
      </c>
      <c r="AT957" s="405">
        <f t="shared" si="899"/>
        <v>0.2105263158</v>
      </c>
      <c r="AU957" s="129"/>
      <c r="AV957" s="225" t="s">
        <v>3024</v>
      </c>
      <c r="AW957" s="416"/>
      <c r="AX957" s="416"/>
      <c r="AY957" s="361"/>
      <c r="AZ957" s="214"/>
      <c r="BA957" s="214"/>
      <c r="BB957" s="227"/>
      <c r="BC957" s="412">
        <v>328.0</v>
      </c>
      <c r="BD957" s="132">
        <f t="shared" si="905"/>
        <v>356.5217391</v>
      </c>
      <c r="BE957" s="215"/>
      <c r="BF957" s="48"/>
      <c r="BG957" s="49"/>
      <c r="BH957" s="224">
        <f t="shared" si="906"/>
        <v>1584.541063</v>
      </c>
      <c r="BI957" s="224">
        <f t="shared" si="907"/>
        <v>950.7246377</v>
      </c>
      <c r="BJ957" s="224">
        <f t="shared" si="908"/>
        <v>792.2705314</v>
      </c>
      <c r="BK957" s="224">
        <f t="shared" si="909"/>
        <v>633.8164251</v>
      </c>
      <c r="BL957" s="49"/>
      <c r="BM957" s="49"/>
      <c r="BN957" s="49"/>
      <c r="BO957" s="49"/>
      <c r="BP957" s="49"/>
      <c r="BQ957" s="49"/>
      <c r="BR957" s="49"/>
      <c r="BS957" s="49"/>
      <c r="BT957" s="49"/>
      <c r="BU957" s="49"/>
      <c r="BV957" s="49"/>
      <c r="BW957" s="49"/>
      <c r="BX957" s="49"/>
      <c r="BY957" s="49"/>
      <c r="BZ957" s="49"/>
      <c r="CA957" s="49"/>
      <c r="CB957" s="49"/>
      <c r="CC957" s="49"/>
      <c r="CD957" s="49"/>
      <c r="CE957" s="49"/>
      <c r="CF957" s="49"/>
    </row>
    <row r="958" ht="14.25" customHeight="1">
      <c r="A958" s="103" t="s">
        <v>84</v>
      </c>
      <c r="B958" s="103" t="s">
        <v>3073</v>
      </c>
      <c r="C958" s="103" t="s">
        <v>120</v>
      </c>
      <c r="D958" s="103" t="s">
        <v>1886</v>
      </c>
      <c r="E958" s="109" t="s">
        <v>3074</v>
      </c>
      <c r="F958" s="105" t="s">
        <v>3185</v>
      </c>
      <c r="G958" s="110" t="s">
        <v>3094</v>
      </c>
      <c r="H958" s="110" t="s">
        <v>3120</v>
      </c>
      <c r="I958" s="107"/>
      <c r="J958" s="108" t="s">
        <v>3371</v>
      </c>
      <c r="K958" s="108" t="str">
        <f>_xlfn.XLOOKUP(J958,[1]Sheet1!$A:$A,[1]Sheet1!$B:$B,"")</f>
        <v>#ERROR!</v>
      </c>
      <c r="L958" s="109" t="s">
        <v>3372</v>
      </c>
      <c r="M958" s="104" t="s">
        <v>3373</v>
      </c>
      <c r="N958" s="110"/>
      <c r="O958" s="109" t="s">
        <v>147</v>
      </c>
      <c r="P958" s="106"/>
      <c r="Q958" s="105" t="s">
        <v>3081</v>
      </c>
      <c r="R958" s="106"/>
      <c r="S958" s="106"/>
      <c r="T958" s="110"/>
      <c r="U958" s="106">
        <v>9.403208E9</v>
      </c>
      <c r="V958" s="112">
        <v>0.0</v>
      </c>
      <c r="W958" s="106">
        <v>45.0</v>
      </c>
      <c r="X958" s="106">
        <v>45.0</v>
      </c>
      <c r="Y958" s="106"/>
      <c r="Z958" s="106" t="s">
        <v>99</v>
      </c>
      <c r="AA958" s="114">
        <f t="shared" si="891"/>
        <v>552.1989906</v>
      </c>
      <c r="AB958" s="115"/>
      <c r="AC958" s="212">
        <f t="shared" si="892"/>
        <v>482.6086957</v>
      </c>
      <c r="AD958" s="213">
        <f t="shared" si="799"/>
        <v>518.9340813</v>
      </c>
      <c r="AE958" s="212"/>
      <c r="AF958" s="212" t="str">
        <f t="shared" si="94"/>
        <v>#REF!</v>
      </c>
      <c r="AG958" s="210" t="str">
        <f t="shared" si="95"/>
        <v>#REF!</v>
      </c>
      <c r="AH958" s="120" t="str">
        <f t="shared" si="96"/>
        <v>#REF!</v>
      </c>
      <c r="AI958" s="121">
        <f t="shared" si="893"/>
        <v>0.05</v>
      </c>
      <c r="AJ958" s="121">
        <v>0.05</v>
      </c>
      <c r="AK958" s="418">
        <v>0.25</v>
      </c>
      <c r="AL958" s="123">
        <f t="shared" si="11"/>
        <v>120.6521739</v>
      </c>
      <c r="AM958" s="401" t="s">
        <v>10</v>
      </c>
      <c r="AN958" s="125">
        <f t="shared" si="894"/>
        <v>482.6086957</v>
      </c>
      <c r="AO958" s="402">
        <f t="shared" si="895"/>
        <v>0.25</v>
      </c>
      <c r="AP958" s="127"/>
      <c r="AQ958" s="128">
        <f t="shared" si="896"/>
        <v>403.1052632</v>
      </c>
      <c r="AR958" s="404">
        <f t="shared" si="897"/>
        <v>381.006865</v>
      </c>
      <c r="AS958" s="405">
        <f t="shared" si="898"/>
        <v>0.27</v>
      </c>
      <c r="AT958" s="405">
        <f t="shared" si="899"/>
        <v>0.2105263158</v>
      </c>
      <c r="AU958" s="129"/>
      <c r="AV958" s="225" t="s">
        <v>3024</v>
      </c>
      <c r="AW958" s="416"/>
      <c r="AX958" s="416"/>
      <c r="AY958" s="361"/>
      <c r="AZ958" s="214"/>
      <c r="BA958" s="214"/>
      <c r="BB958" s="227"/>
      <c r="BC958" s="412">
        <v>333.0</v>
      </c>
      <c r="BD958" s="132">
        <f t="shared" si="905"/>
        <v>361.9565217</v>
      </c>
      <c r="BE958" s="215"/>
      <c r="BF958" s="48"/>
      <c r="BG958" s="49"/>
      <c r="BH958" s="224">
        <f t="shared" si="906"/>
        <v>1608.695652</v>
      </c>
      <c r="BI958" s="224">
        <f t="shared" si="907"/>
        <v>965.2173913</v>
      </c>
      <c r="BJ958" s="224">
        <f t="shared" si="908"/>
        <v>804.3478261</v>
      </c>
      <c r="BK958" s="224">
        <f t="shared" si="909"/>
        <v>643.4782609</v>
      </c>
      <c r="BL958" s="49"/>
      <c r="BM958" s="49"/>
      <c r="BN958" s="49"/>
      <c r="BO958" s="49"/>
      <c r="BP958" s="49"/>
      <c r="BQ958" s="49"/>
      <c r="BR958" s="49"/>
      <c r="BS958" s="49"/>
      <c r="BT958" s="49"/>
      <c r="BU958" s="49"/>
      <c r="BV958" s="49"/>
      <c r="BW958" s="49"/>
      <c r="BX958" s="49"/>
      <c r="BY958" s="49"/>
      <c r="BZ958" s="49"/>
      <c r="CA958" s="49"/>
      <c r="CB958" s="49"/>
      <c r="CC958" s="49"/>
      <c r="CD958" s="49"/>
      <c r="CE958" s="49"/>
      <c r="CF958" s="49"/>
    </row>
    <row r="959" ht="14.25" customHeight="1">
      <c r="A959" s="103" t="s">
        <v>84</v>
      </c>
      <c r="B959" s="103" t="s">
        <v>3073</v>
      </c>
      <c r="C959" s="103" t="s">
        <v>120</v>
      </c>
      <c r="D959" s="103" t="s">
        <v>1886</v>
      </c>
      <c r="E959" s="109" t="s">
        <v>3074</v>
      </c>
      <c r="F959" s="105" t="s">
        <v>3185</v>
      </c>
      <c r="G959" s="110" t="s">
        <v>3094</v>
      </c>
      <c r="H959" s="110" t="s">
        <v>3124</v>
      </c>
      <c r="I959" s="107"/>
      <c r="J959" s="108" t="s">
        <v>3374</v>
      </c>
      <c r="K959" s="108" t="str">
        <f>_xlfn.XLOOKUP(J959,[1]Sheet1!$A:$A,[1]Sheet1!$B:$B,"")</f>
        <v>#ERROR!</v>
      </c>
      <c r="L959" s="109" t="s">
        <v>3375</v>
      </c>
      <c r="M959" s="104" t="s">
        <v>3376</v>
      </c>
      <c r="N959" s="110"/>
      <c r="O959" s="109" t="s">
        <v>147</v>
      </c>
      <c r="P959" s="106"/>
      <c r="Q959" s="105" t="s">
        <v>3081</v>
      </c>
      <c r="R959" s="106"/>
      <c r="S959" s="106"/>
      <c r="T959" s="110"/>
      <c r="U959" s="106">
        <v>9.403208E9</v>
      </c>
      <c r="V959" s="112">
        <v>0.0</v>
      </c>
      <c r="W959" s="106">
        <v>45.0</v>
      </c>
      <c r="X959" s="106">
        <v>45.0</v>
      </c>
      <c r="Y959" s="106"/>
      <c r="Z959" s="106" t="s">
        <v>99</v>
      </c>
      <c r="AA959" s="114">
        <f t="shared" si="891"/>
        <v>555.5155011</v>
      </c>
      <c r="AB959" s="115"/>
      <c r="AC959" s="212">
        <f t="shared" si="892"/>
        <v>485.5072464</v>
      </c>
      <c r="AD959" s="213">
        <f t="shared" si="799"/>
        <v>522.0508026</v>
      </c>
      <c r="AE959" s="212"/>
      <c r="AF959" s="212" t="str">
        <f t="shared" si="94"/>
        <v>#REF!</v>
      </c>
      <c r="AG959" s="210" t="str">
        <f t="shared" si="95"/>
        <v>#REF!</v>
      </c>
      <c r="AH959" s="120" t="str">
        <f t="shared" si="96"/>
        <v>#REF!</v>
      </c>
      <c r="AI959" s="121">
        <f t="shared" si="893"/>
        <v>0.05</v>
      </c>
      <c r="AJ959" s="121">
        <v>0.05</v>
      </c>
      <c r="AK959" s="418">
        <v>0.25</v>
      </c>
      <c r="AL959" s="123">
        <f t="shared" si="11"/>
        <v>121.3768116</v>
      </c>
      <c r="AM959" s="401" t="s">
        <v>10</v>
      </c>
      <c r="AN959" s="125">
        <f t="shared" si="894"/>
        <v>485.5072464</v>
      </c>
      <c r="AO959" s="402">
        <f t="shared" si="895"/>
        <v>0.25</v>
      </c>
      <c r="AP959" s="127"/>
      <c r="AQ959" s="128">
        <f t="shared" si="896"/>
        <v>405.5263158</v>
      </c>
      <c r="AR959" s="404">
        <f t="shared" si="897"/>
        <v>383.2951945</v>
      </c>
      <c r="AS959" s="405">
        <f t="shared" si="898"/>
        <v>0.27</v>
      </c>
      <c r="AT959" s="405">
        <f t="shared" si="899"/>
        <v>0.2105263158</v>
      </c>
      <c r="AU959" s="129"/>
      <c r="AV959" s="225" t="s">
        <v>3024</v>
      </c>
      <c r="AW959" s="416"/>
      <c r="AX959" s="416"/>
      <c r="AY959" s="361"/>
      <c r="AZ959" s="214"/>
      <c r="BA959" s="214"/>
      <c r="BB959" s="227"/>
      <c r="BC959" s="412">
        <v>335.0</v>
      </c>
      <c r="BD959" s="132">
        <f t="shared" si="905"/>
        <v>364.1304348</v>
      </c>
      <c r="BE959" s="215"/>
      <c r="BF959" s="48"/>
      <c r="BG959" s="49"/>
      <c r="BH959" s="224">
        <f t="shared" si="906"/>
        <v>1618.357488</v>
      </c>
      <c r="BI959" s="224">
        <f t="shared" si="907"/>
        <v>971.0144928</v>
      </c>
      <c r="BJ959" s="224">
        <f t="shared" si="908"/>
        <v>809.178744</v>
      </c>
      <c r="BK959" s="224">
        <f t="shared" si="909"/>
        <v>647.3429952</v>
      </c>
      <c r="BL959" s="49"/>
      <c r="BM959" s="49"/>
      <c r="BN959" s="49"/>
      <c r="BO959" s="49"/>
      <c r="BP959" s="49"/>
      <c r="BQ959" s="49"/>
      <c r="BR959" s="49"/>
      <c r="BS959" s="49"/>
      <c r="BT959" s="49"/>
      <c r="BU959" s="49"/>
      <c r="BV959" s="49"/>
      <c r="BW959" s="49"/>
      <c r="BX959" s="49"/>
      <c r="BY959" s="49"/>
      <c r="BZ959" s="49"/>
      <c r="CA959" s="49"/>
      <c r="CB959" s="49"/>
      <c r="CC959" s="49"/>
      <c r="CD959" s="49"/>
      <c r="CE959" s="49"/>
      <c r="CF959" s="49"/>
    </row>
    <row r="960" ht="14.25" customHeight="1">
      <c r="A960" s="103" t="s">
        <v>84</v>
      </c>
      <c r="B960" s="103" t="s">
        <v>3073</v>
      </c>
      <c r="C960" s="103" t="s">
        <v>120</v>
      </c>
      <c r="D960" s="103" t="s">
        <v>1886</v>
      </c>
      <c r="E960" s="109" t="s">
        <v>3074</v>
      </c>
      <c r="F960" s="105" t="s">
        <v>3185</v>
      </c>
      <c r="G960" s="110" t="s">
        <v>3090</v>
      </c>
      <c r="H960" s="110" t="s">
        <v>3134</v>
      </c>
      <c r="I960" s="107"/>
      <c r="J960" s="108" t="s">
        <v>3377</v>
      </c>
      <c r="K960" s="108" t="str">
        <f>_xlfn.XLOOKUP(J960,[1]Sheet1!$A:$A,[1]Sheet1!$B:$B,"")</f>
        <v>#ERROR!</v>
      </c>
      <c r="L960" s="109" t="s">
        <v>3378</v>
      </c>
      <c r="M960" s="104" t="s">
        <v>3379</v>
      </c>
      <c r="N960" s="110"/>
      <c r="O960" s="109" t="s">
        <v>147</v>
      </c>
      <c r="P960" s="106"/>
      <c r="Q960" s="105" t="s">
        <v>3081</v>
      </c>
      <c r="R960" s="106"/>
      <c r="S960" s="106"/>
      <c r="T960" s="110"/>
      <c r="U960" s="106">
        <v>9.403208E9</v>
      </c>
      <c r="V960" s="112">
        <v>0.0</v>
      </c>
      <c r="W960" s="106">
        <v>45.0</v>
      </c>
      <c r="X960" s="106">
        <v>45.0</v>
      </c>
      <c r="Y960" s="106"/>
      <c r="Z960" s="106" t="s">
        <v>99</v>
      </c>
      <c r="AA960" s="114">
        <f t="shared" si="891"/>
        <v>530.6416727</v>
      </c>
      <c r="AB960" s="115"/>
      <c r="AC960" s="212">
        <f t="shared" si="892"/>
        <v>463.7681159</v>
      </c>
      <c r="AD960" s="213">
        <f t="shared" si="799"/>
        <v>498.6753935</v>
      </c>
      <c r="AE960" s="212"/>
      <c r="AF960" s="212" t="str">
        <f t="shared" si="94"/>
        <v>#REF!</v>
      </c>
      <c r="AG960" s="210" t="str">
        <f t="shared" si="95"/>
        <v>#REF!</v>
      </c>
      <c r="AH960" s="120" t="str">
        <f t="shared" si="96"/>
        <v>#REF!</v>
      </c>
      <c r="AI960" s="121">
        <f t="shared" si="893"/>
        <v>0.05</v>
      </c>
      <c r="AJ960" s="121">
        <v>0.05</v>
      </c>
      <c r="AK960" s="418">
        <v>0.25</v>
      </c>
      <c r="AL960" s="123">
        <f t="shared" si="11"/>
        <v>115.942029</v>
      </c>
      <c r="AM960" s="401" t="s">
        <v>10</v>
      </c>
      <c r="AN960" s="125">
        <f t="shared" si="894"/>
        <v>463.7681159</v>
      </c>
      <c r="AO960" s="402">
        <f t="shared" si="895"/>
        <v>0.25</v>
      </c>
      <c r="AP960" s="127"/>
      <c r="AQ960" s="128">
        <f t="shared" si="896"/>
        <v>387.3684211</v>
      </c>
      <c r="AR960" s="404">
        <f t="shared" si="897"/>
        <v>366.1327231</v>
      </c>
      <c r="AS960" s="405">
        <f t="shared" si="898"/>
        <v>0.27</v>
      </c>
      <c r="AT960" s="405">
        <f t="shared" si="899"/>
        <v>0.2105263158</v>
      </c>
      <c r="AU960" s="129"/>
      <c r="AV960" s="225" t="s">
        <v>3024</v>
      </c>
      <c r="AW960" s="416"/>
      <c r="AX960" s="416"/>
      <c r="AY960" s="361"/>
      <c r="AZ960" s="214"/>
      <c r="BA960" s="214"/>
      <c r="BB960" s="227"/>
      <c r="BC960" s="412">
        <v>320.0</v>
      </c>
      <c r="BD960" s="132">
        <f t="shared" si="905"/>
        <v>347.826087</v>
      </c>
      <c r="BE960" s="215"/>
      <c r="BF960" s="48"/>
      <c r="BG960" s="49"/>
      <c r="BH960" s="224">
        <f t="shared" si="906"/>
        <v>1545.89372</v>
      </c>
      <c r="BI960" s="224">
        <f t="shared" si="907"/>
        <v>927.5362319</v>
      </c>
      <c r="BJ960" s="224">
        <f t="shared" si="908"/>
        <v>772.9468599</v>
      </c>
      <c r="BK960" s="224">
        <f t="shared" si="909"/>
        <v>618.3574879</v>
      </c>
      <c r="BL960" s="49"/>
      <c r="BM960" s="49"/>
      <c r="BN960" s="49"/>
      <c r="BO960" s="49"/>
      <c r="BP960" s="49"/>
      <c r="BQ960" s="49"/>
      <c r="BR960" s="49"/>
      <c r="BS960" s="49"/>
      <c r="BT960" s="49"/>
      <c r="BU960" s="49"/>
      <c r="BV960" s="49"/>
      <c r="BW960" s="49"/>
      <c r="BX960" s="49"/>
      <c r="BY960" s="49"/>
      <c r="BZ960" s="49"/>
      <c r="CA960" s="49"/>
      <c r="CB960" s="49"/>
      <c r="CC960" s="49"/>
      <c r="CD960" s="49"/>
      <c r="CE960" s="49"/>
      <c r="CF960" s="49"/>
    </row>
    <row r="961" ht="14.25" customHeight="1">
      <c r="A961" s="103" t="s">
        <v>84</v>
      </c>
      <c r="B961" s="103" t="s">
        <v>3073</v>
      </c>
      <c r="C961" s="103" t="s">
        <v>120</v>
      </c>
      <c r="D961" s="103" t="s">
        <v>1886</v>
      </c>
      <c r="E961" s="109" t="s">
        <v>3074</v>
      </c>
      <c r="F961" s="105" t="s">
        <v>3185</v>
      </c>
      <c r="G961" s="110" t="s">
        <v>3094</v>
      </c>
      <c r="H961" s="110" t="s">
        <v>3134</v>
      </c>
      <c r="I961" s="107"/>
      <c r="J961" s="108" t="s">
        <v>3380</v>
      </c>
      <c r="K961" s="108" t="str">
        <f>_xlfn.XLOOKUP(J961,[1]Sheet1!$A:$A,[1]Sheet1!$B:$B,"")</f>
        <v>#ERROR!</v>
      </c>
      <c r="L961" s="109" t="s">
        <v>3381</v>
      </c>
      <c r="M961" s="104" t="s">
        <v>3382</v>
      </c>
      <c r="N961" s="110"/>
      <c r="O961" s="109" t="s">
        <v>147</v>
      </c>
      <c r="P961" s="106"/>
      <c r="Q961" s="105" t="s">
        <v>3081</v>
      </c>
      <c r="R961" s="106"/>
      <c r="S961" s="106"/>
      <c r="T961" s="110"/>
      <c r="U961" s="106">
        <v>9.403208E9</v>
      </c>
      <c r="V961" s="112">
        <v>0.0</v>
      </c>
      <c r="W961" s="106">
        <v>45.0</v>
      </c>
      <c r="X961" s="106">
        <v>45.0</v>
      </c>
      <c r="Y961" s="106"/>
      <c r="Z961" s="106" t="s">
        <v>99</v>
      </c>
      <c r="AA961" s="114">
        <f t="shared" si="891"/>
        <v>563.8067772</v>
      </c>
      <c r="AB961" s="115"/>
      <c r="AC961" s="212">
        <f t="shared" si="892"/>
        <v>492.7536232</v>
      </c>
      <c r="AD961" s="213">
        <f t="shared" si="799"/>
        <v>529.8426056</v>
      </c>
      <c r="AE961" s="212"/>
      <c r="AF961" s="212" t="str">
        <f t="shared" si="94"/>
        <v>#REF!</v>
      </c>
      <c r="AG961" s="210" t="str">
        <f t="shared" si="95"/>
        <v>#REF!</v>
      </c>
      <c r="AH961" s="120" t="str">
        <f t="shared" si="96"/>
        <v>#REF!</v>
      </c>
      <c r="AI961" s="121">
        <f t="shared" si="893"/>
        <v>0.05</v>
      </c>
      <c r="AJ961" s="121">
        <v>0.05</v>
      </c>
      <c r="AK961" s="418">
        <v>0.25</v>
      </c>
      <c r="AL961" s="123">
        <f t="shared" si="11"/>
        <v>123.1884058</v>
      </c>
      <c r="AM961" s="401" t="s">
        <v>10</v>
      </c>
      <c r="AN961" s="125">
        <f t="shared" si="894"/>
        <v>492.7536232</v>
      </c>
      <c r="AO961" s="402">
        <f t="shared" si="895"/>
        <v>0.25</v>
      </c>
      <c r="AP961" s="127"/>
      <c r="AQ961" s="128">
        <f t="shared" si="896"/>
        <v>411.5789474</v>
      </c>
      <c r="AR961" s="404">
        <f t="shared" si="897"/>
        <v>389.0160183</v>
      </c>
      <c r="AS961" s="405">
        <f t="shared" si="898"/>
        <v>0.27</v>
      </c>
      <c r="AT961" s="405">
        <f t="shared" si="899"/>
        <v>0.2105263158</v>
      </c>
      <c r="AU961" s="129"/>
      <c r="AV961" s="225" t="s">
        <v>3024</v>
      </c>
      <c r="AW961" s="416"/>
      <c r="AX961" s="416"/>
      <c r="AY961" s="361"/>
      <c r="AZ961" s="214"/>
      <c r="BA961" s="214"/>
      <c r="BB961" s="227"/>
      <c r="BC961" s="412">
        <v>340.0</v>
      </c>
      <c r="BD961" s="132">
        <f t="shared" si="905"/>
        <v>369.5652174</v>
      </c>
      <c r="BE961" s="215"/>
      <c r="BF961" s="48"/>
      <c r="BG961" s="49"/>
      <c r="BH961" s="224">
        <f t="shared" si="906"/>
        <v>1642.512077</v>
      </c>
      <c r="BI961" s="224">
        <f t="shared" si="907"/>
        <v>985.5072464</v>
      </c>
      <c r="BJ961" s="224">
        <f t="shared" si="908"/>
        <v>821.2560386</v>
      </c>
      <c r="BK961" s="224">
        <f t="shared" si="909"/>
        <v>657.0048309</v>
      </c>
      <c r="BL961" s="49"/>
      <c r="BM961" s="49"/>
      <c r="BN961" s="49"/>
      <c r="BO961" s="49"/>
      <c r="BP961" s="49"/>
      <c r="BQ961" s="49"/>
      <c r="BR961" s="49"/>
      <c r="BS961" s="49"/>
      <c r="BT961" s="49"/>
      <c r="BU961" s="49"/>
      <c r="BV961" s="49"/>
      <c r="BW961" s="49"/>
      <c r="BX961" s="49"/>
      <c r="BY961" s="49"/>
      <c r="BZ961" s="49"/>
      <c r="CA961" s="49"/>
      <c r="CB961" s="49"/>
      <c r="CC961" s="49"/>
      <c r="CD961" s="49"/>
      <c r="CE961" s="49"/>
      <c r="CF961" s="49"/>
    </row>
    <row r="962" ht="14.25" customHeight="1">
      <c r="A962" s="103" t="s">
        <v>84</v>
      </c>
      <c r="B962" s="103" t="s">
        <v>3073</v>
      </c>
      <c r="C962" s="103" t="s">
        <v>120</v>
      </c>
      <c r="D962" s="103" t="s">
        <v>1886</v>
      </c>
      <c r="E962" s="109" t="s">
        <v>3074</v>
      </c>
      <c r="F962" s="105" t="s">
        <v>3185</v>
      </c>
      <c r="G962" s="110" t="s">
        <v>3228</v>
      </c>
      <c r="H962" s="110" t="s">
        <v>3134</v>
      </c>
      <c r="I962" s="107"/>
      <c r="J962" s="108" t="s">
        <v>3383</v>
      </c>
      <c r="K962" s="108" t="str">
        <f>_xlfn.XLOOKUP(J962,[1]Sheet1!$A:$A,[1]Sheet1!$B:$B,"")</f>
        <v>#ERROR!</v>
      </c>
      <c r="L962" s="109" t="s">
        <v>3384</v>
      </c>
      <c r="M962" s="104" t="s">
        <v>3385</v>
      </c>
      <c r="N962" s="110"/>
      <c r="O962" s="109" t="s">
        <v>147</v>
      </c>
      <c r="P962" s="106"/>
      <c r="Q962" s="105" t="s">
        <v>3081</v>
      </c>
      <c r="R962" s="106"/>
      <c r="S962" s="106"/>
      <c r="T962" s="110"/>
      <c r="U962" s="106">
        <v>9.403208E9</v>
      </c>
      <c r="V962" s="112">
        <v>0.0</v>
      </c>
      <c r="W962" s="106">
        <v>45.0</v>
      </c>
      <c r="X962" s="106">
        <v>45.0</v>
      </c>
      <c r="Y962" s="106"/>
      <c r="Z962" s="106" t="s">
        <v>99</v>
      </c>
      <c r="AA962" s="114">
        <f t="shared" si="891"/>
        <v>663.3020908</v>
      </c>
      <c r="AB962" s="115"/>
      <c r="AC962" s="212">
        <f t="shared" si="892"/>
        <v>579.7101449</v>
      </c>
      <c r="AD962" s="213">
        <f t="shared" si="799"/>
        <v>623.3442419</v>
      </c>
      <c r="AE962" s="212"/>
      <c r="AF962" s="212" t="str">
        <f t="shared" si="94"/>
        <v>#REF!</v>
      </c>
      <c r="AG962" s="210" t="str">
        <f t="shared" si="95"/>
        <v>#REF!</v>
      </c>
      <c r="AH962" s="120" t="str">
        <f t="shared" si="96"/>
        <v>#REF!</v>
      </c>
      <c r="AI962" s="121">
        <f t="shared" si="893"/>
        <v>0.05</v>
      </c>
      <c r="AJ962" s="121">
        <v>0.05</v>
      </c>
      <c r="AK962" s="418">
        <v>0.25</v>
      </c>
      <c r="AL962" s="123">
        <f t="shared" si="11"/>
        <v>144.9275362</v>
      </c>
      <c r="AM962" s="401" t="s">
        <v>10</v>
      </c>
      <c r="AN962" s="125">
        <f t="shared" si="894"/>
        <v>579.7101449</v>
      </c>
      <c r="AO962" s="402">
        <f t="shared" si="895"/>
        <v>0.25</v>
      </c>
      <c r="AP962" s="127"/>
      <c r="AQ962" s="128">
        <f t="shared" si="896"/>
        <v>484.2105263</v>
      </c>
      <c r="AR962" s="404">
        <f t="shared" si="897"/>
        <v>457.6659039</v>
      </c>
      <c r="AS962" s="405">
        <f t="shared" si="898"/>
        <v>0.27</v>
      </c>
      <c r="AT962" s="405">
        <f t="shared" si="899"/>
        <v>0.2105263158</v>
      </c>
      <c r="AU962" s="129"/>
      <c r="AV962" s="225" t="s">
        <v>3024</v>
      </c>
      <c r="AW962" s="416"/>
      <c r="AX962" s="416"/>
      <c r="AY962" s="361"/>
      <c r="AZ962" s="214"/>
      <c r="BA962" s="214"/>
      <c r="BB962" s="227"/>
      <c r="BC962" s="412">
        <v>400.0</v>
      </c>
      <c r="BD962" s="132">
        <f t="shared" si="905"/>
        <v>434.7826087</v>
      </c>
      <c r="BE962" s="215"/>
      <c r="BF962" s="48"/>
      <c r="BG962" s="49"/>
      <c r="BH962" s="224">
        <f t="shared" si="906"/>
        <v>1932.36715</v>
      </c>
      <c r="BI962" s="224">
        <f t="shared" si="907"/>
        <v>1159.42029</v>
      </c>
      <c r="BJ962" s="224">
        <f t="shared" si="908"/>
        <v>966.1835749</v>
      </c>
      <c r="BK962" s="224">
        <f t="shared" si="909"/>
        <v>772.9468599</v>
      </c>
      <c r="BL962" s="49"/>
      <c r="BM962" s="49"/>
      <c r="BN962" s="49"/>
      <c r="BO962" s="49"/>
      <c r="BP962" s="49"/>
      <c r="BQ962" s="49"/>
      <c r="BR962" s="49"/>
      <c r="BS962" s="49"/>
      <c r="BT962" s="49"/>
      <c r="BU962" s="49"/>
      <c r="BV962" s="49"/>
      <c r="BW962" s="49"/>
      <c r="BX962" s="49"/>
      <c r="BY962" s="49"/>
      <c r="BZ962" s="49"/>
      <c r="CA962" s="49"/>
      <c r="CB962" s="49"/>
      <c r="CC962" s="49"/>
      <c r="CD962" s="49"/>
      <c r="CE962" s="49"/>
      <c r="CF962" s="49"/>
    </row>
    <row r="963" ht="14.25" customHeight="1">
      <c r="A963" s="103" t="s">
        <v>84</v>
      </c>
      <c r="B963" s="103" t="s">
        <v>3073</v>
      </c>
      <c r="C963" s="103" t="s">
        <v>120</v>
      </c>
      <c r="D963" s="103" t="s">
        <v>1886</v>
      </c>
      <c r="E963" s="109" t="s">
        <v>3074</v>
      </c>
      <c r="F963" s="105" t="s">
        <v>3185</v>
      </c>
      <c r="G963" s="110" t="s">
        <v>3094</v>
      </c>
      <c r="H963" s="110" t="s">
        <v>3159</v>
      </c>
      <c r="I963" s="107"/>
      <c r="J963" s="108" t="s">
        <v>3386</v>
      </c>
      <c r="K963" s="108" t="str">
        <f>_xlfn.XLOOKUP(J963,[1]Sheet1!$A:$A,[1]Sheet1!$B:$B,"")</f>
        <v>#ERROR!</v>
      </c>
      <c r="L963" s="109" t="s">
        <v>3387</v>
      </c>
      <c r="M963" s="104" t="s">
        <v>3388</v>
      </c>
      <c r="N963" s="110"/>
      <c r="O963" s="109" t="s">
        <v>147</v>
      </c>
      <c r="P963" s="106"/>
      <c r="Q963" s="105" t="s">
        <v>3081</v>
      </c>
      <c r="R963" s="106"/>
      <c r="S963" s="106"/>
      <c r="T963" s="110"/>
      <c r="U963" s="106">
        <v>9.403208E9</v>
      </c>
      <c r="V963" s="112">
        <v>0.0</v>
      </c>
      <c r="W963" s="106">
        <v>45.0</v>
      </c>
      <c r="X963" s="106">
        <v>45.0</v>
      </c>
      <c r="Y963" s="106"/>
      <c r="Z963" s="106" t="s">
        <v>99</v>
      </c>
      <c r="AA963" s="114">
        <f t="shared" si="891"/>
        <v>646.7195386</v>
      </c>
      <c r="AB963" s="115"/>
      <c r="AC963" s="212">
        <f t="shared" si="892"/>
        <v>565.2173913</v>
      </c>
      <c r="AD963" s="213">
        <f t="shared" si="799"/>
        <v>607.7606358</v>
      </c>
      <c r="AE963" s="212"/>
      <c r="AF963" s="212" t="str">
        <f t="shared" si="94"/>
        <v>#REF!</v>
      </c>
      <c r="AG963" s="210" t="str">
        <f t="shared" si="95"/>
        <v>#REF!</v>
      </c>
      <c r="AH963" s="120" t="str">
        <f t="shared" si="96"/>
        <v>#REF!</v>
      </c>
      <c r="AI963" s="121">
        <f t="shared" si="893"/>
        <v>0.05</v>
      </c>
      <c r="AJ963" s="121">
        <v>0.05</v>
      </c>
      <c r="AK963" s="418">
        <v>0.25</v>
      </c>
      <c r="AL963" s="123">
        <f t="shared" si="11"/>
        <v>141.3043478</v>
      </c>
      <c r="AM963" s="401" t="s">
        <v>10</v>
      </c>
      <c r="AN963" s="125">
        <f t="shared" si="894"/>
        <v>565.2173913</v>
      </c>
      <c r="AO963" s="402">
        <f t="shared" si="895"/>
        <v>0.25</v>
      </c>
      <c r="AP963" s="127"/>
      <c r="AQ963" s="128">
        <f t="shared" si="896"/>
        <v>472.1052632</v>
      </c>
      <c r="AR963" s="404">
        <f t="shared" si="897"/>
        <v>446.2242563</v>
      </c>
      <c r="AS963" s="405">
        <f t="shared" si="898"/>
        <v>0.27</v>
      </c>
      <c r="AT963" s="405">
        <f t="shared" si="899"/>
        <v>0.2105263158</v>
      </c>
      <c r="AU963" s="129"/>
      <c r="AV963" s="225" t="s">
        <v>3024</v>
      </c>
      <c r="AW963" s="416"/>
      <c r="AX963" s="416"/>
      <c r="AY963" s="361"/>
      <c r="AZ963" s="214"/>
      <c r="BA963" s="214"/>
      <c r="BB963" s="227"/>
      <c r="BC963" s="412">
        <v>390.0</v>
      </c>
      <c r="BD963" s="132">
        <f t="shared" si="905"/>
        <v>423.9130435</v>
      </c>
      <c r="BE963" s="215"/>
      <c r="BF963" s="48"/>
      <c r="BG963" s="49"/>
      <c r="BH963" s="224">
        <f t="shared" si="906"/>
        <v>1884.057971</v>
      </c>
      <c r="BI963" s="224">
        <f t="shared" si="907"/>
        <v>1130.434783</v>
      </c>
      <c r="BJ963" s="224">
        <f t="shared" si="908"/>
        <v>942.0289855</v>
      </c>
      <c r="BK963" s="224">
        <f t="shared" si="909"/>
        <v>753.6231884</v>
      </c>
      <c r="BL963" s="49"/>
      <c r="BM963" s="49"/>
      <c r="BN963" s="49"/>
      <c r="BO963" s="49"/>
      <c r="BP963" s="49"/>
      <c r="BQ963" s="49"/>
      <c r="BR963" s="49"/>
      <c r="BS963" s="49"/>
      <c r="BT963" s="49"/>
      <c r="BU963" s="49"/>
      <c r="BV963" s="49"/>
      <c r="BW963" s="49"/>
      <c r="BX963" s="49"/>
      <c r="BY963" s="49"/>
      <c r="BZ963" s="49"/>
      <c r="CA963" s="49"/>
      <c r="CB963" s="49"/>
      <c r="CC963" s="49"/>
      <c r="CD963" s="49"/>
      <c r="CE963" s="49"/>
      <c r="CF963" s="49"/>
    </row>
    <row r="964" ht="14.25" customHeight="1">
      <c r="A964" s="103" t="s">
        <v>84</v>
      </c>
      <c r="B964" s="103" t="s">
        <v>3073</v>
      </c>
      <c r="C964" s="103" t="s">
        <v>120</v>
      </c>
      <c r="D964" s="103" t="s">
        <v>1886</v>
      </c>
      <c r="E964" s="109" t="s">
        <v>3074</v>
      </c>
      <c r="F964" s="105" t="s">
        <v>3185</v>
      </c>
      <c r="G964" s="110" t="s">
        <v>3228</v>
      </c>
      <c r="H964" s="110" t="s">
        <v>3159</v>
      </c>
      <c r="I964" s="107"/>
      <c r="J964" s="108" t="s">
        <v>3389</v>
      </c>
      <c r="K964" s="108" t="str">
        <f>_xlfn.XLOOKUP(J964,[1]Sheet1!$A:$A,[1]Sheet1!$B:$B,"")</f>
        <v>#ERROR!</v>
      </c>
      <c r="L964" s="109" t="s">
        <v>3390</v>
      </c>
      <c r="M964" s="104" t="s">
        <v>3391</v>
      </c>
      <c r="N964" s="110"/>
      <c r="O964" s="109" t="s">
        <v>147</v>
      </c>
      <c r="P964" s="106"/>
      <c r="Q964" s="105" t="s">
        <v>3081</v>
      </c>
      <c r="R964" s="106"/>
      <c r="S964" s="106"/>
      <c r="T964" s="110"/>
      <c r="U964" s="106">
        <v>9.403208E9</v>
      </c>
      <c r="V964" s="112">
        <v>0.0</v>
      </c>
      <c r="W964" s="106">
        <v>45.0</v>
      </c>
      <c r="X964" s="106">
        <v>45.0</v>
      </c>
      <c r="Y964" s="106"/>
      <c r="Z964" s="106" t="s">
        <v>99</v>
      </c>
      <c r="AA964" s="114">
        <f t="shared" si="891"/>
        <v>704.7584715</v>
      </c>
      <c r="AB964" s="115"/>
      <c r="AC964" s="212">
        <f t="shared" si="892"/>
        <v>615.942029</v>
      </c>
      <c r="AD964" s="213">
        <f t="shared" si="799"/>
        <v>662.303257</v>
      </c>
      <c r="AE964" s="212"/>
      <c r="AF964" s="212" t="str">
        <f t="shared" si="94"/>
        <v>#REF!</v>
      </c>
      <c r="AG964" s="210" t="str">
        <f t="shared" si="95"/>
        <v>#REF!</v>
      </c>
      <c r="AH964" s="120" t="str">
        <f t="shared" si="96"/>
        <v>#REF!</v>
      </c>
      <c r="AI964" s="121">
        <f t="shared" si="893"/>
        <v>0.05</v>
      </c>
      <c r="AJ964" s="121">
        <v>0.05</v>
      </c>
      <c r="AK964" s="418">
        <v>0.25</v>
      </c>
      <c r="AL964" s="123">
        <f t="shared" si="11"/>
        <v>153.9855072</v>
      </c>
      <c r="AM964" s="401" t="s">
        <v>10</v>
      </c>
      <c r="AN964" s="125">
        <f t="shared" si="894"/>
        <v>615.942029</v>
      </c>
      <c r="AO964" s="402">
        <f t="shared" si="895"/>
        <v>0.25</v>
      </c>
      <c r="AP964" s="127"/>
      <c r="AQ964" s="128">
        <f t="shared" si="896"/>
        <v>514.4736842</v>
      </c>
      <c r="AR964" s="404">
        <f t="shared" si="897"/>
        <v>486.2700229</v>
      </c>
      <c r="AS964" s="405">
        <f t="shared" si="898"/>
        <v>0.27</v>
      </c>
      <c r="AT964" s="405">
        <f t="shared" si="899"/>
        <v>0.2105263158</v>
      </c>
      <c r="AU964" s="129"/>
      <c r="AV964" s="225" t="s">
        <v>3024</v>
      </c>
      <c r="AW964" s="416"/>
      <c r="AX964" s="416"/>
      <c r="AY964" s="361"/>
      <c r="AZ964" s="214"/>
      <c r="BA964" s="214"/>
      <c r="BB964" s="227"/>
      <c r="BC964" s="412">
        <v>425.0</v>
      </c>
      <c r="BD964" s="132">
        <f t="shared" si="905"/>
        <v>461.9565217</v>
      </c>
      <c r="BE964" s="215"/>
      <c r="BF964" s="48"/>
      <c r="BG964" s="49"/>
      <c r="BH964" s="224">
        <f t="shared" si="906"/>
        <v>2053.140097</v>
      </c>
      <c r="BI964" s="224">
        <f t="shared" si="907"/>
        <v>1231.884058</v>
      </c>
      <c r="BJ964" s="224">
        <f t="shared" si="908"/>
        <v>1026.570048</v>
      </c>
      <c r="BK964" s="224">
        <f t="shared" si="909"/>
        <v>821.2560386</v>
      </c>
      <c r="BL964" s="49"/>
      <c r="BM964" s="49"/>
      <c r="BN964" s="49"/>
      <c r="BO964" s="49"/>
      <c r="BP964" s="49"/>
      <c r="BQ964" s="49"/>
      <c r="BR964" s="49"/>
      <c r="BS964" s="49"/>
      <c r="BT964" s="49"/>
      <c r="BU964" s="49"/>
      <c r="BV964" s="49"/>
      <c r="BW964" s="49"/>
      <c r="BX964" s="49"/>
      <c r="BY964" s="49"/>
      <c r="BZ964" s="49"/>
      <c r="CA964" s="49"/>
      <c r="CB964" s="49"/>
      <c r="CC964" s="49"/>
      <c r="CD964" s="49"/>
      <c r="CE964" s="49"/>
      <c r="CF964" s="49"/>
    </row>
    <row r="965" ht="14.25" customHeight="1">
      <c r="A965" s="103" t="s">
        <v>84</v>
      </c>
      <c r="B965" s="103" t="s">
        <v>3073</v>
      </c>
      <c r="C965" s="103" t="s">
        <v>120</v>
      </c>
      <c r="D965" s="103" t="s">
        <v>1886</v>
      </c>
      <c r="E965" s="109" t="s">
        <v>3074</v>
      </c>
      <c r="F965" s="105" t="s">
        <v>3185</v>
      </c>
      <c r="G965" s="110" t="s">
        <v>3094</v>
      </c>
      <c r="H965" s="110" t="s">
        <v>3240</v>
      </c>
      <c r="I965" s="107"/>
      <c r="J965" s="108" t="s">
        <v>3392</v>
      </c>
      <c r="K965" s="108" t="str">
        <f>_xlfn.XLOOKUP(J965,[1]Sheet1!$A:$A,[1]Sheet1!$B:$B,"")</f>
        <v>#ERROR!</v>
      </c>
      <c r="L965" s="109" t="s">
        <v>3393</v>
      </c>
      <c r="M965" s="104" t="s">
        <v>3394</v>
      </c>
      <c r="N965" s="110"/>
      <c r="O965" s="109" t="s">
        <v>147</v>
      </c>
      <c r="P965" s="106"/>
      <c r="Q965" s="105" t="s">
        <v>3081</v>
      </c>
      <c r="R965" s="106"/>
      <c r="S965" s="106"/>
      <c r="T965" s="110"/>
      <c r="U965" s="106">
        <v>9.403208E9</v>
      </c>
      <c r="V965" s="112">
        <v>0.0</v>
      </c>
      <c r="W965" s="106">
        <v>45.0</v>
      </c>
      <c r="X965" s="106">
        <v>45.0</v>
      </c>
      <c r="Y965" s="106"/>
      <c r="Z965" s="106" t="s">
        <v>99</v>
      </c>
      <c r="AA965" s="114">
        <f t="shared" si="891"/>
        <v>714.7080029</v>
      </c>
      <c r="AB965" s="115"/>
      <c r="AC965" s="212">
        <f t="shared" si="892"/>
        <v>624.6376812</v>
      </c>
      <c r="AD965" s="213">
        <f t="shared" si="799"/>
        <v>671.6534206</v>
      </c>
      <c r="AE965" s="212"/>
      <c r="AF965" s="212" t="str">
        <f t="shared" si="94"/>
        <v>#REF!</v>
      </c>
      <c r="AG965" s="210" t="str">
        <f t="shared" si="95"/>
        <v>#REF!</v>
      </c>
      <c r="AH965" s="120" t="str">
        <f t="shared" si="96"/>
        <v>#REF!</v>
      </c>
      <c r="AI965" s="121">
        <f t="shared" si="893"/>
        <v>0.05</v>
      </c>
      <c r="AJ965" s="121">
        <v>0.05</v>
      </c>
      <c r="AK965" s="418">
        <v>0.25</v>
      </c>
      <c r="AL965" s="123">
        <f t="shared" si="11"/>
        <v>156.1594203</v>
      </c>
      <c r="AM965" s="401" t="s">
        <v>10</v>
      </c>
      <c r="AN965" s="125">
        <f t="shared" si="894"/>
        <v>624.6376812</v>
      </c>
      <c r="AO965" s="402">
        <f t="shared" si="895"/>
        <v>0.25</v>
      </c>
      <c r="AP965" s="127"/>
      <c r="AQ965" s="128">
        <f t="shared" si="896"/>
        <v>521.7368421</v>
      </c>
      <c r="AR965" s="404">
        <f t="shared" si="897"/>
        <v>493.1350114</v>
      </c>
      <c r="AS965" s="405">
        <f t="shared" si="898"/>
        <v>0.27</v>
      </c>
      <c r="AT965" s="405">
        <f t="shared" si="899"/>
        <v>0.2105263158</v>
      </c>
      <c r="AU965" s="129"/>
      <c r="AV965" s="225" t="s">
        <v>3024</v>
      </c>
      <c r="AW965" s="416"/>
      <c r="AX965" s="416"/>
      <c r="AY965" s="361"/>
      <c r="AZ965" s="214"/>
      <c r="BA965" s="214"/>
      <c r="BB965" s="227"/>
      <c r="BC965" s="412">
        <v>431.0</v>
      </c>
      <c r="BD965" s="132">
        <f t="shared" si="905"/>
        <v>468.4782609</v>
      </c>
      <c r="BE965" s="215"/>
      <c r="BF965" s="48"/>
      <c r="BG965" s="49"/>
      <c r="BH965" s="224">
        <f t="shared" si="906"/>
        <v>2082.125604</v>
      </c>
      <c r="BI965" s="224">
        <f t="shared" si="907"/>
        <v>1249.275362</v>
      </c>
      <c r="BJ965" s="224">
        <f t="shared" si="908"/>
        <v>1041.062802</v>
      </c>
      <c r="BK965" s="224">
        <f t="shared" si="909"/>
        <v>832.8502415</v>
      </c>
      <c r="BL965" s="49"/>
      <c r="BM965" s="49"/>
      <c r="BN965" s="49"/>
      <c r="BO965" s="49"/>
      <c r="BP965" s="49"/>
      <c r="BQ965" s="49"/>
      <c r="BR965" s="49"/>
      <c r="BS965" s="49"/>
      <c r="BT965" s="49"/>
      <c r="BU965" s="49"/>
      <c r="BV965" s="49"/>
      <c r="BW965" s="49"/>
      <c r="BX965" s="49"/>
      <c r="BY965" s="49"/>
      <c r="BZ965" s="49"/>
      <c r="CA965" s="49"/>
      <c r="CB965" s="49"/>
      <c r="CC965" s="49"/>
      <c r="CD965" s="49"/>
      <c r="CE965" s="49"/>
      <c r="CF965" s="49"/>
    </row>
    <row r="966" ht="14.25" customHeight="1">
      <c r="A966" s="103" t="s">
        <v>84</v>
      </c>
      <c r="B966" s="103" t="s">
        <v>3073</v>
      </c>
      <c r="C966" s="103" t="s">
        <v>120</v>
      </c>
      <c r="D966" s="103" t="s">
        <v>1886</v>
      </c>
      <c r="E966" s="109" t="s">
        <v>3074</v>
      </c>
      <c r="F966" s="105" t="s">
        <v>3185</v>
      </c>
      <c r="G966" s="110" t="s">
        <v>3228</v>
      </c>
      <c r="H966" s="110" t="s">
        <v>3240</v>
      </c>
      <c r="I966" s="107"/>
      <c r="J966" s="108" t="s">
        <v>3395</v>
      </c>
      <c r="K966" s="108" t="str">
        <f>_xlfn.XLOOKUP(J966,[1]Sheet1!$A:$A,[1]Sheet1!$B:$B,"")</f>
        <v>#ERROR!</v>
      </c>
      <c r="L966" s="109" t="s">
        <v>3396</v>
      </c>
      <c r="M966" s="104" t="s">
        <v>3397</v>
      </c>
      <c r="N966" s="110"/>
      <c r="O966" s="109" t="s">
        <v>147</v>
      </c>
      <c r="P966" s="106"/>
      <c r="Q966" s="105" t="s">
        <v>3081</v>
      </c>
      <c r="R966" s="106"/>
      <c r="S966" s="106"/>
      <c r="T966" s="110"/>
      <c r="U966" s="106">
        <v>9.403208E9</v>
      </c>
      <c r="V966" s="112">
        <v>0.0</v>
      </c>
      <c r="W966" s="106">
        <v>45.0</v>
      </c>
      <c r="X966" s="106">
        <v>45.0</v>
      </c>
      <c r="Y966" s="106"/>
      <c r="Z966" s="106" t="s">
        <v>99</v>
      </c>
      <c r="AA966" s="114">
        <f t="shared" si="891"/>
        <v>787.6712329</v>
      </c>
      <c r="AB966" s="115"/>
      <c r="AC966" s="212">
        <f t="shared" si="892"/>
        <v>688.4057971</v>
      </c>
      <c r="AD966" s="213">
        <f t="shared" si="799"/>
        <v>740.2212872</v>
      </c>
      <c r="AE966" s="212"/>
      <c r="AF966" s="212" t="str">
        <f t="shared" si="94"/>
        <v>#REF!</v>
      </c>
      <c r="AG966" s="210" t="str">
        <f t="shared" si="95"/>
        <v>#REF!</v>
      </c>
      <c r="AH966" s="120" t="str">
        <f t="shared" si="96"/>
        <v>#REF!</v>
      </c>
      <c r="AI966" s="121">
        <f t="shared" si="893"/>
        <v>0.05</v>
      </c>
      <c r="AJ966" s="121">
        <v>0.05</v>
      </c>
      <c r="AK966" s="418">
        <v>0.25</v>
      </c>
      <c r="AL966" s="123">
        <f t="shared" si="11"/>
        <v>172.1014493</v>
      </c>
      <c r="AM966" s="401" t="s">
        <v>10</v>
      </c>
      <c r="AN966" s="125">
        <f t="shared" si="894"/>
        <v>688.4057971</v>
      </c>
      <c r="AO966" s="402">
        <f t="shared" si="895"/>
        <v>0.25</v>
      </c>
      <c r="AP966" s="127"/>
      <c r="AQ966" s="128">
        <f t="shared" si="896"/>
        <v>575</v>
      </c>
      <c r="AR966" s="404">
        <f t="shared" si="897"/>
        <v>543.4782609</v>
      </c>
      <c r="AS966" s="405">
        <f t="shared" si="898"/>
        <v>0.27</v>
      </c>
      <c r="AT966" s="405">
        <f t="shared" si="899"/>
        <v>0.2105263158</v>
      </c>
      <c r="AU966" s="129"/>
      <c r="AV966" s="225" t="s">
        <v>3024</v>
      </c>
      <c r="AW966" s="416"/>
      <c r="AX966" s="416"/>
      <c r="AY966" s="361"/>
      <c r="AZ966" s="214"/>
      <c r="BA966" s="214"/>
      <c r="BB966" s="227"/>
      <c r="BC966" s="412">
        <v>475.0</v>
      </c>
      <c r="BD966" s="132">
        <f t="shared" si="905"/>
        <v>516.3043478</v>
      </c>
      <c r="BE966" s="215"/>
      <c r="BF966" s="48"/>
      <c r="BG966" s="49"/>
      <c r="BH966" s="224">
        <f t="shared" si="906"/>
        <v>2294.68599</v>
      </c>
      <c r="BI966" s="224">
        <f t="shared" si="907"/>
        <v>1376.811594</v>
      </c>
      <c r="BJ966" s="224">
        <f t="shared" si="908"/>
        <v>1147.342995</v>
      </c>
      <c r="BK966" s="224">
        <f t="shared" si="909"/>
        <v>917.8743961</v>
      </c>
      <c r="BL966" s="49"/>
      <c r="BM966" s="49"/>
      <c r="BN966" s="49"/>
      <c r="BO966" s="49"/>
      <c r="BP966" s="49"/>
      <c r="BQ966" s="49"/>
      <c r="BR966" s="49"/>
      <c r="BS966" s="49"/>
      <c r="BT966" s="49"/>
      <c r="BU966" s="49"/>
      <c r="BV966" s="49"/>
      <c r="BW966" s="49"/>
      <c r="BX966" s="49"/>
      <c r="BY966" s="49"/>
      <c r="BZ966" s="49"/>
      <c r="CA966" s="49"/>
      <c r="CB966" s="49"/>
      <c r="CC966" s="49"/>
      <c r="CD966" s="49"/>
      <c r="CE966" s="49"/>
      <c r="CF966" s="49"/>
    </row>
    <row r="967" ht="14.25" customHeight="1">
      <c r="A967" s="103" t="s">
        <v>84</v>
      </c>
      <c r="B967" s="103" t="s">
        <v>3073</v>
      </c>
      <c r="C967" s="103" t="s">
        <v>120</v>
      </c>
      <c r="D967" s="103" t="s">
        <v>1886</v>
      </c>
      <c r="E967" s="109" t="s">
        <v>3074</v>
      </c>
      <c r="F967" s="105" t="s">
        <v>3185</v>
      </c>
      <c r="G967" s="110" t="s">
        <v>3094</v>
      </c>
      <c r="H967" s="110" t="s">
        <v>3124</v>
      </c>
      <c r="I967" s="107"/>
      <c r="J967" s="108" t="s">
        <v>3398</v>
      </c>
      <c r="K967" s="108" t="str">
        <f>_xlfn.XLOOKUP(J967,[1]Sheet1!$A:$A,[1]Sheet1!$B:$B,"")</f>
        <v>#ERROR!</v>
      </c>
      <c r="L967" s="109" t="s">
        <v>3399</v>
      </c>
      <c r="M967" s="104" t="s">
        <v>3400</v>
      </c>
      <c r="N967" s="110"/>
      <c r="O967" s="109" t="s">
        <v>147</v>
      </c>
      <c r="P967" s="106"/>
      <c r="Q967" s="105" t="s">
        <v>3081</v>
      </c>
      <c r="R967" s="106"/>
      <c r="S967" s="106"/>
      <c r="T967" s="110"/>
      <c r="U967" s="106">
        <v>9.403208E9</v>
      </c>
      <c r="V967" s="112">
        <v>0.0</v>
      </c>
      <c r="W967" s="106">
        <v>45.0</v>
      </c>
      <c r="X967" s="106">
        <v>45.0</v>
      </c>
      <c r="Y967" s="106"/>
      <c r="Z967" s="106" t="s">
        <v>99</v>
      </c>
      <c r="AA967" s="114">
        <f t="shared" si="891"/>
        <v>630.1369863</v>
      </c>
      <c r="AB967" s="115"/>
      <c r="AC967" s="212">
        <f t="shared" si="892"/>
        <v>550.7246377</v>
      </c>
      <c r="AD967" s="213">
        <f t="shared" si="799"/>
        <v>592.1770298</v>
      </c>
      <c r="AE967" s="212"/>
      <c r="AF967" s="212" t="str">
        <f t="shared" si="94"/>
        <v>#REF!</v>
      </c>
      <c r="AG967" s="210" t="str">
        <f t="shared" si="95"/>
        <v>#REF!</v>
      </c>
      <c r="AH967" s="120" t="str">
        <f t="shared" si="96"/>
        <v>#REF!</v>
      </c>
      <c r="AI967" s="121">
        <f t="shared" si="893"/>
        <v>0.05</v>
      </c>
      <c r="AJ967" s="121">
        <v>0.05</v>
      </c>
      <c r="AK967" s="418">
        <v>0.25</v>
      </c>
      <c r="AL967" s="123">
        <f t="shared" si="11"/>
        <v>137.6811594</v>
      </c>
      <c r="AM967" s="401" t="s">
        <v>10</v>
      </c>
      <c r="AN967" s="125">
        <f t="shared" si="894"/>
        <v>550.7246377</v>
      </c>
      <c r="AO967" s="402">
        <f t="shared" si="895"/>
        <v>0.25</v>
      </c>
      <c r="AP967" s="127"/>
      <c r="AQ967" s="128">
        <f t="shared" si="896"/>
        <v>460</v>
      </c>
      <c r="AR967" s="404">
        <f t="shared" si="897"/>
        <v>434.7826087</v>
      </c>
      <c r="AS967" s="405">
        <f t="shared" si="898"/>
        <v>0.27</v>
      </c>
      <c r="AT967" s="405">
        <f t="shared" si="899"/>
        <v>0.2105263158</v>
      </c>
      <c r="AU967" s="129"/>
      <c r="AV967" s="225" t="s">
        <v>3024</v>
      </c>
      <c r="AW967" s="416"/>
      <c r="AX967" s="416"/>
      <c r="AY967" s="361"/>
      <c r="AZ967" s="214"/>
      <c r="BA967" s="214"/>
      <c r="BB967" s="227"/>
      <c r="BC967" s="412">
        <v>380.0</v>
      </c>
      <c r="BD967" s="132">
        <f t="shared" si="905"/>
        <v>413.0434783</v>
      </c>
      <c r="BE967" s="215"/>
      <c r="BF967" s="48"/>
      <c r="BG967" s="49"/>
      <c r="BH967" s="224">
        <f t="shared" si="906"/>
        <v>1835.748792</v>
      </c>
      <c r="BI967" s="224">
        <f t="shared" si="907"/>
        <v>1101.449275</v>
      </c>
      <c r="BJ967" s="224">
        <f t="shared" si="908"/>
        <v>917.8743961</v>
      </c>
      <c r="BK967" s="224">
        <f t="shared" si="909"/>
        <v>734.2995169</v>
      </c>
      <c r="BL967" s="49"/>
      <c r="BM967" s="49"/>
      <c r="BN967" s="49"/>
      <c r="BO967" s="49"/>
      <c r="BP967" s="49"/>
      <c r="BQ967" s="49"/>
      <c r="BR967" s="49"/>
      <c r="BS967" s="49"/>
      <c r="BT967" s="49"/>
      <c r="BU967" s="49"/>
      <c r="BV967" s="49"/>
      <c r="BW967" s="49"/>
      <c r="BX967" s="49"/>
      <c r="BY967" s="49"/>
      <c r="BZ967" s="49"/>
      <c r="CA967" s="49"/>
      <c r="CB967" s="49"/>
      <c r="CC967" s="49"/>
      <c r="CD967" s="49"/>
      <c r="CE967" s="49"/>
      <c r="CF967" s="49"/>
    </row>
    <row r="968" ht="14.25" customHeight="1">
      <c r="A968" s="103" t="s">
        <v>84</v>
      </c>
      <c r="B968" s="103" t="s">
        <v>3073</v>
      </c>
      <c r="C968" s="103" t="s">
        <v>120</v>
      </c>
      <c r="D968" s="103" t="s">
        <v>1886</v>
      </c>
      <c r="E968" s="109" t="s">
        <v>3074</v>
      </c>
      <c r="F968" s="105" t="s">
        <v>3185</v>
      </c>
      <c r="G968" s="110" t="s">
        <v>3090</v>
      </c>
      <c r="H968" s="110" t="s">
        <v>3134</v>
      </c>
      <c r="I968" s="107"/>
      <c r="J968" s="108" t="s">
        <v>3401</v>
      </c>
      <c r="K968" s="108" t="str">
        <f>_xlfn.XLOOKUP(J968,[1]Sheet1!$A:$A,[1]Sheet1!$B:$B,"")</f>
        <v>#ERROR!</v>
      </c>
      <c r="L968" s="109" t="s">
        <v>3402</v>
      </c>
      <c r="M968" s="104" t="s">
        <v>3403</v>
      </c>
      <c r="N968" s="110"/>
      <c r="O968" s="109" t="s">
        <v>147</v>
      </c>
      <c r="P968" s="106"/>
      <c r="Q968" s="105" t="s">
        <v>3081</v>
      </c>
      <c r="R968" s="106"/>
      <c r="S968" s="106"/>
      <c r="T968" s="110"/>
      <c r="U968" s="106">
        <v>9.403208E9</v>
      </c>
      <c r="V968" s="112">
        <v>0.0</v>
      </c>
      <c r="W968" s="106">
        <v>45.0</v>
      </c>
      <c r="X968" s="106">
        <v>45.0</v>
      </c>
      <c r="Y968" s="106"/>
      <c r="Z968" s="106" t="s">
        <v>99</v>
      </c>
      <c r="AA968" s="114">
        <f t="shared" si="891"/>
        <v>596.9718818</v>
      </c>
      <c r="AB968" s="115"/>
      <c r="AC968" s="212">
        <f t="shared" si="892"/>
        <v>521.7391304</v>
      </c>
      <c r="AD968" s="213">
        <f t="shared" si="799"/>
        <v>561.0098177</v>
      </c>
      <c r="AE968" s="212"/>
      <c r="AF968" s="212" t="str">
        <f t="shared" si="94"/>
        <v>#REF!</v>
      </c>
      <c r="AG968" s="210" t="str">
        <f t="shared" si="95"/>
        <v>#REF!</v>
      </c>
      <c r="AH968" s="120" t="str">
        <f t="shared" si="96"/>
        <v>#REF!</v>
      </c>
      <c r="AI968" s="121">
        <f t="shared" si="893"/>
        <v>0.05</v>
      </c>
      <c r="AJ968" s="121">
        <v>0.05</v>
      </c>
      <c r="AK968" s="418">
        <v>0.25</v>
      </c>
      <c r="AL968" s="123">
        <f t="shared" si="11"/>
        <v>130.4347826</v>
      </c>
      <c r="AM968" s="401" t="s">
        <v>10</v>
      </c>
      <c r="AN968" s="125">
        <f t="shared" si="894"/>
        <v>521.7391304</v>
      </c>
      <c r="AO968" s="402">
        <f t="shared" si="895"/>
        <v>0.25</v>
      </c>
      <c r="AP968" s="127"/>
      <c r="AQ968" s="128">
        <f t="shared" si="896"/>
        <v>435.7894737</v>
      </c>
      <c r="AR968" s="404">
        <f t="shared" si="897"/>
        <v>411.8993135</v>
      </c>
      <c r="AS968" s="405">
        <f t="shared" si="898"/>
        <v>0.27</v>
      </c>
      <c r="AT968" s="405">
        <f t="shared" si="899"/>
        <v>0.2105263158</v>
      </c>
      <c r="AU968" s="129"/>
      <c r="AV968" s="225" t="s">
        <v>3024</v>
      </c>
      <c r="AW968" s="416"/>
      <c r="AX968" s="416"/>
      <c r="AY968" s="361"/>
      <c r="AZ968" s="214"/>
      <c r="BA968" s="214"/>
      <c r="BB968" s="227"/>
      <c r="BC968" s="412">
        <v>360.0</v>
      </c>
      <c r="BD968" s="132">
        <f t="shared" si="905"/>
        <v>391.3043478</v>
      </c>
      <c r="BE968" s="215"/>
      <c r="BF968" s="48"/>
      <c r="BG968" s="49"/>
      <c r="BH968" s="224">
        <f t="shared" si="906"/>
        <v>1739.130435</v>
      </c>
      <c r="BI968" s="224">
        <f t="shared" si="907"/>
        <v>1043.478261</v>
      </c>
      <c r="BJ968" s="224">
        <f t="shared" si="908"/>
        <v>869.5652174</v>
      </c>
      <c r="BK968" s="224">
        <f t="shared" si="909"/>
        <v>695.6521739</v>
      </c>
      <c r="BL968" s="49"/>
      <c r="BM968" s="49"/>
      <c r="BN968" s="49"/>
      <c r="BO968" s="49"/>
      <c r="BP968" s="49"/>
      <c r="BQ968" s="49"/>
      <c r="BR968" s="49"/>
      <c r="BS968" s="49"/>
      <c r="BT968" s="49"/>
      <c r="BU968" s="49"/>
      <c r="BV968" s="49"/>
      <c r="BW968" s="49"/>
      <c r="BX968" s="49"/>
      <c r="BY968" s="49"/>
      <c r="BZ968" s="49"/>
      <c r="CA968" s="49"/>
      <c r="CB968" s="49"/>
      <c r="CC968" s="49"/>
      <c r="CD968" s="49"/>
      <c r="CE968" s="49"/>
      <c r="CF968" s="49"/>
    </row>
    <row r="969" ht="14.25" customHeight="1">
      <c r="A969" s="103" t="s">
        <v>84</v>
      </c>
      <c r="B969" s="103" t="s">
        <v>3073</v>
      </c>
      <c r="C969" s="103" t="s">
        <v>120</v>
      </c>
      <c r="D969" s="103" t="s">
        <v>1886</v>
      </c>
      <c r="E969" s="109" t="s">
        <v>3074</v>
      </c>
      <c r="F969" s="105" t="s">
        <v>3185</v>
      </c>
      <c r="G969" s="110" t="s">
        <v>3094</v>
      </c>
      <c r="H969" s="110" t="s">
        <v>3134</v>
      </c>
      <c r="I969" s="107"/>
      <c r="J969" s="108" t="s">
        <v>3404</v>
      </c>
      <c r="K969" s="108" t="str">
        <f>_xlfn.XLOOKUP(J969,[1]Sheet1!$A:$A,[1]Sheet1!$B:$B,"")</f>
        <v>#ERROR!</v>
      </c>
      <c r="L969" s="109" t="s">
        <v>3405</v>
      </c>
      <c r="M969" s="104" t="s">
        <v>3406</v>
      </c>
      <c r="N969" s="110"/>
      <c r="O969" s="109" t="s">
        <v>147</v>
      </c>
      <c r="P969" s="106"/>
      <c r="Q969" s="105" t="s">
        <v>3081</v>
      </c>
      <c r="R969" s="106"/>
      <c r="S969" s="106"/>
      <c r="T969" s="110"/>
      <c r="U969" s="106">
        <v>9.403208E9</v>
      </c>
      <c r="V969" s="112">
        <v>0.0</v>
      </c>
      <c r="W969" s="106">
        <v>45.0</v>
      </c>
      <c r="X969" s="106">
        <v>45.0</v>
      </c>
      <c r="Y969" s="106"/>
      <c r="Z969" s="106" t="s">
        <v>99</v>
      </c>
      <c r="AA969" s="114">
        <f t="shared" si="891"/>
        <v>630.1369863</v>
      </c>
      <c r="AB969" s="115"/>
      <c r="AC969" s="212">
        <f t="shared" si="892"/>
        <v>550.7246377</v>
      </c>
      <c r="AD969" s="213">
        <f t="shared" si="799"/>
        <v>592.1770298</v>
      </c>
      <c r="AE969" s="212"/>
      <c r="AF969" s="212" t="str">
        <f t="shared" si="94"/>
        <v>#REF!</v>
      </c>
      <c r="AG969" s="210" t="str">
        <f t="shared" si="95"/>
        <v>#REF!</v>
      </c>
      <c r="AH969" s="120" t="str">
        <f t="shared" si="96"/>
        <v>#REF!</v>
      </c>
      <c r="AI969" s="121">
        <f t="shared" si="893"/>
        <v>0.05</v>
      </c>
      <c r="AJ969" s="121">
        <v>0.05</v>
      </c>
      <c r="AK969" s="418">
        <v>0.25</v>
      </c>
      <c r="AL969" s="123">
        <f t="shared" si="11"/>
        <v>137.6811594</v>
      </c>
      <c r="AM969" s="401" t="s">
        <v>10</v>
      </c>
      <c r="AN969" s="125">
        <f t="shared" si="894"/>
        <v>550.7246377</v>
      </c>
      <c r="AO969" s="402">
        <f t="shared" si="895"/>
        <v>0.25</v>
      </c>
      <c r="AP969" s="127"/>
      <c r="AQ969" s="128">
        <f t="shared" si="896"/>
        <v>460</v>
      </c>
      <c r="AR969" s="404">
        <f t="shared" si="897"/>
        <v>434.7826087</v>
      </c>
      <c r="AS969" s="405">
        <f t="shared" si="898"/>
        <v>0.27</v>
      </c>
      <c r="AT969" s="405">
        <f t="shared" si="899"/>
        <v>0.2105263158</v>
      </c>
      <c r="AU969" s="129">
        <v>456.7</v>
      </c>
      <c r="AV969" s="225" t="s">
        <v>3024</v>
      </c>
      <c r="AW969" s="416"/>
      <c r="AX969" s="416"/>
      <c r="AY969" s="361"/>
      <c r="AZ969" s="214"/>
      <c r="BA969" s="214"/>
      <c r="BB969" s="227"/>
      <c r="BC969" s="412">
        <v>380.0</v>
      </c>
      <c r="BD969" s="132">
        <f t="shared" si="905"/>
        <v>413.0434783</v>
      </c>
      <c r="BE969" s="215"/>
      <c r="BF969" s="48"/>
      <c r="BG969" s="49"/>
      <c r="BH969" s="224">
        <f t="shared" si="906"/>
        <v>1835.748792</v>
      </c>
      <c r="BI969" s="224">
        <f t="shared" si="907"/>
        <v>1101.449275</v>
      </c>
      <c r="BJ969" s="224">
        <f t="shared" si="908"/>
        <v>917.8743961</v>
      </c>
      <c r="BK969" s="224">
        <f t="shared" si="909"/>
        <v>734.2995169</v>
      </c>
      <c r="BL969" s="49"/>
      <c r="BM969" s="49"/>
      <c r="BN969" s="49"/>
      <c r="BO969" s="49"/>
      <c r="BP969" s="49"/>
      <c r="BQ969" s="49"/>
      <c r="BR969" s="49"/>
      <c r="BS969" s="49"/>
      <c r="BT969" s="49"/>
      <c r="BU969" s="49"/>
      <c r="BV969" s="49"/>
      <c r="BW969" s="49"/>
      <c r="BX969" s="49"/>
      <c r="BY969" s="49"/>
      <c r="BZ969" s="49"/>
      <c r="CA969" s="49"/>
      <c r="CB969" s="49"/>
      <c r="CC969" s="49"/>
      <c r="CD969" s="49"/>
      <c r="CE969" s="49"/>
      <c r="CF969" s="49"/>
    </row>
    <row r="970" ht="14.25" customHeight="1">
      <c r="A970" s="103" t="s">
        <v>84</v>
      </c>
      <c r="B970" s="103" t="s">
        <v>3073</v>
      </c>
      <c r="C970" s="103" t="s">
        <v>120</v>
      </c>
      <c r="D970" s="103" t="s">
        <v>1886</v>
      </c>
      <c r="E970" s="109" t="s">
        <v>3074</v>
      </c>
      <c r="F970" s="105" t="s">
        <v>3185</v>
      </c>
      <c r="G970" s="110" t="s">
        <v>3228</v>
      </c>
      <c r="H970" s="110" t="s">
        <v>3134</v>
      </c>
      <c r="I970" s="107"/>
      <c r="J970" s="108" t="s">
        <v>3407</v>
      </c>
      <c r="K970" s="108" t="str">
        <f>_xlfn.XLOOKUP(J970,[1]Sheet1!$A:$A,[1]Sheet1!$B:$B,"")</f>
        <v>#ERROR!</v>
      </c>
      <c r="L970" s="109" t="s">
        <v>3408</v>
      </c>
      <c r="M970" s="104" t="s">
        <v>3409</v>
      </c>
      <c r="N970" s="110"/>
      <c r="O970" s="109" t="s">
        <v>147</v>
      </c>
      <c r="P970" s="106"/>
      <c r="Q970" s="105" t="s">
        <v>3081</v>
      </c>
      <c r="R970" s="106"/>
      <c r="S970" s="106"/>
      <c r="T970" s="110"/>
      <c r="U970" s="106">
        <v>9.403208E9</v>
      </c>
      <c r="V970" s="112">
        <v>0.0</v>
      </c>
      <c r="W970" s="106">
        <v>45.0</v>
      </c>
      <c r="X970" s="106">
        <v>45.0</v>
      </c>
      <c r="Y970" s="106"/>
      <c r="Z970" s="106" t="s">
        <v>99</v>
      </c>
      <c r="AA970" s="114">
        <f t="shared" si="891"/>
        <v>754.5061283</v>
      </c>
      <c r="AB970" s="115"/>
      <c r="AC970" s="212">
        <f t="shared" si="892"/>
        <v>659.4202899</v>
      </c>
      <c r="AD970" s="213">
        <f t="shared" si="799"/>
        <v>709.0540751</v>
      </c>
      <c r="AE970" s="212"/>
      <c r="AF970" s="212" t="str">
        <f t="shared" si="94"/>
        <v>#REF!</v>
      </c>
      <c r="AG970" s="210" t="str">
        <f t="shared" si="95"/>
        <v>#REF!</v>
      </c>
      <c r="AH970" s="120" t="str">
        <f t="shared" si="96"/>
        <v>#REF!</v>
      </c>
      <c r="AI970" s="121">
        <f t="shared" si="893"/>
        <v>0.05</v>
      </c>
      <c r="AJ970" s="121">
        <v>0.05</v>
      </c>
      <c r="AK970" s="418">
        <v>0.25</v>
      </c>
      <c r="AL970" s="123">
        <f t="shared" si="11"/>
        <v>164.8550725</v>
      </c>
      <c r="AM970" s="401" t="s">
        <v>10</v>
      </c>
      <c r="AN970" s="125">
        <f t="shared" si="894"/>
        <v>659.4202899</v>
      </c>
      <c r="AO970" s="402">
        <f t="shared" si="895"/>
        <v>0.25</v>
      </c>
      <c r="AP970" s="127"/>
      <c r="AQ970" s="128">
        <f t="shared" si="896"/>
        <v>550.7894737</v>
      </c>
      <c r="AR970" s="404">
        <f t="shared" si="897"/>
        <v>520.5949657</v>
      </c>
      <c r="AS970" s="405">
        <f t="shared" si="898"/>
        <v>0.27</v>
      </c>
      <c r="AT970" s="405">
        <f t="shared" si="899"/>
        <v>0.2105263158</v>
      </c>
      <c r="AU970" s="129"/>
      <c r="AV970" s="225" t="s">
        <v>3024</v>
      </c>
      <c r="AW970" s="416"/>
      <c r="AX970" s="416"/>
      <c r="AY970" s="361"/>
      <c r="AZ970" s="214"/>
      <c r="BA970" s="214"/>
      <c r="BB970" s="227"/>
      <c r="BC970" s="412">
        <v>455.0</v>
      </c>
      <c r="BD970" s="132">
        <f t="shared" si="905"/>
        <v>494.5652174</v>
      </c>
      <c r="BE970" s="215"/>
      <c r="BF970" s="48"/>
      <c r="BG970" s="49"/>
      <c r="BH970" s="224">
        <f t="shared" si="906"/>
        <v>2198.067633</v>
      </c>
      <c r="BI970" s="224">
        <f t="shared" si="907"/>
        <v>1318.84058</v>
      </c>
      <c r="BJ970" s="224">
        <f t="shared" si="908"/>
        <v>1099.033816</v>
      </c>
      <c r="BK970" s="224">
        <f t="shared" si="909"/>
        <v>879.2270531</v>
      </c>
      <c r="BL970" s="49"/>
      <c r="BM970" s="49"/>
      <c r="BN970" s="49"/>
      <c r="BO970" s="49"/>
      <c r="BP970" s="49"/>
      <c r="BQ970" s="49"/>
      <c r="BR970" s="49"/>
      <c r="BS970" s="49"/>
      <c r="BT970" s="49"/>
      <c r="BU970" s="49"/>
      <c r="BV970" s="49"/>
      <c r="BW970" s="49"/>
      <c r="BX970" s="49"/>
      <c r="BY970" s="49"/>
      <c r="BZ970" s="49"/>
      <c r="CA970" s="49"/>
      <c r="CB970" s="49"/>
      <c r="CC970" s="49"/>
      <c r="CD970" s="49"/>
      <c r="CE970" s="49"/>
      <c r="CF970" s="49"/>
    </row>
    <row r="971" ht="14.25" customHeight="1">
      <c r="A971" s="103" t="s">
        <v>84</v>
      </c>
      <c r="B971" s="103" t="s">
        <v>3073</v>
      </c>
      <c r="C971" s="103" t="s">
        <v>120</v>
      </c>
      <c r="D971" s="103" t="s">
        <v>1886</v>
      </c>
      <c r="E971" s="109" t="s">
        <v>3074</v>
      </c>
      <c r="F971" s="105" t="s">
        <v>3185</v>
      </c>
      <c r="G971" s="110" t="s">
        <v>3094</v>
      </c>
      <c r="H971" s="110" t="s">
        <v>3159</v>
      </c>
      <c r="I971" s="107"/>
      <c r="J971" s="108" t="s">
        <v>3410</v>
      </c>
      <c r="K971" s="108" t="str">
        <f>_xlfn.XLOOKUP(J971,[1]Sheet1!$A:$A,[1]Sheet1!$B:$B,"")</f>
        <v>#ERROR!</v>
      </c>
      <c r="L971" s="109" t="s">
        <v>3411</v>
      </c>
      <c r="M971" s="104" t="s">
        <v>3412</v>
      </c>
      <c r="N971" s="110"/>
      <c r="O971" s="109" t="s">
        <v>147</v>
      </c>
      <c r="P971" s="106"/>
      <c r="Q971" s="105" t="s">
        <v>3081</v>
      </c>
      <c r="R971" s="106"/>
      <c r="S971" s="106"/>
      <c r="T971" s="110"/>
      <c r="U971" s="106">
        <v>9.403208E9</v>
      </c>
      <c r="V971" s="112">
        <v>0.0</v>
      </c>
      <c r="W971" s="106">
        <v>45.0</v>
      </c>
      <c r="X971" s="106">
        <v>45.0</v>
      </c>
      <c r="Y971" s="106"/>
      <c r="Z971" s="106" t="s">
        <v>99</v>
      </c>
      <c r="AA971" s="114">
        <f t="shared" si="891"/>
        <v>704.7584715</v>
      </c>
      <c r="AB971" s="115"/>
      <c r="AC971" s="212">
        <f t="shared" si="892"/>
        <v>615.942029</v>
      </c>
      <c r="AD971" s="213">
        <f t="shared" si="799"/>
        <v>662.303257</v>
      </c>
      <c r="AE971" s="212"/>
      <c r="AF971" s="212" t="str">
        <f t="shared" si="94"/>
        <v>#REF!</v>
      </c>
      <c r="AG971" s="210" t="str">
        <f t="shared" si="95"/>
        <v>#REF!</v>
      </c>
      <c r="AH971" s="120" t="str">
        <f t="shared" si="96"/>
        <v>#REF!</v>
      </c>
      <c r="AI971" s="121">
        <f t="shared" si="893"/>
        <v>0.05</v>
      </c>
      <c r="AJ971" s="121">
        <v>0.05</v>
      </c>
      <c r="AK971" s="418">
        <v>0.25</v>
      </c>
      <c r="AL971" s="123">
        <f t="shared" si="11"/>
        <v>153.9855072</v>
      </c>
      <c r="AM971" s="401" t="s">
        <v>10</v>
      </c>
      <c r="AN971" s="125">
        <f t="shared" si="894"/>
        <v>615.942029</v>
      </c>
      <c r="AO971" s="402">
        <f t="shared" si="895"/>
        <v>0.25</v>
      </c>
      <c r="AP971" s="127"/>
      <c r="AQ971" s="128">
        <f t="shared" si="896"/>
        <v>514.4736842</v>
      </c>
      <c r="AR971" s="404">
        <f t="shared" si="897"/>
        <v>486.2700229</v>
      </c>
      <c r="AS971" s="405">
        <f t="shared" si="898"/>
        <v>0.27</v>
      </c>
      <c r="AT971" s="405">
        <f t="shared" si="899"/>
        <v>0.2105263158</v>
      </c>
      <c r="AU971" s="129"/>
      <c r="AV971" s="225" t="s">
        <v>3024</v>
      </c>
      <c r="AW971" s="416"/>
      <c r="AX971" s="416"/>
      <c r="AY971" s="361"/>
      <c r="AZ971" s="214"/>
      <c r="BA971" s="214"/>
      <c r="BB971" s="227"/>
      <c r="BC971" s="412">
        <v>425.0</v>
      </c>
      <c r="BD971" s="132">
        <f t="shared" si="905"/>
        <v>461.9565217</v>
      </c>
      <c r="BE971" s="215"/>
      <c r="BF971" s="48"/>
      <c r="BG971" s="49"/>
      <c r="BH971" s="224">
        <f t="shared" si="906"/>
        <v>2053.140097</v>
      </c>
      <c r="BI971" s="224">
        <f t="shared" si="907"/>
        <v>1231.884058</v>
      </c>
      <c r="BJ971" s="224">
        <f t="shared" si="908"/>
        <v>1026.570048</v>
      </c>
      <c r="BK971" s="224">
        <f t="shared" si="909"/>
        <v>821.2560386</v>
      </c>
      <c r="BL971" s="49"/>
      <c r="BM971" s="49"/>
      <c r="BN971" s="49"/>
      <c r="BO971" s="49"/>
      <c r="BP971" s="49"/>
      <c r="BQ971" s="49"/>
      <c r="BR971" s="49"/>
      <c r="BS971" s="49"/>
      <c r="BT971" s="49"/>
      <c r="BU971" s="49"/>
      <c r="BV971" s="49"/>
      <c r="BW971" s="49"/>
      <c r="BX971" s="49"/>
      <c r="BY971" s="49"/>
      <c r="BZ971" s="49"/>
      <c r="CA971" s="49"/>
      <c r="CB971" s="49"/>
      <c r="CC971" s="49"/>
      <c r="CD971" s="49"/>
      <c r="CE971" s="49"/>
      <c r="CF971" s="49"/>
    </row>
    <row r="972" ht="14.25" customHeight="1">
      <c r="A972" s="103" t="s">
        <v>84</v>
      </c>
      <c r="B972" s="103" t="s">
        <v>3073</v>
      </c>
      <c r="C972" s="103" t="s">
        <v>120</v>
      </c>
      <c r="D972" s="103" t="s">
        <v>1886</v>
      </c>
      <c r="E972" s="109" t="s">
        <v>3074</v>
      </c>
      <c r="F972" s="105" t="s">
        <v>3185</v>
      </c>
      <c r="G972" s="110" t="s">
        <v>3228</v>
      </c>
      <c r="H972" s="110" t="s">
        <v>3159</v>
      </c>
      <c r="I972" s="107"/>
      <c r="J972" s="108" t="s">
        <v>3413</v>
      </c>
      <c r="K972" s="108" t="str">
        <f>_xlfn.XLOOKUP(J972,[1]Sheet1!$A:$A,[1]Sheet1!$B:$B,"")</f>
        <v>#ERROR!</v>
      </c>
      <c r="L972" s="109" t="s">
        <v>3414</v>
      </c>
      <c r="M972" s="104" t="s">
        <v>3415</v>
      </c>
      <c r="N972" s="110"/>
      <c r="O972" s="109" t="s">
        <v>147</v>
      </c>
      <c r="P972" s="106"/>
      <c r="Q972" s="105" t="s">
        <v>3081</v>
      </c>
      <c r="R972" s="106"/>
      <c r="S972" s="106"/>
      <c r="T972" s="110"/>
      <c r="U972" s="106">
        <v>9.403208E9</v>
      </c>
      <c r="V972" s="112">
        <v>0.0</v>
      </c>
      <c r="W972" s="106">
        <v>45.0</v>
      </c>
      <c r="X972" s="106">
        <v>45.0</v>
      </c>
      <c r="Y972" s="106"/>
      <c r="Z972" s="106" t="s">
        <v>99</v>
      </c>
      <c r="AA972" s="114">
        <f t="shared" si="891"/>
        <v>771.0886806</v>
      </c>
      <c r="AB972" s="115"/>
      <c r="AC972" s="212">
        <f t="shared" si="892"/>
        <v>673.9130435</v>
      </c>
      <c r="AD972" s="213">
        <f t="shared" si="799"/>
        <v>724.6376812</v>
      </c>
      <c r="AE972" s="212"/>
      <c r="AF972" s="212" t="str">
        <f t="shared" si="94"/>
        <v>#REF!</v>
      </c>
      <c r="AG972" s="210" t="str">
        <f t="shared" si="95"/>
        <v>#REF!</v>
      </c>
      <c r="AH972" s="120" t="str">
        <f t="shared" si="96"/>
        <v>#REF!</v>
      </c>
      <c r="AI972" s="121">
        <f t="shared" si="893"/>
        <v>0.05</v>
      </c>
      <c r="AJ972" s="121">
        <v>0.05</v>
      </c>
      <c r="AK972" s="418">
        <v>0.25</v>
      </c>
      <c r="AL972" s="123">
        <f t="shared" si="11"/>
        <v>168.4782609</v>
      </c>
      <c r="AM972" s="401" t="s">
        <v>10</v>
      </c>
      <c r="AN972" s="125">
        <f t="shared" si="894"/>
        <v>673.9130435</v>
      </c>
      <c r="AO972" s="402">
        <f t="shared" si="895"/>
        <v>0.25</v>
      </c>
      <c r="AP972" s="127"/>
      <c r="AQ972" s="128">
        <f t="shared" si="896"/>
        <v>562.8947368</v>
      </c>
      <c r="AR972" s="404">
        <f t="shared" si="897"/>
        <v>532.0366133</v>
      </c>
      <c r="AS972" s="405">
        <f t="shared" si="898"/>
        <v>0.27</v>
      </c>
      <c r="AT972" s="405">
        <f t="shared" si="899"/>
        <v>0.2105263158</v>
      </c>
      <c r="AU972" s="129"/>
      <c r="AV972" s="225" t="s">
        <v>3024</v>
      </c>
      <c r="AW972" s="416"/>
      <c r="AX972" s="416"/>
      <c r="AY972" s="361"/>
      <c r="AZ972" s="214"/>
      <c r="BA972" s="214"/>
      <c r="BB972" s="227"/>
      <c r="BC972" s="412">
        <v>465.0</v>
      </c>
      <c r="BD972" s="132">
        <f t="shared" si="905"/>
        <v>505.4347826</v>
      </c>
      <c r="BE972" s="215"/>
      <c r="BF972" s="48"/>
      <c r="BG972" s="49"/>
      <c r="BH972" s="224">
        <f t="shared" si="906"/>
        <v>2246.376812</v>
      </c>
      <c r="BI972" s="224">
        <f t="shared" si="907"/>
        <v>1347.826087</v>
      </c>
      <c r="BJ972" s="224">
        <f t="shared" si="908"/>
        <v>1123.188406</v>
      </c>
      <c r="BK972" s="224">
        <f t="shared" si="909"/>
        <v>898.5507246</v>
      </c>
      <c r="BL972" s="49"/>
      <c r="BM972" s="49"/>
      <c r="BN972" s="49"/>
      <c r="BO972" s="49"/>
      <c r="BP972" s="49"/>
      <c r="BQ972" s="49"/>
      <c r="BR972" s="49"/>
      <c r="BS972" s="49"/>
      <c r="BT972" s="49"/>
      <c r="BU972" s="49"/>
      <c r="BV972" s="49"/>
      <c r="BW972" s="49"/>
      <c r="BX972" s="49"/>
      <c r="BY972" s="49"/>
      <c r="BZ972" s="49"/>
      <c r="CA972" s="49"/>
      <c r="CB972" s="49"/>
      <c r="CC972" s="49"/>
      <c r="CD972" s="49"/>
      <c r="CE972" s="49"/>
      <c r="CF972" s="49"/>
    </row>
    <row r="973" ht="14.25" customHeight="1">
      <c r="A973" s="103" t="s">
        <v>84</v>
      </c>
      <c r="B973" s="103" t="s">
        <v>3073</v>
      </c>
      <c r="C973" s="103" t="s">
        <v>120</v>
      </c>
      <c r="D973" s="103" t="s">
        <v>1886</v>
      </c>
      <c r="E973" s="109" t="s">
        <v>3074</v>
      </c>
      <c r="F973" s="105" t="s">
        <v>3185</v>
      </c>
      <c r="G973" s="110" t="s">
        <v>3094</v>
      </c>
      <c r="H973" s="110" t="s">
        <v>3240</v>
      </c>
      <c r="I973" s="107"/>
      <c r="J973" s="108" t="s">
        <v>3416</v>
      </c>
      <c r="K973" s="108" t="str">
        <f>_xlfn.XLOOKUP(J973,[1]Sheet1!$A:$A,[1]Sheet1!$B:$B,"")</f>
        <v>#ERROR!</v>
      </c>
      <c r="L973" s="109" t="s">
        <v>3417</v>
      </c>
      <c r="M973" s="104" t="s">
        <v>3418</v>
      </c>
      <c r="N973" s="110"/>
      <c r="O973" s="109" t="s">
        <v>147</v>
      </c>
      <c r="P973" s="106"/>
      <c r="Q973" s="105" t="s">
        <v>3081</v>
      </c>
      <c r="R973" s="106"/>
      <c r="S973" s="106"/>
      <c r="T973" s="110"/>
      <c r="U973" s="106">
        <v>9.403208E9</v>
      </c>
      <c r="V973" s="112">
        <v>0.0</v>
      </c>
      <c r="W973" s="106">
        <v>45.0</v>
      </c>
      <c r="X973" s="106">
        <v>45.0</v>
      </c>
      <c r="Y973" s="106"/>
      <c r="Z973" s="106" t="s">
        <v>99</v>
      </c>
      <c r="AA973" s="114">
        <f t="shared" si="891"/>
        <v>779.3799567</v>
      </c>
      <c r="AB973" s="115"/>
      <c r="AC973" s="212">
        <f t="shared" si="892"/>
        <v>681.1594203</v>
      </c>
      <c r="AD973" s="213">
        <f t="shared" si="799"/>
        <v>732.4294842</v>
      </c>
      <c r="AE973" s="212"/>
      <c r="AF973" s="212" t="str">
        <f t="shared" si="94"/>
        <v>#REF!</v>
      </c>
      <c r="AG973" s="210" t="str">
        <f t="shared" si="95"/>
        <v>#REF!</v>
      </c>
      <c r="AH973" s="120" t="str">
        <f t="shared" si="96"/>
        <v>#REF!</v>
      </c>
      <c r="AI973" s="121">
        <f t="shared" si="893"/>
        <v>0.05</v>
      </c>
      <c r="AJ973" s="121">
        <v>0.05</v>
      </c>
      <c r="AK973" s="418">
        <v>0.25</v>
      </c>
      <c r="AL973" s="123">
        <f t="shared" si="11"/>
        <v>170.2898551</v>
      </c>
      <c r="AM973" s="401" t="s">
        <v>10</v>
      </c>
      <c r="AN973" s="125">
        <f t="shared" si="894"/>
        <v>681.1594203</v>
      </c>
      <c r="AO973" s="402">
        <f t="shared" si="895"/>
        <v>0.25</v>
      </c>
      <c r="AP973" s="127"/>
      <c r="AQ973" s="128">
        <f t="shared" si="896"/>
        <v>568.9473684</v>
      </c>
      <c r="AR973" s="404">
        <f t="shared" si="897"/>
        <v>537.7574371</v>
      </c>
      <c r="AS973" s="405">
        <f t="shared" si="898"/>
        <v>0.27</v>
      </c>
      <c r="AT973" s="405">
        <f t="shared" si="899"/>
        <v>0.2105263158</v>
      </c>
      <c r="AU973" s="129"/>
      <c r="AV973" s="225" t="s">
        <v>3024</v>
      </c>
      <c r="AW973" s="416"/>
      <c r="AX973" s="416"/>
      <c r="AY973" s="361"/>
      <c r="AZ973" s="214"/>
      <c r="BA973" s="214"/>
      <c r="BB973" s="227"/>
      <c r="BC973" s="412">
        <v>470.0</v>
      </c>
      <c r="BD973" s="132">
        <f t="shared" si="905"/>
        <v>510.8695652</v>
      </c>
      <c r="BE973" s="215"/>
      <c r="BF973" s="48"/>
      <c r="BG973" s="49"/>
      <c r="BH973" s="224">
        <f t="shared" si="906"/>
        <v>2270.531401</v>
      </c>
      <c r="BI973" s="224">
        <f t="shared" si="907"/>
        <v>1362.318841</v>
      </c>
      <c r="BJ973" s="224">
        <f t="shared" si="908"/>
        <v>1135.2657</v>
      </c>
      <c r="BK973" s="224">
        <f t="shared" si="909"/>
        <v>908.2125604</v>
      </c>
      <c r="BL973" s="49"/>
      <c r="BM973" s="49"/>
      <c r="BN973" s="49"/>
      <c r="BO973" s="49"/>
      <c r="BP973" s="49"/>
      <c r="BQ973" s="49"/>
      <c r="BR973" s="49"/>
      <c r="BS973" s="49"/>
      <c r="BT973" s="49"/>
      <c r="BU973" s="49"/>
      <c r="BV973" s="49"/>
      <c r="BW973" s="49"/>
      <c r="BX973" s="49"/>
      <c r="BY973" s="49"/>
      <c r="BZ973" s="49"/>
      <c r="CA973" s="49"/>
      <c r="CB973" s="49"/>
      <c r="CC973" s="49"/>
      <c r="CD973" s="49"/>
      <c r="CE973" s="49"/>
      <c r="CF973" s="49"/>
    </row>
    <row r="974" ht="14.25" customHeight="1">
      <c r="A974" s="103" t="s">
        <v>84</v>
      </c>
      <c r="B974" s="103" t="s">
        <v>3073</v>
      </c>
      <c r="C974" s="103" t="s">
        <v>120</v>
      </c>
      <c r="D974" s="103" t="s">
        <v>1886</v>
      </c>
      <c r="E974" s="109" t="s">
        <v>3074</v>
      </c>
      <c r="F974" s="105" t="s">
        <v>3185</v>
      </c>
      <c r="G974" s="110" t="s">
        <v>3228</v>
      </c>
      <c r="H974" s="110" t="s">
        <v>3240</v>
      </c>
      <c r="I974" s="107"/>
      <c r="J974" s="108" t="s">
        <v>3419</v>
      </c>
      <c r="K974" s="108" t="str">
        <f>_xlfn.XLOOKUP(J974,[1]Sheet1!$A:$A,[1]Sheet1!$B:$B,"")</f>
        <v>#ERROR!</v>
      </c>
      <c r="L974" s="109" t="s">
        <v>3420</v>
      </c>
      <c r="M974" s="104" t="s">
        <v>3421</v>
      </c>
      <c r="N974" s="110"/>
      <c r="O974" s="109" t="s">
        <v>147</v>
      </c>
      <c r="P974" s="106"/>
      <c r="Q974" s="105" t="s">
        <v>3081</v>
      </c>
      <c r="R974" s="106"/>
      <c r="S974" s="106"/>
      <c r="T974" s="110"/>
      <c r="U974" s="106">
        <v>9.403208E9</v>
      </c>
      <c r="V974" s="112">
        <v>0.0</v>
      </c>
      <c r="W974" s="106">
        <v>45.0</v>
      </c>
      <c r="X974" s="106">
        <v>45.0</v>
      </c>
      <c r="Y974" s="106"/>
      <c r="Z974" s="106" t="s">
        <v>99</v>
      </c>
      <c r="AA974" s="114">
        <f t="shared" si="891"/>
        <v>854.001442</v>
      </c>
      <c r="AB974" s="115"/>
      <c r="AC974" s="212">
        <f t="shared" si="892"/>
        <v>746.3768116</v>
      </c>
      <c r="AD974" s="213">
        <f t="shared" si="799"/>
        <v>802.5557114</v>
      </c>
      <c r="AE974" s="212"/>
      <c r="AF974" s="212" t="str">
        <f t="shared" si="94"/>
        <v>#REF!</v>
      </c>
      <c r="AG974" s="210" t="str">
        <f t="shared" si="95"/>
        <v>#REF!</v>
      </c>
      <c r="AH974" s="120" t="str">
        <f t="shared" si="96"/>
        <v>#REF!</v>
      </c>
      <c r="AI974" s="121">
        <f t="shared" si="893"/>
        <v>0.05</v>
      </c>
      <c r="AJ974" s="121">
        <v>0.05</v>
      </c>
      <c r="AK974" s="418">
        <v>0.25</v>
      </c>
      <c r="AL974" s="123">
        <f t="shared" si="11"/>
        <v>186.5942029</v>
      </c>
      <c r="AM974" s="401" t="s">
        <v>10</v>
      </c>
      <c r="AN974" s="125">
        <f t="shared" si="894"/>
        <v>746.3768116</v>
      </c>
      <c r="AO974" s="402">
        <f t="shared" si="895"/>
        <v>0.25</v>
      </c>
      <c r="AP974" s="127"/>
      <c r="AQ974" s="128">
        <f t="shared" si="896"/>
        <v>623.4210526</v>
      </c>
      <c r="AR974" s="404">
        <f t="shared" si="897"/>
        <v>589.2448513</v>
      </c>
      <c r="AS974" s="405">
        <f t="shared" si="898"/>
        <v>0.27</v>
      </c>
      <c r="AT974" s="405">
        <f t="shared" si="899"/>
        <v>0.2105263158</v>
      </c>
      <c r="AU974" s="129"/>
      <c r="AV974" s="225" t="s">
        <v>3024</v>
      </c>
      <c r="AW974" s="416"/>
      <c r="AX974" s="416"/>
      <c r="AY974" s="361"/>
      <c r="AZ974" s="214"/>
      <c r="BA974" s="214"/>
      <c r="BB974" s="227"/>
      <c r="BC974" s="412">
        <v>515.0</v>
      </c>
      <c r="BD974" s="132">
        <f t="shared" si="905"/>
        <v>559.7826087</v>
      </c>
      <c r="BE974" s="215"/>
      <c r="BF974" s="48"/>
      <c r="BG974" s="49"/>
      <c r="BH974" s="224">
        <f t="shared" si="906"/>
        <v>2487.922705</v>
      </c>
      <c r="BI974" s="224">
        <f t="shared" si="907"/>
        <v>1492.753623</v>
      </c>
      <c r="BJ974" s="224">
        <f t="shared" si="908"/>
        <v>1243.961353</v>
      </c>
      <c r="BK974" s="224">
        <f t="shared" si="909"/>
        <v>995.1690821</v>
      </c>
      <c r="BL974" s="49"/>
      <c r="BM974" s="49"/>
      <c r="BN974" s="49"/>
      <c r="BO974" s="49"/>
      <c r="BP974" s="49"/>
      <c r="BQ974" s="49"/>
      <c r="BR974" s="49"/>
      <c r="BS974" s="49"/>
      <c r="BT974" s="49"/>
      <c r="BU974" s="49"/>
      <c r="BV974" s="49"/>
      <c r="BW974" s="49"/>
      <c r="BX974" s="49"/>
      <c r="BY974" s="49"/>
      <c r="BZ974" s="49"/>
      <c r="CA974" s="49"/>
      <c r="CB974" s="49"/>
      <c r="CC974" s="49"/>
      <c r="CD974" s="49"/>
      <c r="CE974" s="49"/>
      <c r="CF974" s="49"/>
    </row>
    <row r="975" ht="14.25" customHeight="1">
      <c r="A975" s="317" t="s">
        <v>84</v>
      </c>
      <c r="B975" s="317" t="s">
        <v>3073</v>
      </c>
      <c r="C975" s="317" t="s">
        <v>120</v>
      </c>
      <c r="D975" s="317" t="s">
        <v>1886</v>
      </c>
      <c r="E975" s="456" t="s">
        <v>3074</v>
      </c>
      <c r="F975" s="340" t="s">
        <v>3185</v>
      </c>
      <c r="G975" s="318" t="s">
        <v>3090</v>
      </c>
      <c r="H975" s="318" t="s">
        <v>3422</v>
      </c>
      <c r="I975" s="107"/>
      <c r="J975" s="457" t="s">
        <v>3423</v>
      </c>
      <c r="K975" s="457"/>
      <c r="L975" s="456" t="s">
        <v>3424</v>
      </c>
      <c r="M975" s="458" t="s">
        <v>3425</v>
      </c>
      <c r="N975" s="318"/>
      <c r="O975" s="456" t="s">
        <v>147</v>
      </c>
      <c r="P975" s="459"/>
      <c r="Q975" s="340" t="s">
        <v>3081</v>
      </c>
      <c r="R975" s="459"/>
      <c r="S975" s="459"/>
      <c r="T975" s="318"/>
      <c r="U975" s="459">
        <v>9.403208E9</v>
      </c>
      <c r="V975" s="341">
        <v>0.0</v>
      </c>
      <c r="W975" s="459">
        <v>45.0</v>
      </c>
      <c r="X975" s="459">
        <v>45.0</v>
      </c>
      <c r="Y975" s="459"/>
      <c r="Z975" s="459" t="s">
        <v>99</v>
      </c>
      <c r="AA975" s="114">
        <f t="shared" si="891"/>
        <v>765.4506128</v>
      </c>
      <c r="AB975" s="343"/>
      <c r="AC975" s="344">
        <f t="shared" si="892"/>
        <v>668.9855072</v>
      </c>
      <c r="AD975" s="213">
        <f t="shared" si="799"/>
        <v>719.3392551</v>
      </c>
      <c r="AE975" s="344"/>
      <c r="AF975" s="344" t="str">
        <f t="shared" si="94"/>
        <v>#REF!</v>
      </c>
      <c r="AG975" s="345" t="str">
        <f t="shared" si="95"/>
        <v>#REF!</v>
      </c>
      <c r="AH975" s="120" t="str">
        <f t="shared" si="96"/>
        <v>#REF!</v>
      </c>
      <c r="AI975" s="341">
        <f t="shared" si="893"/>
        <v>0.05</v>
      </c>
      <c r="AJ975" s="341">
        <v>0.05</v>
      </c>
      <c r="AK975" s="460">
        <v>0.25</v>
      </c>
      <c r="AL975" s="123">
        <f t="shared" si="11"/>
        <v>167.2463768</v>
      </c>
      <c r="AM975" s="342" t="s">
        <v>10</v>
      </c>
      <c r="AN975" s="461">
        <f t="shared" si="894"/>
        <v>668.9855072</v>
      </c>
      <c r="AO975" s="462">
        <f t="shared" si="895"/>
        <v>0.25</v>
      </c>
      <c r="AP975" s="127"/>
      <c r="AQ975" s="347">
        <f t="shared" si="896"/>
        <v>558.7789474</v>
      </c>
      <c r="AR975" s="463">
        <f t="shared" si="897"/>
        <v>528.1464531</v>
      </c>
      <c r="AS975" s="464">
        <f t="shared" si="898"/>
        <v>0.27</v>
      </c>
      <c r="AT975" s="464">
        <f t="shared" si="899"/>
        <v>0.2105263158</v>
      </c>
      <c r="AU975" s="129"/>
      <c r="AV975" s="465" t="s">
        <v>3024</v>
      </c>
      <c r="AW975" s="466"/>
      <c r="AX975" s="466"/>
      <c r="AY975" s="467"/>
      <c r="AZ975" s="468"/>
      <c r="BA975" s="468"/>
      <c r="BB975" s="469"/>
      <c r="BC975" s="470">
        <v>461.6</v>
      </c>
      <c r="BD975" s="471">
        <f t="shared" si="905"/>
        <v>501.7391304</v>
      </c>
      <c r="BE975" s="472"/>
      <c r="BF975" s="473"/>
      <c r="BG975" s="474"/>
      <c r="BH975" s="344"/>
      <c r="BI975" s="344"/>
      <c r="BJ975" s="344"/>
      <c r="BK975" s="344"/>
      <c r="BL975" s="49"/>
      <c r="BM975" s="474"/>
      <c r="BN975" s="474"/>
      <c r="BO975" s="474"/>
      <c r="BP975" s="474"/>
      <c r="BQ975" s="474"/>
      <c r="BR975" s="474"/>
      <c r="BS975" s="474"/>
      <c r="BT975" s="474"/>
      <c r="BU975" s="474"/>
      <c r="BV975" s="474"/>
      <c r="BW975" s="474"/>
      <c r="BX975" s="474"/>
      <c r="BY975" s="474"/>
      <c r="BZ975" s="474"/>
      <c r="CA975" s="474"/>
      <c r="CB975" s="474"/>
      <c r="CC975" s="474"/>
      <c r="CD975" s="474"/>
      <c r="CE975" s="474"/>
      <c r="CF975" s="474"/>
    </row>
    <row r="976" ht="14.25" customHeight="1">
      <c r="A976" s="317" t="s">
        <v>84</v>
      </c>
      <c r="B976" s="317" t="s">
        <v>3073</v>
      </c>
      <c r="C976" s="317" t="s">
        <v>120</v>
      </c>
      <c r="D976" s="317" t="s">
        <v>1886</v>
      </c>
      <c r="E976" s="456" t="s">
        <v>3074</v>
      </c>
      <c r="F976" s="340" t="s">
        <v>3185</v>
      </c>
      <c r="G976" s="318" t="s">
        <v>3094</v>
      </c>
      <c r="H976" s="318" t="s">
        <v>3422</v>
      </c>
      <c r="I976" s="107"/>
      <c r="J976" s="457" t="s">
        <v>3426</v>
      </c>
      <c r="K976" s="457"/>
      <c r="L976" s="456" t="s">
        <v>3427</v>
      </c>
      <c r="M976" s="458" t="s">
        <v>3428</v>
      </c>
      <c r="N976" s="318"/>
      <c r="O976" s="456" t="s">
        <v>147</v>
      </c>
      <c r="P976" s="459"/>
      <c r="Q976" s="340" t="s">
        <v>3081</v>
      </c>
      <c r="R976" s="459"/>
      <c r="S976" s="459"/>
      <c r="T976" s="318"/>
      <c r="U976" s="459">
        <v>9.403208E9</v>
      </c>
      <c r="V976" s="341">
        <v>0.0</v>
      </c>
      <c r="W976" s="459">
        <v>45.0</v>
      </c>
      <c r="X976" s="459">
        <v>45.0</v>
      </c>
      <c r="Y976" s="459"/>
      <c r="Z976" s="459" t="s">
        <v>99</v>
      </c>
      <c r="AA976" s="114">
        <f t="shared" si="891"/>
        <v>837.9163663</v>
      </c>
      <c r="AB976" s="343"/>
      <c r="AC976" s="344">
        <f t="shared" si="892"/>
        <v>732.3188406</v>
      </c>
      <c r="AD976" s="213">
        <f t="shared" si="799"/>
        <v>787.4396135</v>
      </c>
      <c r="AE976" s="344"/>
      <c r="AF976" s="344" t="str">
        <f t="shared" si="94"/>
        <v>#REF!</v>
      </c>
      <c r="AG976" s="345" t="str">
        <f t="shared" si="95"/>
        <v>#REF!</v>
      </c>
      <c r="AH976" s="120" t="str">
        <f t="shared" si="96"/>
        <v>#REF!</v>
      </c>
      <c r="AI976" s="341">
        <f t="shared" si="893"/>
        <v>0.05</v>
      </c>
      <c r="AJ976" s="341">
        <v>0.05</v>
      </c>
      <c r="AK976" s="460">
        <v>0.25</v>
      </c>
      <c r="AL976" s="123">
        <f t="shared" si="11"/>
        <v>183.0797101</v>
      </c>
      <c r="AM976" s="342" t="s">
        <v>10</v>
      </c>
      <c r="AN976" s="461">
        <f t="shared" si="894"/>
        <v>732.3188406</v>
      </c>
      <c r="AO976" s="462">
        <f t="shared" si="895"/>
        <v>0.25</v>
      </c>
      <c r="AP976" s="127"/>
      <c r="AQ976" s="347">
        <f t="shared" si="896"/>
        <v>611.6789474</v>
      </c>
      <c r="AR976" s="463">
        <f t="shared" si="897"/>
        <v>578.1464531</v>
      </c>
      <c r="AS976" s="464">
        <f t="shared" si="898"/>
        <v>0.27</v>
      </c>
      <c r="AT976" s="464">
        <f t="shared" si="899"/>
        <v>0.2105263158</v>
      </c>
      <c r="AU976" s="129"/>
      <c r="AV976" s="465" t="s">
        <v>3024</v>
      </c>
      <c r="AW976" s="466"/>
      <c r="AX976" s="466"/>
      <c r="AY976" s="467"/>
      <c r="AZ976" s="468"/>
      <c r="BA976" s="468"/>
      <c r="BB976" s="469"/>
      <c r="BC976" s="470">
        <v>505.3</v>
      </c>
      <c r="BD976" s="471">
        <f t="shared" si="905"/>
        <v>549.2391304</v>
      </c>
      <c r="BE976" s="472"/>
      <c r="BF976" s="473"/>
      <c r="BG976" s="474"/>
      <c r="BH976" s="344"/>
      <c r="BI976" s="344"/>
      <c r="BJ976" s="344"/>
      <c r="BK976" s="344"/>
      <c r="BL976" s="49"/>
      <c r="BM976" s="474"/>
      <c r="BN976" s="474"/>
      <c r="BO976" s="474"/>
      <c r="BP976" s="474"/>
      <c r="BQ976" s="474"/>
      <c r="BR976" s="474"/>
      <c r="BS976" s="474"/>
      <c r="BT976" s="474"/>
      <c r="BU976" s="474"/>
      <c r="BV976" s="474"/>
      <c r="BW976" s="474"/>
      <c r="BX976" s="474"/>
      <c r="BY976" s="474"/>
      <c r="BZ976" s="474"/>
      <c r="CA976" s="474"/>
      <c r="CB976" s="474"/>
      <c r="CC976" s="474"/>
      <c r="CD976" s="474"/>
      <c r="CE976" s="474"/>
      <c r="CF976" s="474"/>
    </row>
    <row r="977" ht="14.25" customHeight="1">
      <c r="A977" s="317" t="s">
        <v>84</v>
      </c>
      <c r="B977" s="317" t="s">
        <v>3073</v>
      </c>
      <c r="C977" s="317" t="s">
        <v>120</v>
      </c>
      <c r="D977" s="317" t="s">
        <v>1886</v>
      </c>
      <c r="E977" s="456" t="s">
        <v>3074</v>
      </c>
      <c r="F977" s="340" t="s">
        <v>3185</v>
      </c>
      <c r="G977" s="318" t="s">
        <v>3228</v>
      </c>
      <c r="H977" s="318" t="s">
        <v>3422</v>
      </c>
      <c r="I977" s="107"/>
      <c r="J977" s="457" t="s">
        <v>3429</v>
      </c>
      <c r="K977" s="457"/>
      <c r="L977" s="456" t="s">
        <v>3430</v>
      </c>
      <c r="M977" s="458" t="s">
        <v>3431</v>
      </c>
      <c r="N977" s="318"/>
      <c r="O977" s="456" t="s">
        <v>147</v>
      </c>
      <c r="P977" s="459"/>
      <c r="Q977" s="340" t="s">
        <v>3081</v>
      </c>
      <c r="R977" s="459"/>
      <c r="S977" s="459"/>
      <c r="T977" s="318"/>
      <c r="U977" s="459">
        <v>9.403208E9</v>
      </c>
      <c r="V977" s="341">
        <v>0.0</v>
      </c>
      <c r="W977" s="459">
        <v>45.0</v>
      </c>
      <c r="X977" s="459">
        <v>45.0</v>
      </c>
      <c r="Y977" s="459"/>
      <c r="Z977" s="459" t="s">
        <v>99</v>
      </c>
      <c r="AA977" s="114">
        <f t="shared" si="891"/>
        <v>878.3777938</v>
      </c>
      <c r="AB977" s="343"/>
      <c r="AC977" s="344">
        <f t="shared" si="892"/>
        <v>767.6811594</v>
      </c>
      <c r="AD977" s="213">
        <f t="shared" si="799"/>
        <v>825.4636123</v>
      </c>
      <c r="AE977" s="344"/>
      <c r="AF977" s="344" t="str">
        <f t="shared" si="94"/>
        <v>#REF!</v>
      </c>
      <c r="AG977" s="345" t="str">
        <f t="shared" si="95"/>
        <v>#REF!</v>
      </c>
      <c r="AH977" s="120" t="str">
        <f t="shared" si="96"/>
        <v>#REF!</v>
      </c>
      <c r="AI977" s="341">
        <f t="shared" si="893"/>
        <v>0.05</v>
      </c>
      <c r="AJ977" s="341">
        <v>0.05</v>
      </c>
      <c r="AK977" s="460">
        <v>0.25</v>
      </c>
      <c r="AL977" s="123">
        <f t="shared" si="11"/>
        <v>191.9202899</v>
      </c>
      <c r="AM977" s="342" t="s">
        <v>10</v>
      </c>
      <c r="AN977" s="461">
        <f t="shared" si="894"/>
        <v>767.6811594</v>
      </c>
      <c r="AO977" s="462">
        <f t="shared" si="895"/>
        <v>0.25</v>
      </c>
      <c r="AP977" s="127"/>
      <c r="AQ977" s="347">
        <f t="shared" si="896"/>
        <v>641.2157895</v>
      </c>
      <c r="AR977" s="463">
        <f t="shared" si="897"/>
        <v>606.0640732</v>
      </c>
      <c r="AS977" s="464">
        <f t="shared" si="898"/>
        <v>0.27</v>
      </c>
      <c r="AT977" s="464">
        <f t="shared" si="899"/>
        <v>0.2105263158</v>
      </c>
      <c r="AU977" s="129"/>
      <c r="AV977" s="465" t="s">
        <v>3024</v>
      </c>
      <c r="AW977" s="466"/>
      <c r="AX977" s="466"/>
      <c r="AY977" s="467"/>
      <c r="AZ977" s="468"/>
      <c r="BA977" s="468"/>
      <c r="BB977" s="469"/>
      <c r="BC977" s="470">
        <v>529.7</v>
      </c>
      <c r="BD977" s="471">
        <f t="shared" si="905"/>
        <v>575.7608696</v>
      </c>
      <c r="BE977" s="472"/>
      <c r="BF977" s="473"/>
      <c r="BG977" s="474"/>
      <c r="BH977" s="344"/>
      <c r="BI977" s="344"/>
      <c r="BJ977" s="344"/>
      <c r="BK977" s="344"/>
      <c r="BL977" s="49"/>
      <c r="BM977" s="474"/>
      <c r="BN977" s="474"/>
      <c r="BO977" s="474"/>
      <c r="BP977" s="474"/>
      <c r="BQ977" s="474"/>
      <c r="BR977" s="474"/>
      <c r="BS977" s="474"/>
      <c r="BT977" s="474"/>
      <c r="BU977" s="474"/>
      <c r="BV977" s="474"/>
      <c r="BW977" s="474"/>
      <c r="BX977" s="474"/>
      <c r="BY977" s="474"/>
      <c r="BZ977" s="474"/>
      <c r="CA977" s="474"/>
      <c r="CB977" s="474"/>
      <c r="CC977" s="474"/>
      <c r="CD977" s="474"/>
      <c r="CE977" s="474"/>
      <c r="CF977" s="474"/>
    </row>
    <row r="978" ht="14.25" customHeight="1">
      <c r="A978" s="317" t="s">
        <v>84</v>
      </c>
      <c r="B978" s="317" t="s">
        <v>3073</v>
      </c>
      <c r="C978" s="317" t="s">
        <v>120</v>
      </c>
      <c r="D978" s="317" t="s">
        <v>1886</v>
      </c>
      <c r="E978" s="456" t="s">
        <v>3074</v>
      </c>
      <c r="F978" s="340" t="s">
        <v>3185</v>
      </c>
      <c r="G978" s="318" t="s">
        <v>3090</v>
      </c>
      <c r="H978" s="318" t="s">
        <v>3422</v>
      </c>
      <c r="I978" s="107"/>
      <c r="J978" s="457" t="s">
        <v>3432</v>
      </c>
      <c r="K978" s="457"/>
      <c r="L978" s="456" t="s">
        <v>3433</v>
      </c>
      <c r="M978" s="458" t="s">
        <v>3434</v>
      </c>
      <c r="N978" s="318"/>
      <c r="O978" s="456" t="s">
        <v>147</v>
      </c>
      <c r="P978" s="459"/>
      <c r="Q978" s="340" t="s">
        <v>3081</v>
      </c>
      <c r="R978" s="459"/>
      <c r="S978" s="459"/>
      <c r="T978" s="318"/>
      <c r="U978" s="459">
        <v>9.403208E9</v>
      </c>
      <c r="V978" s="341">
        <v>0.0</v>
      </c>
      <c r="W978" s="459">
        <v>45.0</v>
      </c>
      <c r="X978" s="459">
        <v>45.0</v>
      </c>
      <c r="Y978" s="459"/>
      <c r="Z978" s="459" t="s">
        <v>99</v>
      </c>
      <c r="AA978" s="114">
        <f t="shared" si="891"/>
        <v>825.147801</v>
      </c>
      <c r="AB978" s="343"/>
      <c r="AC978" s="344">
        <f t="shared" si="892"/>
        <v>721.1594203</v>
      </c>
      <c r="AD978" s="213">
        <f t="shared" si="799"/>
        <v>775.4402369</v>
      </c>
      <c r="AE978" s="344"/>
      <c r="AF978" s="344" t="str">
        <f t="shared" si="94"/>
        <v>#REF!</v>
      </c>
      <c r="AG978" s="345" t="str">
        <f t="shared" si="95"/>
        <v>#REF!</v>
      </c>
      <c r="AH978" s="120" t="str">
        <f t="shared" si="96"/>
        <v>#REF!</v>
      </c>
      <c r="AI978" s="341">
        <f t="shared" si="893"/>
        <v>0.05</v>
      </c>
      <c r="AJ978" s="341">
        <v>0.05</v>
      </c>
      <c r="AK978" s="460">
        <v>0.25</v>
      </c>
      <c r="AL978" s="123">
        <f t="shared" si="11"/>
        <v>180.2898551</v>
      </c>
      <c r="AM978" s="342" t="s">
        <v>10</v>
      </c>
      <c r="AN978" s="461">
        <f t="shared" si="894"/>
        <v>721.1594203</v>
      </c>
      <c r="AO978" s="462">
        <f t="shared" si="895"/>
        <v>0.25</v>
      </c>
      <c r="AP978" s="127"/>
      <c r="AQ978" s="347">
        <f t="shared" si="896"/>
        <v>602.3578947</v>
      </c>
      <c r="AR978" s="463">
        <f t="shared" si="897"/>
        <v>569.3363844</v>
      </c>
      <c r="AS978" s="464">
        <f t="shared" si="898"/>
        <v>0.27</v>
      </c>
      <c r="AT978" s="464">
        <f t="shared" si="899"/>
        <v>0.2105263158</v>
      </c>
      <c r="AU978" s="129"/>
      <c r="AV978" s="465" t="s">
        <v>3024</v>
      </c>
      <c r="AW978" s="466"/>
      <c r="AX978" s="466"/>
      <c r="AY978" s="467"/>
      <c r="AZ978" s="468"/>
      <c r="BA978" s="468"/>
      <c r="BB978" s="469"/>
      <c r="BC978" s="470">
        <v>497.6</v>
      </c>
      <c r="BD978" s="471">
        <f t="shared" si="905"/>
        <v>540.8695652</v>
      </c>
      <c r="BE978" s="472"/>
      <c r="BF978" s="473"/>
      <c r="BG978" s="474"/>
      <c r="BH978" s="344"/>
      <c r="BI978" s="344"/>
      <c r="BJ978" s="344"/>
      <c r="BK978" s="344"/>
      <c r="BL978" s="49"/>
      <c r="BM978" s="474"/>
      <c r="BN978" s="474"/>
      <c r="BO978" s="474"/>
      <c r="BP978" s="474"/>
      <c r="BQ978" s="474"/>
      <c r="BR978" s="474"/>
      <c r="BS978" s="474"/>
      <c r="BT978" s="474"/>
      <c r="BU978" s="474"/>
      <c r="BV978" s="474"/>
      <c r="BW978" s="474"/>
      <c r="BX978" s="474"/>
      <c r="BY978" s="474"/>
      <c r="BZ978" s="474"/>
      <c r="CA978" s="474"/>
      <c r="CB978" s="474"/>
      <c r="CC978" s="474"/>
      <c r="CD978" s="474"/>
      <c r="CE978" s="474"/>
      <c r="CF978" s="474"/>
    </row>
    <row r="979" ht="14.25" customHeight="1">
      <c r="A979" s="317" t="s">
        <v>84</v>
      </c>
      <c r="B979" s="317" t="s">
        <v>3073</v>
      </c>
      <c r="C979" s="317" t="s">
        <v>120</v>
      </c>
      <c r="D979" s="317" t="s">
        <v>1886</v>
      </c>
      <c r="E979" s="456" t="s">
        <v>3074</v>
      </c>
      <c r="F979" s="340" t="s">
        <v>3185</v>
      </c>
      <c r="G979" s="318" t="s">
        <v>3094</v>
      </c>
      <c r="H979" s="318" t="s">
        <v>3422</v>
      </c>
      <c r="I979" s="107"/>
      <c r="J979" s="457" t="s">
        <v>3435</v>
      </c>
      <c r="K979" s="457"/>
      <c r="L979" s="456" t="s">
        <v>3436</v>
      </c>
      <c r="M979" s="458" t="s">
        <v>3437</v>
      </c>
      <c r="N979" s="318"/>
      <c r="O979" s="456" t="s">
        <v>147</v>
      </c>
      <c r="P979" s="459"/>
      <c r="Q979" s="340" t="s">
        <v>3081</v>
      </c>
      <c r="R979" s="459"/>
      <c r="S979" s="459"/>
      <c r="T979" s="318"/>
      <c r="U979" s="459">
        <v>9.403208E9</v>
      </c>
      <c r="V979" s="341">
        <v>0.0</v>
      </c>
      <c r="W979" s="459">
        <v>45.0</v>
      </c>
      <c r="X979" s="459">
        <v>45.0</v>
      </c>
      <c r="Y979" s="459"/>
      <c r="Z979" s="459" t="s">
        <v>99</v>
      </c>
      <c r="AA979" s="114">
        <f t="shared" si="891"/>
        <v>897.2819034</v>
      </c>
      <c r="AB979" s="343"/>
      <c r="AC979" s="344">
        <f t="shared" si="892"/>
        <v>784.2028986</v>
      </c>
      <c r="AD979" s="213">
        <f t="shared" si="799"/>
        <v>843.2289232</v>
      </c>
      <c r="AE979" s="344"/>
      <c r="AF979" s="344" t="str">
        <f t="shared" si="94"/>
        <v>#REF!</v>
      </c>
      <c r="AG979" s="345" t="str">
        <f t="shared" si="95"/>
        <v>#REF!</v>
      </c>
      <c r="AH979" s="120" t="str">
        <f t="shared" si="96"/>
        <v>#REF!</v>
      </c>
      <c r="AI979" s="341">
        <f t="shared" si="893"/>
        <v>0.05</v>
      </c>
      <c r="AJ979" s="341">
        <v>0.05</v>
      </c>
      <c r="AK979" s="460">
        <v>0.25</v>
      </c>
      <c r="AL979" s="123">
        <f t="shared" si="11"/>
        <v>196.0507246</v>
      </c>
      <c r="AM979" s="342" t="s">
        <v>10</v>
      </c>
      <c r="AN979" s="461">
        <f t="shared" si="894"/>
        <v>784.2028986</v>
      </c>
      <c r="AO979" s="462">
        <f t="shared" si="895"/>
        <v>0.25</v>
      </c>
      <c r="AP979" s="127"/>
      <c r="AQ979" s="347">
        <f t="shared" si="896"/>
        <v>655.0157895</v>
      </c>
      <c r="AR979" s="463">
        <f t="shared" si="897"/>
        <v>619.1075515</v>
      </c>
      <c r="AS979" s="464">
        <f t="shared" si="898"/>
        <v>0.27</v>
      </c>
      <c r="AT979" s="464">
        <f t="shared" si="899"/>
        <v>0.2105263158</v>
      </c>
      <c r="AU979" s="129"/>
      <c r="AV979" s="465" t="s">
        <v>3024</v>
      </c>
      <c r="AW979" s="466"/>
      <c r="AX979" s="466"/>
      <c r="AY979" s="467"/>
      <c r="AZ979" s="468"/>
      <c r="BA979" s="468"/>
      <c r="BB979" s="469"/>
      <c r="BC979" s="470">
        <v>541.1</v>
      </c>
      <c r="BD979" s="471">
        <f t="shared" si="905"/>
        <v>588.1521739</v>
      </c>
      <c r="BE979" s="472"/>
      <c r="BF979" s="473"/>
      <c r="BG979" s="474"/>
      <c r="BH979" s="344"/>
      <c r="BI979" s="344"/>
      <c r="BJ979" s="344"/>
      <c r="BK979" s="344"/>
      <c r="BL979" s="49"/>
      <c r="BM979" s="474"/>
      <c r="BN979" s="474"/>
      <c r="BO979" s="474"/>
      <c r="BP979" s="474"/>
      <c r="BQ979" s="474"/>
      <c r="BR979" s="474"/>
      <c r="BS979" s="474"/>
      <c r="BT979" s="474"/>
      <c r="BU979" s="474"/>
      <c r="BV979" s="474"/>
      <c r="BW979" s="474"/>
      <c r="BX979" s="474"/>
      <c r="BY979" s="474"/>
      <c r="BZ979" s="474"/>
      <c r="CA979" s="474"/>
      <c r="CB979" s="474"/>
      <c r="CC979" s="474"/>
      <c r="CD979" s="474"/>
      <c r="CE979" s="474"/>
      <c r="CF979" s="474"/>
    </row>
    <row r="980" ht="14.25" customHeight="1">
      <c r="A980" s="317" t="s">
        <v>84</v>
      </c>
      <c r="B980" s="317" t="s">
        <v>3073</v>
      </c>
      <c r="C980" s="317" t="s">
        <v>120</v>
      </c>
      <c r="D980" s="317" t="s">
        <v>1886</v>
      </c>
      <c r="E980" s="456" t="s">
        <v>3074</v>
      </c>
      <c r="F980" s="340" t="s">
        <v>3185</v>
      </c>
      <c r="G980" s="318" t="s">
        <v>3228</v>
      </c>
      <c r="H980" s="318" t="s">
        <v>3422</v>
      </c>
      <c r="I980" s="107"/>
      <c r="J980" s="457" t="s">
        <v>3438</v>
      </c>
      <c r="K980" s="457"/>
      <c r="L980" s="456" t="s">
        <v>3439</v>
      </c>
      <c r="M980" s="458" t="s">
        <v>3440</v>
      </c>
      <c r="N980" s="318"/>
      <c r="O980" s="456" t="s">
        <v>147</v>
      </c>
      <c r="P980" s="459"/>
      <c r="Q980" s="340" t="s">
        <v>3081</v>
      </c>
      <c r="R980" s="459"/>
      <c r="S980" s="459"/>
      <c r="T980" s="318"/>
      <c r="U980" s="459">
        <v>9.403208E9</v>
      </c>
      <c r="V980" s="341">
        <v>0.0</v>
      </c>
      <c r="W980" s="459">
        <v>45.0</v>
      </c>
      <c r="X980" s="459">
        <v>45.0</v>
      </c>
      <c r="Y980" s="459"/>
      <c r="Z980" s="459" t="s">
        <v>99</v>
      </c>
      <c r="AA980" s="114">
        <f t="shared" si="891"/>
        <v>937.5775054</v>
      </c>
      <c r="AB980" s="343"/>
      <c r="AC980" s="344">
        <f t="shared" si="892"/>
        <v>819.4202899</v>
      </c>
      <c r="AD980" s="213">
        <f t="shared" si="799"/>
        <v>881.0970859</v>
      </c>
      <c r="AE980" s="344"/>
      <c r="AF980" s="344" t="str">
        <f t="shared" si="94"/>
        <v>#REF!</v>
      </c>
      <c r="AG980" s="345" t="str">
        <f t="shared" si="95"/>
        <v>#REF!</v>
      </c>
      <c r="AH980" s="120" t="str">
        <f t="shared" si="96"/>
        <v>#REF!</v>
      </c>
      <c r="AI980" s="341">
        <f t="shared" si="893"/>
        <v>0.05</v>
      </c>
      <c r="AJ980" s="341">
        <v>0.05</v>
      </c>
      <c r="AK980" s="460">
        <v>0.25</v>
      </c>
      <c r="AL980" s="123">
        <f t="shared" si="11"/>
        <v>204.8550725</v>
      </c>
      <c r="AM980" s="342" t="s">
        <v>10</v>
      </c>
      <c r="AN980" s="461">
        <f t="shared" si="894"/>
        <v>819.4202899</v>
      </c>
      <c r="AO980" s="462">
        <f t="shared" si="895"/>
        <v>0.25</v>
      </c>
      <c r="AP980" s="127"/>
      <c r="AQ980" s="347">
        <f t="shared" si="896"/>
        <v>684.4315789</v>
      </c>
      <c r="AR980" s="463">
        <f t="shared" si="897"/>
        <v>646.9107551</v>
      </c>
      <c r="AS980" s="464">
        <f t="shared" si="898"/>
        <v>0.27</v>
      </c>
      <c r="AT980" s="464">
        <f t="shared" si="899"/>
        <v>0.2105263158</v>
      </c>
      <c r="AU980" s="129"/>
      <c r="AV980" s="465" t="s">
        <v>3024</v>
      </c>
      <c r="AW980" s="466"/>
      <c r="AX980" s="466"/>
      <c r="AY980" s="467"/>
      <c r="AZ980" s="468"/>
      <c r="BA980" s="468"/>
      <c r="BB980" s="469"/>
      <c r="BC980" s="470">
        <v>565.4</v>
      </c>
      <c r="BD980" s="471">
        <f t="shared" si="905"/>
        <v>614.5652174</v>
      </c>
      <c r="BE980" s="472"/>
      <c r="BF980" s="473"/>
      <c r="BG980" s="474"/>
      <c r="BH980" s="344"/>
      <c r="BI980" s="344"/>
      <c r="BJ980" s="344"/>
      <c r="BK980" s="344"/>
      <c r="BL980" s="49"/>
      <c r="BM980" s="474"/>
      <c r="BN980" s="474"/>
      <c r="BO980" s="474"/>
      <c r="BP980" s="474"/>
      <c r="BQ980" s="474"/>
      <c r="BR980" s="474"/>
      <c r="BS980" s="474"/>
      <c r="BT980" s="474"/>
      <c r="BU980" s="474"/>
      <c r="BV980" s="474"/>
      <c r="BW980" s="474"/>
      <c r="BX980" s="474"/>
      <c r="BY980" s="474"/>
      <c r="BZ980" s="474"/>
      <c r="CA980" s="474"/>
      <c r="CB980" s="474"/>
      <c r="CC980" s="474"/>
      <c r="CD980" s="474"/>
      <c r="CE980" s="474"/>
      <c r="CF980" s="474"/>
    </row>
    <row r="981" ht="14.25" customHeight="1">
      <c r="A981" s="317"/>
      <c r="B981" s="317"/>
      <c r="C981" s="317"/>
      <c r="D981" s="103" t="s">
        <v>1886</v>
      </c>
      <c r="E981" s="109" t="s">
        <v>3074</v>
      </c>
      <c r="F981" s="105" t="s">
        <v>3441</v>
      </c>
      <c r="G981" s="110" t="s">
        <v>3086</v>
      </c>
      <c r="H981" s="110" t="s">
        <v>3134</v>
      </c>
      <c r="I981" s="107"/>
      <c r="J981" s="108" t="s">
        <v>3442</v>
      </c>
      <c r="K981" s="108" t="s">
        <v>3443</v>
      </c>
      <c r="L981" s="109" t="s">
        <v>3444</v>
      </c>
      <c r="M981" s="104" t="s">
        <v>3445</v>
      </c>
      <c r="N981" s="110"/>
      <c r="O981" s="109" t="s">
        <v>147</v>
      </c>
      <c r="P981" s="106"/>
      <c r="Q981" s="105" t="s">
        <v>3081</v>
      </c>
      <c r="R981" s="106"/>
      <c r="S981" s="106"/>
      <c r="T981" s="110"/>
      <c r="U981" s="106">
        <v>9.403208E9</v>
      </c>
      <c r="V981" s="112">
        <v>0.0</v>
      </c>
      <c r="W981" s="106">
        <v>45.0</v>
      </c>
      <c r="X981" s="106">
        <v>45.0</v>
      </c>
      <c r="Y981" s="106"/>
      <c r="Z981" s="106" t="s">
        <v>99</v>
      </c>
      <c r="AA981" s="475">
        <f t="shared" si="891"/>
        <v>598.7842847</v>
      </c>
      <c r="AB981" s="115"/>
      <c r="AC981" s="224">
        <f t="shared" si="892"/>
        <v>522.9303157</v>
      </c>
      <c r="AD981" s="224">
        <f t="shared" si="799"/>
        <v>562.290662</v>
      </c>
      <c r="AE981" s="224"/>
      <c r="AF981" s="224" t="str">
        <f t="shared" si="94"/>
        <v>#REF!</v>
      </c>
      <c r="AG981" s="119" t="str">
        <f t="shared" si="95"/>
        <v>#REF!</v>
      </c>
      <c r="AH981" s="120" t="str">
        <f t="shared" si="96"/>
        <v>#REF!</v>
      </c>
      <c r="AI981" s="112">
        <f t="shared" si="893"/>
        <v>0.05</v>
      </c>
      <c r="AJ981" s="112">
        <v>0.05</v>
      </c>
      <c r="AK981" s="424">
        <v>0.27</v>
      </c>
      <c r="AL981" s="476">
        <f t="shared" si="11"/>
        <v>141.1911852</v>
      </c>
      <c r="AM981" s="113" t="s">
        <v>10</v>
      </c>
      <c r="AN981" s="125">
        <f t="shared" si="894"/>
        <v>522.9303157</v>
      </c>
      <c r="AO981" s="402">
        <f t="shared" si="895"/>
        <v>0.27</v>
      </c>
      <c r="AP981" s="127"/>
      <c r="AQ981" s="128">
        <f t="shared" si="896"/>
        <v>425.1368421</v>
      </c>
      <c r="AR981" s="404">
        <f t="shared" si="897"/>
        <v>401.8306636</v>
      </c>
      <c r="AS981" s="405">
        <f t="shared" si="898"/>
        <v>0.29</v>
      </c>
      <c r="AT981" s="405">
        <f t="shared" si="899"/>
        <v>0.2315789474</v>
      </c>
      <c r="AU981" s="129"/>
      <c r="AV981" s="225" t="s">
        <v>3024</v>
      </c>
      <c r="AW981" s="416"/>
      <c r="AX981" s="416"/>
      <c r="AY981" s="361"/>
      <c r="AZ981" s="214"/>
      <c r="BA981" s="214"/>
      <c r="BB981" s="227"/>
      <c r="BC981" s="412">
        <v>351.2</v>
      </c>
      <c r="BD981" s="132">
        <f t="shared" si="905"/>
        <v>381.7391304</v>
      </c>
      <c r="BE981" s="215"/>
      <c r="BF981" s="473"/>
      <c r="BG981" s="474"/>
      <c r="BH981" s="344"/>
      <c r="BI981" s="344"/>
      <c r="BJ981" s="344"/>
      <c r="BK981" s="344"/>
      <c r="BL981" s="49"/>
      <c r="BM981" s="474"/>
      <c r="BN981" s="49"/>
      <c r="BO981" s="49"/>
      <c r="BP981" s="49"/>
      <c r="BQ981" s="49"/>
      <c r="BR981" s="49"/>
      <c r="BS981" s="49"/>
      <c r="BT981" s="49"/>
      <c r="BU981" s="49"/>
      <c r="BV981" s="49"/>
      <c r="BW981" s="49"/>
      <c r="BX981" s="49"/>
      <c r="BY981" s="49"/>
      <c r="BZ981" s="49"/>
      <c r="CA981" s="49"/>
      <c r="CB981" s="49"/>
      <c r="CC981" s="49"/>
      <c r="CD981" s="49"/>
      <c r="CE981" s="49"/>
      <c r="CF981" s="49"/>
    </row>
    <row r="982" ht="14.25" customHeight="1">
      <c r="A982" s="317"/>
      <c r="B982" s="317"/>
      <c r="C982" s="317"/>
      <c r="D982" s="103" t="s">
        <v>1886</v>
      </c>
      <c r="E982" s="109" t="s">
        <v>3074</v>
      </c>
      <c r="F982" s="105" t="s">
        <v>3441</v>
      </c>
      <c r="G982" s="110" t="s">
        <v>3446</v>
      </c>
      <c r="H982" s="110" t="s">
        <v>3134</v>
      </c>
      <c r="I982" s="107"/>
      <c r="J982" s="108" t="s">
        <v>3447</v>
      </c>
      <c r="K982" s="108" t="s">
        <v>3448</v>
      </c>
      <c r="L982" s="109" t="s">
        <v>3449</v>
      </c>
      <c r="M982" s="104" t="s">
        <v>3450</v>
      </c>
      <c r="N982" s="110"/>
      <c r="O982" s="109" t="s">
        <v>147</v>
      </c>
      <c r="P982" s="106"/>
      <c r="Q982" s="105" t="s">
        <v>3081</v>
      </c>
      <c r="R982" s="106"/>
      <c r="S982" s="106"/>
      <c r="T982" s="110"/>
      <c r="U982" s="106">
        <v>9.403208E9</v>
      </c>
      <c r="V982" s="112">
        <v>0.0</v>
      </c>
      <c r="W982" s="106">
        <v>45.0</v>
      </c>
      <c r="X982" s="106">
        <v>45.0</v>
      </c>
      <c r="Y982" s="106"/>
      <c r="Z982" s="106" t="s">
        <v>99</v>
      </c>
      <c r="AA982" s="475">
        <f t="shared" si="891"/>
        <v>662.8910304</v>
      </c>
      <c r="AB982" s="115"/>
      <c r="AC982" s="224">
        <f t="shared" si="892"/>
        <v>578.9160214</v>
      </c>
      <c r="AD982" s="224">
        <f t="shared" si="799"/>
        <v>622.4903456</v>
      </c>
      <c r="AE982" s="224"/>
      <c r="AF982" s="224" t="str">
        <f t="shared" si="94"/>
        <v>#REF!</v>
      </c>
      <c r="AG982" s="119" t="str">
        <f t="shared" si="95"/>
        <v>#REF!</v>
      </c>
      <c r="AH982" s="120" t="str">
        <f t="shared" si="96"/>
        <v>#REF!</v>
      </c>
      <c r="AI982" s="112">
        <f t="shared" si="893"/>
        <v>0.05</v>
      </c>
      <c r="AJ982" s="112">
        <v>0.05</v>
      </c>
      <c r="AK982" s="424">
        <v>0.27</v>
      </c>
      <c r="AL982" s="476">
        <f t="shared" si="11"/>
        <v>156.3073258</v>
      </c>
      <c r="AM982" s="113" t="s">
        <v>10</v>
      </c>
      <c r="AN982" s="125">
        <f t="shared" si="894"/>
        <v>578.9160214</v>
      </c>
      <c r="AO982" s="402">
        <f t="shared" si="895"/>
        <v>0.27</v>
      </c>
      <c r="AP982" s="127"/>
      <c r="AQ982" s="128">
        <f t="shared" si="896"/>
        <v>470.6526316</v>
      </c>
      <c r="AR982" s="404">
        <f t="shared" si="897"/>
        <v>444.8512586</v>
      </c>
      <c r="AS982" s="405">
        <f t="shared" si="898"/>
        <v>0.29</v>
      </c>
      <c r="AT982" s="405">
        <f t="shared" si="899"/>
        <v>0.2315789474</v>
      </c>
      <c r="AU982" s="129"/>
      <c r="AV982" s="225" t="s">
        <v>3024</v>
      </c>
      <c r="AW982" s="416"/>
      <c r="AX982" s="416"/>
      <c r="AY982" s="361"/>
      <c r="AZ982" s="214"/>
      <c r="BA982" s="214"/>
      <c r="BB982" s="227"/>
      <c r="BC982" s="412">
        <v>388.8</v>
      </c>
      <c r="BD982" s="132">
        <f t="shared" si="905"/>
        <v>422.6086957</v>
      </c>
      <c r="BE982" s="215"/>
      <c r="BF982" s="473"/>
      <c r="BG982" s="474"/>
      <c r="BH982" s="344"/>
      <c r="BI982" s="344"/>
      <c r="BJ982" s="344"/>
      <c r="BK982" s="344"/>
      <c r="BL982" s="49"/>
      <c r="BM982" s="474"/>
      <c r="BN982" s="49"/>
      <c r="BO982" s="49"/>
      <c r="BP982" s="49"/>
      <c r="BQ982" s="49"/>
      <c r="BR982" s="49"/>
      <c r="BS982" s="49"/>
      <c r="BT982" s="49"/>
      <c r="BU982" s="49"/>
      <c r="BV982" s="49"/>
      <c r="BW982" s="49"/>
      <c r="BX982" s="49"/>
      <c r="BY982" s="49"/>
      <c r="BZ982" s="49"/>
      <c r="CA982" s="49"/>
      <c r="CB982" s="49"/>
      <c r="CC982" s="49"/>
      <c r="CD982" s="49"/>
      <c r="CE982" s="49"/>
      <c r="CF982" s="49"/>
    </row>
    <row r="983" ht="14.25" customHeight="1">
      <c r="A983" s="103" t="s">
        <v>84</v>
      </c>
      <c r="B983" s="103" t="s">
        <v>3073</v>
      </c>
      <c r="C983" s="103" t="s">
        <v>85</v>
      </c>
      <c r="D983" s="103" t="s">
        <v>1886</v>
      </c>
      <c r="E983" s="109" t="s">
        <v>3074</v>
      </c>
      <c r="F983" s="105" t="s">
        <v>3441</v>
      </c>
      <c r="G983" s="110" t="s">
        <v>3094</v>
      </c>
      <c r="H983" s="110" t="s">
        <v>3134</v>
      </c>
      <c r="I983" s="107"/>
      <c r="J983" s="108" t="s">
        <v>3451</v>
      </c>
      <c r="K983" s="108" t="str">
        <f>_xlfn.XLOOKUP(J983,[1]Sheet1!$A:$A,[1]Sheet1!$B:$B,"")</f>
        <v>#ERROR!</v>
      </c>
      <c r="L983" s="109" t="s">
        <v>3452</v>
      </c>
      <c r="M983" s="104" t="s">
        <v>3453</v>
      </c>
      <c r="N983" s="110"/>
      <c r="O983" s="109" t="s">
        <v>147</v>
      </c>
      <c r="P983" s="106"/>
      <c r="Q983" s="105" t="s">
        <v>3081</v>
      </c>
      <c r="R983" s="106"/>
      <c r="S983" s="106"/>
      <c r="T983" s="110"/>
      <c r="U983" s="106">
        <v>9.403208E9</v>
      </c>
      <c r="V983" s="112">
        <v>0.0</v>
      </c>
      <c r="W983" s="106">
        <v>45.0</v>
      </c>
      <c r="X983" s="106">
        <v>45.0</v>
      </c>
      <c r="Y983" s="106"/>
      <c r="Z983" s="106" t="s">
        <v>99</v>
      </c>
      <c r="AA983" s="114">
        <f t="shared" si="891"/>
        <v>699.0363232</v>
      </c>
      <c r="AB983" s="115"/>
      <c r="AC983" s="212">
        <f t="shared" si="892"/>
        <v>610.48243</v>
      </c>
      <c r="AD983" s="213">
        <f t="shared" si="799"/>
        <v>656.4327204</v>
      </c>
      <c r="AE983" s="212"/>
      <c r="AF983" s="212" t="str">
        <f t="shared" si="94"/>
        <v>#REF!</v>
      </c>
      <c r="AG983" s="210" t="str">
        <f t="shared" si="95"/>
        <v>#REF!</v>
      </c>
      <c r="AH983" s="120" t="str">
        <f t="shared" si="96"/>
        <v>#REF!</v>
      </c>
      <c r="AI983" s="121">
        <f t="shared" si="893"/>
        <v>0.05</v>
      </c>
      <c r="AJ983" s="121">
        <v>0.05</v>
      </c>
      <c r="AK983" s="418">
        <v>0.27</v>
      </c>
      <c r="AL983" s="123">
        <f t="shared" si="11"/>
        <v>164.8302561</v>
      </c>
      <c r="AM983" s="401" t="s">
        <v>10</v>
      </c>
      <c r="AN983" s="125">
        <f t="shared" si="894"/>
        <v>610.48243</v>
      </c>
      <c r="AO983" s="402">
        <f t="shared" si="895"/>
        <v>0.27</v>
      </c>
      <c r="AP983" s="127"/>
      <c r="AQ983" s="128">
        <f t="shared" si="896"/>
        <v>496.3157895</v>
      </c>
      <c r="AR983" s="404">
        <f t="shared" si="897"/>
        <v>469.1075515</v>
      </c>
      <c r="AS983" s="405">
        <f t="shared" si="898"/>
        <v>0.29</v>
      </c>
      <c r="AT983" s="405">
        <f t="shared" si="899"/>
        <v>0.2315789474</v>
      </c>
      <c r="AU983" s="129"/>
      <c r="AV983" s="225" t="s">
        <v>3024</v>
      </c>
      <c r="AW983" s="416"/>
      <c r="AX983" s="416"/>
      <c r="AY983" s="361"/>
      <c r="AZ983" s="214"/>
      <c r="BA983" s="214"/>
      <c r="BB983" s="227"/>
      <c r="BC983" s="412">
        <v>410.0</v>
      </c>
      <c r="BD983" s="132">
        <f t="shared" si="905"/>
        <v>445.6521739</v>
      </c>
      <c r="BE983" s="215"/>
      <c r="BF983" s="48"/>
      <c r="BG983" s="49"/>
      <c r="BH983" s="224">
        <f t="shared" ref="BH983:BH1096" si="910">AC983/0.3</f>
        <v>2034.941433</v>
      </c>
      <c r="BI983" s="224">
        <f t="shared" ref="BI983:BI1096" si="911">BH983*0.6</f>
        <v>1220.96486</v>
      </c>
      <c r="BJ983" s="224">
        <f t="shared" ref="BJ983:BJ1096" si="912">BH983*0.5</f>
        <v>1017.470717</v>
      </c>
      <c r="BK983" s="224">
        <f t="shared" ref="BK983:BK1096" si="913">BH983*0.4</f>
        <v>813.9765734</v>
      </c>
      <c r="BL983" s="49"/>
      <c r="BM983" s="49"/>
      <c r="BN983" s="49"/>
      <c r="BO983" s="49"/>
      <c r="BP983" s="49"/>
      <c r="BQ983" s="49"/>
      <c r="BR983" s="49"/>
      <c r="BS983" s="49"/>
      <c r="BT983" s="49"/>
      <c r="BU983" s="49"/>
      <c r="BV983" s="49"/>
      <c r="BW983" s="49"/>
      <c r="BX983" s="49"/>
      <c r="BY983" s="49"/>
      <c r="BZ983" s="49"/>
      <c r="CA983" s="49"/>
      <c r="CB983" s="49"/>
      <c r="CC983" s="49"/>
      <c r="CD983" s="49"/>
      <c r="CE983" s="49"/>
      <c r="CF983" s="49"/>
    </row>
    <row r="984" ht="14.25" customHeight="1">
      <c r="A984" s="103" t="s">
        <v>84</v>
      </c>
      <c r="B984" s="103" t="s">
        <v>3073</v>
      </c>
      <c r="C984" s="103" t="s">
        <v>85</v>
      </c>
      <c r="D984" s="103" t="s">
        <v>1886</v>
      </c>
      <c r="E984" s="109" t="s">
        <v>3074</v>
      </c>
      <c r="F984" s="105" t="s">
        <v>3441</v>
      </c>
      <c r="G984" s="110" t="s">
        <v>3094</v>
      </c>
      <c r="H984" s="110" t="s">
        <v>3134</v>
      </c>
      <c r="I984" s="107"/>
      <c r="J984" s="108" t="s">
        <v>3454</v>
      </c>
      <c r="K984" s="108" t="str">
        <f>_xlfn.XLOOKUP(J984,[1]Sheet1!$A:$A,[1]Sheet1!$B:$B,"")</f>
        <v>#ERROR!</v>
      </c>
      <c r="L984" s="109" t="s">
        <v>3455</v>
      </c>
      <c r="M984" s="104" t="s">
        <v>3456</v>
      </c>
      <c r="N984" s="110"/>
      <c r="O984" s="109" t="s">
        <v>147</v>
      </c>
      <c r="P984" s="106"/>
      <c r="Q984" s="105" t="s">
        <v>3081</v>
      </c>
      <c r="R984" s="106"/>
      <c r="S984" s="106"/>
      <c r="T984" s="110"/>
      <c r="U984" s="106">
        <v>9.403208E9</v>
      </c>
      <c r="V984" s="112">
        <v>0.0</v>
      </c>
      <c r="W984" s="106">
        <v>45.0</v>
      </c>
      <c r="X984" s="106">
        <v>45.0</v>
      </c>
      <c r="Y984" s="106"/>
      <c r="Z984" s="106" t="s">
        <v>99</v>
      </c>
      <c r="AA984" s="114">
        <f t="shared" si="891"/>
        <v>596.8567251</v>
      </c>
      <c r="AB984" s="115"/>
      <c r="AC984" s="212">
        <f t="shared" si="892"/>
        <v>521.4453584</v>
      </c>
      <c r="AD984" s="213">
        <f t="shared" si="799"/>
        <v>560.6939338</v>
      </c>
      <c r="AE984" s="212"/>
      <c r="AF984" s="212" t="str">
        <f t="shared" si="94"/>
        <v>#REF!</v>
      </c>
      <c r="AG984" s="210" t="str">
        <f t="shared" si="95"/>
        <v>#REF!</v>
      </c>
      <c r="AH984" s="120" t="str">
        <f t="shared" si="96"/>
        <v>#REF!</v>
      </c>
      <c r="AI984" s="121">
        <f t="shared" si="893"/>
        <v>0.05</v>
      </c>
      <c r="AJ984" s="121">
        <v>0.05</v>
      </c>
      <c r="AK984" s="418">
        <v>0.26</v>
      </c>
      <c r="AL984" s="123">
        <f t="shared" si="11"/>
        <v>135.5757932</v>
      </c>
      <c r="AM984" s="401" t="s">
        <v>10</v>
      </c>
      <c r="AN984" s="125">
        <f t="shared" si="894"/>
        <v>521.4453584</v>
      </c>
      <c r="AO984" s="402">
        <f t="shared" si="895"/>
        <v>0.26</v>
      </c>
      <c r="AP984" s="127"/>
      <c r="AQ984" s="128">
        <f t="shared" si="896"/>
        <v>429.7368421</v>
      </c>
      <c r="AR984" s="404">
        <f t="shared" si="897"/>
        <v>406.1784897</v>
      </c>
      <c r="AS984" s="405">
        <f t="shared" si="898"/>
        <v>0.28</v>
      </c>
      <c r="AT984" s="405">
        <f t="shared" si="899"/>
        <v>0.2210526316</v>
      </c>
      <c r="AU984" s="129"/>
      <c r="AV984" s="225" t="s">
        <v>3024</v>
      </c>
      <c r="AW984" s="416"/>
      <c r="AX984" s="416"/>
      <c r="AY984" s="361"/>
      <c r="AZ984" s="214"/>
      <c r="BA984" s="214"/>
      <c r="BB984" s="227"/>
      <c r="BC984" s="412">
        <v>355.0</v>
      </c>
      <c r="BD984" s="132">
        <f t="shared" si="905"/>
        <v>385.8695652</v>
      </c>
      <c r="BE984" s="215"/>
      <c r="BF984" s="48"/>
      <c r="BG984" s="49"/>
      <c r="BH984" s="224">
        <f t="shared" si="910"/>
        <v>1738.151195</v>
      </c>
      <c r="BI984" s="224">
        <f t="shared" si="911"/>
        <v>1042.890717</v>
      </c>
      <c r="BJ984" s="224">
        <f t="shared" si="912"/>
        <v>869.0755973</v>
      </c>
      <c r="BK984" s="224">
        <f t="shared" si="913"/>
        <v>695.2604779</v>
      </c>
      <c r="BL984" s="49"/>
      <c r="BM984" s="49"/>
      <c r="BN984" s="49"/>
      <c r="BO984" s="49"/>
      <c r="BP984" s="49"/>
      <c r="BQ984" s="49"/>
      <c r="BR984" s="49"/>
      <c r="BS984" s="49"/>
      <c r="BT984" s="49"/>
      <c r="BU984" s="49"/>
      <c r="BV984" s="49"/>
      <c r="BW984" s="49"/>
      <c r="BX984" s="49"/>
      <c r="BY984" s="49"/>
      <c r="BZ984" s="49"/>
      <c r="CA984" s="49"/>
      <c r="CB984" s="49"/>
      <c r="CC984" s="49"/>
      <c r="CD984" s="49"/>
      <c r="CE984" s="49"/>
      <c r="CF984" s="49"/>
    </row>
    <row r="985" ht="14.25" customHeight="1">
      <c r="A985" s="103" t="s">
        <v>84</v>
      </c>
      <c r="B985" s="103" t="s">
        <v>3073</v>
      </c>
      <c r="C985" s="103" t="s">
        <v>85</v>
      </c>
      <c r="D985" s="103" t="s">
        <v>1886</v>
      </c>
      <c r="E985" s="109" t="s">
        <v>3074</v>
      </c>
      <c r="F985" s="105" t="s">
        <v>3441</v>
      </c>
      <c r="G985" s="110" t="s">
        <v>3094</v>
      </c>
      <c r="H985" s="110" t="s">
        <v>3076</v>
      </c>
      <c r="I985" s="107"/>
      <c r="J985" s="108" t="s">
        <v>3457</v>
      </c>
      <c r="K985" s="108" t="str">
        <f>_xlfn.XLOOKUP(J985,[1]Sheet1!$A:$A,[1]Sheet1!$B:$B,"")</f>
        <v>#ERROR!</v>
      </c>
      <c r="L985" s="109" t="s">
        <v>3458</v>
      </c>
      <c r="M985" s="104" t="s">
        <v>3459</v>
      </c>
      <c r="N985" s="110"/>
      <c r="O985" s="109" t="s">
        <v>147</v>
      </c>
      <c r="P985" s="106"/>
      <c r="Q985" s="105" t="s">
        <v>3081</v>
      </c>
      <c r="R985" s="106"/>
      <c r="S985" s="106"/>
      <c r="T985" s="110"/>
      <c r="U985" s="106">
        <v>9.403208E9</v>
      </c>
      <c r="V985" s="112">
        <v>0.0</v>
      </c>
      <c r="W985" s="106">
        <v>45.0</v>
      </c>
      <c r="X985" s="106">
        <v>45.0</v>
      </c>
      <c r="Y985" s="106"/>
      <c r="Z985" s="106" t="s">
        <v>99</v>
      </c>
      <c r="AA985" s="114">
        <f t="shared" si="891"/>
        <v>521.1988304</v>
      </c>
      <c r="AB985" s="115"/>
      <c r="AC985" s="212">
        <f t="shared" si="892"/>
        <v>455.346651</v>
      </c>
      <c r="AD985" s="213">
        <f t="shared" si="799"/>
        <v>489.6200548</v>
      </c>
      <c r="AE985" s="212"/>
      <c r="AF985" s="212" t="str">
        <f t="shared" si="94"/>
        <v>#REF!</v>
      </c>
      <c r="AG985" s="210" t="str">
        <f t="shared" si="95"/>
        <v>#REF!</v>
      </c>
      <c r="AH985" s="120" t="str">
        <f t="shared" si="96"/>
        <v>#REF!</v>
      </c>
      <c r="AI985" s="121">
        <f t="shared" si="893"/>
        <v>0.05</v>
      </c>
      <c r="AJ985" s="121">
        <v>0.05</v>
      </c>
      <c r="AK985" s="418">
        <v>0.26</v>
      </c>
      <c r="AL985" s="123">
        <f t="shared" si="11"/>
        <v>118.3901293</v>
      </c>
      <c r="AM985" s="401" t="s">
        <v>10</v>
      </c>
      <c r="AN985" s="125">
        <f t="shared" si="894"/>
        <v>455.346651</v>
      </c>
      <c r="AO985" s="402">
        <f t="shared" si="895"/>
        <v>0.26</v>
      </c>
      <c r="AP985" s="127"/>
      <c r="AQ985" s="128">
        <f t="shared" si="896"/>
        <v>375.2631579</v>
      </c>
      <c r="AR985" s="404">
        <f t="shared" si="897"/>
        <v>354.6910755</v>
      </c>
      <c r="AS985" s="405">
        <f t="shared" si="898"/>
        <v>0.28</v>
      </c>
      <c r="AT985" s="405">
        <f t="shared" si="899"/>
        <v>0.2210526316</v>
      </c>
      <c r="AU985" s="129"/>
      <c r="AV985" s="225" t="s">
        <v>3024</v>
      </c>
      <c r="AW985" s="416"/>
      <c r="AX985" s="416"/>
      <c r="AY985" s="361"/>
      <c r="AZ985" s="214"/>
      <c r="BA985" s="214"/>
      <c r="BB985" s="227"/>
      <c r="BC985" s="412">
        <v>310.0</v>
      </c>
      <c r="BD985" s="132">
        <f t="shared" si="905"/>
        <v>336.9565217</v>
      </c>
      <c r="BE985" s="215"/>
      <c r="BF985" s="48"/>
      <c r="BG985" s="49"/>
      <c r="BH985" s="224">
        <f t="shared" si="910"/>
        <v>1517.82217</v>
      </c>
      <c r="BI985" s="224">
        <f t="shared" si="911"/>
        <v>910.693302</v>
      </c>
      <c r="BJ985" s="224">
        <f t="shared" si="912"/>
        <v>758.911085</v>
      </c>
      <c r="BK985" s="224">
        <f t="shared" si="913"/>
        <v>607.128868</v>
      </c>
      <c r="BL985" s="49"/>
      <c r="BM985" s="49"/>
      <c r="BN985" s="49"/>
      <c r="BO985" s="49"/>
      <c r="BP985" s="49"/>
      <c r="BQ985" s="49"/>
      <c r="BR985" s="49"/>
      <c r="BS985" s="49"/>
      <c r="BT985" s="49"/>
      <c r="BU985" s="49"/>
      <c r="BV985" s="49"/>
      <c r="BW985" s="49"/>
      <c r="BX985" s="49"/>
      <c r="BY985" s="49"/>
      <c r="BZ985" s="49"/>
      <c r="CA985" s="49"/>
      <c r="CB985" s="49"/>
      <c r="CC985" s="49"/>
      <c r="CD985" s="49"/>
      <c r="CE985" s="49"/>
      <c r="CF985" s="49"/>
    </row>
    <row r="986" ht="14.25" customHeight="1">
      <c r="A986" s="103" t="s">
        <v>84</v>
      </c>
      <c r="B986" s="103" t="s">
        <v>3073</v>
      </c>
      <c r="C986" s="103" t="s">
        <v>85</v>
      </c>
      <c r="D986" s="103" t="s">
        <v>1886</v>
      </c>
      <c r="E986" s="109" t="s">
        <v>3074</v>
      </c>
      <c r="F986" s="105" t="s">
        <v>3441</v>
      </c>
      <c r="G986" s="110" t="s">
        <v>3094</v>
      </c>
      <c r="H986" s="110" t="s">
        <v>3076</v>
      </c>
      <c r="I986" s="107"/>
      <c r="J986" s="108" t="s">
        <v>3460</v>
      </c>
      <c r="K986" s="108" t="str">
        <f>_xlfn.XLOOKUP(J986,[1]Sheet1!$A:$A,[1]Sheet1!$B:$B,"")</f>
        <v>#ERROR!</v>
      </c>
      <c r="L986" s="109" t="s">
        <v>3461</v>
      </c>
      <c r="M986" s="104" t="s">
        <v>3462</v>
      </c>
      <c r="N986" s="110"/>
      <c r="O986" s="109" t="s">
        <v>147</v>
      </c>
      <c r="P986" s="106"/>
      <c r="Q986" s="105" t="s">
        <v>3081</v>
      </c>
      <c r="R986" s="106"/>
      <c r="S986" s="106"/>
      <c r="T986" s="110"/>
      <c r="U986" s="106">
        <v>9.403208E9</v>
      </c>
      <c r="V986" s="112">
        <v>0.0</v>
      </c>
      <c r="W986" s="106">
        <v>45.0</v>
      </c>
      <c r="X986" s="106">
        <v>45.0</v>
      </c>
      <c r="Y986" s="106"/>
      <c r="Z986" s="106" t="s">
        <v>99</v>
      </c>
      <c r="AA986" s="114">
        <f t="shared" si="891"/>
        <v>428.7280702</v>
      </c>
      <c r="AB986" s="115"/>
      <c r="AC986" s="212">
        <f t="shared" si="892"/>
        <v>374.559342</v>
      </c>
      <c r="AD986" s="213">
        <f t="shared" si="799"/>
        <v>402.7519806</v>
      </c>
      <c r="AE986" s="212"/>
      <c r="AF986" s="212" t="str">
        <f t="shared" si="94"/>
        <v>#REF!</v>
      </c>
      <c r="AG986" s="210" t="str">
        <f t="shared" si="95"/>
        <v>#REF!</v>
      </c>
      <c r="AH986" s="120" t="str">
        <f t="shared" si="96"/>
        <v>#REF!</v>
      </c>
      <c r="AI986" s="121">
        <f t="shared" si="893"/>
        <v>0.05</v>
      </c>
      <c r="AJ986" s="121">
        <v>0.05</v>
      </c>
      <c r="AK986" s="418">
        <v>0.26</v>
      </c>
      <c r="AL986" s="123">
        <f t="shared" si="11"/>
        <v>97.38542891</v>
      </c>
      <c r="AM986" s="401" t="s">
        <v>10</v>
      </c>
      <c r="AN986" s="125">
        <f t="shared" si="894"/>
        <v>374.559342</v>
      </c>
      <c r="AO986" s="402">
        <f t="shared" si="895"/>
        <v>0.26</v>
      </c>
      <c r="AP986" s="127"/>
      <c r="AQ986" s="128">
        <f t="shared" si="896"/>
        <v>308.6842105</v>
      </c>
      <c r="AR986" s="404">
        <f t="shared" si="897"/>
        <v>291.7620137</v>
      </c>
      <c r="AS986" s="405">
        <f t="shared" si="898"/>
        <v>0.28</v>
      </c>
      <c r="AT986" s="405">
        <f t="shared" si="899"/>
        <v>0.2210526316</v>
      </c>
      <c r="AU986" s="129"/>
      <c r="AV986" s="225" t="s">
        <v>3024</v>
      </c>
      <c r="AW986" s="416"/>
      <c r="AX986" s="416"/>
      <c r="AY986" s="361"/>
      <c r="AZ986" s="214"/>
      <c r="BA986" s="214"/>
      <c r="BB986" s="227"/>
      <c r="BC986" s="412">
        <v>255.0</v>
      </c>
      <c r="BD986" s="132">
        <f t="shared" si="905"/>
        <v>277.173913</v>
      </c>
      <c r="BE986" s="215"/>
      <c r="BF986" s="48"/>
      <c r="BG986" s="49"/>
      <c r="BH986" s="224">
        <f t="shared" si="910"/>
        <v>1248.53114</v>
      </c>
      <c r="BI986" s="224">
        <f t="shared" si="911"/>
        <v>749.1186839</v>
      </c>
      <c r="BJ986" s="224">
        <f t="shared" si="912"/>
        <v>624.2655699</v>
      </c>
      <c r="BK986" s="224">
        <f t="shared" si="913"/>
        <v>499.4124559</v>
      </c>
      <c r="BL986" s="49"/>
      <c r="BM986" s="49"/>
      <c r="BN986" s="49"/>
      <c r="BO986" s="49"/>
      <c r="BP986" s="49"/>
      <c r="BQ986" s="49"/>
      <c r="BR986" s="49"/>
      <c r="BS986" s="49"/>
      <c r="BT986" s="49"/>
      <c r="BU986" s="49"/>
      <c r="BV986" s="49"/>
      <c r="BW986" s="49"/>
      <c r="BX986" s="49"/>
      <c r="BY986" s="49"/>
      <c r="BZ986" s="49"/>
      <c r="CA986" s="49"/>
      <c r="CB986" s="49"/>
      <c r="CC986" s="49"/>
      <c r="CD986" s="49"/>
      <c r="CE986" s="49"/>
      <c r="CF986" s="49"/>
    </row>
    <row r="987" ht="14.25" customHeight="1">
      <c r="A987" s="103" t="s">
        <v>84</v>
      </c>
      <c r="B987" s="103" t="s">
        <v>3073</v>
      </c>
      <c r="C987" s="103" t="s">
        <v>85</v>
      </c>
      <c r="D987" s="103" t="s">
        <v>1886</v>
      </c>
      <c r="E987" s="109" t="s">
        <v>3074</v>
      </c>
      <c r="F987" s="105" t="s">
        <v>3441</v>
      </c>
      <c r="G987" s="110" t="s">
        <v>3094</v>
      </c>
      <c r="H987" s="110" t="s">
        <v>3101</v>
      </c>
      <c r="I987" s="107"/>
      <c r="J987" s="108" t="s">
        <v>3463</v>
      </c>
      <c r="K987" s="108" t="str">
        <f>_xlfn.XLOOKUP(J987,[1]Sheet1!$A:$A,[1]Sheet1!$B:$B,"")</f>
        <v>#ERROR!</v>
      </c>
      <c r="L987" s="109" t="s">
        <v>3464</v>
      </c>
      <c r="M987" s="104" t="s">
        <v>3465</v>
      </c>
      <c r="N987" s="110"/>
      <c r="O987" s="109" t="s">
        <v>147</v>
      </c>
      <c r="P987" s="106"/>
      <c r="Q987" s="105" t="s">
        <v>3081</v>
      </c>
      <c r="R987" s="106"/>
      <c r="S987" s="106"/>
      <c r="T987" s="110"/>
      <c r="U987" s="106">
        <v>9.403208E9</v>
      </c>
      <c r="V987" s="112">
        <v>0.0</v>
      </c>
      <c r="W987" s="106">
        <v>45.0</v>
      </c>
      <c r="X987" s="106">
        <v>45.0</v>
      </c>
      <c r="Y987" s="106"/>
      <c r="Z987" s="106" t="s">
        <v>99</v>
      </c>
      <c r="AA987" s="114">
        <f t="shared" si="891"/>
        <v>554.8245614</v>
      </c>
      <c r="AB987" s="115"/>
      <c r="AC987" s="212">
        <f t="shared" si="892"/>
        <v>484.7238543</v>
      </c>
      <c r="AD987" s="213">
        <f t="shared" si="799"/>
        <v>521.2084455</v>
      </c>
      <c r="AE987" s="212"/>
      <c r="AF987" s="212" t="str">
        <f t="shared" si="94"/>
        <v>#REF!</v>
      </c>
      <c r="AG987" s="210" t="str">
        <f t="shared" si="95"/>
        <v>#REF!</v>
      </c>
      <c r="AH987" s="120" t="str">
        <f t="shared" si="96"/>
        <v>#REF!</v>
      </c>
      <c r="AI987" s="121">
        <f t="shared" si="893"/>
        <v>0.05</v>
      </c>
      <c r="AJ987" s="121">
        <v>0.05</v>
      </c>
      <c r="AK987" s="418">
        <v>0.26</v>
      </c>
      <c r="AL987" s="123">
        <f t="shared" si="11"/>
        <v>126.0282021</v>
      </c>
      <c r="AM987" s="401" t="s">
        <v>10</v>
      </c>
      <c r="AN987" s="125">
        <f t="shared" si="894"/>
        <v>484.7238543</v>
      </c>
      <c r="AO987" s="402">
        <f t="shared" si="895"/>
        <v>0.26</v>
      </c>
      <c r="AP987" s="127"/>
      <c r="AQ987" s="128">
        <f t="shared" si="896"/>
        <v>399.4736842</v>
      </c>
      <c r="AR987" s="404">
        <f t="shared" si="897"/>
        <v>377.5743707</v>
      </c>
      <c r="AS987" s="405">
        <f t="shared" si="898"/>
        <v>0.28</v>
      </c>
      <c r="AT987" s="405">
        <f t="shared" si="899"/>
        <v>0.2210526316</v>
      </c>
      <c r="AU987" s="129"/>
      <c r="AV987" s="225" t="s">
        <v>3024</v>
      </c>
      <c r="AW987" s="416"/>
      <c r="AX987" s="416"/>
      <c r="AY987" s="361"/>
      <c r="AZ987" s="214"/>
      <c r="BA987" s="214"/>
      <c r="BB987" s="227"/>
      <c r="BC987" s="412">
        <v>330.0</v>
      </c>
      <c r="BD987" s="132">
        <f t="shared" si="905"/>
        <v>358.6956522</v>
      </c>
      <c r="BE987" s="215"/>
      <c r="BF987" s="48"/>
      <c r="BG987" s="49"/>
      <c r="BH987" s="224">
        <f t="shared" si="910"/>
        <v>1615.746181</v>
      </c>
      <c r="BI987" s="224">
        <f t="shared" si="911"/>
        <v>969.4477086</v>
      </c>
      <c r="BJ987" s="224">
        <f t="shared" si="912"/>
        <v>807.8730905</v>
      </c>
      <c r="BK987" s="224">
        <f t="shared" si="913"/>
        <v>646.2984724</v>
      </c>
      <c r="BL987" s="49"/>
      <c r="BM987" s="49"/>
      <c r="BN987" s="49"/>
      <c r="BO987" s="49"/>
      <c r="BP987" s="49"/>
      <c r="BQ987" s="49"/>
      <c r="BR987" s="49"/>
      <c r="BS987" s="49"/>
      <c r="BT987" s="49"/>
      <c r="BU987" s="49"/>
      <c r="BV987" s="49"/>
      <c r="BW987" s="49"/>
      <c r="BX987" s="49"/>
      <c r="BY987" s="49"/>
      <c r="BZ987" s="49"/>
      <c r="CA987" s="49"/>
      <c r="CB987" s="49"/>
      <c r="CC987" s="49"/>
      <c r="CD987" s="49"/>
      <c r="CE987" s="49"/>
      <c r="CF987" s="49"/>
    </row>
    <row r="988" ht="14.25" customHeight="1">
      <c r="A988" s="103" t="s">
        <v>84</v>
      </c>
      <c r="B988" s="103" t="s">
        <v>3073</v>
      </c>
      <c r="C988" s="103" t="s">
        <v>85</v>
      </c>
      <c r="D988" s="103" t="s">
        <v>1886</v>
      </c>
      <c r="E988" s="109" t="s">
        <v>3074</v>
      </c>
      <c r="F988" s="105" t="s">
        <v>3441</v>
      </c>
      <c r="G988" s="110" t="s">
        <v>3094</v>
      </c>
      <c r="H988" s="110" t="s">
        <v>3101</v>
      </c>
      <c r="I988" s="107"/>
      <c r="J988" s="108" t="s">
        <v>3466</v>
      </c>
      <c r="K988" s="108" t="str">
        <f>_xlfn.XLOOKUP(J988,[1]Sheet1!$A:$A,[1]Sheet1!$B:$B,"")</f>
        <v>#ERROR!</v>
      </c>
      <c r="L988" s="109" t="s">
        <v>3467</v>
      </c>
      <c r="M988" s="104" t="s">
        <v>3468</v>
      </c>
      <c r="N988" s="110"/>
      <c r="O988" s="109" t="s">
        <v>147</v>
      </c>
      <c r="P988" s="106"/>
      <c r="Q988" s="105" t="s">
        <v>3081</v>
      </c>
      <c r="R988" s="106"/>
      <c r="S988" s="106"/>
      <c r="T988" s="110"/>
      <c r="U988" s="106">
        <v>9.403208E9</v>
      </c>
      <c r="V988" s="112">
        <v>0.0</v>
      </c>
      <c r="W988" s="106">
        <v>45.0</v>
      </c>
      <c r="X988" s="106">
        <v>45.0</v>
      </c>
      <c r="Y988" s="106"/>
      <c r="Z988" s="106" t="s">
        <v>99</v>
      </c>
      <c r="AA988" s="114">
        <f t="shared" si="891"/>
        <v>451.8161601</v>
      </c>
      <c r="AB988" s="115"/>
      <c r="AC988" s="212">
        <f t="shared" si="892"/>
        <v>394.5801072</v>
      </c>
      <c r="AD988" s="213">
        <f t="shared" si="799"/>
        <v>424.2796852</v>
      </c>
      <c r="AE988" s="212"/>
      <c r="AF988" s="212" t="str">
        <f t="shared" si="94"/>
        <v>#REF!</v>
      </c>
      <c r="AG988" s="210" t="str">
        <f t="shared" si="95"/>
        <v>#REF!</v>
      </c>
      <c r="AH988" s="120" t="str">
        <f t="shared" si="96"/>
        <v>#REF!</v>
      </c>
      <c r="AI988" s="121">
        <f t="shared" si="893"/>
        <v>0.05</v>
      </c>
      <c r="AJ988" s="121">
        <v>0.05</v>
      </c>
      <c r="AK988" s="418">
        <v>0.27</v>
      </c>
      <c r="AL988" s="123">
        <f t="shared" si="11"/>
        <v>106.5366289</v>
      </c>
      <c r="AM988" s="401" t="s">
        <v>10</v>
      </c>
      <c r="AN988" s="125">
        <f t="shared" si="894"/>
        <v>394.5801072</v>
      </c>
      <c r="AO988" s="402">
        <f t="shared" si="895"/>
        <v>0.27</v>
      </c>
      <c r="AP988" s="127"/>
      <c r="AQ988" s="128">
        <f t="shared" si="896"/>
        <v>320.7894737</v>
      </c>
      <c r="AR988" s="404">
        <f t="shared" si="897"/>
        <v>303.2036613</v>
      </c>
      <c r="AS988" s="405">
        <f t="shared" si="898"/>
        <v>0.29</v>
      </c>
      <c r="AT988" s="405">
        <f t="shared" si="899"/>
        <v>0.2315789474</v>
      </c>
      <c r="AU988" s="129"/>
      <c r="AV988" s="225" t="s">
        <v>3024</v>
      </c>
      <c r="AW988" s="416"/>
      <c r="AX988" s="416"/>
      <c r="AY988" s="361"/>
      <c r="AZ988" s="214"/>
      <c r="BA988" s="214"/>
      <c r="BB988" s="227"/>
      <c r="BC988" s="412">
        <v>265.0</v>
      </c>
      <c r="BD988" s="132">
        <f t="shared" si="905"/>
        <v>288.0434783</v>
      </c>
      <c r="BE988" s="215"/>
      <c r="BF988" s="48"/>
      <c r="BG988" s="49"/>
      <c r="BH988" s="224">
        <f t="shared" si="910"/>
        <v>1315.267024</v>
      </c>
      <c r="BI988" s="224">
        <f t="shared" si="911"/>
        <v>789.1602144</v>
      </c>
      <c r="BJ988" s="224">
        <f t="shared" si="912"/>
        <v>657.633512</v>
      </c>
      <c r="BK988" s="224">
        <f t="shared" si="913"/>
        <v>526.1068096</v>
      </c>
      <c r="BL988" s="49"/>
      <c r="BM988" s="49"/>
      <c r="BN988" s="49"/>
      <c r="BO988" s="49"/>
      <c r="BP988" s="49"/>
      <c r="BQ988" s="49"/>
      <c r="BR988" s="49"/>
      <c r="BS988" s="49"/>
      <c r="BT988" s="49"/>
      <c r="BU988" s="49"/>
      <c r="BV988" s="49"/>
      <c r="BW988" s="49"/>
      <c r="BX988" s="49"/>
      <c r="BY988" s="49"/>
      <c r="BZ988" s="49"/>
      <c r="CA988" s="49"/>
      <c r="CB988" s="49"/>
      <c r="CC988" s="49"/>
      <c r="CD988" s="49"/>
      <c r="CE988" s="49"/>
      <c r="CF988" s="49"/>
    </row>
    <row r="989" ht="14.25" customHeight="1">
      <c r="A989" s="103" t="s">
        <v>84</v>
      </c>
      <c r="B989" s="103" t="s">
        <v>3073</v>
      </c>
      <c r="C989" s="103" t="s">
        <v>85</v>
      </c>
      <c r="D989" s="103" t="s">
        <v>1886</v>
      </c>
      <c r="E989" s="109" t="s">
        <v>3074</v>
      </c>
      <c r="F989" s="105" t="s">
        <v>3441</v>
      </c>
      <c r="G989" s="110" t="s">
        <v>3094</v>
      </c>
      <c r="H989" s="110" t="s">
        <v>3159</v>
      </c>
      <c r="I989" s="107"/>
      <c r="J989" s="108" t="s">
        <v>3469</v>
      </c>
      <c r="K989" s="108" t="str">
        <f>_xlfn.XLOOKUP(J989,[1]Sheet1!$A:$A,[1]Sheet1!$B:$B,"")</f>
        <v>#ERROR!</v>
      </c>
      <c r="L989" s="109" t="s">
        <v>3470</v>
      </c>
      <c r="M989" s="104" t="s">
        <v>3471</v>
      </c>
      <c r="N989" s="110"/>
      <c r="O989" s="109" t="s">
        <v>147</v>
      </c>
      <c r="P989" s="106"/>
      <c r="Q989" s="105" t="s">
        <v>3081</v>
      </c>
      <c r="R989" s="106"/>
      <c r="S989" s="106"/>
      <c r="T989" s="110"/>
      <c r="U989" s="106">
        <v>9.403208E9</v>
      </c>
      <c r="V989" s="112">
        <v>0.0</v>
      </c>
      <c r="W989" s="106">
        <v>45.0</v>
      </c>
      <c r="X989" s="106">
        <v>45.0</v>
      </c>
      <c r="Y989" s="106"/>
      <c r="Z989" s="106" t="s">
        <v>99</v>
      </c>
      <c r="AA989" s="114">
        <f t="shared" si="891"/>
        <v>748.1725146</v>
      </c>
      <c r="AB989" s="115"/>
      <c r="AC989" s="212">
        <f t="shared" si="892"/>
        <v>653.6427732</v>
      </c>
      <c r="AD989" s="213">
        <f t="shared" si="799"/>
        <v>702.8416916</v>
      </c>
      <c r="AE989" s="212"/>
      <c r="AF989" s="212" t="str">
        <f t="shared" si="94"/>
        <v>#REF!</v>
      </c>
      <c r="AG989" s="210" t="str">
        <f t="shared" si="95"/>
        <v>#REF!</v>
      </c>
      <c r="AH989" s="120" t="str">
        <f t="shared" si="96"/>
        <v>#REF!</v>
      </c>
      <c r="AI989" s="121">
        <f t="shared" si="893"/>
        <v>0.05</v>
      </c>
      <c r="AJ989" s="121">
        <v>0.05</v>
      </c>
      <c r="AK989" s="418">
        <v>0.26</v>
      </c>
      <c r="AL989" s="123">
        <f t="shared" si="11"/>
        <v>169.947121</v>
      </c>
      <c r="AM989" s="401" t="s">
        <v>10</v>
      </c>
      <c r="AN989" s="125">
        <f t="shared" si="894"/>
        <v>653.6427732</v>
      </c>
      <c r="AO989" s="402">
        <f t="shared" si="895"/>
        <v>0.26</v>
      </c>
      <c r="AP989" s="127"/>
      <c r="AQ989" s="128">
        <f t="shared" si="896"/>
        <v>538.6842105</v>
      </c>
      <c r="AR989" s="404">
        <f t="shared" si="897"/>
        <v>509.1533181</v>
      </c>
      <c r="AS989" s="405">
        <f t="shared" si="898"/>
        <v>0.28</v>
      </c>
      <c r="AT989" s="405">
        <f t="shared" si="899"/>
        <v>0.2210526316</v>
      </c>
      <c r="AU989" s="129"/>
      <c r="AV989" s="225" t="s">
        <v>3024</v>
      </c>
      <c r="AW989" s="416"/>
      <c r="AX989" s="416"/>
      <c r="AY989" s="361"/>
      <c r="AZ989" s="214"/>
      <c r="BA989" s="214"/>
      <c r="BB989" s="227"/>
      <c r="BC989" s="412">
        <v>445.0</v>
      </c>
      <c r="BD989" s="132">
        <f t="shared" si="905"/>
        <v>483.6956522</v>
      </c>
      <c r="BE989" s="215"/>
      <c r="BF989" s="48"/>
      <c r="BG989" s="49"/>
      <c r="BH989" s="224">
        <f t="shared" si="910"/>
        <v>2178.809244</v>
      </c>
      <c r="BI989" s="224">
        <f t="shared" si="911"/>
        <v>1307.285546</v>
      </c>
      <c r="BJ989" s="224">
        <f t="shared" si="912"/>
        <v>1089.404622</v>
      </c>
      <c r="BK989" s="224">
        <f t="shared" si="913"/>
        <v>871.5236976</v>
      </c>
      <c r="BL989" s="49"/>
      <c r="BM989" s="49"/>
      <c r="BN989" s="49"/>
      <c r="BO989" s="49"/>
      <c r="BP989" s="49"/>
      <c r="BQ989" s="49"/>
      <c r="BR989" s="49"/>
      <c r="BS989" s="49"/>
      <c r="BT989" s="49"/>
      <c r="BU989" s="49"/>
      <c r="BV989" s="49"/>
      <c r="BW989" s="49"/>
      <c r="BX989" s="49"/>
      <c r="BY989" s="49"/>
      <c r="BZ989" s="49"/>
      <c r="CA989" s="49"/>
      <c r="CB989" s="49"/>
      <c r="CC989" s="49"/>
      <c r="CD989" s="49"/>
      <c r="CE989" s="49"/>
      <c r="CF989" s="49"/>
    </row>
    <row r="990" ht="14.25" customHeight="1">
      <c r="A990" s="103" t="s">
        <v>84</v>
      </c>
      <c r="B990" s="103" t="s">
        <v>3073</v>
      </c>
      <c r="C990" s="103" t="s">
        <v>85</v>
      </c>
      <c r="D990" s="103" t="s">
        <v>1886</v>
      </c>
      <c r="E990" s="109" t="s">
        <v>3074</v>
      </c>
      <c r="F990" s="105" t="s">
        <v>3441</v>
      </c>
      <c r="G990" s="110" t="s">
        <v>3094</v>
      </c>
      <c r="H990" s="110" t="s">
        <v>3159</v>
      </c>
      <c r="I990" s="107"/>
      <c r="J990" s="108" t="s">
        <v>3472</v>
      </c>
      <c r="K990" s="108" t="str">
        <f>_xlfn.XLOOKUP(J990,[1]Sheet1!$A:$A,[1]Sheet1!$B:$B,"")</f>
        <v>#ERROR!</v>
      </c>
      <c r="L990" s="109" t="s">
        <v>3473</v>
      </c>
      <c r="M990" s="104" t="s">
        <v>3474</v>
      </c>
      <c r="N990" s="110"/>
      <c r="O990" s="109" t="s">
        <v>147</v>
      </c>
      <c r="P990" s="106"/>
      <c r="Q990" s="105" t="s">
        <v>3081</v>
      </c>
      <c r="R990" s="106"/>
      <c r="S990" s="106"/>
      <c r="T990" s="110"/>
      <c r="U990" s="106">
        <v>9.403208E9</v>
      </c>
      <c r="V990" s="112">
        <v>0.0</v>
      </c>
      <c r="W990" s="106">
        <v>45.0</v>
      </c>
      <c r="X990" s="106">
        <v>45.0</v>
      </c>
      <c r="Y990" s="106"/>
      <c r="Z990" s="106" t="s">
        <v>99</v>
      </c>
      <c r="AA990" s="114">
        <f t="shared" si="891"/>
        <v>622.0760234</v>
      </c>
      <c r="AB990" s="115"/>
      <c r="AC990" s="212">
        <f t="shared" si="892"/>
        <v>543.4782609</v>
      </c>
      <c r="AD990" s="213">
        <f t="shared" si="799"/>
        <v>584.3852267</v>
      </c>
      <c r="AE990" s="212"/>
      <c r="AF990" s="212" t="str">
        <f t="shared" si="94"/>
        <v>#REF!</v>
      </c>
      <c r="AG990" s="210" t="str">
        <f t="shared" si="95"/>
        <v>#REF!</v>
      </c>
      <c r="AH990" s="120" t="str">
        <f t="shared" si="96"/>
        <v>#REF!</v>
      </c>
      <c r="AI990" s="121">
        <f t="shared" si="893"/>
        <v>0.05</v>
      </c>
      <c r="AJ990" s="121">
        <v>0.05</v>
      </c>
      <c r="AK990" s="418">
        <v>0.26</v>
      </c>
      <c r="AL990" s="123">
        <f t="shared" si="11"/>
        <v>141.3043478</v>
      </c>
      <c r="AM990" s="401" t="s">
        <v>10</v>
      </c>
      <c r="AN990" s="125">
        <f t="shared" si="894"/>
        <v>543.4782609</v>
      </c>
      <c r="AO990" s="402">
        <f t="shared" si="895"/>
        <v>0.26</v>
      </c>
      <c r="AP990" s="127"/>
      <c r="AQ990" s="128">
        <f t="shared" si="896"/>
        <v>447.8947368</v>
      </c>
      <c r="AR990" s="404">
        <f t="shared" si="897"/>
        <v>423.3409611</v>
      </c>
      <c r="AS990" s="405">
        <f t="shared" si="898"/>
        <v>0.28</v>
      </c>
      <c r="AT990" s="405">
        <f t="shared" si="899"/>
        <v>0.2210526316</v>
      </c>
      <c r="AU990" s="129"/>
      <c r="AV990" s="225" t="s">
        <v>3024</v>
      </c>
      <c r="AW990" s="416"/>
      <c r="AX990" s="416"/>
      <c r="AY990" s="361"/>
      <c r="AZ990" s="214"/>
      <c r="BA990" s="214"/>
      <c r="BB990" s="227"/>
      <c r="BC990" s="412">
        <v>370.0</v>
      </c>
      <c r="BD990" s="132">
        <f t="shared" si="905"/>
        <v>402.173913</v>
      </c>
      <c r="BE990" s="215"/>
      <c r="BF990" s="48"/>
      <c r="BG990" s="49"/>
      <c r="BH990" s="224">
        <f t="shared" si="910"/>
        <v>1811.594203</v>
      </c>
      <c r="BI990" s="224">
        <f t="shared" si="911"/>
        <v>1086.956522</v>
      </c>
      <c r="BJ990" s="224">
        <f t="shared" si="912"/>
        <v>905.7971014</v>
      </c>
      <c r="BK990" s="224">
        <f t="shared" si="913"/>
        <v>724.6376812</v>
      </c>
      <c r="BL990" s="49"/>
      <c r="BM990" s="49"/>
      <c r="BN990" s="49"/>
      <c r="BO990" s="49"/>
      <c r="BP990" s="49"/>
      <c r="BQ990" s="49"/>
      <c r="BR990" s="49"/>
      <c r="BS990" s="49"/>
      <c r="BT990" s="49"/>
      <c r="BU990" s="49"/>
      <c r="BV990" s="49"/>
      <c r="BW990" s="49"/>
      <c r="BX990" s="49"/>
      <c r="BY990" s="49"/>
      <c r="BZ990" s="49"/>
      <c r="CA990" s="49"/>
      <c r="CB990" s="49"/>
      <c r="CC990" s="49"/>
      <c r="CD990" s="49"/>
      <c r="CE990" s="49"/>
      <c r="CF990" s="49"/>
    </row>
    <row r="991" ht="14.25" customHeight="1">
      <c r="A991" s="103" t="s">
        <v>84</v>
      </c>
      <c r="B991" s="103" t="s">
        <v>3073</v>
      </c>
      <c r="C991" s="103" t="s">
        <v>85</v>
      </c>
      <c r="D991" s="103" t="s">
        <v>1886</v>
      </c>
      <c r="E991" s="109" t="s">
        <v>3074</v>
      </c>
      <c r="F991" s="105" t="s">
        <v>3441</v>
      </c>
      <c r="G991" s="110" t="s">
        <v>3228</v>
      </c>
      <c r="H991" s="110" t="s">
        <v>3134</v>
      </c>
      <c r="I991" s="107"/>
      <c r="J991" s="108" t="s">
        <v>3475</v>
      </c>
      <c r="K991" s="108" t="str">
        <f>_xlfn.XLOOKUP(J991,[1]Sheet1!$A:$A,[1]Sheet1!$B:$B,"")</f>
        <v>#ERROR!</v>
      </c>
      <c r="L991" s="109" t="s">
        <v>3476</v>
      </c>
      <c r="M991" s="104" t="s">
        <v>3477</v>
      </c>
      <c r="N991" s="110"/>
      <c r="O991" s="109" t="s">
        <v>147</v>
      </c>
      <c r="P991" s="106"/>
      <c r="Q991" s="105" t="s">
        <v>3081</v>
      </c>
      <c r="R991" s="106"/>
      <c r="S991" s="106"/>
      <c r="T991" s="110"/>
      <c r="U991" s="106">
        <v>9.403208E9</v>
      </c>
      <c r="V991" s="112">
        <v>0.0</v>
      </c>
      <c r="W991" s="106">
        <v>45.0</v>
      </c>
      <c r="X991" s="106">
        <v>45.0</v>
      </c>
      <c r="Y991" s="106"/>
      <c r="Z991" s="106" t="s">
        <v>99</v>
      </c>
      <c r="AA991" s="114">
        <f t="shared" si="891"/>
        <v>756.5789474</v>
      </c>
      <c r="AB991" s="115"/>
      <c r="AC991" s="212">
        <f t="shared" si="892"/>
        <v>660.987074</v>
      </c>
      <c r="AD991" s="213">
        <f t="shared" si="799"/>
        <v>710.7387893</v>
      </c>
      <c r="AE991" s="212"/>
      <c r="AF991" s="212" t="str">
        <f t="shared" si="94"/>
        <v>#REF!</v>
      </c>
      <c r="AG991" s="210" t="str">
        <f t="shared" si="95"/>
        <v>#REF!</v>
      </c>
      <c r="AH991" s="120" t="str">
        <f t="shared" si="96"/>
        <v>#REF!</v>
      </c>
      <c r="AI991" s="121">
        <f t="shared" si="893"/>
        <v>0.05</v>
      </c>
      <c r="AJ991" s="121">
        <v>0.05</v>
      </c>
      <c r="AK991" s="418">
        <v>0.26</v>
      </c>
      <c r="AL991" s="123">
        <f t="shared" si="11"/>
        <v>171.8566392</v>
      </c>
      <c r="AM991" s="401" t="s">
        <v>10</v>
      </c>
      <c r="AN991" s="125">
        <f t="shared" si="894"/>
        <v>660.987074</v>
      </c>
      <c r="AO991" s="402">
        <f t="shared" si="895"/>
        <v>0.26</v>
      </c>
      <c r="AP991" s="127"/>
      <c r="AQ991" s="128">
        <f t="shared" si="896"/>
        <v>544.7368421</v>
      </c>
      <c r="AR991" s="404">
        <f t="shared" si="897"/>
        <v>514.8741419</v>
      </c>
      <c r="AS991" s="405">
        <f t="shared" si="898"/>
        <v>0.28</v>
      </c>
      <c r="AT991" s="405">
        <f t="shared" si="899"/>
        <v>0.2210526316</v>
      </c>
      <c r="AU991" s="129"/>
      <c r="AV991" s="225" t="s">
        <v>3024</v>
      </c>
      <c r="AW991" s="416"/>
      <c r="AX991" s="416"/>
      <c r="AY991" s="361"/>
      <c r="AZ991" s="214"/>
      <c r="BA991" s="214"/>
      <c r="BB991" s="227"/>
      <c r="BC991" s="412">
        <v>450.0</v>
      </c>
      <c r="BD991" s="132">
        <f t="shared" si="905"/>
        <v>489.1304348</v>
      </c>
      <c r="BE991" s="215"/>
      <c r="BF991" s="48"/>
      <c r="BG991" s="49"/>
      <c r="BH991" s="224">
        <f t="shared" si="910"/>
        <v>2203.290247</v>
      </c>
      <c r="BI991" s="224">
        <f t="shared" si="911"/>
        <v>1321.974148</v>
      </c>
      <c r="BJ991" s="224">
        <f t="shared" si="912"/>
        <v>1101.645123</v>
      </c>
      <c r="BK991" s="224">
        <f t="shared" si="913"/>
        <v>881.3160987</v>
      </c>
      <c r="BL991" s="49"/>
      <c r="BM991" s="49"/>
      <c r="BN991" s="49"/>
      <c r="BO991" s="49"/>
      <c r="BP991" s="49"/>
      <c r="BQ991" s="49"/>
      <c r="BR991" s="49"/>
      <c r="BS991" s="49"/>
      <c r="BT991" s="49"/>
      <c r="BU991" s="49"/>
      <c r="BV991" s="49"/>
      <c r="BW991" s="49"/>
      <c r="BX991" s="49"/>
      <c r="BY991" s="49"/>
      <c r="BZ991" s="49"/>
      <c r="CA991" s="49"/>
      <c r="CB991" s="49"/>
      <c r="CC991" s="49"/>
      <c r="CD991" s="49"/>
      <c r="CE991" s="49"/>
      <c r="CF991" s="49"/>
    </row>
    <row r="992" ht="14.25" customHeight="1">
      <c r="A992" s="103" t="s">
        <v>84</v>
      </c>
      <c r="B992" s="103" t="s">
        <v>3073</v>
      </c>
      <c r="C992" s="103" t="s">
        <v>85</v>
      </c>
      <c r="D992" s="103" t="s">
        <v>1886</v>
      </c>
      <c r="E992" s="109" t="s">
        <v>3074</v>
      </c>
      <c r="F992" s="105" t="s">
        <v>3441</v>
      </c>
      <c r="G992" s="110" t="s">
        <v>3228</v>
      </c>
      <c r="H992" s="110" t="s">
        <v>3134</v>
      </c>
      <c r="I992" s="107"/>
      <c r="J992" s="108" t="s">
        <v>3478</v>
      </c>
      <c r="K992" s="108" t="str">
        <f>_xlfn.XLOOKUP(J992,[1]Sheet1!$A:$A,[1]Sheet1!$B:$B,"")</f>
        <v>#ERROR!</v>
      </c>
      <c r="L992" s="109" t="s">
        <v>3479</v>
      </c>
      <c r="M992" s="104" t="s">
        <v>3480</v>
      </c>
      <c r="N992" s="110"/>
      <c r="O992" s="109" t="s">
        <v>147</v>
      </c>
      <c r="P992" s="106"/>
      <c r="Q992" s="105" t="s">
        <v>3081</v>
      </c>
      <c r="R992" s="106"/>
      <c r="S992" s="106"/>
      <c r="T992" s="110"/>
      <c r="U992" s="106">
        <v>9.403208E9</v>
      </c>
      <c r="V992" s="112">
        <v>0.0</v>
      </c>
      <c r="W992" s="106">
        <v>45.0</v>
      </c>
      <c r="X992" s="106">
        <v>45.0</v>
      </c>
      <c r="Y992" s="106"/>
      <c r="Z992" s="106" t="s">
        <v>99</v>
      </c>
      <c r="AA992" s="114">
        <f t="shared" si="891"/>
        <v>655.7017544</v>
      </c>
      <c r="AB992" s="115"/>
      <c r="AC992" s="212">
        <f t="shared" si="892"/>
        <v>572.8554642</v>
      </c>
      <c r="AD992" s="213">
        <f t="shared" si="799"/>
        <v>615.9736174</v>
      </c>
      <c r="AE992" s="212"/>
      <c r="AF992" s="212" t="str">
        <f t="shared" si="94"/>
        <v>#REF!</v>
      </c>
      <c r="AG992" s="210" t="str">
        <f t="shared" si="95"/>
        <v>#REF!</v>
      </c>
      <c r="AH992" s="120" t="str">
        <f t="shared" si="96"/>
        <v>#REF!</v>
      </c>
      <c r="AI992" s="121">
        <f t="shared" si="893"/>
        <v>0.05</v>
      </c>
      <c r="AJ992" s="121">
        <v>0.05</v>
      </c>
      <c r="AK992" s="418">
        <v>0.26</v>
      </c>
      <c r="AL992" s="123">
        <f t="shared" si="11"/>
        <v>148.9424207</v>
      </c>
      <c r="AM992" s="401" t="s">
        <v>10</v>
      </c>
      <c r="AN992" s="125">
        <f t="shared" si="894"/>
        <v>572.8554642</v>
      </c>
      <c r="AO992" s="402">
        <f t="shared" si="895"/>
        <v>0.26</v>
      </c>
      <c r="AP992" s="127"/>
      <c r="AQ992" s="128">
        <f t="shared" si="896"/>
        <v>472.1052632</v>
      </c>
      <c r="AR992" s="404">
        <f t="shared" si="897"/>
        <v>446.2242563</v>
      </c>
      <c r="AS992" s="405">
        <f t="shared" si="898"/>
        <v>0.28</v>
      </c>
      <c r="AT992" s="405">
        <f t="shared" si="899"/>
        <v>0.2210526316</v>
      </c>
      <c r="AU992" s="129"/>
      <c r="AV992" s="225" t="s">
        <v>3024</v>
      </c>
      <c r="AW992" s="416"/>
      <c r="AX992" s="416"/>
      <c r="AY992" s="361"/>
      <c r="AZ992" s="214"/>
      <c r="BA992" s="214"/>
      <c r="BB992" s="227"/>
      <c r="BC992" s="412">
        <v>390.0</v>
      </c>
      <c r="BD992" s="132">
        <f t="shared" si="905"/>
        <v>423.9130435</v>
      </c>
      <c r="BE992" s="215"/>
      <c r="BF992" s="48"/>
      <c r="BG992" s="49"/>
      <c r="BH992" s="224">
        <f t="shared" si="910"/>
        <v>1909.518214</v>
      </c>
      <c r="BI992" s="224">
        <f t="shared" si="911"/>
        <v>1145.710928</v>
      </c>
      <c r="BJ992" s="224">
        <f t="shared" si="912"/>
        <v>954.7591069</v>
      </c>
      <c r="BK992" s="224">
        <f t="shared" si="913"/>
        <v>763.8072855</v>
      </c>
      <c r="BL992" s="49"/>
      <c r="BM992" s="49"/>
      <c r="BN992" s="49"/>
      <c r="BO992" s="49"/>
      <c r="BP992" s="49"/>
      <c r="BQ992" s="49"/>
      <c r="BR992" s="49"/>
      <c r="BS992" s="49"/>
      <c r="BT992" s="49"/>
      <c r="BU992" s="49"/>
      <c r="BV992" s="49"/>
      <c r="BW992" s="49"/>
      <c r="BX992" s="49"/>
      <c r="BY992" s="49"/>
      <c r="BZ992" s="49"/>
      <c r="CA992" s="49"/>
      <c r="CB992" s="49"/>
      <c r="CC992" s="49"/>
      <c r="CD992" s="49"/>
      <c r="CE992" s="49"/>
      <c r="CF992" s="49"/>
    </row>
    <row r="993" ht="14.25" customHeight="1">
      <c r="A993" s="103" t="s">
        <v>84</v>
      </c>
      <c r="B993" s="103" t="s">
        <v>3073</v>
      </c>
      <c r="C993" s="103" t="s">
        <v>85</v>
      </c>
      <c r="D993" s="103" t="s">
        <v>1886</v>
      </c>
      <c r="E993" s="109" t="s">
        <v>3074</v>
      </c>
      <c r="F993" s="105" t="s">
        <v>3441</v>
      </c>
      <c r="G993" s="110" t="s">
        <v>3228</v>
      </c>
      <c r="H993" s="110" t="s">
        <v>3159</v>
      </c>
      <c r="I993" s="107"/>
      <c r="J993" s="108" t="s">
        <v>3481</v>
      </c>
      <c r="K993" s="108" t="str">
        <f>_xlfn.XLOOKUP(J993,[1]Sheet1!$A:$A,[1]Sheet1!$B:$B,"")</f>
        <v>#ERROR!</v>
      </c>
      <c r="L993" s="109" t="s">
        <v>3482</v>
      </c>
      <c r="M993" s="104" t="s">
        <v>3483</v>
      </c>
      <c r="N993" s="110"/>
      <c r="O993" s="109" t="s">
        <v>147</v>
      </c>
      <c r="P993" s="106"/>
      <c r="Q993" s="105" t="s">
        <v>3081</v>
      </c>
      <c r="R993" s="106"/>
      <c r="S993" s="106"/>
      <c r="T993" s="110"/>
      <c r="U993" s="106">
        <v>9.403208E9</v>
      </c>
      <c r="V993" s="112">
        <v>0.0</v>
      </c>
      <c r="W993" s="106">
        <v>45.0</v>
      </c>
      <c r="X993" s="106">
        <v>45.0</v>
      </c>
      <c r="Y993" s="106"/>
      <c r="Z993" s="106" t="s">
        <v>99</v>
      </c>
      <c r="AA993" s="114">
        <f t="shared" si="891"/>
        <v>790.877193</v>
      </c>
      <c r="AB993" s="115"/>
      <c r="AC993" s="212">
        <f t="shared" si="892"/>
        <v>691.6996047</v>
      </c>
      <c r="AD993" s="213">
        <f t="shared" si="799"/>
        <v>743.7630159</v>
      </c>
      <c r="AE993" s="212"/>
      <c r="AF993" s="212" t="str">
        <f t="shared" si="94"/>
        <v>#REF!</v>
      </c>
      <c r="AG993" s="210" t="str">
        <f t="shared" si="95"/>
        <v>#REF!</v>
      </c>
      <c r="AH993" s="120" t="str">
        <f t="shared" si="96"/>
        <v>#REF!</v>
      </c>
      <c r="AI993" s="121">
        <f t="shared" si="893"/>
        <v>0.05</v>
      </c>
      <c r="AJ993" s="121">
        <v>0.05</v>
      </c>
      <c r="AK993" s="418">
        <v>0.23</v>
      </c>
      <c r="AL993" s="123">
        <f t="shared" si="11"/>
        <v>159.0909091</v>
      </c>
      <c r="AM993" s="401" t="s">
        <v>10</v>
      </c>
      <c r="AN993" s="125">
        <f t="shared" si="894"/>
        <v>691.6996047</v>
      </c>
      <c r="AO993" s="402">
        <f t="shared" si="895"/>
        <v>0.23</v>
      </c>
      <c r="AP993" s="127"/>
      <c r="AQ993" s="128">
        <f t="shared" si="896"/>
        <v>593.1578947</v>
      </c>
      <c r="AR993" s="404">
        <f t="shared" si="897"/>
        <v>560.6407323</v>
      </c>
      <c r="AS993" s="405">
        <f t="shared" si="898"/>
        <v>0.25</v>
      </c>
      <c r="AT993" s="405">
        <f t="shared" si="899"/>
        <v>0.1894736842</v>
      </c>
      <c r="AU993" s="129"/>
      <c r="AV993" s="225" t="s">
        <v>3024</v>
      </c>
      <c r="AW993" s="416"/>
      <c r="AX993" s="416"/>
      <c r="AY993" s="361"/>
      <c r="AZ993" s="214"/>
      <c r="BA993" s="214"/>
      <c r="BB993" s="227"/>
      <c r="BC993" s="412">
        <v>490.0</v>
      </c>
      <c r="BD993" s="132">
        <f t="shared" si="905"/>
        <v>532.6086957</v>
      </c>
      <c r="BE993" s="215"/>
      <c r="BF993" s="48"/>
      <c r="BG993" s="49"/>
      <c r="BH993" s="224">
        <f t="shared" si="910"/>
        <v>2305.665349</v>
      </c>
      <c r="BI993" s="224">
        <f t="shared" si="911"/>
        <v>1383.399209</v>
      </c>
      <c r="BJ993" s="224">
        <f t="shared" si="912"/>
        <v>1152.832675</v>
      </c>
      <c r="BK993" s="224">
        <f t="shared" si="913"/>
        <v>922.2661397</v>
      </c>
      <c r="BL993" s="49"/>
      <c r="BM993" s="49"/>
      <c r="BN993" s="49"/>
      <c r="BO993" s="49"/>
      <c r="BP993" s="49"/>
      <c r="BQ993" s="49"/>
      <c r="BR993" s="49"/>
      <c r="BS993" s="49"/>
      <c r="BT993" s="49"/>
      <c r="BU993" s="49"/>
      <c r="BV993" s="49"/>
      <c r="BW993" s="49"/>
      <c r="BX993" s="49"/>
      <c r="BY993" s="49"/>
      <c r="BZ993" s="49"/>
      <c r="CA993" s="49"/>
      <c r="CB993" s="49"/>
      <c r="CC993" s="49"/>
      <c r="CD993" s="49"/>
      <c r="CE993" s="49"/>
      <c r="CF993" s="49"/>
    </row>
    <row r="994" ht="14.25" customHeight="1">
      <c r="A994" s="103" t="s">
        <v>84</v>
      </c>
      <c r="B994" s="103" t="s">
        <v>3073</v>
      </c>
      <c r="C994" s="103" t="s">
        <v>85</v>
      </c>
      <c r="D994" s="103" t="s">
        <v>1886</v>
      </c>
      <c r="E994" s="109" t="s">
        <v>3074</v>
      </c>
      <c r="F994" s="105" t="s">
        <v>3441</v>
      </c>
      <c r="G994" s="110" t="s">
        <v>3228</v>
      </c>
      <c r="H994" s="110" t="s">
        <v>3159</v>
      </c>
      <c r="I994" s="107"/>
      <c r="J994" s="108" t="s">
        <v>3484</v>
      </c>
      <c r="K994" s="108" t="str">
        <f>_xlfn.XLOOKUP(J994,[1]Sheet1!$A:$A,[1]Sheet1!$B:$B,"")</f>
        <v>#ERROR!</v>
      </c>
      <c r="L994" s="109" t="s">
        <v>3485</v>
      </c>
      <c r="M994" s="104" t="s">
        <v>3486</v>
      </c>
      <c r="N994" s="110"/>
      <c r="O994" s="109" t="s">
        <v>147</v>
      </c>
      <c r="P994" s="106"/>
      <c r="Q994" s="105" t="s">
        <v>3081</v>
      </c>
      <c r="R994" s="106"/>
      <c r="S994" s="106"/>
      <c r="T994" s="110"/>
      <c r="U994" s="106">
        <v>9.403208E9</v>
      </c>
      <c r="V994" s="112">
        <v>0.0</v>
      </c>
      <c r="W994" s="106">
        <v>45.0</v>
      </c>
      <c r="X994" s="106">
        <v>45.0</v>
      </c>
      <c r="Y994" s="106"/>
      <c r="Z994" s="106" t="s">
        <v>99</v>
      </c>
      <c r="AA994" s="114">
        <f t="shared" si="891"/>
        <v>669.8245614</v>
      </c>
      <c r="AB994" s="115"/>
      <c r="AC994" s="212">
        <f t="shared" si="892"/>
        <v>585.8272163</v>
      </c>
      <c r="AD994" s="213">
        <f t="shared" si="799"/>
        <v>629.9217379</v>
      </c>
      <c r="AE994" s="212"/>
      <c r="AF994" s="212" t="str">
        <f t="shared" si="94"/>
        <v>#REF!</v>
      </c>
      <c r="AG994" s="210" t="str">
        <f t="shared" si="95"/>
        <v>#REF!</v>
      </c>
      <c r="AH994" s="120" t="str">
        <f t="shared" si="96"/>
        <v>#REF!</v>
      </c>
      <c r="AI994" s="121">
        <f t="shared" si="893"/>
        <v>0.05</v>
      </c>
      <c r="AJ994" s="121">
        <v>0.05</v>
      </c>
      <c r="AK994" s="418">
        <v>0.23</v>
      </c>
      <c r="AL994" s="123">
        <f t="shared" si="11"/>
        <v>134.7402597</v>
      </c>
      <c r="AM994" s="401" t="s">
        <v>10</v>
      </c>
      <c r="AN994" s="125">
        <f t="shared" si="894"/>
        <v>585.8272163</v>
      </c>
      <c r="AO994" s="402">
        <f t="shared" si="895"/>
        <v>0.23</v>
      </c>
      <c r="AP994" s="127"/>
      <c r="AQ994" s="128">
        <f t="shared" si="896"/>
        <v>502.3684211</v>
      </c>
      <c r="AR994" s="404">
        <f t="shared" si="897"/>
        <v>474.8283753</v>
      </c>
      <c r="AS994" s="405">
        <f t="shared" si="898"/>
        <v>0.25</v>
      </c>
      <c r="AT994" s="405">
        <f t="shared" si="899"/>
        <v>0.1894736842</v>
      </c>
      <c r="AU994" s="129"/>
      <c r="AV994" s="225" t="s">
        <v>3024</v>
      </c>
      <c r="AW994" s="416"/>
      <c r="AX994" s="416"/>
      <c r="AY994" s="361"/>
      <c r="AZ994" s="214"/>
      <c r="BA994" s="214"/>
      <c r="BB994" s="227"/>
      <c r="BC994" s="412">
        <v>415.0</v>
      </c>
      <c r="BD994" s="132">
        <f t="shared" si="905"/>
        <v>451.0869565</v>
      </c>
      <c r="BE994" s="215"/>
      <c r="BF994" s="48"/>
      <c r="BG994" s="49"/>
      <c r="BH994" s="224">
        <f t="shared" si="910"/>
        <v>1952.757388</v>
      </c>
      <c r="BI994" s="224">
        <f t="shared" si="911"/>
        <v>1171.654433</v>
      </c>
      <c r="BJ994" s="224">
        <f t="shared" si="912"/>
        <v>976.3786938</v>
      </c>
      <c r="BK994" s="224">
        <f t="shared" si="913"/>
        <v>781.102955</v>
      </c>
      <c r="BL994" s="49"/>
      <c r="BM994" s="49"/>
      <c r="BN994" s="49"/>
      <c r="BO994" s="49"/>
      <c r="BP994" s="49"/>
      <c r="BQ994" s="49"/>
      <c r="BR994" s="49"/>
      <c r="BS994" s="49"/>
      <c r="BT994" s="49"/>
      <c r="BU994" s="49"/>
      <c r="BV994" s="49"/>
      <c r="BW994" s="49"/>
      <c r="BX994" s="49"/>
      <c r="BY994" s="49"/>
      <c r="BZ994" s="49"/>
      <c r="CA994" s="49"/>
      <c r="CB994" s="49"/>
      <c r="CC994" s="49"/>
      <c r="CD994" s="49"/>
      <c r="CE994" s="49"/>
      <c r="CF994" s="49"/>
    </row>
    <row r="995" ht="14.25" customHeight="1">
      <c r="A995" s="103" t="s">
        <v>84</v>
      </c>
      <c r="B995" s="103" t="s">
        <v>3073</v>
      </c>
      <c r="C995" s="103" t="s">
        <v>120</v>
      </c>
      <c r="D995" s="103" t="s">
        <v>1886</v>
      </c>
      <c r="E995" s="109" t="s">
        <v>3074</v>
      </c>
      <c r="F995" s="105" t="s">
        <v>3441</v>
      </c>
      <c r="G995" s="110" t="s">
        <v>3094</v>
      </c>
      <c r="H995" s="110" t="s">
        <v>3134</v>
      </c>
      <c r="I995" s="107"/>
      <c r="J995" s="108" t="s">
        <v>3487</v>
      </c>
      <c r="K995" s="108" t="str">
        <f>_xlfn.XLOOKUP(J995,[1]Sheet1!$A:$A,[1]Sheet1!$B:$B,"")</f>
        <v>#ERROR!</v>
      </c>
      <c r="L995" s="109" t="s">
        <v>3488</v>
      </c>
      <c r="M995" s="477" t="s">
        <v>3489</v>
      </c>
      <c r="N995" s="110"/>
      <c r="O995" s="109" t="s">
        <v>147</v>
      </c>
      <c r="P995" s="106"/>
      <c r="Q995" s="105" t="s">
        <v>3081</v>
      </c>
      <c r="R995" s="106"/>
      <c r="S995" s="106"/>
      <c r="T995" s="110"/>
      <c r="U995" s="106">
        <v>9.403208E9</v>
      </c>
      <c r="V995" s="112">
        <v>0.0</v>
      </c>
      <c r="W995" s="106">
        <v>45.0</v>
      </c>
      <c r="X995" s="106">
        <v>45.0</v>
      </c>
      <c r="Y995" s="106"/>
      <c r="Z995" s="106" t="s">
        <v>99</v>
      </c>
      <c r="AA995" s="114">
        <f t="shared" si="891"/>
        <v>638.4282624</v>
      </c>
      <c r="AB995" s="115"/>
      <c r="AC995" s="212">
        <f t="shared" si="892"/>
        <v>557.9710145</v>
      </c>
      <c r="AD995" s="213">
        <f t="shared" si="799"/>
        <v>599.9688328</v>
      </c>
      <c r="AE995" s="212"/>
      <c r="AF995" s="212" t="str">
        <f t="shared" si="94"/>
        <v>#REF!</v>
      </c>
      <c r="AG995" s="210" t="str">
        <f t="shared" si="95"/>
        <v>#REF!</v>
      </c>
      <c r="AH995" s="120" t="str">
        <f t="shared" si="96"/>
        <v>#REF!</v>
      </c>
      <c r="AI995" s="121">
        <f t="shared" si="893"/>
        <v>0.05</v>
      </c>
      <c r="AJ995" s="121">
        <v>0.05</v>
      </c>
      <c r="AK995" s="418">
        <v>0.25</v>
      </c>
      <c r="AL995" s="123">
        <f t="shared" si="11"/>
        <v>139.4927536</v>
      </c>
      <c r="AM995" s="401" t="s">
        <v>10</v>
      </c>
      <c r="AN995" s="125">
        <f t="shared" si="894"/>
        <v>557.9710145</v>
      </c>
      <c r="AO995" s="402">
        <f t="shared" si="895"/>
        <v>0.25</v>
      </c>
      <c r="AP995" s="127"/>
      <c r="AQ995" s="128">
        <f t="shared" si="896"/>
        <v>466.0526316</v>
      </c>
      <c r="AR995" s="404">
        <f t="shared" si="897"/>
        <v>440.5034325</v>
      </c>
      <c r="AS995" s="405">
        <f t="shared" si="898"/>
        <v>0.27</v>
      </c>
      <c r="AT995" s="405">
        <f t="shared" si="899"/>
        <v>0.2105263158</v>
      </c>
      <c r="AU995" s="129"/>
      <c r="AV995" s="225" t="s">
        <v>3024</v>
      </c>
      <c r="AW995" s="416"/>
      <c r="AX995" s="416"/>
      <c r="AY995" s="361"/>
      <c r="AZ995" s="214"/>
      <c r="BA995" s="214"/>
      <c r="BB995" s="227"/>
      <c r="BC995" s="412">
        <v>385.0</v>
      </c>
      <c r="BD995" s="132">
        <f t="shared" si="905"/>
        <v>418.4782609</v>
      </c>
      <c r="BE995" s="215"/>
      <c r="BF995" s="48"/>
      <c r="BG995" s="49"/>
      <c r="BH995" s="224">
        <f t="shared" si="910"/>
        <v>1859.903382</v>
      </c>
      <c r="BI995" s="224">
        <f t="shared" si="911"/>
        <v>1115.942029</v>
      </c>
      <c r="BJ995" s="224">
        <f t="shared" si="912"/>
        <v>929.9516908</v>
      </c>
      <c r="BK995" s="224">
        <f t="shared" si="913"/>
        <v>743.9613527</v>
      </c>
      <c r="BL995" s="49"/>
      <c r="BM995" s="49"/>
      <c r="BN995" s="49"/>
      <c r="BO995" s="49"/>
      <c r="BP995" s="49"/>
      <c r="BQ995" s="49"/>
      <c r="BR995" s="49"/>
      <c r="BS995" s="49"/>
      <c r="BT995" s="49"/>
      <c r="BU995" s="49"/>
      <c r="BV995" s="49"/>
      <c r="BW995" s="49"/>
      <c r="BX995" s="49"/>
      <c r="BY995" s="49"/>
      <c r="BZ995" s="49"/>
      <c r="CA995" s="49"/>
      <c r="CB995" s="49"/>
      <c r="CC995" s="49"/>
      <c r="CD995" s="49"/>
      <c r="CE995" s="49"/>
      <c r="CF995" s="49"/>
    </row>
    <row r="996" ht="14.25" customHeight="1">
      <c r="A996" s="103" t="s">
        <v>84</v>
      </c>
      <c r="B996" s="103" t="s">
        <v>120</v>
      </c>
      <c r="C996" s="103" t="s">
        <v>120</v>
      </c>
      <c r="D996" s="103" t="s">
        <v>1886</v>
      </c>
      <c r="E996" s="109" t="s">
        <v>2920</v>
      </c>
      <c r="F996" s="105" t="s">
        <v>3185</v>
      </c>
      <c r="G996" s="110" t="s">
        <v>3490</v>
      </c>
      <c r="H996" s="110"/>
      <c r="I996" s="107"/>
      <c r="J996" s="108" t="s">
        <v>3491</v>
      </c>
      <c r="K996" s="108" t="str">
        <f>_xlfn.XLOOKUP(J996,[1]Sheet1!$A:$A,[1]Sheet1!$B:$B,"")</f>
        <v>#ERROR!</v>
      </c>
      <c r="L996" s="109" t="s">
        <v>3492</v>
      </c>
      <c r="M996" s="104" t="s">
        <v>3493</v>
      </c>
      <c r="N996" s="110"/>
      <c r="O996" s="109" t="s">
        <v>147</v>
      </c>
      <c r="P996" s="106"/>
      <c r="Q996" s="105" t="s">
        <v>3081</v>
      </c>
      <c r="R996" s="106"/>
      <c r="S996" s="106"/>
      <c r="T996" s="110"/>
      <c r="U996" s="106">
        <v>9.403208E9</v>
      </c>
      <c r="V996" s="112">
        <v>0.0</v>
      </c>
      <c r="W996" s="106">
        <v>45.0</v>
      </c>
      <c r="X996" s="106">
        <v>45.0</v>
      </c>
      <c r="Y996" s="106"/>
      <c r="Z996" s="106" t="s">
        <v>99</v>
      </c>
      <c r="AA996" s="114">
        <f t="shared" si="891"/>
        <v>129.1524768</v>
      </c>
      <c r="AB996" s="115"/>
      <c r="AC996" s="212">
        <f t="shared" si="892"/>
        <v>112.6552795</v>
      </c>
      <c r="AD996" s="213">
        <f t="shared" si="799"/>
        <v>121.1347091</v>
      </c>
      <c r="AE996" s="212"/>
      <c r="AF996" s="212" t="str">
        <f t="shared" si="94"/>
        <v>#REF!</v>
      </c>
      <c r="AG996" s="210" t="str">
        <f t="shared" si="95"/>
        <v>#REF!</v>
      </c>
      <c r="AH996" s="120" t="str">
        <f t="shared" si="96"/>
        <v>#REF!</v>
      </c>
      <c r="AI996" s="121">
        <f t="shared" si="893"/>
        <v>0.05</v>
      </c>
      <c r="AJ996" s="121">
        <v>0.05</v>
      </c>
      <c r="AK996" s="418">
        <v>0.3</v>
      </c>
      <c r="AL996" s="123">
        <f t="shared" si="11"/>
        <v>33.79658385</v>
      </c>
      <c r="AM996" s="401" t="s">
        <v>10</v>
      </c>
      <c r="AN996" s="125">
        <f t="shared" si="894"/>
        <v>112.6552795</v>
      </c>
      <c r="AO996" s="402">
        <f t="shared" si="895"/>
        <v>0.3</v>
      </c>
      <c r="AP996" s="127"/>
      <c r="AQ996" s="128">
        <f t="shared" si="896"/>
        <v>87.82368421</v>
      </c>
      <c r="AR996" s="404">
        <f t="shared" si="897"/>
        <v>83.00915332</v>
      </c>
      <c r="AS996" s="405">
        <f t="shared" si="898"/>
        <v>0.32</v>
      </c>
      <c r="AT996" s="405">
        <f t="shared" si="899"/>
        <v>0.2631578947</v>
      </c>
      <c r="AU996" s="129"/>
      <c r="AV996" s="225" t="s">
        <v>3024</v>
      </c>
      <c r="AW996" s="416"/>
      <c r="AX996" s="416"/>
      <c r="AY996" s="361"/>
      <c r="AZ996" s="214"/>
      <c r="BA996" s="214"/>
      <c r="BB996" s="227"/>
      <c r="BC996" s="412">
        <v>72.55</v>
      </c>
      <c r="BD996" s="132">
        <f t="shared" si="905"/>
        <v>78.85869565</v>
      </c>
      <c r="BE996" s="215"/>
      <c r="BF996" s="48"/>
      <c r="BG996" s="49"/>
      <c r="BH996" s="224">
        <f t="shared" si="910"/>
        <v>375.5175983</v>
      </c>
      <c r="BI996" s="224">
        <f t="shared" si="911"/>
        <v>225.310559</v>
      </c>
      <c r="BJ996" s="224">
        <f t="shared" si="912"/>
        <v>187.7587992</v>
      </c>
      <c r="BK996" s="224">
        <f t="shared" si="913"/>
        <v>150.2070393</v>
      </c>
      <c r="BL996" s="49"/>
      <c r="BM996" s="49"/>
      <c r="BN996" s="49"/>
      <c r="BO996" s="49"/>
      <c r="BP996" s="49"/>
      <c r="BQ996" s="49"/>
      <c r="BR996" s="49"/>
      <c r="BS996" s="49"/>
      <c r="BT996" s="49"/>
      <c r="BU996" s="49"/>
      <c r="BV996" s="49"/>
      <c r="BW996" s="49"/>
      <c r="BX996" s="49"/>
      <c r="BY996" s="49"/>
      <c r="BZ996" s="49"/>
      <c r="CA996" s="49"/>
      <c r="CB996" s="49"/>
      <c r="CC996" s="49"/>
      <c r="CD996" s="49"/>
      <c r="CE996" s="49"/>
      <c r="CF996" s="49"/>
    </row>
    <row r="997" ht="14.25" customHeight="1">
      <c r="A997" s="103" t="s">
        <v>84</v>
      </c>
      <c r="B997" s="103" t="s">
        <v>120</v>
      </c>
      <c r="C997" s="103" t="s">
        <v>120</v>
      </c>
      <c r="D997" s="103" t="s">
        <v>1886</v>
      </c>
      <c r="E997" s="109" t="s">
        <v>2920</v>
      </c>
      <c r="F997" s="105" t="s">
        <v>3185</v>
      </c>
      <c r="G997" s="110" t="s">
        <v>3494</v>
      </c>
      <c r="H997" s="110"/>
      <c r="I997" s="107"/>
      <c r="J997" s="108" t="s">
        <v>3495</v>
      </c>
      <c r="K997" s="108" t="str">
        <f>_xlfn.XLOOKUP(J997,[1]Sheet1!$A:$A,[1]Sheet1!$B:$B,"")</f>
        <v>#ERROR!</v>
      </c>
      <c r="L997" s="109" t="s">
        <v>3496</v>
      </c>
      <c r="M997" s="104" t="s">
        <v>3497</v>
      </c>
      <c r="N997" s="110"/>
      <c r="O997" s="109" t="s">
        <v>147</v>
      </c>
      <c r="P997" s="106"/>
      <c r="Q997" s="105" t="s">
        <v>3081</v>
      </c>
      <c r="R997" s="106"/>
      <c r="S997" s="106"/>
      <c r="T997" s="110"/>
      <c r="U997" s="106">
        <v>9.403208E9</v>
      </c>
      <c r="V997" s="112">
        <v>0.0</v>
      </c>
      <c r="W997" s="106">
        <v>45.0</v>
      </c>
      <c r="X997" s="106">
        <v>45.0</v>
      </c>
      <c r="Y997" s="106"/>
      <c r="Z997" s="106" t="s">
        <v>99</v>
      </c>
      <c r="AA997" s="114">
        <f t="shared" si="891"/>
        <v>141.9698142</v>
      </c>
      <c r="AB997" s="115"/>
      <c r="AC997" s="212">
        <f t="shared" si="892"/>
        <v>123.8354037</v>
      </c>
      <c r="AD997" s="213">
        <f t="shared" si="799"/>
        <v>133.1563481</v>
      </c>
      <c r="AE997" s="212"/>
      <c r="AF997" s="212" t="str">
        <f t="shared" si="94"/>
        <v>#REF!</v>
      </c>
      <c r="AG997" s="210" t="str">
        <f t="shared" si="95"/>
        <v>#REF!</v>
      </c>
      <c r="AH997" s="120" t="str">
        <f t="shared" si="96"/>
        <v>#REF!</v>
      </c>
      <c r="AI997" s="121">
        <f t="shared" si="893"/>
        <v>0.05</v>
      </c>
      <c r="AJ997" s="121">
        <v>0.05</v>
      </c>
      <c r="AK997" s="418">
        <v>0.3</v>
      </c>
      <c r="AL997" s="123">
        <f t="shared" si="11"/>
        <v>37.15062112</v>
      </c>
      <c r="AM997" s="401" t="s">
        <v>10</v>
      </c>
      <c r="AN997" s="125">
        <f t="shared" si="894"/>
        <v>123.8354037</v>
      </c>
      <c r="AO997" s="402">
        <f t="shared" si="895"/>
        <v>0.3</v>
      </c>
      <c r="AP997" s="127"/>
      <c r="AQ997" s="128">
        <f t="shared" si="896"/>
        <v>96.53947368</v>
      </c>
      <c r="AR997" s="404">
        <f t="shared" si="897"/>
        <v>91.24713959</v>
      </c>
      <c r="AS997" s="405">
        <f t="shared" si="898"/>
        <v>0.32</v>
      </c>
      <c r="AT997" s="405">
        <f t="shared" si="899"/>
        <v>0.2631578947</v>
      </c>
      <c r="AU997" s="129"/>
      <c r="AV997" s="225" t="s">
        <v>3024</v>
      </c>
      <c r="AW997" s="416"/>
      <c r="AX997" s="416"/>
      <c r="AY997" s="361"/>
      <c r="AZ997" s="214"/>
      <c r="BA997" s="214"/>
      <c r="BB997" s="227"/>
      <c r="BC997" s="412">
        <v>79.75</v>
      </c>
      <c r="BD997" s="132">
        <f t="shared" si="905"/>
        <v>86.68478261</v>
      </c>
      <c r="BE997" s="215"/>
      <c r="BF997" s="48"/>
      <c r="BG997" s="49"/>
      <c r="BH997" s="224">
        <f t="shared" si="910"/>
        <v>412.7846791</v>
      </c>
      <c r="BI997" s="224">
        <f t="shared" si="911"/>
        <v>247.6708075</v>
      </c>
      <c r="BJ997" s="224">
        <f t="shared" si="912"/>
        <v>206.3923395</v>
      </c>
      <c r="BK997" s="224">
        <f t="shared" si="913"/>
        <v>165.1138716</v>
      </c>
      <c r="BL997" s="49"/>
      <c r="BM997" s="49"/>
      <c r="BN997" s="49"/>
      <c r="BO997" s="49"/>
      <c r="BP997" s="49"/>
      <c r="BQ997" s="49"/>
      <c r="BR997" s="49"/>
      <c r="BS997" s="49"/>
      <c r="BT997" s="49"/>
      <c r="BU997" s="49"/>
      <c r="BV997" s="49"/>
      <c r="BW997" s="49"/>
      <c r="BX997" s="49"/>
      <c r="BY997" s="49"/>
      <c r="BZ997" s="49"/>
      <c r="CA997" s="49"/>
      <c r="CB997" s="49"/>
      <c r="CC997" s="49"/>
      <c r="CD997" s="49"/>
      <c r="CE997" s="49"/>
      <c r="CF997" s="49"/>
    </row>
    <row r="998" ht="14.25" customHeight="1">
      <c r="A998" s="103" t="s">
        <v>84</v>
      </c>
      <c r="B998" s="103" t="s">
        <v>120</v>
      </c>
      <c r="C998" s="103" t="s">
        <v>120</v>
      </c>
      <c r="D998" s="103" t="s">
        <v>1886</v>
      </c>
      <c r="E998" s="109" t="s">
        <v>2920</v>
      </c>
      <c r="F998" s="105" t="s">
        <v>3185</v>
      </c>
      <c r="G998" s="110" t="s">
        <v>3494</v>
      </c>
      <c r="H998" s="110"/>
      <c r="I998" s="107"/>
      <c r="J998" s="108" t="s">
        <v>3498</v>
      </c>
      <c r="K998" s="108" t="str">
        <f>_xlfn.XLOOKUP(J998,[1]Sheet1!$A:$A,[1]Sheet1!$B:$B,"")</f>
        <v>#ERROR!</v>
      </c>
      <c r="L998" s="109" t="s">
        <v>3499</v>
      </c>
      <c r="M998" s="104" t="s">
        <v>3500</v>
      </c>
      <c r="N998" s="110"/>
      <c r="O998" s="109" t="s">
        <v>147</v>
      </c>
      <c r="P998" s="106"/>
      <c r="Q998" s="105" t="s">
        <v>3081</v>
      </c>
      <c r="R998" s="106"/>
      <c r="S998" s="106"/>
      <c r="T998" s="110"/>
      <c r="U998" s="106">
        <v>9.403208E9</v>
      </c>
      <c r="V998" s="112">
        <v>0.0</v>
      </c>
      <c r="W998" s="106">
        <v>45.0</v>
      </c>
      <c r="X998" s="106">
        <v>45.0</v>
      </c>
      <c r="Y998" s="106"/>
      <c r="Z998" s="106" t="s">
        <v>99</v>
      </c>
      <c r="AA998" s="114">
        <f t="shared" si="891"/>
        <v>144.6400929</v>
      </c>
      <c r="AB998" s="115"/>
      <c r="AC998" s="212">
        <f t="shared" si="892"/>
        <v>126.1645963</v>
      </c>
      <c r="AD998" s="213">
        <f t="shared" si="799"/>
        <v>135.6608562</v>
      </c>
      <c r="AE998" s="212"/>
      <c r="AF998" s="212" t="str">
        <f t="shared" si="94"/>
        <v>#REF!</v>
      </c>
      <c r="AG998" s="210" t="str">
        <f t="shared" si="95"/>
        <v>#REF!</v>
      </c>
      <c r="AH998" s="120" t="str">
        <f t="shared" si="96"/>
        <v>#REF!</v>
      </c>
      <c r="AI998" s="121">
        <f t="shared" si="893"/>
        <v>0.05</v>
      </c>
      <c r="AJ998" s="121">
        <v>0.05</v>
      </c>
      <c r="AK998" s="418">
        <v>0.3</v>
      </c>
      <c r="AL998" s="123">
        <f t="shared" si="11"/>
        <v>37.84937888</v>
      </c>
      <c r="AM998" s="401" t="s">
        <v>10</v>
      </c>
      <c r="AN998" s="125">
        <f t="shared" si="894"/>
        <v>126.1645963</v>
      </c>
      <c r="AO998" s="402">
        <f t="shared" si="895"/>
        <v>0.3</v>
      </c>
      <c r="AP998" s="127"/>
      <c r="AQ998" s="128">
        <f t="shared" si="896"/>
        <v>98.35526316</v>
      </c>
      <c r="AR998" s="404">
        <f t="shared" si="897"/>
        <v>92.96338673</v>
      </c>
      <c r="AS998" s="405">
        <f t="shared" si="898"/>
        <v>0.32</v>
      </c>
      <c r="AT998" s="405">
        <f t="shared" si="899"/>
        <v>0.2631578947</v>
      </c>
      <c r="AU998" s="129"/>
      <c r="AV998" s="225" t="s">
        <v>3024</v>
      </c>
      <c r="AW998" s="416"/>
      <c r="AX998" s="416"/>
      <c r="AY998" s="361"/>
      <c r="AZ998" s="214"/>
      <c r="BA998" s="214"/>
      <c r="BB998" s="227"/>
      <c r="BC998" s="412">
        <v>81.25</v>
      </c>
      <c r="BD998" s="132">
        <f t="shared" si="905"/>
        <v>88.31521739</v>
      </c>
      <c r="BE998" s="215"/>
      <c r="BF998" s="48"/>
      <c r="BG998" s="49"/>
      <c r="BH998" s="224">
        <f t="shared" si="910"/>
        <v>420.5486542</v>
      </c>
      <c r="BI998" s="224">
        <f t="shared" si="911"/>
        <v>252.3291925</v>
      </c>
      <c r="BJ998" s="224">
        <f t="shared" si="912"/>
        <v>210.2743271</v>
      </c>
      <c r="BK998" s="224">
        <f t="shared" si="913"/>
        <v>168.2194617</v>
      </c>
      <c r="BL998" s="49"/>
      <c r="BM998" s="49"/>
      <c r="BN998" s="49"/>
      <c r="BO998" s="49"/>
      <c r="BP998" s="49"/>
      <c r="BQ998" s="49"/>
      <c r="BR998" s="49"/>
      <c r="BS998" s="49"/>
      <c r="BT998" s="49"/>
      <c r="BU998" s="49"/>
      <c r="BV998" s="49"/>
      <c r="BW998" s="49"/>
      <c r="BX998" s="49"/>
      <c r="BY998" s="49"/>
      <c r="BZ998" s="49"/>
      <c r="CA998" s="49"/>
      <c r="CB998" s="49"/>
      <c r="CC998" s="49"/>
      <c r="CD998" s="49"/>
      <c r="CE998" s="49"/>
      <c r="CF998" s="49"/>
    </row>
    <row r="999" ht="14.25" customHeight="1">
      <c r="A999" s="103" t="s">
        <v>84</v>
      </c>
      <c r="B999" s="103" t="s">
        <v>120</v>
      </c>
      <c r="C999" s="103" t="s">
        <v>120</v>
      </c>
      <c r="D999" s="103" t="s">
        <v>1886</v>
      </c>
      <c r="E999" s="109" t="s">
        <v>2920</v>
      </c>
      <c r="F999" s="105" t="s">
        <v>3185</v>
      </c>
      <c r="G999" s="110" t="s">
        <v>3494</v>
      </c>
      <c r="H999" s="110"/>
      <c r="I999" s="107"/>
      <c r="J999" s="108" t="s">
        <v>3501</v>
      </c>
      <c r="K999" s="108" t="str">
        <f>_xlfn.XLOOKUP(J999,[1]Sheet1!$A:$A,[1]Sheet1!$B:$B,"")</f>
        <v>#ERROR!</v>
      </c>
      <c r="L999" s="109" t="s">
        <v>3502</v>
      </c>
      <c r="M999" s="104" t="s">
        <v>3503</v>
      </c>
      <c r="N999" s="110"/>
      <c r="O999" s="109" t="s">
        <v>147</v>
      </c>
      <c r="P999" s="106"/>
      <c r="Q999" s="105" t="s">
        <v>3081</v>
      </c>
      <c r="R999" s="106"/>
      <c r="S999" s="106"/>
      <c r="T999" s="110"/>
      <c r="U999" s="106">
        <v>9.403208E9</v>
      </c>
      <c r="V999" s="112">
        <v>0.0</v>
      </c>
      <c r="W999" s="106">
        <v>45.0</v>
      </c>
      <c r="X999" s="106">
        <v>45.0</v>
      </c>
      <c r="Y999" s="106"/>
      <c r="Z999" s="106" t="s">
        <v>99</v>
      </c>
      <c r="AA999" s="114">
        <f t="shared" si="891"/>
        <v>166.8924149</v>
      </c>
      <c r="AB999" s="115"/>
      <c r="AC999" s="212">
        <f t="shared" si="892"/>
        <v>145.5745342</v>
      </c>
      <c r="AD999" s="213">
        <f t="shared" si="799"/>
        <v>156.5317572</v>
      </c>
      <c r="AE999" s="212"/>
      <c r="AF999" s="212" t="str">
        <f t="shared" si="94"/>
        <v>#REF!</v>
      </c>
      <c r="AG999" s="210" t="str">
        <f t="shared" si="95"/>
        <v>#REF!</v>
      </c>
      <c r="AH999" s="120" t="str">
        <f t="shared" si="96"/>
        <v>#REF!</v>
      </c>
      <c r="AI999" s="121">
        <f t="shared" si="893"/>
        <v>0.05</v>
      </c>
      <c r="AJ999" s="121">
        <v>0.05</v>
      </c>
      <c r="AK999" s="418">
        <v>0.3</v>
      </c>
      <c r="AL999" s="123">
        <f t="shared" si="11"/>
        <v>43.67236025</v>
      </c>
      <c r="AM999" s="401" t="s">
        <v>10</v>
      </c>
      <c r="AN999" s="125">
        <f t="shared" si="894"/>
        <v>145.5745342</v>
      </c>
      <c r="AO999" s="402">
        <f t="shared" si="895"/>
        <v>0.3</v>
      </c>
      <c r="AP999" s="127"/>
      <c r="AQ999" s="128">
        <f t="shared" si="896"/>
        <v>113.4868421</v>
      </c>
      <c r="AR999" s="404">
        <f t="shared" si="897"/>
        <v>107.2654462</v>
      </c>
      <c r="AS999" s="405">
        <f t="shared" si="898"/>
        <v>0.32</v>
      </c>
      <c r="AT999" s="405">
        <f t="shared" si="899"/>
        <v>0.2631578947</v>
      </c>
      <c r="AU999" s="129"/>
      <c r="AV999" s="225" t="s">
        <v>3024</v>
      </c>
      <c r="AW999" s="416"/>
      <c r="AX999" s="416"/>
      <c r="AY999" s="361"/>
      <c r="AZ999" s="214"/>
      <c r="BA999" s="214"/>
      <c r="BB999" s="227"/>
      <c r="BC999" s="412">
        <v>93.75</v>
      </c>
      <c r="BD999" s="132">
        <f t="shared" si="905"/>
        <v>101.9021739</v>
      </c>
      <c r="BE999" s="215"/>
      <c r="BF999" s="48"/>
      <c r="BG999" s="49"/>
      <c r="BH999" s="224">
        <f t="shared" si="910"/>
        <v>485.2484472</v>
      </c>
      <c r="BI999" s="224">
        <f t="shared" si="911"/>
        <v>291.1490683</v>
      </c>
      <c r="BJ999" s="224">
        <f t="shared" si="912"/>
        <v>242.6242236</v>
      </c>
      <c r="BK999" s="224">
        <f t="shared" si="913"/>
        <v>194.0993789</v>
      </c>
      <c r="BL999" s="49"/>
      <c r="BM999" s="49"/>
      <c r="BN999" s="49"/>
      <c r="BO999" s="49"/>
      <c r="BP999" s="49"/>
      <c r="BQ999" s="49"/>
      <c r="BR999" s="49"/>
      <c r="BS999" s="49"/>
      <c r="BT999" s="49"/>
      <c r="BU999" s="49"/>
      <c r="BV999" s="49"/>
      <c r="BW999" s="49"/>
      <c r="BX999" s="49"/>
      <c r="BY999" s="49"/>
      <c r="BZ999" s="49"/>
      <c r="CA999" s="49"/>
      <c r="CB999" s="49"/>
      <c r="CC999" s="49"/>
      <c r="CD999" s="49"/>
      <c r="CE999" s="49"/>
      <c r="CF999" s="49"/>
    </row>
    <row r="1000" ht="14.25" customHeight="1">
      <c r="A1000" s="103" t="s">
        <v>84</v>
      </c>
      <c r="B1000" s="103" t="s">
        <v>120</v>
      </c>
      <c r="C1000" s="103" t="s">
        <v>120</v>
      </c>
      <c r="D1000" s="103" t="s">
        <v>1886</v>
      </c>
      <c r="E1000" s="109" t="s">
        <v>2920</v>
      </c>
      <c r="F1000" s="105" t="s">
        <v>3185</v>
      </c>
      <c r="G1000" s="110" t="s">
        <v>3494</v>
      </c>
      <c r="H1000" s="110"/>
      <c r="I1000" s="107"/>
      <c r="J1000" s="108" t="s">
        <v>3504</v>
      </c>
      <c r="K1000" s="108" t="str">
        <f>_xlfn.XLOOKUP(J1000,[1]Sheet1!$A:$A,[1]Sheet1!$B:$B,"")</f>
        <v>#ERROR!</v>
      </c>
      <c r="L1000" s="109" t="s">
        <v>3505</v>
      </c>
      <c r="M1000" s="104" t="s">
        <v>3506</v>
      </c>
      <c r="N1000" s="110"/>
      <c r="O1000" s="109" t="s">
        <v>147</v>
      </c>
      <c r="P1000" s="106"/>
      <c r="Q1000" s="105" t="s">
        <v>3081</v>
      </c>
      <c r="R1000" s="106"/>
      <c r="S1000" s="106"/>
      <c r="T1000" s="110"/>
      <c r="U1000" s="106" t="s">
        <v>509</v>
      </c>
      <c r="V1000" s="112">
        <v>0.0</v>
      </c>
      <c r="W1000" s="106">
        <v>45.0</v>
      </c>
      <c r="X1000" s="106">
        <v>45.0</v>
      </c>
      <c r="Y1000" s="106"/>
      <c r="Z1000" s="106" t="s">
        <v>99</v>
      </c>
      <c r="AA1000" s="114">
        <f t="shared" si="891"/>
        <v>37.5619195</v>
      </c>
      <c r="AB1000" s="115"/>
      <c r="AC1000" s="212">
        <f t="shared" si="892"/>
        <v>32.76397516</v>
      </c>
      <c r="AD1000" s="213">
        <f t="shared" si="799"/>
        <v>35.23008081</v>
      </c>
      <c r="AE1000" s="212"/>
      <c r="AF1000" s="212" t="str">
        <f t="shared" si="94"/>
        <v>#REF!</v>
      </c>
      <c r="AG1000" s="210" t="str">
        <f t="shared" si="95"/>
        <v>#REF!</v>
      </c>
      <c r="AH1000" s="120" t="str">
        <f t="shared" si="96"/>
        <v>#REF!</v>
      </c>
      <c r="AI1000" s="121">
        <f t="shared" si="893"/>
        <v>0.05</v>
      </c>
      <c r="AJ1000" s="121">
        <v>0.05</v>
      </c>
      <c r="AK1000" s="418">
        <v>0.3</v>
      </c>
      <c r="AL1000" s="123">
        <f t="shared" si="11"/>
        <v>9.829192547</v>
      </c>
      <c r="AM1000" s="401" t="s">
        <v>10</v>
      </c>
      <c r="AN1000" s="125">
        <f t="shared" si="894"/>
        <v>32.76397516</v>
      </c>
      <c r="AO1000" s="402">
        <f t="shared" si="895"/>
        <v>0.3</v>
      </c>
      <c r="AP1000" s="127"/>
      <c r="AQ1000" s="128">
        <f t="shared" si="896"/>
        <v>25.54210526</v>
      </c>
      <c r="AR1000" s="404">
        <f t="shared" si="897"/>
        <v>24.14187643</v>
      </c>
      <c r="AS1000" s="405">
        <f t="shared" si="898"/>
        <v>0.32</v>
      </c>
      <c r="AT1000" s="405">
        <f t="shared" si="899"/>
        <v>0.2631578947</v>
      </c>
      <c r="AU1000" s="129"/>
      <c r="AV1000" s="225" t="s">
        <v>3024</v>
      </c>
      <c r="AW1000" s="416"/>
      <c r="AX1000" s="416"/>
      <c r="AY1000" s="361"/>
      <c r="AZ1000" s="214"/>
      <c r="BA1000" s="214"/>
      <c r="BB1000" s="227"/>
      <c r="BC1000" s="412">
        <v>21.1</v>
      </c>
      <c r="BD1000" s="132">
        <f t="shared" si="905"/>
        <v>22.93478261</v>
      </c>
      <c r="BE1000" s="215"/>
      <c r="BF1000" s="48"/>
      <c r="BG1000" s="49"/>
      <c r="BH1000" s="224">
        <f t="shared" si="910"/>
        <v>109.2132505</v>
      </c>
      <c r="BI1000" s="224">
        <f t="shared" si="911"/>
        <v>65.52795031</v>
      </c>
      <c r="BJ1000" s="224">
        <f t="shared" si="912"/>
        <v>54.60662526</v>
      </c>
      <c r="BK1000" s="224">
        <f t="shared" si="913"/>
        <v>43.68530021</v>
      </c>
      <c r="BL1000" s="49"/>
      <c r="BM1000" s="49"/>
      <c r="BN1000" s="49"/>
      <c r="BO1000" s="49"/>
      <c r="BP1000" s="49"/>
      <c r="BQ1000" s="49"/>
      <c r="BR1000" s="49"/>
      <c r="BS1000" s="49"/>
      <c r="BT1000" s="49"/>
      <c r="BU1000" s="49"/>
      <c r="BV1000" s="49"/>
      <c r="BW1000" s="49"/>
      <c r="BX1000" s="49"/>
      <c r="BY1000" s="49"/>
      <c r="BZ1000" s="49"/>
      <c r="CA1000" s="49"/>
      <c r="CB1000" s="49"/>
      <c r="CC1000" s="49"/>
      <c r="CD1000" s="49"/>
      <c r="CE1000" s="49"/>
      <c r="CF1000" s="49"/>
    </row>
    <row r="1001" ht="14.25" customHeight="1">
      <c r="A1001" s="103" t="s">
        <v>84</v>
      </c>
      <c r="B1001" s="103" t="s">
        <v>120</v>
      </c>
      <c r="C1001" s="103" t="s">
        <v>120</v>
      </c>
      <c r="D1001" s="103" t="s">
        <v>1886</v>
      </c>
      <c r="E1001" s="109" t="s">
        <v>2920</v>
      </c>
      <c r="F1001" s="105" t="s">
        <v>3185</v>
      </c>
      <c r="G1001" s="110" t="s">
        <v>3494</v>
      </c>
      <c r="H1001" s="110"/>
      <c r="I1001" s="107"/>
      <c r="J1001" s="108" t="s">
        <v>3507</v>
      </c>
      <c r="K1001" s="108" t="str">
        <f>_xlfn.XLOOKUP(J1001,[1]Sheet1!$A:$A,[1]Sheet1!$B:$B,"")</f>
        <v>#ERROR!</v>
      </c>
      <c r="L1001" s="109" t="s">
        <v>3508</v>
      </c>
      <c r="M1001" s="104" t="s">
        <v>3509</v>
      </c>
      <c r="N1001" s="110"/>
      <c r="O1001" s="109" t="s">
        <v>147</v>
      </c>
      <c r="P1001" s="106"/>
      <c r="Q1001" s="105" t="s">
        <v>3081</v>
      </c>
      <c r="R1001" s="106"/>
      <c r="S1001" s="106"/>
      <c r="T1001" s="110"/>
      <c r="U1001" s="106" t="s">
        <v>509</v>
      </c>
      <c r="V1001" s="112">
        <v>0.0</v>
      </c>
      <c r="W1001" s="106">
        <v>45.0</v>
      </c>
      <c r="X1001" s="106">
        <v>45.0</v>
      </c>
      <c r="Y1001" s="106"/>
      <c r="Z1001" s="106" t="s">
        <v>99</v>
      </c>
      <c r="AA1001" s="114">
        <f t="shared" si="891"/>
        <v>28.30495356</v>
      </c>
      <c r="AB1001" s="115"/>
      <c r="AC1001" s="212">
        <f t="shared" si="892"/>
        <v>24.68944099</v>
      </c>
      <c r="AD1001" s="213">
        <f t="shared" si="799"/>
        <v>26.54778601</v>
      </c>
      <c r="AE1001" s="212"/>
      <c r="AF1001" s="212" t="str">
        <f t="shared" si="94"/>
        <v>#REF!</v>
      </c>
      <c r="AG1001" s="210" t="str">
        <f t="shared" si="95"/>
        <v>#REF!</v>
      </c>
      <c r="AH1001" s="120" t="str">
        <f t="shared" si="96"/>
        <v>#REF!</v>
      </c>
      <c r="AI1001" s="121">
        <f t="shared" si="893"/>
        <v>0.05</v>
      </c>
      <c r="AJ1001" s="121">
        <v>0.05</v>
      </c>
      <c r="AK1001" s="418">
        <v>0.3</v>
      </c>
      <c r="AL1001" s="123">
        <f t="shared" si="11"/>
        <v>7.406832298</v>
      </c>
      <c r="AM1001" s="401" t="s">
        <v>10</v>
      </c>
      <c r="AN1001" s="125">
        <f t="shared" si="894"/>
        <v>24.68944099</v>
      </c>
      <c r="AO1001" s="402">
        <f t="shared" si="895"/>
        <v>0.3</v>
      </c>
      <c r="AP1001" s="127"/>
      <c r="AQ1001" s="128">
        <f t="shared" si="896"/>
        <v>19.24736842</v>
      </c>
      <c r="AR1001" s="404">
        <f t="shared" si="897"/>
        <v>18.19221968</v>
      </c>
      <c r="AS1001" s="405">
        <f t="shared" si="898"/>
        <v>0.32</v>
      </c>
      <c r="AT1001" s="405">
        <f t="shared" si="899"/>
        <v>0.2631578947</v>
      </c>
      <c r="AU1001" s="129"/>
      <c r="AV1001" s="225" t="s">
        <v>3024</v>
      </c>
      <c r="AW1001" s="416"/>
      <c r="AX1001" s="416"/>
      <c r="AY1001" s="361"/>
      <c r="AZ1001" s="214"/>
      <c r="BA1001" s="214"/>
      <c r="BB1001" s="227"/>
      <c r="BC1001" s="412">
        <v>15.9</v>
      </c>
      <c r="BD1001" s="132">
        <f t="shared" si="905"/>
        <v>17.2826087</v>
      </c>
      <c r="BE1001" s="215"/>
      <c r="BF1001" s="48"/>
      <c r="BG1001" s="49"/>
      <c r="BH1001" s="224">
        <f t="shared" si="910"/>
        <v>82.29813665</v>
      </c>
      <c r="BI1001" s="224">
        <f t="shared" si="911"/>
        <v>49.37888199</v>
      </c>
      <c r="BJ1001" s="224">
        <f t="shared" si="912"/>
        <v>41.14906832</v>
      </c>
      <c r="BK1001" s="224">
        <f t="shared" si="913"/>
        <v>32.91925466</v>
      </c>
      <c r="BL1001" s="49"/>
      <c r="BM1001" s="49"/>
      <c r="BN1001" s="49"/>
      <c r="BO1001" s="49"/>
      <c r="BP1001" s="49"/>
      <c r="BQ1001" s="49"/>
      <c r="BR1001" s="49"/>
      <c r="BS1001" s="49"/>
      <c r="BT1001" s="49"/>
      <c r="BU1001" s="49"/>
      <c r="BV1001" s="49"/>
      <c r="BW1001" s="49"/>
      <c r="BX1001" s="49"/>
      <c r="BY1001" s="49"/>
      <c r="BZ1001" s="49"/>
      <c r="CA1001" s="49"/>
      <c r="CB1001" s="49"/>
      <c r="CC1001" s="49"/>
      <c r="CD1001" s="49"/>
      <c r="CE1001" s="49"/>
      <c r="CF1001" s="49"/>
    </row>
    <row r="1002" ht="14.25" customHeight="1">
      <c r="A1002" s="103" t="s">
        <v>84</v>
      </c>
      <c r="B1002" s="103" t="s">
        <v>120</v>
      </c>
      <c r="C1002" s="103" t="s">
        <v>120</v>
      </c>
      <c r="D1002" s="103" t="s">
        <v>1886</v>
      </c>
      <c r="E1002" s="109" t="s">
        <v>2920</v>
      </c>
      <c r="F1002" s="105" t="s">
        <v>3185</v>
      </c>
      <c r="G1002" s="110" t="s">
        <v>3075</v>
      </c>
      <c r="H1002" s="110"/>
      <c r="I1002" s="107"/>
      <c r="J1002" s="108" t="s">
        <v>3510</v>
      </c>
      <c r="K1002" s="108" t="str">
        <f>_xlfn.XLOOKUP(J1002,[1]Sheet1!$A:$A,[1]Sheet1!$B:$B,"")</f>
        <v>#ERROR!</v>
      </c>
      <c r="L1002" s="109" t="s">
        <v>3511</v>
      </c>
      <c r="M1002" s="104" t="s">
        <v>3512</v>
      </c>
      <c r="N1002" s="110"/>
      <c r="O1002" s="109" t="s">
        <v>147</v>
      </c>
      <c r="P1002" s="106"/>
      <c r="Q1002" s="105" t="s">
        <v>3081</v>
      </c>
      <c r="R1002" s="106"/>
      <c r="S1002" s="106"/>
      <c r="T1002" s="110"/>
      <c r="U1002" s="106">
        <v>9.403208E9</v>
      </c>
      <c r="V1002" s="112">
        <v>0.0</v>
      </c>
      <c r="W1002" s="106">
        <v>45.0</v>
      </c>
      <c r="X1002" s="106">
        <v>45.0</v>
      </c>
      <c r="Y1002" s="106"/>
      <c r="Z1002" s="106" t="s">
        <v>99</v>
      </c>
      <c r="AA1002" s="114">
        <f t="shared" si="891"/>
        <v>164.9698142</v>
      </c>
      <c r="AB1002" s="115"/>
      <c r="AC1002" s="212">
        <f t="shared" si="892"/>
        <v>143.8975155</v>
      </c>
      <c r="AD1002" s="213">
        <f t="shared" si="799"/>
        <v>154.7285113</v>
      </c>
      <c r="AE1002" s="212"/>
      <c r="AF1002" s="212" t="str">
        <f t="shared" si="94"/>
        <v>#REF!</v>
      </c>
      <c r="AG1002" s="210" t="str">
        <f t="shared" si="95"/>
        <v>#REF!</v>
      </c>
      <c r="AH1002" s="120" t="str">
        <f t="shared" si="96"/>
        <v>#REF!</v>
      </c>
      <c r="AI1002" s="121">
        <f t="shared" si="893"/>
        <v>0.05</v>
      </c>
      <c r="AJ1002" s="121">
        <v>0.05</v>
      </c>
      <c r="AK1002" s="418">
        <v>0.3</v>
      </c>
      <c r="AL1002" s="123">
        <f t="shared" si="11"/>
        <v>43.16925466</v>
      </c>
      <c r="AM1002" s="401" t="s">
        <v>10</v>
      </c>
      <c r="AN1002" s="125">
        <f t="shared" si="894"/>
        <v>143.8975155</v>
      </c>
      <c r="AO1002" s="402">
        <f t="shared" si="895"/>
        <v>0.3</v>
      </c>
      <c r="AP1002" s="127"/>
      <c r="AQ1002" s="128">
        <f t="shared" si="896"/>
        <v>112.1794737</v>
      </c>
      <c r="AR1002" s="404">
        <f t="shared" si="897"/>
        <v>106.0297483</v>
      </c>
      <c r="AS1002" s="405">
        <f t="shared" si="898"/>
        <v>0.32</v>
      </c>
      <c r="AT1002" s="405">
        <f t="shared" si="899"/>
        <v>0.2631578947</v>
      </c>
      <c r="AU1002" s="129"/>
      <c r="AV1002" s="225" t="s">
        <v>3024</v>
      </c>
      <c r="AW1002" s="416"/>
      <c r="AX1002" s="416"/>
      <c r="AY1002" s="361"/>
      <c r="AZ1002" s="214"/>
      <c r="BA1002" s="214"/>
      <c r="BB1002" s="227"/>
      <c r="BC1002" s="412">
        <v>92.67</v>
      </c>
      <c r="BD1002" s="132">
        <f t="shared" si="905"/>
        <v>100.7282609</v>
      </c>
      <c r="BE1002" s="215"/>
      <c r="BF1002" s="48"/>
      <c r="BG1002" s="49"/>
      <c r="BH1002" s="224">
        <f t="shared" si="910"/>
        <v>479.6583851</v>
      </c>
      <c r="BI1002" s="224">
        <f t="shared" si="911"/>
        <v>287.7950311</v>
      </c>
      <c r="BJ1002" s="224">
        <f t="shared" si="912"/>
        <v>239.8291925</v>
      </c>
      <c r="BK1002" s="224">
        <f t="shared" si="913"/>
        <v>191.863354</v>
      </c>
      <c r="BL1002" s="49"/>
      <c r="BM1002" s="49"/>
      <c r="BN1002" s="49"/>
      <c r="BO1002" s="49"/>
      <c r="BP1002" s="49"/>
      <c r="BQ1002" s="49"/>
      <c r="BR1002" s="49"/>
      <c r="BS1002" s="49"/>
      <c r="BT1002" s="49"/>
      <c r="BU1002" s="49"/>
      <c r="BV1002" s="49"/>
      <c r="BW1002" s="49"/>
      <c r="BX1002" s="49"/>
      <c r="BY1002" s="49"/>
      <c r="BZ1002" s="49"/>
      <c r="CA1002" s="49"/>
      <c r="CB1002" s="49"/>
      <c r="CC1002" s="49"/>
      <c r="CD1002" s="49"/>
      <c r="CE1002" s="49"/>
      <c r="CF1002" s="49"/>
    </row>
    <row r="1003" ht="14.25" customHeight="1">
      <c r="A1003" s="103" t="s">
        <v>84</v>
      </c>
      <c r="B1003" s="103" t="s">
        <v>120</v>
      </c>
      <c r="C1003" s="103" t="s">
        <v>120</v>
      </c>
      <c r="D1003" s="103" t="s">
        <v>1886</v>
      </c>
      <c r="E1003" s="109" t="s">
        <v>2920</v>
      </c>
      <c r="F1003" s="105" t="s">
        <v>3185</v>
      </c>
      <c r="G1003" s="110" t="s">
        <v>3075</v>
      </c>
      <c r="H1003" s="110"/>
      <c r="I1003" s="107"/>
      <c r="J1003" s="108" t="s">
        <v>3513</v>
      </c>
      <c r="K1003" s="108" t="str">
        <f>_xlfn.XLOOKUP(J1003,[1]Sheet1!$A:$A,[1]Sheet1!$B:$B,"")</f>
        <v>#ERROR!</v>
      </c>
      <c r="L1003" s="109" t="s">
        <v>3514</v>
      </c>
      <c r="M1003" s="104" t="s">
        <v>3515</v>
      </c>
      <c r="N1003" s="110"/>
      <c r="O1003" s="109" t="s">
        <v>147</v>
      </c>
      <c r="P1003" s="106"/>
      <c r="Q1003" s="105" t="s">
        <v>3081</v>
      </c>
      <c r="R1003" s="106"/>
      <c r="S1003" s="106"/>
      <c r="T1003" s="110"/>
      <c r="U1003" s="106">
        <v>9.403208E9</v>
      </c>
      <c r="V1003" s="112">
        <v>0.0</v>
      </c>
      <c r="W1003" s="106">
        <v>45.0</v>
      </c>
      <c r="X1003" s="106">
        <v>45.0</v>
      </c>
      <c r="Y1003" s="106"/>
      <c r="Z1003" s="106" t="s">
        <v>99</v>
      </c>
      <c r="AA1003" s="114">
        <f t="shared" si="891"/>
        <v>167.6400929</v>
      </c>
      <c r="AB1003" s="115"/>
      <c r="AC1003" s="212">
        <f t="shared" si="892"/>
        <v>146.2267081</v>
      </c>
      <c r="AD1003" s="213">
        <f t="shared" si="799"/>
        <v>157.2330194</v>
      </c>
      <c r="AE1003" s="212"/>
      <c r="AF1003" s="212" t="str">
        <f t="shared" si="94"/>
        <v>#REF!</v>
      </c>
      <c r="AG1003" s="210" t="str">
        <f t="shared" si="95"/>
        <v>#REF!</v>
      </c>
      <c r="AH1003" s="120" t="str">
        <f t="shared" si="96"/>
        <v>#REF!</v>
      </c>
      <c r="AI1003" s="121">
        <f t="shared" si="893"/>
        <v>0.05</v>
      </c>
      <c r="AJ1003" s="121">
        <v>0.05</v>
      </c>
      <c r="AK1003" s="418">
        <v>0.3</v>
      </c>
      <c r="AL1003" s="123">
        <f t="shared" si="11"/>
        <v>43.86801242</v>
      </c>
      <c r="AM1003" s="401" t="s">
        <v>10</v>
      </c>
      <c r="AN1003" s="125">
        <f t="shared" si="894"/>
        <v>146.2267081</v>
      </c>
      <c r="AO1003" s="402">
        <f t="shared" si="895"/>
        <v>0.3</v>
      </c>
      <c r="AP1003" s="127"/>
      <c r="AQ1003" s="128">
        <f t="shared" si="896"/>
        <v>113.9952632</v>
      </c>
      <c r="AR1003" s="404">
        <f t="shared" si="897"/>
        <v>107.7459954</v>
      </c>
      <c r="AS1003" s="405">
        <f t="shared" si="898"/>
        <v>0.32</v>
      </c>
      <c r="AT1003" s="405">
        <f t="shared" si="899"/>
        <v>0.2631578947</v>
      </c>
      <c r="AU1003" s="129"/>
      <c r="AV1003" s="225" t="s">
        <v>3024</v>
      </c>
      <c r="AW1003" s="416"/>
      <c r="AX1003" s="416"/>
      <c r="AY1003" s="361"/>
      <c r="AZ1003" s="214"/>
      <c r="BA1003" s="214"/>
      <c r="BB1003" s="227"/>
      <c r="BC1003" s="412">
        <v>94.17</v>
      </c>
      <c r="BD1003" s="132">
        <f t="shared" si="905"/>
        <v>102.3586957</v>
      </c>
      <c r="BE1003" s="215"/>
      <c r="BF1003" s="48"/>
      <c r="BG1003" s="49"/>
      <c r="BH1003" s="224">
        <f t="shared" si="910"/>
        <v>487.4223602</v>
      </c>
      <c r="BI1003" s="224">
        <f t="shared" si="911"/>
        <v>292.4534161</v>
      </c>
      <c r="BJ1003" s="224">
        <f t="shared" si="912"/>
        <v>243.7111801</v>
      </c>
      <c r="BK1003" s="224">
        <f t="shared" si="913"/>
        <v>194.9689441</v>
      </c>
      <c r="BL1003" s="49"/>
      <c r="BM1003" s="49"/>
      <c r="BN1003" s="49"/>
      <c r="BO1003" s="49"/>
      <c r="BP1003" s="49"/>
      <c r="BQ1003" s="49"/>
      <c r="BR1003" s="49"/>
      <c r="BS1003" s="49"/>
      <c r="BT1003" s="49"/>
      <c r="BU1003" s="49"/>
      <c r="BV1003" s="49"/>
      <c r="BW1003" s="49"/>
      <c r="BX1003" s="49"/>
      <c r="BY1003" s="49"/>
      <c r="BZ1003" s="49"/>
      <c r="CA1003" s="49"/>
      <c r="CB1003" s="49"/>
      <c r="CC1003" s="49"/>
      <c r="CD1003" s="49"/>
      <c r="CE1003" s="49"/>
      <c r="CF1003" s="49"/>
    </row>
    <row r="1004" ht="14.25" customHeight="1">
      <c r="A1004" s="103" t="s">
        <v>84</v>
      </c>
      <c r="B1004" s="103" t="s">
        <v>120</v>
      </c>
      <c r="C1004" s="103" t="s">
        <v>120</v>
      </c>
      <c r="D1004" s="103" t="s">
        <v>1886</v>
      </c>
      <c r="E1004" s="109" t="s">
        <v>2920</v>
      </c>
      <c r="F1004" s="105" t="s">
        <v>3185</v>
      </c>
      <c r="G1004" s="110" t="s">
        <v>3075</v>
      </c>
      <c r="H1004" s="110"/>
      <c r="I1004" s="107"/>
      <c r="J1004" s="108" t="s">
        <v>3516</v>
      </c>
      <c r="K1004" s="108" t="str">
        <f>_xlfn.XLOOKUP(J1004,[1]Sheet1!$A:$A,[1]Sheet1!$B:$B,"")</f>
        <v>#ERROR!</v>
      </c>
      <c r="L1004" s="109" t="s">
        <v>3517</v>
      </c>
      <c r="M1004" s="104" t="s">
        <v>3518</v>
      </c>
      <c r="N1004" s="110"/>
      <c r="O1004" s="109" t="s">
        <v>147</v>
      </c>
      <c r="P1004" s="106"/>
      <c r="Q1004" s="105" t="s">
        <v>3081</v>
      </c>
      <c r="R1004" s="106"/>
      <c r="S1004" s="106"/>
      <c r="T1004" s="110"/>
      <c r="U1004" s="106">
        <v>9.403208E9</v>
      </c>
      <c r="V1004" s="112">
        <v>0.0</v>
      </c>
      <c r="W1004" s="106">
        <v>45.0</v>
      </c>
      <c r="X1004" s="106">
        <v>45.0</v>
      </c>
      <c r="Y1004" s="106"/>
      <c r="Z1004" s="106" t="s">
        <v>99</v>
      </c>
      <c r="AA1004" s="114">
        <f t="shared" si="891"/>
        <v>186.9195046</v>
      </c>
      <c r="AB1004" s="115"/>
      <c r="AC1004" s="212">
        <f t="shared" si="892"/>
        <v>163.0434783</v>
      </c>
      <c r="AD1004" s="213">
        <f t="shared" si="799"/>
        <v>175.315568</v>
      </c>
      <c r="AE1004" s="212"/>
      <c r="AF1004" s="212" t="str">
        <f t="shared" si="94"/>
        <v>#REF!</v>
      </c>
      <c r="AG1004" s="210" t="str">
        <f t="shared" si="95"/>
        <v>#REF!</v>
      </c>
      <c r="AH1004" s="120" t="str">
        <f t="shared" si="96"/>
        <v>#REF!</v>
      </c>
      <c r="AI1004" s="121">
        <f t="shared" si="893"/>
        <v>0.05</v>
      </c>
      <c r="AJ1004" s="121">
        <v>0.05</v>
      </c>
      <c r="AK1004" s="418">
        <v>0.3</v>
      </c>
      <c r="AL1004" s="123">
        <f t="shared" si="11"/>
        <v>48.91304348</v>
      </c>
      <c r="AM1004" s="401" t="s">
        <v>10</v>
      </c>
      <c r="AN1004" s="125">
        <f t="shared" si="894"/>
        <v>163.0434783</v>
      </c>
      <c r="AO1004" s="402">
        <f t="shared" si="895"/>
        <v>0.3</v>
      </c>
      <c r="AP1004" s="127"/>
      <c r="AQ1004" s="128">
        <f t="shared" si="896"/>
        <v>127.1052632</v>
      </c>
      <c r="AR1004" s="404">
        <f t="shared" si="897"/>
        <v>120.1372998</v>
      </c>
      <c r="AS1004" s="405">
        <f t="shared" si="898"/>
        <v>0.32</v>
      </c>
      <c r="AT1004" s="405">
        <f t="shared" si="899"/>
        <v>0.2631578947</v>
      </c>
      <c r="AU1004" s="129"/>
      <c r="AV1004" s="225" t="s">
        <v>3024</v>
      </c>
      <c r="AW1004" s="416"/>
      <c r="AX1004" s="416"/>
      <c r="AY1004" s="361"/>
      <c r="AZ1004" s="214"/>
      <c r="BA1004" s="214"/>
      <c r="BB1004" s="227"/>
      <c r="BC1004" s="412">
        <v>105.0</v>
      </c>
      <c r="BD1004" s="132">
        <f t="shared" si="905"/>
        <v>114.1304348</v>
      </c>
      <c r="BE1004" s="215"/>
      <c r="BF1004" s="48"/>
      <c r="BG1004" s="49"/>
      <c r="BH1004" s="224">
        <f t="shared" si="910"/>
        <v>543.4782609</v>
      </c>
      <c r="BI1004" s="224">
        <f t="shared" si="911"/>
        <v>326.0869565</v>
      </c>
      <c r="BJ1004" s="224">
        <f t="shared" si="912"/>
        <v>271.7391304</v>
      </c>
      <c r="BK1004" s="224">
        <f t="shared" si="913"/>
        <v>217.3913043</v>
      </c>
      <c r="BL1004" s="49"/>
      <c r="BM1004" s="49"/>
      <c r="BN1004" s="49"/>
      <c r="BO1004" s="49"/>
      <c r="BP1004" s="49"/>
      <c r="BQ1004" s="49"/>
      <c r="BR1004" s="49"/>
      <c r="BS1004" s="49"/>
      <c r="BT1004" s="49"/>
      <c r="BU1004" s="49"/>
      <c r="BV1004" s="49"/>
      <c r="BW1004" s="49"/>
      <c r="BX1004" s="49"/>
      <c r="BY1004" s="49"/>
      <c r="BZ1004" s="49"/>
      <c r="CA1004" s="49"/>
      <c r="CB1004" s="49"/>
      <c r="CC1004" s="49"/>
      <c r="CD1004" s="49"/>
      <c r="CE1004" s="49"/>
      <c r="CF1004" s="49"/>
    </row>
    <row r="1005" ht="14.25" customHeight="1">
      <c r="A1005" s="103" t="s">
        <v>84</v>
      </c>
      <c r="B1005" s="103" t="s">
        <v>120</v>
      </c>
      <c r="C1005" s="103" t="s">
        <v>120</v>
      </c>
      <c r="D1005" s="103" t="s">
        <v>1886</v>
      </c>
      <c r="E1005" s="109" t="s">
        <v>2920</v>
      </c>
      <c r="F1005" s="105" t="s">
        <v>3185</v>
      </c>
      <c r="G1005" s="110" t="s">
        <v>3075</v>
      </c>
      <c r="H1005" s="110"/>
      <c r="I1005" s="107"/>
      <c r="J1005" s="108" t="s">
        <v>3519</v>
      </c>
      <c r="K1005" s="108" t="str">
        <f>_xlfn.XLOOKUP(J1005,[1]Sheet1!$A:$A,[1]Sheet1!$B:$B,"")</f>
        <v>#ERROR!</v>
      </c>
      <c r="L1005" s="109" t="s">
        <v>3520</v>
      </c>
      <c r="M1005" s="104" t="s">
        <v>3521</v>
      </c>
      <c r="N1005" s="110"/>
      <c r="O1005" s="109" t="s">
        <v>147</v>
      </c>
      <c r="P1005" s="106"/>
      <c r="Q1005" s="105" t="s">
        <v>3081</v>
      </c>
      <c r="R1005" s="106"/>
      <c r="S1005" s="106"/>
      <c r="T1005" s="110"/>
      <c r="U1005" s="106">
        <v>9.403208E9</v>
      </c>
      <c r="V1005" s="112">
        <v>0.0</v>
      </c>
      <c r="W1005" s="106">
        <v>45.0</v>
      </c>
      <c r="X1005" s="106">
        <v>45.0</v>
      </c>
      <c r="Y1005" s="106"/>
      <c r="Z1005" s="106" t="s">
        <v>99</v>
      </c>
      <c r="AA1005" s="114">
        <f t="shared" si="891"/>
        <v>193.3637771</v>
      </c>
      <c r="AB1005" s="115"/>
      <c r="AC1005" s="212">
        <f t="shared" si="892"/>
        <v>168.6645963</v>
      </c>
      <c r="AD1005" s="213">
        <f t="shared" si="799"/>
        <v>181.3597809</v>
      </c>
      <c r="AE1005" s="212"/>
      <c r="AF1005" s="212" t="str">
        <f t="shared" si="94"/>
        <v>#REF!</v>
      </c>
      <c r="AG1005" s="210" t="str">
        <f t="shared" si="95"/>
        <v>#REF!</v>
      </c>
      <c r="AH1005" s="120" t="str">
        <f t="shared" si="96"/>
        <v>#REF!</v>
      </c>
      <c r="AI1005" s="121">
        <f t="shared" si="893"/>
        <v>0.05</v>
      </c>
      <c r="AJ1005" s="121">
        <v>0.05</v>
      </c>
      <c r="AK1005" s="418">
        <v>0.3</v>
      </c>
      <c r="AL1005" s="123">
        <f t="shared" si="11"/>
        <v>50.59937888</v>
      </c>
      <c r="AM1005" s="401" t="s">
        <v>10</v>
      </c>
      <c r="AN1005" s="125">
        <f t="shared" si="894"/>
        <v>168.6645963</v>
      </c>
      <c r="AO1005" s="402">
        <f t="shared" si="895"/>
        <v>0.3</v>
      </c>
      <c r="AP1005" s="127"/>
      <c r="AQ1005" s="128">
        <f t="shared" si="896"/>
        <v>131.4873684</v>
      </c>
      <c r="AR1005" s="404">
        <f t="shared" si="897"/>
        <v>124.2791762</v>
      </c>
      <c r="AS1005" s="405">
        <f t="shared" si="898"/>
        <v>0.32</v>
      </c>
      <c r="AT1005" s="405">
        <f t="shared" si="899"/>
        <v>0.2631578947</v>
      </c>
      <c r="AU1005" s="129"/>
      <c r="AV1005" s="225" t="s">
        <v>3024</v>
      </c>
      <c r="AW1005" s="416"/>
      <c r="AX1005" s="416"/>
      <c r="AY1005" s="361"/>
      <c r="AZ1005" s="214"/>
      <c r="BA1005" s="214"/>
      <c r="BB1005" s="227"/>
      <c r="BC1005" s="412">
        <v>108.62</v>
      </c>
      <c r="BD1005" s="132">
        <f t="shared" si="905"/>
        <v>118.0652174</v>
      </c>
      <c r="BE1005" s="215"/>
      <c r="BF1005" s="48"/>
      <c r="BG1005" s="49"/>
      <c r="BH1005" s="224">
        <f t="shared" si="910"/>
        <v>562.2153209</v>
      </c>
      <c r="BI1005" s="224">
        <f t="shared" si="911"/>
        <v>337.3291925</v>
      </c>
      <c r="BJ1005" s="224">
        <f t="shared" si="912"/>
        <v>281.1076605</v>
      </c>
      <c r="BK1005" s="224">
        <f t="shared" si="913"/>
        <v>224.8861284</v>
      </c>
      <c r="BL1005" s="49"/>
      <c r="BM1005" s="49"/>
      <c r="BN1005" s="49"/>
      <c r="BO1005" s="49"/>
      <c r="BP1005" s="49"/>
      <c r="BQ1005" s="49"/>
      <c r="BR1005" s="49"/>
      <c r="BS1005" s="49"/>
      <c r="BT1005" s="49"/>
      <c r="BU1005" s="49"/>
      <c r="BV1005" s="49"/>
      <c r="BW1005" s="49"/>
      <c r="BX1005" s="49"/>
      <c r="BY1005" s="49"/>
      <c r="BZ1005" s="49"/>
      <c r="CA1005" s="49"/>
      <c r="CB1005" s="49"/>
      <c r="CC1005" s="49"/>
      <c r="CD1005" s="49"/>
      <c r="CE1005" s="49"/>
      <c r="CF1005" s="49"/>
    </row>
    <row r="1006" ht="14.25" customHeight="1">
      <c r="A1006" s="103" t="s">
        <v>84</v>
      </c>
      <c r="B1006" s="103" t="s">
        <v>120</v>
      </c>
      <c r="C1006" s="103" t="s">
        <v>120</v>
      </c>
      <c r="D1006" s="103" t="s">
        <v>1886</v>
      </c>
      <c r="E1006" s="109" t="s">
        <v>2920</v>
      </c>
      <c r="F1006" s="105" t="s">
        <v>3185</v>
      </c>
      <c r="G1006" s="110" t="s">
        <v>3075</v>
      </c>
      <c r="H1006" s="110"/>
      <c r="I1006" s="107"/>
      <c r="J1006" s="108" t="s">
        <v>3522</v>
      </c>
      <c r="K1006" s="108" t="str">
        <f>_xlfn.XLOOKUP(J1006,[1]Sheet1!$A:$A,[1]Sheet1!$B:$B,"")</f>
        <v>#ERROR!</v>
      </c>
      <c r="L1006" s="109" t="s">
        <v>3523</v>
      </c>
      <c r="M1006" s="104" t="s">
        <v>3524</v>
      </c>
      <c r="N1006" s="110"/>
      <c r="O1006" s="109" t="s">
        <v>147</v>
      </c>
      <c r="P1006" s="106"/>
      <c r="Q1006" s="105" t="s">
        <v>3081</v>
      </c>
      <c r="R1006" s="106"/>
      <c r="S1006" s="106"/>
      <c r="T1006" s="110"/>
      <c r="U1006" s="106">
        <v>9.403208E9</v>
      </c>
      <c r="V1006" s="112">
        <v>0.0</v>
      </c>
      <c r="W1006" s="106">
        <v>45.0</v>
      </c>
      <c r="X1006" s="106">
        <v>45.0</v>
      </c>
      <c r="Y1006" s="106"/>
      <c r="Z1006" s="106" t="s">
        <v>99</v>
      </c>
      <c r="AA1006" s="114">
        <f t="shared" si="891"/>
        <v>195.8204334</v>
      </c>
      <c r="AB1006" s="115"/>
      <c r="AC1006" s="212">
        <f t="shared" si="892"/>
        <v>170.8074534</v>
      </c>
      <c r="AD1006" s="213">
        <f t="shared" si="799"/>
        <v>183.6639284</v>
      </c>
      <c r="AE1006" s="212"/>
      <c r="AF1006" s="212" t="str">
        <f t="shared" si="94"/>
        <v>#REF!</v>
      </c>
      <c r="AG1006" s="210" t="str">
        <f t="shared" si="95"/>
        <v>#REF!</v>
      </c>
      <c r="AH1006" s="120" t="str">
        <f t="shared" si="96"/>
        <v>#REF!</v>
      </c>
      <c r="AI1006" s="121">
        <f t="shared" si="893"/>
        <v>0.05</v>
      </c>
      <c r="AJ1006" s="121">
        <v>0.05</v>
      </c>
      <c r="AK1006" s="418">
        <v>0.3</v>
      </c>
      <c r="AL1006" s="123">
        <f t="shared" si="11"/>
        <v>51.24223602</v>
      </c>
      <c r="AM1006" s="401" t="s">
        <v>10</v>
      </c>
      <c r="AN1006" s="125">
        <f t="shared" si="894"/>
        <v>170.8074534</v>
      </c>
      <c r="AO1006" s="402">
        <f t="shared" si="895"/>
        <v>0.3</v>
      </c>
      <c r="AP1006" s="127"/>
      <c r="AQ1006" s="128">
        <f t="shared" si="896"/>
        <v>133.1578947</v>
      </c>
      <c r="AR1006" s="404">
        <f t="shared" si="897"/>
        <v>125.8581236</v>
      </c>
      <c r="AS1006" s="405">
        <f t="shared" si="898"/>
        <v>0.32</v>
      </c>
      <c r="AT1006" s="405">
        <f t="shared" si="899"/>
        <v>0.2631578947</v>
      </c>
      <c r="AU1006" s="129"/>
      <c r="AV1006" s="225" t="s">
        <v>3024</v>
      </c>
      <c r="AW1006" s="416"/>
      <c r="AX1006" s="416"/>
      <c r="AY1006" s="361"/>
      <c r="AZ1006" s="214"/>
      <c r="BA1006" s="214"/>
      <c r="BB1006" s="227"/>
      <c r="BC1006" s="412">
        <v>110.0</v>
      </c>
      <c r="BD1006" s="132">
        <f t="shared" si="905"/>
        <v>119.5652174</v>
      </c>
      <c r="BE1006" s="215"/>
      <c r="BF1006" s="48"/>
      <c r="BG1006" s="49"/>
      <c r="BH1006" s="224">
        <f t="shared" si="910"/>
        <v>569.3581781</v>
      </c>
      <c r="BI1006" s="224">
        <f t="shared" si="911"/>
        <v>341.6149068</v>
      </c>
      <c r="BJ1006" s="224">
        <f t="shared" si="912"/>
        <v>284.679089</v>
      </c>
      <c r="BK1006" s="224">
        <f t="shared" si="913"/>
        <v>227.7432712</v>
      </c>
      <c r="BL1006" s="49"/>
      <c r="BM1006" s="49"/>
      <c r="BN1006" s="49"/>
      <c r="BO1006" s="49"/>
      <c r="BP1006" s="49"/>
      <c r="BQ1006" s="49"/>
      <c r="BR1006" s="49"/>
      <c r="BS1006" s="49"/>
      <c r="BT1006" s="49"/>
      <c r="BU1006" s="49"/>
      <c r="BV1006" s="49"/>
      <c r="BW1006" s="49"/>
      <c r="BX1006" s="49"/>
      <c r="BY1006" s="49"/>
      <c r="BZ1006" s="49"/>
      <c r="CA1006" s="49"/>
      <c r="CB1006" s="49"/>
      <c r="CC1006" s="49"/>
      <c r="CD1006" s="49"/>
      <c r="CE1006" s="49"/>
      <c r="CF1006" s="49"/>
    </row>
    <row r="1007" ht="14.25" customHeight="1">
      <c r="A1007" s="103" t="s">
        <v>84</v>
      </c>
      <c r="B1007" s="103" t="s">
        <v>120</v>
      </c>
      <c r="C1007" s="103" t="s">
        <v>120</v>
      </c>
      <c r="D1007" s="103" t="s">
        <v>1886</v>
      </c>
      <c r="E1007" s="109" t="s">
        <v>2920</v>
      </c>
      <c r="F1007" s="105" t="s">
        <v>3185</v>
      </c>
      <c r="G1007" s="110" t="s">
        <v>3075</v>
      </c>
      <c r="H1007" s="110"/>
      <c r="I1007" s="107"/>
      <c r="J1007" s="108" t="s">
        <v>3525</v>
      </c>
      <c r="K1007" s="108" t="str">
        <f>_xlfn.XLOOKUP(J1007,[1]Sheet1!$A:$A,[1]Sheet1!$B:$B,"")</f>
        <v>#ERROR!</v>
      </c>
      <c r="L1007" s="109" t="s">
        <v>3526</v>
      </c>
      <c r="M1007" s="104" t="s">
        <v>3527</v>
      </c>
      <c r="N1007" s="110"/>
      <c r="O1007" s="109" t="s">
        <v>147</v>
      </c>
      <c r="P1007" s="106"/>
      <c r="Q1007" s="105" t="s">
        <v>3081</v>
      </c>
      <c r="R1007" s="106"/>
      <c r="S1007" s="106"/>
      <c r="T1007" s="110"/>
      <c r="U1007" s="106">
        <v>9.403208E9</v>
      </c>
      <c r="V1007" s="112">
        <v>0.0</v>
      </c>
      <c r="W1007" s="106">
        <v>45.0</v>
      </c>
      <c r="X1007" s="106">
        <v>45.0</v>
      </c>
      <c r="Y1007" s="106"/>
      <c r="Z1007" s="106" t="s">
        <v>99</v>
      </c>
      <c r="AA1007" s="114">
        <f t="shared" si="891"/>
        <v>215.6160991</v>
      </c>
      <c r="AB1007" s="115"/>
      <c r="AC1007" s="212">
        <f t="shared" si="892"/>
        <v>188.0745342</v>
      </c>
      <c r="AD1007" s="213">
        <f t="shared" si="799"/>
        <v>202.2306819</v>
      </c>
      <c r="AE1007" s="212"/>
      <c r="AF1007" s="212" t="str">
        <f t="shared" si="94"/>
        <v>#REF!</v>
      </c>
      <c r="AG1007" s="210" t="str">
        <f t="shared" si="95"/>
        <v>#REF!</v>
      </c>
      <c r="AH1007" s="120" t="str">
        <f t="shared" si="96"/>
        <v>#REF!</v>
      </c>
      <c r="AI1007" s="121">
        <f t="shared" si="893"/>
        <v>0.05</v>
      </c>
      <c r="AJ1007" s="121">
        <v>0.05</v>
      </c>
      <c r="AK1007" s="418">
        <v>0.3</v>
      </c>
      <c r="AL1007" s="123">
        <f t="shared" si="11"/>
        <v>56.42236025</v>
      </c>
      <c r="AM1007" s="401" t="s">
        <v>10</v>
      </c>
      <c r="AN1007" s="125">
        <f t="shared" si="894"/>
        <v>188.0745342</v>
      </c>
      <c r="AO1007" s="402">
        <f t="shared" si="895"/>
        <v>0.3</v>
      </c>
      <c r="AP1007" s="127"/>
      <c r="AQ1007" s="128">
        <f t="shared" si="896"/>
        <v>146.6189474</v>
      </c>
      <c r="AR1007" s="404">
        <f t="shared" si="897"/>
        <v>138.5812357</v>
      </c>
      <c r="AS1007" s="405">
        <f t="shared" si="898"/>
        <v>0.32</v>
      </c>
      <c r="AT1007" s="405">
        <f t="shared" si="899"/>
        <v>0.2631578947</v>
      </c>
      <c r="AU1007" s="129"/>
      <c r="AV1007" s="225" t="s">
        <v>3024</v>
      </c>
      <c r="AW1007" s="416"/>
      <c r="AX1007" s="416"/>
      <c r="AY1007" s="361"/>
      <c r="AZ1007" s="214"/>
      <c r="BA1007" s="214"/>
      <c r="BB1007" s="227"/>
      <c r="BC1007" s="412">
        <v>121.12</v>
      </c>
      <c r="BD1007" s="132">
        <f t="shared" si="905"/>
        <v>131.6521739</v>
      </c>
      <c r="BE1007" s="215"/>
      <c r="BF1007" s="48"/>
      <c r="BG1007" s="49"/>
      <c r="BH1007" s="224">
        <f t="shared" si="910"/>
        <v>626.9151139</v>
      </c>
      <c r="BI1007" s="224">
        <f t="shared" si="911"/>
        <v>376.1490683</v>
      </c>
      <c r="BJ1007" s="224">
        <f t="shared" si="912"/>
        <v>313.4575569</v>
      </c>
      <c r="BK1007" s="224">
        <f t="shared" si="913"/>
        <v>250.7660455</v>
      </c>
      <c r="BL1007" s="49"/>
      <c r="BM1007" s="49"/>
      <c r="BN1007" s="49"/>
      <c r="BO1007" s="49"/>
      <c r="BP1007" s="49"/>
      <c r="BQ1007" s="49"/>
      <c r="BR1007" s="49"/>
      <c r="BS1007" s="49"/>
      <c r="BT1007" s="49"/>
      <c r="BU1007" s="49"/>
      <c r="BV1007" s="49"/>
      <c r="BW1007" s="49"/>
      <c r="BX1007" s="49"/>
      <c r="BY1007" s="49"/>
      <c r="BZ1007" s="49"/>
      <c r="CA1007" s="49"/>
      <c r="CB1007" s="49"/>
      <c r="CC1007" s="49"/>
      <c r="CD1007" s="49"/>
      <c r="CE1007" s="49"/>
      <c r="CF1007" s="49"/>
    </row>
    <row r="1008" ht="14.25" customHeight="1">
      <c r="A1008" s="103" t="s">
        <v>84</v>
      </c>
      <c r="B1008" s="103" t="s">
        <v>120</v>
      </c>
      <c r="C1008" s="103" t="s">
        <v>120</v>
      </c>
      <c r="D1008" s="103" t="s">
        <v>1886</v>
      </c>
      <c r="E1008" s="109" t="s">
        <v>2920</v>
      </c>
      <c r="F1008" s="105" t="s">
        <v>3185</v>
      </c>
      <c r="G1008" s="110" t="s">
        <v>3075</v>
      </c>
      <c r="H1008" s="110"/>
      <c r="I1008" s="107"/>
      <c r="J1008" s="108" t="s">
        <v>3528</v>
      </c>
      <c r="K1008" s="108" t="str">
        <f>_xlfn.XLOOKUP(J1008,[1]Sheet1!$A:$A,[1]Sheet1!$B:$B,"")</f>
        <v>#ERROR!</v>
      </c>
      <c r="L1008" s="109" t="s">
        <v>3529</v>
      </c>
      <c r="M1008" s="104" t="s">
        <v>3530</v>
      </c>
      <c r="N1008" s="110"/>
      <c r="O1008" s="109" t="s">
        <v>147</v>
      </c>
      <c r="P1008" s="106"/>
      <c r="Q1008" s="105" t="s">
        <v>3081</v>
      </c>
      <c r="R1008" s="106"/>
      <c r="S1008" s="106"/>
      <c r="T1008" s="110"/>
      <c r="U1008" s="106" t="s">
        <v>509</v>
      </c>
      <c r="V1008" s="112">
        <v>0.0</v>
      </c>
      <c r="W1008" s="106">
        <v>45.0</v>
      </c>
      <c r="X1008" s="106">
        <v>45.0</v>
      </c>
      <c r="Y1008" s="106"/>
      <c r="Z1008" s="106" t="s">
        <v>99</v>
      </c>
      <c r="AA1008" s="114">
        <f t="shared" si="891"/>
        <v>40.41021672</v>
      </c>
      <c r="AB1008" s="115"/>
      <c r="AC1008" s="212">
        <f t="shared" si="892"/>
        <v>35.2484472</v>
      </c>
      <c r="AD1008" s="213">
        <f t="shared" si="799"/>
        <v>37.90155613</v>
      </c>
      <c r="AE1008" s="212"/>
      <c r="AF1008" s="212" t="str">
        <f t="shared" si="94"/>
        <v>#REF!</v>
      </c>
      <c r="AG1008" s="210" t="str">
        <f t="shared" si="95"/>
        <v>#REF!</v>
      </c>
      <c r="AH1008" s="120" t="str">
        <f t="shared" si="96"/>
        <v>#REF!</v>
      </c>
      <c r="AI1008" s="121">
        <f t="shared" si="893"/>
        <v>0.05</v>
      </c>
      <c r="AJ1008" s="121">
        <v>0.05</v>
      </c>
      <c r="AK1008" s="418">
        <v>0.3</v>
      </c>
      <c r="AL1008" s="123">
        <f t="shared" si="11"/>
        <v>10.57453416</v>
      </c>
      <c r="AM1008" s="401" t="s">
        <v>10</v>
      </c>
      <c r="AN1008" s="125">
        <f t="shared" si="894"/>
        <v>35.2484472</v>
      </c>
      <c r="AO1008" s="402">
        <f t="shared" si="895"/>
        <v>0.3</v>
      </c>
      <c r="AP1008" s="127"/>
      <c r="AQ1008" s="128">
        <f t="shared" si="896"/>
        <v>27.47894737</v>
      </c>
      <c r="AR1008" s="404">
        <f t="shared" si="897"/>
        <v>25.97254005</v>
      </c>
      <c r="AS1008" s="405">
        <f t="shared" si="898"/>
        <v>0.32</v>
      </c>
      <c r="AT1008" s="405">
        <f t="shared" si="899"/>
        <v>0.2631578947</v>
      </c>
      <c r="AU1008" s="129"/>
      <c r="AV1008" s="225" t="s">
        <v>3024</v>
      </c>
      <c r="AW1008" s="416"/>
      <c r="AX1008" s="416"/>
      <c r="AY1008" s="361"/>
      <c r="AZ1008" s="214"/>
      <c r="BA1008" s="214"/>
      <c r="BB1008" s="227"/>
      <c r="BC1008" s="412">
        <v>22.7</v>
      </c>
      <c r="BD1008" s="132">
        <f t="shared" si="905"/>
        <v>24.67391304</v>
      </c>
      <c r="BE1008" s="215"/>
      <c r="BF1008" s="48"/>
      <c r="BG1008" s="49"/>
      <c r="BH1008" s="224">
        <f t="shared" si="910"/>
        <v>117.494824</v>
      </c>
      <c r="BI1008" s="224">
        <f t="shared" si="911"/>
        <v>70.49689441</v>
      </c>
      <c r="BJ1008" s="224">
        <f t="shared" si="912"/>
        <v>58.74741201</v>
      </c>
      <c r="BK1008" s="224">
        <f t="shared" si="913"/>
        <v>46.99792961</v>
      </c>
      <c r="BL1008" s="49"/>
      <c r="BM1008" s="49"/>
      <c r="BN1008" s="49"/>
      <c r="BO1008" s="49"/>
      <c r="BP1008" s="49"/>
      <c r="BQ1008" s="49"/>
      <c r="BR1008" s="49"/>
      <c r="BS1008" s="49"/>
      <c r="BT1008" s="49"/>
      <c r="BU1008" s="49"/>
      <c r="BV1008" s="49"/>
      <c r="BW1008" s="49"/>
      <c r="BX1008" s="49"/>
      <c r="BY1008" s="49"/>
      <c r="BZ1008" s="49"/>
      <c r="CA1008" s="49"/>
      <c r="CB1008" s="49"/>
      <c r="CC1008" s="49"/>
      <c r="CD1008" s="49"/>
      <c r="CE1008" s="49"/>
      <c r="CF1008" s="49"/>
    </row>
    <row r="1009" ht="14.25" customHeight="1">
      <c r="A1009" s="103" t="s">
        <v>84</v>
      </c>
      <c r="B1009" s="103" t="s">
        <v>120</v>
      </c>
      <c r="C1009" s="103" t="s">
        <v>120</v>
      </c>
      <c r="D1009" s="103" t="s">
        <v>1886</v>
      </c>
      <c r="E1009" s="109" t="s">
        <v>2920</v>
      </c>
      <c r="F1009" s="105" t="s">
        <v>3185</v>
      </c>
      <c r="G1009" s="110" t="s">
        <v>3075</v>
      </c>
      <c r="H1009" s="110"/>
      <c r="I1009" s="107"/>
      <c r="J1009" s="108" t="s">
        <v>3531</v>
      </c>
      <c r="K1009" s="108" t="str">
        <f>_xlfn.XLOOKUP(J1009,[1]Sheet1!$A:$A,[1]Sheet1!$B:$B,"")</f>
        <v>#ERROR!</v>
      </c>
      <c r="L1009" s="109" t="s">
        <v>3532</v>
      </c>
      <c r="M1009" s="104" t="s">
        <v>3533</v>
      </c>
      <c r="N1009" s="110"/>
      <c r="O1009" s="109" t="s">
        <v>147</v>
      </c>
      <c r="P1009" s="106"/>
      <c r="Q1009" s="105" t="s">
        <v>3081</v>
      </c>
      <c r="R1009" s="106"/>
      <c r="S1009" s="106"/>
      <c r="T1009" s="110"/>
      <c r="U1009" s="106" t="s">
        <v>509</v>
      </c>
      <c r="V1009" s="112">
        <v>0.0</v>
      </c>
      <c r="W1009" s="106">
        <v>45.0</v>
      </c>
      <c r="X1009" s="106">
        <v>45.0</v>
      </c>
      <c r="Y1009" s="106"/>
      <c r="Z1009" s="106" t="s">
        <v>99</v>
      </c>
      <c r="AA1009" s="114">
        <f t="shared" si="891"/>
        <v>53.93962848</v>
      </c>
      <c r="AB1009" s="115"/>
      <c r="AC1009" s="212">
        <f t="shared" si="892"/>
        <v>47.04968944</v>
      </c>
      <c r="AD1009" s="213">
        <f t="shared" si="799"/>
        <v>50.59106392</v>
      </c>
      <c r="AE1009" s="212"/>
      <c r="AF1009" s="212" t="str">
        <f t="shared" si="94"/>
        <v>#REF!</v>
      </c>
      <c r="AG1009" s="210" t="str">
        <f t="shared" si="95"/>
        <v>#REF!</v>
      </c>
      <c r="AH1009" s="120" t="str">
        <f t="shared" si="96"/>
        <v>#REF!</v>
      </c>
      <c r="AI1009" s="121">
        <f t="shared" si="893"/>
        <v>0.05</v>
      </c>
      <c r="AJ1009" s="121">
        <v>0.05</v>
      </c>
      <c r="AK1009" s="418">
        <v>0.3</v>
      </c>
      <c r="AL1009" s="123">
        <f t="shared" si="11"/>
        <v>14.11490683</v>
      </c>
      <c r="AM1009" s="401" t="s">
        <v>10</v>
      </c>
      <c r="AN1009" s="125">
        <f t="shared" si="894"/>
        <v>47.04968944</v>
      </c>
      <c r="AO1009" s="402">
        <f t="shared" si="895"/>
        <v>0.3</v>
      </c>
      <c r="AP1009" s="127"/>
      <c r="AQ1009" s="128">
        <f t="shared" si="896"/>
        <v>36.67894737</v>
      </c>
      <c r="AR1009" s="404">
        <f t="shared" si="897"/>
        <v>34.66819222</v>
      </c>
      <c r="AS1009" s="405">
        <f t="shared" si="898"/>
        <v>0.32</v>
      </c>
      <c r="AT1009" s="405">
        <f t="shared" si="899"/>
        <v>0.2631578947</v>
      </c>
      <c r="AU1009" s="129"/>
      <c r="AV1009" s="225" t="s">
        <v>3024</v>
      </c>
      <c r="AW1009" s="416"/>
      <c r="AX1009" s="416"/>
      <c r="AY1009" s="361"/>
      <c r="AZ1009" s="214"/>
      <c r="BA1009" s="214"/>
      <c r="BB1009" s="227"/>
      <c r="BC1009" s="412">
        <v>30.3</v>
      </c>
      <c r="BD1009" s="132">
        <f t="shared" si="905"/>
        <v>32.93478261</v>
      </c>
      <c r="BE1009" s="215"/>
      <c r="BF1009" s="48"/>
      <c r="BG1009" s="49"/>
      <c r="BH1009" s="224">
        <f t="shared" si="910"/>
        <v>156.8322981</v>
      </c>
      <c r="BI1009" s="224">
        <f t="shared" si="911"/>
        <v>94.09937888</v>
      </c>
      <c r="BJ1009" s="224">
        <f t="shared" si="912"/>
        <v>78.41614907</v>
      </c>
      <c r="BK1009" s="224">
        <f t="shared" si="913"/>
        <v>62.73291925</v>
      </c>
      <c r="BL1009" s="49"/>
      <c r="BM1009" s="49"/>
      <c r="BN1009" s="49"/>
      <c r="BO1009" s="49"/>
      <c r="BP1009" s="49"/>
      <c r="BQ1009" s="49"/>
      <c r="BR1009" s="49"/>
      <c r="BS1009" s="49"/>
      <c r="BT1009" s="49"/>
      <c r="BU1009" s="49"/>
      <c r="BV1009" s="49"/>
      <c r="BW1009" s="49"/>
      <c r="BX1009" s="49"/>
      <c r="BY1009" s="49"/>
      <c r="BZ1009" s="49"/>
      <c r="CA1009" s="49"/>
      <c r="CB1009" s="49"/>
      <c r="CC1009" s="49"/>
      <c r="CD1009" s="49"/>
      <c r="CE1009" s="49"/>
      <c r="CF1009" s="49"/>
    </row>
    <row r="1010" ht="14.25" customHeight="1">
      <c r="A1010" s="103" t="s">
        <v>84</v>
      </c>
      <c r="B1010" s="103" t="s">
        <v>120</v>
      </c>
      <c r="C1010" s="103" t="s">
        <v>120</v>
      </c>
      <c r="D1010" s="103" t="s">
        <v>1886</v>
      </c>
      <c r="E1010" s="109" t="s">
        <v>2920</v>
      </c>
      <c r="F1010" s="105" t="s">
        <v>3534</v>
      </c>
      <c r="G1010" s="110" t="s">
        <v>3535</v>
      </c>
      <c r="H1010" s="110"/>
      <c r="I1010" s="478"/>
      <c r="J1010" s="479" t="s">
        <v>3536</v>
      </c>
      <c r="K1010" s="108" t="s">
        <v>3537</v>
      </c>
      <c r="L1010" s="109" t="s">
        <v>3538</v>
      </c>
      <c r="M1010" s="104" t="s">
        <v>3539</v>
      </c>
      <c r="N1010" s="110"/>
      <c r="O1010" s="109" t="s">
        <v>147</v>
      </c>
      <c r="P1010" s="106"/>
      <c r="Q1010" s="105" t="s">
        <v>3081</v>
      </c>
      <c r="R1010" s="106"/>
      <c r="S1010" s="106"/>
      <c r="T1010" s="110"/>
      <c r="U1010" s="106">
        <v>9.403208E9</v>
      </c>
      <c r="V1010" s="112">
        <v>0.0</v>
      </c>
      <c r="W1010" s="106">
        <v>45.0</v>
      </c>
      <c r="X1010" s="106">
        <v>45.0</v>
      </c>
      <c r="Y1010" s="106"/>
      <c r="Z1010" s="106" t="s">
        <v>99</v>
      </c>
      <c r="AA1010" s="114" t="str">
        <f t="shared" si="891"/>
        <v>#REF!</v>
      </c>
      <c r="AB1010" s="115"/>
      <c r="AC1010" s="212" t="str">
        <f t="shared" si="892"/>
        <v>#REF!</v>
      </c>
      <c r="AD1010" s="213" t="str">
        <f t="shared" si="799"/>
        <v>#REF!</v>
      </c>
      <c r="AE1010" s="212"/>
      <c r="AF1010" s="212" t="str">
        <f t="shared" si="94"/>
        <v>#REF!</v>
      </c>
      <c r="AG1010" s="210" t="str">
        <f t="shared" si="95"/>
        <v>#REF!</v>
      </c>
      <c r="AH1010" s="120" t="str">
        <f t="shared" si="96"/>
        <v>#REF!</v>
      </c>
      <c r="AI1010" s="121">
        <f t="shared" si="893"/>
        <v>0.05</v>
      </c>
      <c r="AJ1010" s="121">
        <v>0.05</v>
      </c>
      <c r="AK1010" s="418">
        <v>0.18</v>
      </c>
      <c r="AL1010" s="123" t="str">
        <f t="shared" si="11"/>
        <v>#REF!</v>
      </c>
      <c r="AM1010" s="401" t="s">
        <v>10</v>
      </c>
      <c r="AN1010" s="125" t="str">
        <f t="shared" si="894"/>
        <v>#REF!</v>
      </c>
      <c r="AO1010" s="402" t="str">
        <f t="shared" si="895"/>
        <v>#REF!</v>
      </c>
      <c r="AP1010" s="127"/>
      <c r="AQ1010" s="128" t="str">
        <f t="shared" si="896"/>
        <v>#REF!</v>
      </c>
      <c r="AR1010" s="404" t="str">
        <f t="shared" si="897"/>
        <v>#REF!</v>
      </c>
      <c r="AS1010" s="405" t="str">
        <f t="shared" si="898"/>
        <v>#REF!</v>
      </c>
      <c r="AT1010" s="405" t="str">
        <f t="shared" si="899"/>
        <v>#REF!</v>
      </c>
      <c r="AU1010" s="129"/>
      <c r="AV1010" s="225" t="s">
        <v>3024</v>
      </c>
      <c r="AW1010" s="416"/>
      <c r="AX1010" s="416"/>
      <c r="AY1010" s="361"/>
      <c r="AZ1010" s="214"/>
      <c r="BA1010" s="214"/>
      <c r="BB1010" s="227"/>
      <c r="BC1010" s="412" t="str">
        <f t="shared" ref="BC1010:BC1056" si="914">VLOOKUP(J1010,'[6]RACKS &amp; OPEN RACKS'!$B$6:$J$60,9,FALSE)</f>
        <v>#REF!</v>
      </c>
      <c r="BD1010" s="132" t="str">
        <f t="shared" si="905"/>
        <v>#REF!</v>
      </c>
      <c r="BE1010" s="215"/>
      <c r="BF1010" s="48"/>
      <c r="BG1010" s="49"/>
      <c r="BH1010" s="224" t="str">
        <f t="shared" si="910"/>
        <v>#REF!</v>
      </c>
      <c r="BI1010" s="224" t="str">
        <f t="shared" si="911"/>
        <v>#REF!</v>
      </c>
      <c r="BJ1010" s="224" t="str">
        <f t="shared" si="912"/>
        <v>#REF!</v>
      </c>
      <c r="BK1010" s="224" t="str">
        <f t="shared" si="913"/>
        <v>#REF!</v>
      </c>
      <c r="BL1010" s="49"/>
      <c r="BM1010" s="49"/>
      <c r="BN1010" s="49"/>
      <c r="BO1010" s="49"/>
      <c r="BP1010" s="49"/>
      <c r="BQ1010" s="49"/>
      <c r="BR1010" s="49"/>
      <c r="BS1010" s="49"/>
      <c r="BT1010" s="49"/>
      <c r="BU1010" s="49"/>
      <c r="BV1010" s="49"/>
      <c r="BW1010" s="49"/>
      <c r="BX1010" s="49"/>
      <c r="BY1010" s="49"/>
      <c r="BZ1010" s="49"/>
      <c r="CA1010" s="49"/>
      <c r="CB1010" s="49"/>
      <c r="CC1010" s="49"/>
      <c r="CD1010" s="49"/>
      <c r="CE1010" s="49"/>
      <c r="CF1010" s="49"/>
    </row>
    <row r="1011" ht="14.25" customHeight="1">
      <c r="A1011" s="103" t="s">
        <v>84</v>
      </c>
      <c r="B1011" s="103" t="s">
        <v>120</v>
      </c>
      <c r="C1011" s="103" t="s">
        <v>120</v>
      </c>
      <c r="D1011" s="103" t="s">
        <v>1886</v>
      </c>
      <c r="E1011" s="109" t="s">
        <v>2920</v>
      </c>
      <c r="F1011" s="105" t="s">
        <v>3534</v>
      </c>
      <c r="G1011" s="110" t="s">
        <v>3490</v>
      </c>
      <c r="H1011" s="110"/>
      <c r="I1011" s="478"/>
      <c r="J1011" s="479" t="s">
        <v>3540</v>
      </c>
      <c r="K1011" s="108"/>
      <c r="L1011" s="109" t="s">
        <v>3541</v>
      </c>
      <c r="M1011" s="104" t="s">
        <v>3542</v>
      </c>
      <c r="N1011" s="110"/>
      <c r="O1011" s="109" t="s">
        <v>147</v>
      </c>
      <c r="P1011" s="106"/>
      <c r="Q1011" s="105" t="s">
        <v>3081</v>
      </c>
      <c r="R1011" s="106"/>
      <c r="S1011" s="106"/>
      <c r="T1011" s="110"/>
      <c r="U1011" s="106">
        <v>9.403208E9</v>
      </c>
      <c r="V1011" s="112">
        <v>0.0</v>
      </c>
      <c r="W1011" s="106">
        <v>45.0</v>
      </c>
      <c r="X1011" s="106">
        <v>45.0</v>
      </c>
      <c r="Y1011" s="106"/>
      <c r="Z1011" s="106" t="s">
        <v>99</v>
      </c>
      <c r="AA1011" s="114" t="str">
        <f t="shared" si="891"/>
        <v>#REF!</v>
      </c>
      <c r="AB1011" s="115"/>
      <c r="AC1011" s="212" t="str">
        <f t="shared" si="892"/>
        <v>#REF!</v>
      </c>
      <c r="AD1011" s="213" t="str">
        <f t="shared" si="799"/>
        <v>#REF!</v>
      </c>
      <c r="AE1011" s="212"/>
      <c r="AF1011" s="212" t="str">
        <f t="shared" si="94"/>
        <v>#REF!</v>
      </c>
      <c r="AG1011" s="210" t="str">
        <f t="shared" si="95"/>
        <v>#REF!</v>
      </c>
      <c r="AH1011" s="120" t="str">
        <f t="shared" si="96"/>
        <v>#REF!</v>
      </c>
      <c r="AI1011" s="121">
        <f t="shared" si="893"/>
        <v>0.05</v>
      </c>
      <c r="AJ1011" s="121">
        <v>0.05</v>
      </c>
      <c r="AK1011" s="418">
        <v>0.18</v>
      </c>
      <c r="AL1011" s="123" t="str">
        <f t="shared" si="11"/>
        <v>#REF!</v>
      </c>
      <c r="AM1011" s="401" t="s">
        <v>10</v>
      </c>
      <c r="AN1011" s="125" t="str">
        <f t="shared" si="894"/>
        <v>#REF!</v>
      </c>
      <c r="AO1011" s="402" t="str">
        <f t="shared" si="895"/>
        <v>#REF!</v>
      </c>
      <c r="AP1011" s="127"/>
      <c r="AQ1011" s="128" t="str">
        <f t="shared" si="896"/>
        <v>#REF!</v>
      </c>
      <c r="AR1011" s="404" t="str">
        <f t="shared" si="897"/>
        <v>#REF!</v>
      </c>
      <c r="AS1011" s="405" t="str">
        <f t="shared" si="898"/>
        <v>#REF!</v>
      </c>
      <c r="AT1011" s="405" t="str">
        <f t="shared" si="899"/>
        <v>#REF!</v>
      </c>
      <c r="AU1011" s="129"/>
      <c r="AV1011" s="225" t="s">
        <v>3024</v>
      </c>
      <c r="AW1011" s="416"/>
      <c r="AX1011" s="416"/>
      <c r="AY1011" s="361"/>
      <c r="AZ1011" s="214"/>
      <c r="BA1011" s="214"/>
      <c r="BB1011" s="227"/>
      <c r="BC1011" s="412" t="str">
        <f t="shared" si="914"/>
        <v>#REF!</v>
      </c>
      <c r="BD1011" s="132" t="str">
        <f t="shared" si="905"/>
        <v>#REF!</v>
      </c>
      <c r="BE1011" s="215"/>
      <c r="BF1011" s="48"/>
      <c r="BG1011" s="49"/>
      <c r="BH1011" s="224" t="str">
        <f t="shared" si="910"/>
        <v>#REF!</v>
      </c>
      <c r="BI1011" s="224" t="str">
        <f t="shared" si="911"/>
        <v>#REF!</v>
      </c>
      <c r="BJ1011" s="224" t="str">
        <f t="shared" si="912"/>
        <v>#REF!</v>
      </c>
      <c r="BK1011" s="224" t="str">
        <f t="shared" si="913"/>
        <v>#REF!</v>
      </c>
      <c r="BL1011" s="49"/>
      <c r="BM1011" s="49"/>
      <c r="BN1011" s="49"/>
      <c r="BO1011" s="49"/>
      <c r="BP1011" s="49"/>
      <c r="BQ1011" s="49"/>
      <c r="BR1011" s="49"/>
      <c r="BS1011" s="49"/>
      <c r="BT1011" s="49"/>
      <c r="BU1011" s="49"/>
      <c r="BV1011" s="49"/>
      <c r="BW1011" s="49"/>
      <c r="BX1011" s="49"/>
      <c r="BY1011" s="49"/>
      <c r="BZ1011" s="49"/>
      <c r="CA1011" s="49"/>
      <c r="CB1011" s="49"/>
      <c r="CC1011" s="49"/>
      <c r="CD1011" s="49"/>
      <c r="CE1011" s="49"/>
      <c r="CF1011" s="49"/>
    </row>
    <row r="1012" ht="14.25" customHeight="1">
      <c r="A1012" s="103" t="s">
        <v>84</v>
      </c>
      <c r="B1012" s="103" t="s">
        <v>120</v>
      </c>
      <c r="C1012" s="103" t="s">
        <v>120</v>
      </c>
      <c r="D1012" s="103" t="s">
        <v>1886</v>
      </c>
      <c r="E1012" s="109" t="s">
        <v>2920</v>
      </c>
      <c r="F1012" s="105" t="s">
        <v>3534</v>
      </c>
      <c r="G1012" s="110" t="s">
        <v>3494</v>
      </c>
      <c r="H1012" s="110"/>
      <c r="I1012" s="478"/>
      <c r="J1012" s="479" t="s">
        <v>3543</v>
      </c>
      <c r="K1012" s="108"/>
      <c r="L1012" s="109" t="s">
        <v>3544</v>
      </c>
      <c r="M1012" s="104" t="s">
        <v>3545</v>
      </c>
      <c r="N1012" s="110"/>
      <c r="O1012" s="109" t="s">
        <v>147</v>
      </c>
      <c r="P1012" s="106"/>
      <c r="Q1012" s="105" t="s">
        <v>3081</v>
      </c>
      <c r="R1012" s="106"/>
      <c r="S1012" s="106"/>
      <c r="T1012" s="110"/>
      <c r="U1012" s="106">
        <v>9.403208E9</v>
      </c>
      <c r="V1012" s="112">
        <v>0.0</v>
      </c>
      <c r="W1012" s="106">
        <v>45.0</v>
      </c>
      <c r="X1012" s="106">
        <v>45.0</v>
      </c>
      <c r="Y1012" s="106"/>
      <c r="Z1012" s="106" t="s">
        <v>99</v>
      </c>
      <c r="AA1012" s="114" t="str">
        <f t="shared" si="891"/>
        <v>#REF!</v>
      </c>
      <c r="AB1012" s="115"/>
      <c r="AC1012" s="212" t="str">
        <f t="shared" si="892"/>
        <v>#REF!</v>
      </c>
      <c r="AD1012" s="213" t="str">
        <f t="shared" si="799"/>
        <v>#REF!</v>
      </c>
      <c r="AE1012" s="212"/>
      <c r="AF1012" s="212" t="str">
        <f t="shared" si="94"/>
        <v>#REF!</v>
      </c>
      <c r="AG1012" s="210" t="str">
        <f t="shared" si="95"/>
        <v>#REF!</v>
      </c>
      <c r="AH1012" s="120" t="str">
        <f t="shared" si="96"/>
        <v>#REF!</v>
      </c>
      <c r="AI1012" s="121">
        <f t="shared" si="893"/>
        <v>0.05</v>
      </c>
      <c r="AJ1012" s="121">
        <v>0.05</v>
      </c>
      <c r="AK1012" s="418">
        <v>0.18</v>
      </c>
      <c r="AL1012" s="123" t="str">
        <f t="shared" si="11"/>
        <v>#REF!</v>
      </c>
      <c r="AM1012" s="401" t="s">
        <v>10</v>
      </c>
      <c r="AN1012" s="125" t="str">
        <f t="shared" si="894"/>
        <v>#REF!</v>
      </c>
      <c r="AO1012" s="402" t="str">
        <f t="shared" si="895"/>
        <v>#REF!</v>
      </c>
      <c r="AP1012" s="127"/>
      <c r="AQ1012" s="128" t="str">
        <f t="shared" si="896"/>
        <v>#REF!</v>
      </c>
      <c r="AR1012" s="404" t="str">
        <f t="shared" si="897"/>
        <v>#REF!</v>
      </c>
      <c r="AS1012" s="405" t="str">
        <f t="shared" si="898"/>
        <v>#REF!</v>
      </c>
      <c r="AT1012" s="405" t="str">
        <f t="shared" si="899"/>
        <v>#REF!</v>
      </c>
      <c r="AU1012" s="129"/>
      <c r="AV1012" s="225" t="s">
        <v>3024</v>
      </c>
      <c r="AW1012" s="416"/>
      <c r="AX1012" s="416"/>
      <c r="AY1012" s="361"/>
      <c r="AZ1012" s="214"/>
      <c r="BA1012" s="214"/>
      <c r="BB1012" s="227"/>
      <c r="BC1012" s="412" t="str">
        <f t="shared" si="914"/>
        <v>#REF!</v>
      </c>
      <c r="BD1012" s="132" t="str">
        <f t="shared" si="905"/>
        <v>#REF!</v>
      </c>
      <c r="BE1012" s="215"/>
      <c r="BF1012" s="48"/>
      <c r="BG1012" s="49"/>
      <c r="BH1012" s="224" t="str">
        <f t="shared" si="910"/>
        <v>#REF!</v>
      </c>
      <c r="BI1012" s="224" t="str">
        <f t="shared" si="911"/>
        <v>#REF!</v>
      </c>
      <c r="BJ1012" s="224" t="str">
        <f t="shared" si="912"/>
        <v>#REF!</v>
      </c>
      <c r="BK1012" s="224" t="str">
        <f t="shared" si="913"/>
        <v>#REF!</v>
      </c>
      <c r="BL1012" s="49"/>
      <c r="BM1012" s="49"/>
      <c r="BN1012" s="49"/>
      <c r="BO1012" s="49"/>
      <c r="BP1012" s="49"/>
      <c r="BQ1012" s="49"/>
      <c r="BR1012" s="49"/>
      <c r="BS1012" s="49"/>
      <c r="BT1012" s="49"/>
      <c r="BU1012" s="49"/>
      <c r="BV1012" s="49"/>
      <c r="BW1012" s="49"/>
      <c r="BX1012" s="49"/>
      <c r="BY1012" s="49"/>
      <c r="BZ1012" s="49"/>
      <c r="CA1012" s="49"/>
      <c r="CB1012" s="49"/>
      <c r="CC1012" s="49"/>
      <c r="CD1012" s="49"/>
      <c r="CE1012" s="49"/>
      <c r="CF1012" s="49"/>
    </row>
    <row r="1013" ht="14.25" customHeight="1">
      <c r="A1013" s="103" t="s">
        <v>84</v>
      </c>
      <c r="B1013" s="103" t="s">
        <v>120</v>
      </c>
      <c r="C1013" s="103" t="s">
        <v>120</v>
      </c>
      <c r="D1013" s="103" t="s">
        <v>1886</v>
      </c>
      <c r="E1013" s="109" t="s">
        <v>2920</v>
      </c>
      <c r="F1013" s="105" t="s">
        <v>3534</v>
      </c>
      <c r="G1013" s="110" t="s">
        <v>3546</v>
      </c>
      <c r="H1013" s="110"/>
      <c r="I1013" s="478"/>
      <c r="J1013" s="479" t="s">
        <v>3547</v>
      </c>
      <c r="K1013" s="108"/>
      <c r="L1013" s="109" t="s">
        <v>3548</v>
      </c>
      <c r="M1013" s="104" t="s">
        <v>3549</v>
      </c>
      <c r="N1013" s="110"/>
      <c r="O1013" s="109" t="s">
        <v>147</v>
      </c>
      <c r="P1013" s="106"/>
      <c r="Q1013" s="105" t="s">
        <v>3081</v>
      </c>
      <c r="R1013" s="106"/>
      <c r="S1013" s="106"/>
      <c r="T1013" s="110"/>
      <c r="U1013" s="106">
        <v>9.403208E9</v>
      </c>
      <c r="V1013" s="112">
        <v>0.0</v>
      </c>
      <c r="W1013" s="106">
        <v>45.0</v>
      </c>
      <c r="X1013" s="106">
        <v>45.0</v>
      </c>
      <c r="Y1013" s="106"/>
      <c r="Z1013" s="106" t="s">
        <v>99</v>
      </c>
      <c r="AA1013" s="114" t="str">
        <f t="shared" si="891"/>
        <v>#REF!</v>
      </c>
      <c r="AB1013" s="115"/>
      <c r="AC1013" s="212" t="str">
        <f t="shared" si="892"/>
        <v>#REF!</v>
      </c>
      <c r="AD1013" s="213" t="str">
        <f t="shared" si="799"/>
        <v>#REF!</v>
      </c>
      <c r="AE1013" s="212"/>
      <c r="AF1013" s="212" t="str">
        <f t="shared" si="94"/>
        <v>#REF!</v>
      </c>
      <c r="AG1013" s="210" t="str">
        <f t="shared" si="95"/>
        <v>#REF!</v>
      </c>
      <c r="AH1013" s="120" t="str">
        <f t="shared" si="96"/>
        <v>#REF!</v>
      </c>
      <c r="AI1013" s="121">
        <f t="shared" si="893"/>
        <v>0.05</v>
      </c>
      <c r="AJ1013" s="121">
        <v>0.05</v>
      </c>
      <c r="AK1013" s="418">
        <v>0.18</v>
      </c>
      <c r="AL1013" s="123" t="str">
        <f t="shared" si="11"/>
        <v>#REF!</v>
      </c>
      <c r="AM1013" s="401" t="s">
        <v>10</v>
      </c>
      <c r="AN1013" s="125" t="str">
        <f t="shared" si="894"/>
        <v>#REF!</v>
      </c>
      <c r="AO1013" s="402" t="str">
        <f t="shared" si="895"/>
        <v>#REF!</v>
      </c>
      <c r="AP1013" s="127"/>
      <c r="AQ1013" s="128" t="str">
        <f t="shared" si="896"/>
        <v>#REF!</v>
      </c>
      <c r="AR1013" s="404" t="str">
        <f t="shared" si="897"/>
        <v>#REF!</v>
      </c>
      <c r="AS1013" s="405" t="str">
        <f t="shared" si="898"/>
        <v>#REF!</v>
      </c>
      <c r="AT1013" s="405" t="str">
        <f t="shared" si="899"/>
        <v>#REF!</v>
      </c>
      <c r="AU1013" s="129"/>
      <c r="AV1013" s="225" t="s">
        <v>3024</v>
      </c>
      <c r="AW1013" s="416"/>
      <c r="AX1013" s="416"/>
      <c r="AY1013" s="361"/>
      <c r="AZ1013" s="214"/>
      <c r="BA1013" s="214"/>
      <c r="BB1013" s="227"/>
      <c r="BC1013" s="412" t="str">
        <f t="shared" si="914"/>
        <v>#REF!</v>
      </c>
      <c r="BD1013" s="132" t="str">
        <f t="shared" si="905"/>
        <v>#REF!</v>
      </c>
      <c r="BE1013" s="215"/>
      <c r="BF1013" s="48"/>
      <c r="BG1013" s="49"/>
      <c r="BH1013" s="224" t="str">
        <f t="shared" si="910"/>
        <v>#REF!</v>
      </c>
      <c r="BI1013" s="224" t="str">
        <f t="shared" si="911"/>
        <v>#REF!</v>
      </c>
      <c r="BJ1013" s="224" t="str">
        <f t="shared" si="912"/>
        <v>#REF!</v>
      </c>
      <c r="BK1013" s="224" t="str">
        <f t="shared" si="913"/>
        <v>#REF!</v>
      </c>
      <c r="BL1013" s="49"/>
      <c r="BM1013" s="49"/>
      <c r="BN1013" s="49"/>
      <c r="BO1013" s="49"/>
      <c r="BP1013" s="49"/>
      <c r="BQ1013" s="49"/>
      <c r="BR1013" s="49"/>
      <c r="BS1013" s="49"/>
      <c r="BT1013" s="49"/>
      <c r="BU1013" s="49"/>
      <c r="BV1013" s="49"/>
      <c r="BW1013" s="49"/>
      <c r="BX1013" s="49"/>
      <c r="BY1013" s="49"/>
      <c r="BZ1013" s="49"/>
      <c r="CA1013" s="49"/>
      <c r="CB1013" s="49"/>
      <c r="CC1013" s="49"/>
      <c r="CD1013" s="49"/>
      <c r="CE1013" s="49"/>
      <c r="CF1013" s="49"/>
    </row>
    <row r="1014" ht="14.25" customHeight="1">
      <c r="A1014" s="103" t="s">
        <v>84</v>
      </c>
      <c r="B1014" s="103" t="s">
        <v>120</v>
      </c>
      <c r="C1014" s="103" t="s">
        <v>120</v>
      </c>
      <c r="D1014" s="103" t="s">
        <v>1886</v>
      </c>
      <c r="E1014" s="109" t="s">
        <v>2920</v>
      </c>
      <c r="F1014" s="105" t="s">
        <v>3534</v>
      </c>
      <c r="G1014" s="110" t="s">
        <v>3550</v>
      </c>
      <c r="H1014" s="110"/>
      <c r="I1014" s="478"/>
      <c r="J1014" s="479" t="s">
        <v>3551</v>
      </c>
      <c r="K1014" s="108"/>
      <c r="L1014" s="109" t="s">
        <v>3552</v>
      </c>
      <c r="M1014" s="104" t="s">
        <v>3553</v>
      </c>
      <c r="N1014" s="110"/>
      <c r="O1014" s="109" t="s">
        <v>147</v>
      </c>
      <c r="P1014" s="106"/>
      <c r="Q1014" s="105" t="s">
        <v>3081</v>
      </c>
      <c r="R1014" s="106"/>
      <c r="S1014" s="106"/>
      <c r="T1014" s="110"/>
      <c r="U1014" s="106">
        <v>9.403208E9</v>
      </c>
      <c r="V1014" s="112">
        <v>0.0</v>
      </c>
      <c r="W1014" s="106">
        <v>45.0</v>
      </c>
      <c r="X1014" s="106">
        <v>45.0</v>
      </c>
      <c r="Y1014" s="106"/>
      <c r="Z1014" s="106" t="s">
        <v>99</v>
      </c>
      <c r="AA1014" s="114" t="str">
        <f t="shared" si="891"/>
        <v>#REF!</v>
      </c>
      <c r="AB1014" s="115"/>
      <c r="AC1014" s="212" t="str">
        <f t="shared" si="892"/>
        <v>#REF!</v>
      </c>
      <c r="AD1014" s="213" t="str">
        <f t="shared" si="799"/>
        <v>#REF!</v>
      </c>
      <c r="AE1014" s="212"/>
      <c r="AF1014" s="212" t="str">
        <f t="shared" si="94"/>
        <v>#REF!</v>
      </c>
      <c r="AG1014" s="210" t="str">
        <f t="shared" si="95"/>
        <v>#REF!</v>
      </c>
      <c r="AH1014" s="120" t="str">
        <f t="shared" si="96"/>
        <v>#REF!</v>
      </c>
      <c r="AI1014" s="121">
        <f t="shared" si="893"/>
        <v>0.05</v>
      </c>
      <c r="AJ1014" s="121">
        <v>0.05</v>
      </c>
      <c r="AK1014" s="418">
        <v>0.18</v>
      </c>
      <c r="AL1014" s="123" t="str">
        <f t="shared" si="11"/>
        <v>#REF!</v>
      </c>
      <c r="AM1014" s="401" t="s">
        <v>10</v>
      </c>
      <c r="AN1014" s="125" t="str">
        <f t="shared" si="894"/>
        <v>#REF!</v>
      </c>
      <c r="AO1014" s="402" t="str">
        <f t="shared" si="895"/>
        <v>#REF!</v>
      </c>
      <c r="AP1014" s="127"/>
      <c r="AQ1014" s="128" t="str">
        <f t="shared" si="896"/>
        <v>#REF!</v>
      </c>
      <c r="AR1014" s="404" t="str">
        <f t="shared" si="897"/>
        <v>#REF!</v>
      </c>
      <c r="AS1014" s="405" t="str">
        <f t="shared" si="898"/>
        <v>#REF!</v>
      </c>
      <c r="AT1014" s="405" t="str">
        <f t="shared" si="899"/>
        <v>#REF!</v>
      </c>
      <c r="AU1014" s="129"/>
      <c r="AV1014" s="225" t="s">
        <v>3024</v>
      </c>
      <c r="AW1014" s="416"/>
      <c r="AX1014" s="416"/>
      <c r="AY1014" s="361"/>
      <c r="AZ1014" s="214"/>
      <c r="BA1014" s="214"/>
      <c r="BB1014" s="227"/>
      <c r="BC1014" s="412" t="str">
        <f t="shared" si="914"/>
        <v>#REF!</v>
      </c>
      <c r="BD1014" s="132" t="str">
        <f t="shared" si="905"/>
        <v>#REF!</v>
      </c>
      <c r="BE1014" s="215"/>
      <c r="BF1014" s="48"/>
      <c r="BG1014" s="49"/>
      <c r="BH1014" s="224" t="str">
        <f t="shared" si="910"/>
        <v>#REF!</v>
      </c>
      <c r="BI1014" s="224" t="str">
        <f t="shared" si="911"/>
        <v>#REF!</v>
      </c>
      <c r="BJ1014" s="224" t="str">
        <f t="shared" si="912"/>
        <v>#REF!</v>
      </c>
      <c r="BK1014" s="224" t="str">
        <f t="shared" si="913"/>
        <v>#REF!</v>
      </c>
      <c r="BL1014" s="49"/>
      <c r="BM1014" s="49"/>
      <c r="BN1014" s="49"/>
      <c r="BO1014" s="49"/>
      <c r="BP1014" s="49"/>
      <c r="BQ1014" s="49"/>
      <c r="BR1014" s="49"/>
      <c r="BS1014" s="49"/>
      <c r="BT1014" s="49"/>
      <c r="BU1014" s="49"/>
      <c r="BV1014" s="49"/>
      <c r="BW1014" s="49"/>
      <c r="BX1014" s="49"/>
      <c r="BY1014" s="49"/>
      <c r="BZ1014" s="49"/>
      <c r="CA1014" s="49"/>
      <c r="CB1014" s="49"/>
      <c r="CC1014" s="49"/>
      <c r="CD1014" s="49"/>
      <c r="CE1014" s="49"/>
      <c r="CF1014" s="49"/>
    </row>
    <row r="1015" ht="14.25" customHeight="1">
      <c r="A1015" s="103" t="s">
        <v>84</v>
      </c>
      <c r="B1015" s="103" t="s">
        <v>120</v>
      </c>
      <c r="C1015" s="103" t="s">
        <v>120</v>
      </c>
      <c r="D1015" s="103" t="s">
        <v>1886</v>
      </c>
      <c r="E1015" s="109" t="s">
        <v>2920</v>
      </c>
      <c r="F1015" s="105" t="s">
        <v>3534</v>
      </c>
      <c r="G1015" s="110" t="s">
        <v>3554</v>
      </c>
      <c r="H1015" s="110"/>
      <c r="I1015" s="478"/>
      <c r="J1015" s="479" t="s">
        <v>3555</v>
      </c>
      <c r="K1015" s="108"/>
      <c r="L1015" s="109" t="s">
        <v>3556</v>
      </c>
      <c r="M1015" s="104" t="s">
        <v>3557</v>
      </c>
      <c r="N1015" s="110"/>
      <c r="O1015" s="109" t="s">
        <v>147</v>
      </c>
      <c r="P1015" s="106"/>
      <c r="Q1015" s="105" t="s">
        <v>3081</v>
      </c>
      <c r="R1015" s="106"/>
      <c r="S1015" s="106"/>
      <c r="T1015" s="110"/>
      <c r="U1015" s="106">
        <v>9.403208E9</v>
      </c>
      <c r="V1015" s="112">
        <v>0.0</v>
      </c>
      <c r="W1015" s="106">
        <v>45.0</v>
      </c>
      <c r="X1015" s="106">
        <v>45.0</v>
      </c>
      <c r="Y1015" s="106"/>
      <c r="Z1015" s="106" t="s">
        <v>99</v>
      </c>
      <c r="AA1015" s="114" t="str">
        <f t="shared" si="891"/>
        <v>#REF!</v>
      </c>
      <c r="AB1015" s="115"/>
      <c r="AC1015" s="212" t="str">
        <f t="shared" si="892"/>
        <v>#REF!</v>
      </c>
      <c r="AD1015" s="213" t="str">
        <f t="shared" si="799"/>
        <v>#REF!</v>
      </c>
      <c r="AE1015" s="212"/>
      <c r="AF1015" s="212" t="str">
        <f t="shared" si="94"/>
        <v>#REF!</v>
      </c>
      <c r="AG1015" s="210" t="str">
        <f t="shared" si="95"/>
        <v>#REF!</v>
      </c>
      <c r="AH1015" s="120" t="str">
        <f t="shared" si="96"/>
        <v>#REF!</v>
      </c>
      <c r="AI1015" s="121">
        <f t="shared" si="893"/>
        <v>0.05</v>
      </c>
      <c r="AJ1015" s="121">
        <v>0.05</v>
      </c>
      <c r="AK1015" s="418">
        <v>0.18</v>
      </c>
      <c r="AL1015" s="123" t="str">
        <f t="shared" si="11"/>
        <v>#REF!</v>
      </c>
      <c r="AM1015" s="401" t="s">
        <v>10</v>
      </c>
      <c r="AN1015" s="125" t="str">
        <f t="shared" si="894"/>
        <v>#REF!</v>
      </c>
      <c r="AO1015" s="402" t="str">
        <f t="shared" si="895"/>
        <v>#REF!</v>
      </c>
      <c r="AP1015" s="127"/>
      <c r="AQ1015" s="128" t="str">
        <f t="shared" si="896"/>
        <v>#REF!</v>
      </c>
      <c r="AR1015" s="404" t="str">
        <f t="shared" si="897"/>
        <v>#REF!</v>
      </c>
      <c r="AS1015" s="405" t="str">
        <f t="shared" si="898"/>
        <v>#REF!</v>
      </c>
      <c r="AT1015" s="405" t="str">
        <f t="shared" si="899"/>
        <v>#REF!</v>
      </c>
      <c r="AU1015" s="129"/>
      <c r="AV1015" s="225" t="s">
        <v>3024</v>
      </c>
      <c r="AW1015" s="416"/>
      <c r="AX1015" s="416"/>
      <c r="AY1015" s="361"/>
      <c r="AZ1015" s="214"/>
      <c r="BA1015" s="214"/>
      <c r="BB1015" s="227"/>
      <c r="BC1015" s="412" t="str">
        <f t="shared" si="914"/>
        <v>#REF!</v>
      </c>
      <c r="BD1015" s="132" t="str">
        <f t="shared" si="905"/>
        <v>#REF!</v>
      </c>
      <c r="BE1015" s="215"/>
      <c r="BF1015" s="48"/>
      <c r="BG1015" s="49"/>
      <c r="BH1015" s="224" t="str">
        <f t="shared" si="910"/>
        <v>#REF!</v>
      </c>
      <c r="BI1015" s="224" t="str">
        <f t="shared" si="911"/>
        <v>#REF!</v>
      </c>
      <c r="BJ1015" s="224" t="str">
        <f t="shared" si="912"/>
        <v>#REF!</v>
      </c>
      <c r="BK1015" s="224" t="str">
        <f t="shared" si="913"/>
        <v>#REF!</v>
      </c>
      <c r="BL1015" s="49"/>
      <c r="BM1015" s="49"/>
      <c r="BN1015" s="49"/>
      <c r="BO1015" s="49"/>
      <c r="BP1015" s="49"/>
      <c r="BQ1015" s="49"/>
      <c r="BR1015" s="49"/>
      <c r="BS1015" s="49"/>
      <c r="BT1015" s="49"/>
      <c r="BU1015" s="49"/>
      <c r="BV1015" s="49"/>
      <c r="BW1015" s="49"/>
      <c r="BX1015" s="49"/>
      <c r="BY1015" s="49"/>
      <c r="BZ1015" s="49"/>
      <c r="CA1015" s="49"/>
      <c r="CB1015" s="49"/>
      <c r="CC1015" s="49"/>
      <c r="CD1015" s="49"/>
      <c r="CE1015" s="49"/>
      <c r="CF1015" s="49"/>
    </row>
    <row r="1016" ht="14.25" customHeight="1">
      <c r="A1016" s="103" t="s">
        <v>84</v>
      </c>
      <c r="B1016" s="103" t="s">
        <v>120</v>
      </c>
      <c r="C1016" s="103" t="s">
        <v>120</v>
      </c>
      <c r="D1016" s="103" t="s">
        <v>1886</v>
      </c>
      <c r="E1016" s="109" t="s">
        <v>2920</v>
      </c>
      <c r="F1016" s="105" t="s">
        <v>3534</v>
      </c>
      <c r="G1016" s="110" t="s">
        <v>3075</v>
      </c>
      <c r="H1016" s="110"/>
      <c r="I1016" s="478"/>
      <c r="J1016" s="479" t="s">
        <v>3558</v>
      </c>
      <c r="K1016" s="108"/>
      <c r="L1016" s="109" t="s">
        <v>3559</v>
      </c>
      <c r="M1016" s="104" t="s">
        <v>3560</v>
      </c>
      <c r="N1016" s="110"/>
      <c r="O1016" s="109" t="s">
        <v>147</v>
      </c>
      <c r="P1016" s="106"/>
      <c r="Q1016" s="105" t="s">
        <v>3081</v>
      </c>
      <c r="R1016" s="106"/>
      <c r="S1016" s="106"/>
      <c r="T1016" s="110"/>
      <c r="U1016" s="106">
        <v>9.403208E9</v>
      </c>
      <c r="V1016" s="112">
        <v>0.0</v>
      </c>
      <c r="W1016" s="106">
        <v>45.0</v>
      </c>
      <c r="X1016" s="106">
        <v>45.0</v>
      </c>
      <c r="Y1016" s="106"/>
      <c r="Z1016" s="106" t="s">
        <v>99</v>
      </c>
      <c r="AA1016" s="114" t="str">
        <f t="shared" si="891"/>
        <v>#REF!</v>
      </c>
      <c r="AB1016" s="115"/>
      <c r="AC1016" s="212" t="str">
        <f t="shared" si="892"/>
        <v>#REF!</v>
      </c>
      <c r="AD1016" s="213" t="str">
        <f t="shared" si="799"/>
        <v>#REF!</v>
      </c>
      <c r="AE1016" s="212"/>
      <c r="AF1016" s="212" t="str">
        <f t="shared" si="94"/>
        <v>#REF!</v>
      </c>
      <c r="AG1016" s="210" t="str">
        <f t="shared" si="95"/>
        <v>#REF!</v>
      </c>
      <c r="AH1016" s="120" t="str">
        <f t="shared" si="96"/>
        <v>#REF!</v>
      </c>
      <c r="AI1016" s="121">
        <f t="shared" si="893"/>
        <v>0.05</v>
      </c>
      <c r="AJ1016" s="121">
        <v>0.05</v>
      </c>
      <c r="AK1016" s="418">
        <v>0.18</v>
      </c>
      <c r="AL1016" s="123" t="str">
        <f t="shared" si="11"/>
        <v>#REF!</v>
      </c>
      <c r="AM1016" s="401" t="s">
        <v>10</v>
      </c>
      <c r="AN1016" s="125" t="str">
        <f t="shared" si="894"/>
        <v>#REF!</v>
      </c>
      <c r="AO1016" s="402" t="str">
        <f t="shared" si="895"/>
        <v>#REF!</v>
      </c>
      <c r="AP1016" s="127"/>
      <c r="AQ1016" s="128" t="str">
        <f t="shared" si="896"/>
        <v>#REF!</v>
      </c>
      <c r="AR1016" s="404" t="str">
        <f t="shared" si="897"/>
        <v>#REF!</v>
      </c>
      <c r="AS1016" s="405" t="str">
        <f t="shared" si="898"/>
        <v>#REF!</v>
      </c>
      <c r="AT1016" s="405" t="str">
        <f t="shared" si="899"/>
        <v>#REF!</v>
      </c>
      <c r="AU1016" s="129"/>
      <c r="AV1016" s="225" t="s">
        <v>3024</v>
      </c>
      <c r="AW1016" s="416"/>
      <c r="AX1016" s="416"/>
      <c r="AY1016" s="361"/>
      <c r="AZ1016" s="214"/>
      <c r="BA1016" s="214"/>
      <c r="BB1016" s="227"/>
      <c r="BC1016" s="412" t="str">
        <f t="shared" si="914"/>
        <v>#REF!</v>
      </c>
      <c r="BD1016" s="132" t="str">
        <f t="shared" si="905"/>
        <v>#REF!</v>
      </c>
      <c r="BE1016" s="215"/>
      <c r="BF1016" s="48"/>
      <c r="BG1016" s="49"/>
      <c r="BH1016" s="224" t="str">
        <f t="shared" si="910"/>
        <v>#REF!</v>
      </c>
      <c r="BI1016" s="224" t="str">
        <f t="shared" si="911"/>
        <v>#REF!</v>
      </c>
      <c r="BJ1016" s="224" t="str">
        <f t="shared" si="912"/>
        <v>#REF!</v>
      </c>
      <c r="BK1016" s="224" t="str">
        <f t="shared" si="913"/>
        <v>#REF!</v>
      </c>
      <c r="BL1016" s="49"/>
      <c r="BM1016" s="49"/>
      <c r="BN1016" s="49"/>
      <c r="BO1016" s="49"/>
      <c r="BP1016" s="49"/>
      <c r="BQ1016" s="49"/>
      <c r="BR1016" s="49"/>
      <c r="BS1016" s="49"/>
      <c r="BT1016" s="49"/>
      <c r="BU1016" s="49"/>
      <c r="BV1016" s="49"/>
      <c r="BW1016" s="49"/>
      <c r="BX1016" s="49"/>
      <c r="BY1016" s="49"/>
      <c r="BZ1016" s="49"/>
      <c r="CA1016" s="49"/>
      <c r="CB1016" s="49"/>
      <c r="CC1016" s="49"/>
      <c r="CD1016" s="49"/>
      <c r="CE1016" s="49"/>
      <c r="CF1016" s="49"/>
    </row>
    <row r="1017" ht="14.25" customHeight="1">
      <c r="A1017" s="103" t="s">
        <v>84</v>
      </c>
      <c r="B1017" s="103" t="s">
        <v>3561</v>
      </c>
      <c r="C1017" s="103" t="s">
        <v>120</v>
      </c>
      <c r="D1017" s="103" t="s">
        <v>1886</v>
      </c>
      <c r="E1017" s="109" t="s">
        <v>2920</v>
      </c>
      <c r="F1017" s="105" t="s">
        <v>3534</v>
      </c>
      <c r="G1017" s="110" t="s">
        <v>3535</v>
      </c>
      <c r="H1017" s="110"/>
      <c r="I1017" s="478"/>
      <c r="J1017" s="479" t="s">
        <v>3562</v>
      </c>
      <c r="K1017" s="108" t="s">
        <v>3563</v>
      </c>
      <c r="L1017" s="109" t="s">
        <v>3564</v>
      </c>
      <c r="M1017" s="104" t="s">
        <v>3565</v>
      </c>
      <c r="N1017" s="110"/>
      <c r="O1017" s="109" t="s">
        <v>147</v>
      </c>
      <c r="P1017" s="106"/>
      <c r="Q1017" s="105" t="s">
        <v>3081</v>
      </c>
      <c r="R1017" s="106"/>
      <c r="S1017" s="106"/>
      <c r="T1017" s="110"/>
      <c r="U1017" s="106">
        <v>9.403208E9</v>
      </c>
      <c r="V1017" s="112">
        <v>0.0</v>
      </c>
      <c r="W1017" s="106">
        <v>45.0</v>
      </c>
      <c r="X1017" s="106">
        <v>45.0</v>
      </c>
      <c r="Y1017" s="106"/>
      <c r="Z1017" s="106" t="s">
        <v>99</v>
      </c>
      <c r="AA1017" s="114" t="str">
        <f t="shared" si="891"/>
        <v>#REF!</v>
      </c>
      <c r="AB1017" s="115"/>
      <c r="AC1017" s="212" t="str">
        <f t="shared" si="892"/>
        <v>#REF!</v>
      </c>
      <c r="AD1017" s="213" t="str">
        <f t="shared" si="799"/>
        <v>#REF!</v>
      </c>
      <c r="AE1017" s="212"/>
      <c r="AF1017" s="212" t="str">
        <f t="shared" si="94"/>
        <v>#REF!</v>
      </c>
      <c r="AG1017" s="210" t="str">
        <f t="shared" si="95"/>
        <v>#REF!</v>
      </c>
      <c r="AH1017" s="120" t="str">
        <f t="shared" si="96"/>
        <v>#REF!</v>
      </c>
      <c r="AI1017" s="121">
        <f t="shared" si="893"/>
        <v>0.05</v>
      </c>
      <c r="AJ1017" s="121">
        <v>0.05</v>
      </c>
      <c r="AK1017" s="418">
        <v>0.18</v>
      </c>
      <c r="AL1017" s="123" t="str">
        <f t="shared" si="11"/>
        <v>#REF!</v>
      </c>
      <c r="AM1017" s="401" t="s">
        <v>10</v>
      </c>
      <c r="AN1017" s="125" t="str">
        <f t="shared" si="894"/>
        <v>#REF!</v>
      </c>
      <c r="AO1017" s="402" t="str">
        <f t="shared" si="895"/>
        <v>#REF!</v>
      </c>
      <c r="AP1017" s="127"/>
      <c r="AQ1017" s="128" t="str">
        <f t="shared" si="896"/>
        <v>#REF!</v>
      </c>
      <c r="AR1017" s="404" t="str">
        <f t="shared" si="897"/>
        <v>#REF!</v>
      </c>
      <c r="AS1017" s="405" t="str">
        <f t="shared" si="898"/>
        <v>#REF!</v>
      </c>
      <c r="AT1017" s="405" t="str">
        <f t="shared" si="899"/>
        <v>#REF!</v>
      </c>
      <c r="AU1017" s="129"/>
      <c r="AV1017" s="225" t="s">
        <v>3024</v>
      </c>
      <c r="AW1017" s="416"/>
      <c r="AX1017" s="416"/>
      <c r="AY1017" s="361"/>
      <c r="AZ1017" s="214"/>
      <c r="BA1017" s="214"/>
      <c r="BB1017" s="227"/>
      <c r="BC1017" s="412" t="str">
        <f t="shared" si="914"/>
        <v>#REF!</v>
      </c>
      <c r="BD1017" s="132" t="str">
        <f t="shared" si="905"/>
        <v>#REF!</v>
      </c>
      <c r="BE1017" s="215"/>
      <c r="BF1017" s="48"/>
      <c r="BG1017" s="49"/>
      <c r="BH1017" s="224" t="str">
        <f t="shared" si="910"/>
        <v>#REF!</v>
      </c>
      <c r="BI1017" s="224" t="str">
        <f t="shared" si="911"/>
        <v>#REF!</v>
      </c>
      <c r="BJ1017" s="224" t="str">
        <f t="shared" si="912"/>
        <v>#REF!</v>
      </c>
      <c r="BK1017" s="224" t="str">
        <f t="shared" si="913"/>
        <v>#REF!</v>
      </c>
      <c r="BL1017" s="49"/>
      <c r="BM1017" s="49"/>
      <c r="BN1017" s="49"/>
      <c r="BO1017" s="49"/>
      <c r="BP1017" s="49"/>
      <c r="BQ1017" s="49"/>
      <c r="BR1017" s="49"/>
      <c r="BS1017" s="49"/>
      <c r="BT1017" s="49"/>
      <c r="BU1017" s="49"/>
      <c r="BV1017" s="49"/>
      <c r="BW1017" s="49"/>
      <c r="BX1017" s="49"/>
      <c r="BY1017" s="49"/>
      <c r="BZ1017" s="49"/>
      <c r="CA1017" s="49"/>
      <c r="CB1017" s="49"/>
      <c r="CC1017" s="49"/>
      <c r="CD1017" s="49"/>
      <c r="CE1017" s="49"/>
      <c r="CF1017" s="49"/>
    </row>
    <row r="1018" ht="14.25" customHeight="1">
      <c r="A1018" s="103" t="s">
        <v>84</v>
      </c>
      <c r="B1018" s="103" t="s">
        <v>3561</v>
      </c>
      <c r="C1018" s="103" t="s">
        <v>120</v>
      </c>
      <c r="D1018" s="103" t="s">
        <v>1886</v>
      </c>
      <c r="E1018" s="109" t="s">
        <v>2920</v>
      </c>
      <c r="F1018" s="105" t="s">
        <v>3534</v>
      </c>
      <c r="G1018" s="110" t="s">
        <v>3490</v>
      </c>
      <c r="H1018" s="110"/>
      <c r="I1018" s="478"/>
      <c r="J1018" s="479" t="s">
        <v>3566</v>
      </c>
      <c r="K1018" s="108"/>
      <c r="L1018" s="109" t="s">
        <v>3567</v>
      </c>
      <c r="M1018" s="104" t="s">
        <v>3568</v>
      </c>
      <c r="N1018" s="110"/>
      <c r="O1018" s="109" t="s">
        <v>147</v>
      </c>
      <c r="P1018" s="106"/>
      <c r="Q1018" s="105" t="s">
        <v>3081</v>
      </c>
      <c r="R1018" s="106"/>
      <c r="S1018" s="106"/>
      <c r="T1018" s="110"/>
      <c r="U1018" s="106">
        <v>9.403208E9</v>
      </c>
      <c r="V1018" s="112">
        <v>0.0</v>
      </c>
      <c r="W1018" s="106">
        <v>45.0</v>
      </c>
      <c r="X1018" s="106">
        <v>45.0</v>
      </c>
      <c r="Y1018" s="106"/>
      <c r="Z1018" s="106" t="s">
        <v>99</v>
      </c>
      <c r="AA1018" s="114" t="str">
        <f t="shared" si="891"/>
        <v>#REF!</v>
      </c>
      <c r="AB1018" s="115"/>
      <c r="AC1018" s="212" t="str">
        <f t="shared" si="892"/>
        <v>#REF!</v>
      </c>
      <c r="AD1018" s="213" t="str">
        <f t="shared" si="799"/>
        <v>#REF!</v>
      </c>
      <c r="AE1018" s="212"/>
      <c r="AF1018" s="212" t="str">
        <f t="shared" si="94"/>
        <v>#REF!</v>
      </c>
      <c r="AG1018" s="210" t="str">
        <f t="shared" si="95"/>
        <v>#REF!</v>
      </c>
      <c r="AH1018" s="120" t="str">
        <f t="shared" si="96"/>
        <v>#REF!</v>
      </c>
      <c r="AI1018" s="121">
        <f t="shared" si="893"/>
        <v>0.05</v>
      </c>
      <c r="AJ1018" s="121">
        <v>0.05</v>
      </c>
      <c r="AK1018" s="418">
        <v>0.18</v>
      </c>
      <c r="AL1018" s="123" t="str">
        <f t="shared" si="11"/>
        <v>#REF!</v>
      </c>
      <c r="AM1018" s="401" t="s">
        <v>10</v>
      </c>
      <c r="AN1018" s="125" t="str">
        <f t="shared" si="894"/>
        <v>#REF!</v>
      </c>
      <c r="AO1018" s="402" t="str">
        <f t="shared" si="895"/>
        <v>#REF!</v>
      </c>
      <c r="AP1018" s="127"/>
      <c r="AQ1018" s="128" t="str">
        <f t="shared" si="896"/>
        <v>#REF!</v>
      </c>
      <c r="AR1018" s="404" t="str">
        <f t="shared" si="897"/>
        <v>#REF!</v>
      </c>
      <c r="AS1018" s="405" t="str">
        <f t="shared" si="898"/>
        <v>#REF!</v>
      </c>
      <c r="AT1018" s="405" t="str">
        <f t="shared" si="899"/>
        <v>#REF!</v>
      </c>
      <c r="AU1018" s="129"/>
      <c r="AV1018" s="225" t="s">
        <v>3024</v>
      </c>
      <c r="AW1018" s="416"/>
      <c r="AX1018" s="416"/>
      <c r="AY1018" s="361"/>
      <c r="AZ1018" s="214"/>
      <c r="BA1018" s="214"/>
      <c r="BB1018" s="227"/>
      <c r="BC1018" s="412" t="str">
        <f t="shared" si="914"/>
        <v>#REF!</v>
      </c>
      <c r="BD1018" s="132" t="str">
        <f t="shared" si="905"/>
        <v>#REF!</v>
      </c>
      <c r="BE1018" s="215"/>
      <c r="BF1018" s="48"/>
      <c r="BG1018" s="49"/>
      <c r="BH1018" s="224" t="str">
        <f t="shared" si="910"/>
        <v>#REF!</v>
      </c>
      <c r="BI1018" s="224" t="str">
        <f t="shared" si="911"/>
        <v>#REF!</v>
      </c>
      <c r="BJ1018" s="224" t="str">
        <f t="shared" si="912"/>
        <v>#REF!</v>
      </c>
      <c r="BK1018" s="224" t="str">
        <f t="shared" si="913"/>
        <v>#REF!</v>
      </c>
      <c r="BL1018" s="49"/>
      <c r="BM1018" s="49"/>
      <c r="BN1018" s="49"/>
      <c r="BO1018" s="49"/>
      <c r="BP1018" s="49"/>
      <c r="BQ1018" s="49"/>
      <c r="BR1018" s="49"/>
      <c r="BS1018" s="49"/>
      <c r="BT1018" s="49"/>
      <c r="BU1018" s="49"/>
      <c r="BV1018" s="49"/>
      <c r="BW1018" s="49"/>
      <c r="BX1018" s="49"/>
      <c r="BY1018" s="49"/>
      <c r="BZ1018" s="49"/>
      <c r="CA1018" s="49"/>
      <c r="CB1018" s="49"/>
      <c r="CC1018" s="49"/>
      <c r="CD1018" s="49"/>
      <c r="CE1018" s="49"/>
      <c r="CF1018" s="49"/>
    </row>
    <row r="1019" ht="14.25" customHeight="1">
      <c r="A1019" s="103" t="s">
        <v>84</v>
      </c>
      <c r="B1019" s="103" t="s">
        <v>3561</v>
      </c>
      <c r="C1019" s="103" t="s">
        <v>120</v>
      </c>
      <c r="D1019" s="103" t="s">
        <v>1886</v>
      </c>
      <c r="E1019" s="109" t="s">
        <v>2920</v>
      </c>
      <c r="F1019" s="105" t="s">
        <v>3534</v>
      </c>
      <c r="G1019" s="110" t="s">
        <v>3494</v>
      </c>
      <c r="H1019" s="110"/>
      <c r="I1019" s="478"/>
      <c r="J1019" s="479" t="s">
        <v>3569</v>
      </c>
      <c r="K1019" s="108"/>
      <c r="L1019" s="109" t="s">
        <v>3570</v>
      </c>
      <c r="M1019" s="104" t="s">
        <v>3571</v>
      </c>
      <c r="N1019" s="110"/>
      <c r="O1019" s="109" t="s">
        <v>147</v>
      </c>
      <c r="P1019" s="106"/>
      <c r="Q1019" s="105" t="s">
        <v>3081</v>
      </c>
      <c r="R1019" s="106"/>
      <c r="S1019" s="106"/>
      <c r="T1019" s="110"/>
      <c r="U1019" s="106">
        <v>9.403208E9</v>
      </c>
      <c r="V1019" s="112">
        <v>0.0</v>
      </c>
      <c r="W1019" s="106">
        <v>45.0</v>
      </c>
      <c r="X1019" s="106">
        <v>45.0</v>
      </c>
      <c r="Y1019" s="106"/>
      <c r="Z1019" s="106" t="s">
        <v>99</v>
      </c>
      <c r="AA1019" s="114" t="str">
        <f t="shared" si="891"/>
        <v>#REF!</v>
      </c>
      <c r="AB1019" s="115"/>
      <c r="AC1019" s="212" t="str">
        <f t="shared" si="892"/>
        <v>#REF!</v>
      </c>
      <c r="AD1019" s="213" t="str">
        <f t="shared" si="799"/>
        <v>#REF!</v>
      </c>
      <c r="AE1019" s="212"/>
      <c r="AF1019" s="212" t="str">
        <f t="shared" si="94"/>
        <v>#REF!</v>
      </c>
      <c r="AG1019" s="210" t="str">
        <f t="shared" si="95"/>
        <v>#REF!</v>
      </c>
      <c r="AH1019" s="120" t="str">
        <f t="shared" si="96"/>
        <v>#REF!</v>
      </c>
      <c r="AI1019" s="121">
        <f t="shared" si="893"/>
        <v>0.05</v>
      </c>
      <c r="AJ1019" s="121">
        <v>0.05</v>
      </c>
      <c r="AK1019" s="418">
        <v>0.18</v>
      </c>
      <c r="AL1019" s="123" t="str">
        <f t="shared" si="11"/>
        <v>#REF!</v>
      </c>
      <c r="AM1019" s="401" t="s">
        <v>10</v>
      </c>
      <c r="AN1019" s="125" t="str">
        <f t="shared" si="894"/>
        <v>#REF!</v>
      </c>
      <c r="AO1019" s="402" t="str">
        <f t="shared" si="895"/>
        <v>#REF!</v>
      </c>
      <c r="AP1019" s="127"/>
      <c r="AQ1019" s="128" t="str">
        <f t="shared" si="896"/>
        <v>#REF!</v>
      </c>
      <c r="AR1019" s="404" t="str">
        <f t="shared" si="897"/>
        <v>#REF!</v>
      </c>
      <c r="AS1019" s="405" t="str">
        <f t="shared" si="898"/>
        <v>#REF!</v>
      </c>
      <c r="AT1019" s="405" t="str">
        <f t="shared" si="899"/>
        <v>#REF!</v>
      </c>
      <c r="AU1019" s="129"/>
      <c r="AV1019" s="225" t="s">
        <v>3024</v>
      </c>
      <c r="AW1019" s="416"/>
      <c r="AX1019" s="416"/>
      <c r="AY1019" s="361"/>
      <c r="AZ1019" s="214"/>
      <c r="BA1019" s="214"/>
      <c r="BB1019" s="227"/>
      <c r="BC1019" s="412" t="str">
        <f t="shared" si="914"/>
        <v>#REF!</v>
      </c>
      <c r="BD1019" s="132" t="str">
        <f t="shared" si="905"/>
        <v>#REF!</v>
      </c>
      <c r="BE1019" s="215"/>
      <c r="BF1019" s="48"/>
      <c r="BG1019" s="49"/>
      <c r="BH1019" s="224" t="str">
        <f t="shared" si="910"/>
        <v>#REF!</v>
      </c>
      <c r="BI1019" s="224" t="str">
        <f t="shared" si="911"/>
        <v>#REF!</v>
      </c>
      <c r="BJ1019" s="224" t="str">
        <f t="shared" si="912"/>
        <v>#REF!</v>
      </c>
      <c r="BK1019" s="224" t="str">
        <f t="shared" si="913"/>
        <v>#REF!</v>
      </c>
      <c r="BL1019" s="49"/>
      <c r="BM1019" s="49"/>
      <c r="BN1019" s="49"/>
      <c r="BO1019" s="49"/>
      <c r="BP1019" s="49"/>
      <c r="BQ1019" s="49"/>
      <c r="BR1019" s="49"/>
      <c r="BS1019" s="49"/>
      <c r="BT1019" s="49"/>
      <c r="BU1019" s="49"/>
      <c r="BV1019" s="49"/>
      <c r="BW1019" s="49"/>
      <c r="BX1019" s="49"/>
      <c r="BY1019" s="49"/>
      <c r="BZ1019" s="49"/>
      <c r="CA1019" s="49"/>
      <c r="CB1019" s="49"/>
      <c r="CC1019" s="49"/>
      <c r="CD1019" s="49"/>
      <c r="CE1019" s="49"/>
      <c r="CF1019" s="49"/>
    </row>
    <row r="1020" ht="14.25" customHeight="1">
      <c r="A1020" s="103" t="s">
        <v>84</v>
      </c>
      <c r="B1020" s="103" t="s">
        <v>3561</v>
      </c>
      <c r="C1020" s="103" t="s">
        <v>120</v>
      </c>
      <c r="D1020" s="103" t="s">
        <v>1886</v>
      </c>
      <c r="E1020" s="109" t="s">
        <v>2920</v>
      </c>
      <c r="F1020" s="105" t="s">
        <v>3534</v>
      </c>
      <c r="G1020" s="110" t="s">
        <v>3546</v>
      </c>
      <c r="H1020" s="110"/>
      <c r="I1020" s="478"/>
      <c r="J1020" s="479" t="s">
        <v>3572</v>
      </c>
      <c r="K1020" s="108"/>
      <c r="L1020" s="109" t="s">
        <v>3573</v>
      </c>
      <c r="M1020" s="104" t="s">
        <v>3574</v>
      </c>
      <c r="N1020" s="110"/>
      <c r="O1020" s="109" t="s">
        <v>147</v>
      </c>
      <c r="P1020" s="106"/>
      <c r="Q1020" s="105" t="s">
        <v>3081</v>
      </c>
      <c r="R1020" s="106"/>
      <c r="S1020" s="106"/>
      <c r="T1020" s="110"/>
      <c r="U1020" s="106">
        <v>9.403208E9</v>
      </c>
      <c r="V1020" s="112">
        <v>0.0</v>
      </c>
      <c r="W1020" s="106">
        <v>45.0</v>
      </c>
      <c r="X1020" s="106">
        <v>45.0</v>
      </c>
      <c r="Y1020" s="106"/>
      <c r="Z1020" s="106" t="s">
        <v>99</v>
      </c>
      <c r="AA1020" s="114" t="str">
        <f t="shared" si="891"/>
        <v>#REF!</v>
      </c>
      <c r="AB1020" s="115"/>
      <c r="AC1020" s="212" t="str">
        <f t="shared" si="892"/>
        <v>#REF!</v>
      </c>
      <c r="AD1020" s="213" t="str">
        <f t="shared" si="799"/>
        <v>#REF!</v>
      </c>
      <c r="AE1020" s="212"/>
      <c r="AF1020" s="212" t="str">
        <f t="shared" si="94"/>
        <v>#REF!</v>
      </c>
      <c r="AG1020" s="210" t="str">
        <f t="shared" si="95"/>
        <v>#REF!</v>
      </c>
      <c r="AH1020" s="120" t="str">
        <f t="shared" si="96"/>
        <v>#REF!</v>
      </c>
      <c r="AI1020" s="121">
        <f t="shared" si="893"/>
        <v>0.05</v>
      </c>
      <c r="AJ1020" s="121">
        <v>0.05</v>
      </c>
      <c r="AK1020" s="418">
        <v>0.18</v>
      </c>
      <c r="AL1020" s="123" t="str">
        <f t="shared" si="11"/>
        <v>#REF!</v>
      </c>
      <c r="AM1020" s="401" t="s">
        <v>10</v>
      </c>
      <c r="AN1020" s="125" t="str">
        <f t="shared" si="894"/>
        <v>#REF!</v>
      </c>
      <c r="AO1020" s="402" t="str">
        <f t="shared" si="895"/>
        <v>#REF!</v>
      </c>
      <c r="AP1020" s="127"/>
      <c r="AQ1020" s="128" t="str">
        <f t="shared" si="896"/>
        <v>#REF!</v>
      </c>
      <c r="AR1020" s="404" t="str">
        <f t="shared" si="897"/>
        <v>#REF!</v>
      </c>
      <c r="AS1020" s="405" t="str">
        <f t="shared" si="898"/>
        <v>#REF!</v>
      </c>
      <c r="AT1020" s="405" t="str">
        <f t="shared" si="899"/>
        <v>#REF!</v>
      </c>
      <c r="AU1020" s="129"/>
      <c r="AV1020" s="225" t="s">
        <v>3024</v>
      </c>
      <c r="AW1020" s="416"/>
      <c r="AX1020" s="416"/>
      <c r="AY1020" s="361"/>
      <c r="AZ1020" s="214"/>
      <c r="BA1020" s="214"/>
      <c r="BB1020" s="227"/>
      <c r="BC1020" s="412" t="str">
        <f t="shared" si="914"/>
        <v>#REF!</v>
      </c>
      <c r="BD1020" s="132" t="str">
        <f t="shared" si="905"/>
        <v>#REF!</v>
      </c>
      <c r="BE1020" s="215"/>
      <c r="BF1020" s="48"/>
      <c r="BG1020" s="49"/>
      <c r="BH1020" s="224" t="str">
        <f t="shared" si="910"/>
        <v>#REF!</v>
      </c>
      <c r="BI1020" s="224" t="str">
        <f t="shared" si="911"/>
        <v>#REF!</v>
      </c>
      <c r="BJ1020" s="224" t="str">
        <f t="shared" si="912"/>
        <v>#REF!</v>
      </c>
      <c r="BK1020" s="224" t="str">
        <f t="shared" si="913"/>
        <v>#REF!</v>
      </c>
      <c r="BL1020" s="49"/>
      <c r="BM1020" s="49"/>
      <c r="BN1020" s="49"/>
      <c r="BO1020" s="49"/>
      <c r="BP1020" s="49"/>
      <c r="BQ1020" s="49"/>
      <c r="BR1020" s="49"/>
      <c r="BS1020" s="49"/>
      <c r="BT1020" s="49"/>
      <c r="BU1020" s="49"/>
      <c r="BV1020" s="49"/>
      <c r="BW1020" s="49"/>
      <c r="BX1020" s="49"/>
      <c r="BY1020" s="49"/>
      <c r="BZ1020" s="49"/>
      <c r="CA1020" s="49"/>
      <c r="CB1020" s="49"/>
      <c r="CC1020" s="49"/>
      <c r="CD1020" s="49"/>
      <c r="CE1020" s="49"/>
      <c r="CF1020" s="49"/>
    </row>
    <row r="1021" ht="14.25" customHeight="1">
      <c r="A1021" s="103" t="s">
        <v>84</v>
      </c>
      <c r="B1021" s="103" t="s">
        <v>3561</v>
      </c>
      <c r="C1021" s="103" t="s">
        <v>120</v>
      </c>
      <c r="D1021" s="103" t="s">
        <v>1886</v>
      </c>
      <c r="E1021" s="109" t="s">
        <v>2920</v>
      </c>
      <c r="F1021" s="105" t="s">
        <v>3534</v>
      </c>
      <c r="G1021" s="110" t="s">
        <v>3550</v>
      </c>
      <c r="H1021" s="110"/>
      <c r="I1021" s="478"/>
      <c r="J1021" s="479" t="s">
        <v>3575</v>
      </c>
      <c r="K1021" s="108"/>
      <c r="L1021" s="109" t="s">
        <v>3576</v>
      </c>
      <c r="M1021" s="104" t="s">
        <v>3577</v>
      </c>
      <c r="N1021" s="110"/>
      <c r="O1021" s="109" t="s">
        <v>147</v>
      </c>
      <c r="P1021" s="106"/>
      <c r="Q1021" s="105" t="s">
        <v>3081</v>
      </c>
      <c r="R1021" s="106"/>
      <c r="S1021" s="106"/>
      <c r="T1021" s="110"/>
      <c r="U1021" s="106">
        <v>9.403208E9</v>
      </c>
      <c r="V1021" s="112">
        <v>0.0</v>
      </c>
      <c r="W1021" s="106">
        <v>45.0</v>
      </c>
      <c r="X1021" s="106">
        <v>45.0</v>
      </c>
      <c r="Y1021" s="106"/>
      <c r="Z1021" s="106" t="s">
        <v>99</v>
      </c>
      <c r="AA1021" s="114" t="str">
        <f t="shared" si="891"/>
        <v>#REF!</v>
      </c>
      <c r="AB1021" s="115"/>
      <c r="AC1021" s="212" t="str">
        <f t="shared" si="892"/>
        <v>#REF!</v>
      </c>
      <c r="AD1021" s="213" t="str">
        <f t="shared" si="799"/>
        <v>#REF!</v>
      </c>
      <c r="AE1021" s="212"/>
      <c r="AF1021" s="212" t="str">
        <f t="shared" si="94"/>
        <v>#REF!</v>
      </c>
      <c r="AG1021" s="210" t="str">
        <f t="shared" si="95"/>
        <v>#REF!</v>
      </c>
      <c r="AH1021" s="120" t="str">
        <f t="shared" si="96"/>
        <v>#REF!</v>
      </c>
      <c r="AI1021" s="121">
        <f t="shared" si="893"/>
        <v>0.05</v>
      </c>
      <c r="AJ1021" s="121">
        <v>0.05</v>
      </c>
      <c r="AK1021" s="418">
        <v>0.18</v>
      </c>
      <c r="AL1021" s="123" t="str">
        <f t="shared" si="11"/>
        <v>#REF!</v>
      </c>
      <c r="AM1021" s="401" t="s">
        <v>10</v>
      </c>
      <c r="AN1021" s="125" t="str">
        <f t="shared" si="894"/>
        <v>#REF!</v>
      </c>
      <c r="AO1021" s="402" t="str">
        <f t="shared" si="895"/>
        <v>#REF!</v>
      </c>
      <c r="AP1021" s="127"/>
      <c r="AQ1021" s="128" t="str">
        <f t="shared" si="896"/>
        <v>#REF!</v>
      </c>
      <c r="AR1021" s="404" t="str">
        <f t="shared" si="897"/>
        <v>#REF!</v>
      </c>
      <c r="AS1021" s="405" t="str">
        <f t="shared" si="898"/>
        <v>#REF!</v>
      </c>
      <c r="AT1021" s="405" t="str">
        <f t="shared" si="899"/>
        <v>#REF!</v>
      </c>
      <c r="AU1021" s="129"/>
      <c r="AV1021" s="225" t="s">
        <v>3024</v>
      </c>
      <c r="AW1021" s="416"/>
      <c r="AX1021" s="416"/>
      <c r="AY1021" s="361"/>
      <c r="AZ1021" s="214"/>
      <c r="BA1021" s="214"/>
      <c r="BB1021" s="227"/>
      <c r="BC1021" s="412" t="str">
        <f t="shared" si="914"/>
        <v>#REF!</v>
      </c>
      <c r="BD1021" s="132" t="str">
        <f t="shared" si="905"/>
        <v>#REF!</v>
      </c>
      <c r="BE1021" s="215"/>
      <c r="BF1021" s="48"/>
      <c r="BG1021" s="49"/>
      <c r="BH1021" s="224" t="str">
        <f t="shared" si="910"/>
        <v>#REF!</v>
      </c>
      <c r="BI1021" s="224" t="str">
        <f t="shared" si="911"/>
        <v>#REF!</v>
      </c>
      <c r="BJ1021" s="224" t="str">
        <f t="shared" si="912"/>
        <v>#REF!</v>
      </c>
      <c r="BK1021" s="224" t="str">
        <f t="shared" si="913"/>
        <v>#REF!</v>
      </c>
      <c r="BL1021" s="49"/>
      <c r="BM1021" s="49"/>
      <c r="BN1021" s="49"/>
      <c r="BO1021" s="49"/>
      <c r="BP1021" s="49"/>
      <c r="BQ1021" s="49"/>
      <c r="BR1021" s="49"/>
      <c r="BS1021" s="49"/>
      <c r="BT1021" s="49"/>
      <c r="BU1021" s="49"/>
      <c r="BV1021" s="49"/>
      <c r="BW1021" s="49"/>
      <c r="BX1021" s="49"/>
      <c r="BY1021" s="49"/>
      <c r="BZ1021" s="49"/>
      <c r="CA1021" s="49"/>
      <c r="CB1021" s="49"/>
      <c r="CC1021" s="49"/>
      <c r="CD1021" s="49"/>
      <c r="CE1021" s="49"/>
      <c r="CF1021" s="49"/>
    </row>
    <row r="1022" ht="14.25" customHeight="1">
      <c r="A1022" s="103" t="s">
        <v>84</v>
      </c>
      <c r="B1022" s="103" t="s">
        <v>3561</v>
      </c>
      <c r="C1022" s="103" t="s">
        <v>120</v>
      </c>
      <c r="D1022" s="103" t="s">
        <v>1886</v>
      </c>
      <c r="E1022" s="109" t="s">
        <v>2920</v>
      </c>
      <c r="F1022" s="105" t="s">
        <v>3534</v>
      </c>
      <c r="G1022" s="110" t="s">
        <v>3554</v>
      </c>
      <c r="H1022" s="110"/>
      <c r="I1022" s="478"/>
      <c r="J1022" s="479" t="s">
        <v>3578</v>
      </c>
      <c r="K1022" s="108"/>
      <c r="L1022" s="109" t="s">
        <v>3579</v>
      </c>
      <c r="M1022" s="104" t="s">
        <v>3580</v>
      </c>
      <c r="N1022" s="110"/>
      <c r="O1022" s="109" t="s">
        <v>147</v>
      </c>
      <c r="P1022" s="106"/>
      <c r="Q1022" s="105" t="s">
        <v>3081</v>
      </c>
      <c r="R1022" s="106"/>
      <c r="S1022" s="106"/>
      <c r="T1022" s="110"/>
      <c r="U1022" s="106">
        <v>9.403208E9</v>
      </c>
      <c r="V1022" s="112">
        <v>0.0</v>
      </c>
      <c r="W1022" s="106">
        <v>45.0</v>
      </c>
      <c r="X1022" s="106">
        <v>45.0</v>
      </c>
      <c r="Y1022" s="106"/>
      <c r="Z1022" s="106" t="s">
        <v>99</v>
      </c>
      <c r="AA1022" s="114" t="str">
        <f t="shared" si="891"/>
        <v>#REF!</v>
      </c>
      <c r="AB1022" s="115"/>
      <c r="AC1022" s="212" t="str">
        <f t="shared" si="892"/>
        <v>#REF!</v>
      </c>
      <c r="AD1022" s="213" t="str">
        <f t="shared" si="799"/>
        <v>#REF!</v>
      </c>
      <c r="AE1022" s="212"/>
      <c r="AF1022" s="212" t="str">
        <f t="shared" si="94"/>
        <v>#REF!</v>
      </c>
      <c r="AG1022" s="210" t="str">
        <f t="shared" si="95"/>
        <v>#REF!</v>
      </c>
      <c r="AH1022" s="120" t="str">
        <f t="shared" si="96"/>
        <v>#REF!</v>
      </c>
      <c r="AI1022" s="121">
        <f t="shared" si="893"/>
        <v>0.05</v>
      </c>
      <c r="AJ1022" s="121">
        <v>0.05</v>
      </c>
      <c r="AK1022" s="418">
        <v>0.18</v>
      </c>
      <c r="AL1022" s="123" t="str">
        <f t="shared" si="11"/>
        <v>#REF!</v>
      </c>
      <c r="AM1022" s="401" t="s">
        <v>10</v>
      </c>
      <c r="AN1022" s="125" t="str">
        <f t="shared" si="894"/>
        <v>#REF!</v>
      </c>
      <c r="AO1022" s="402" t="str">
        <f t="shared" si="895"/>
        <v>#REF!</v>
      </c>
      <c r="AP1022" s="127"/>
      <c r="AQ1022" s="128" t="str">
        <f t="shared" si="896"/>
        <v>#REF!</v>
      </c>
      <c r="AR1022" s="404" t="str">
        <f t="shared" si="897"/>
        <v>#REF!</v>
      </c>
      <c r="AS1022" s="405" t="str">
        <f t="shared" si="898"/>
        <v>#REF!</v>
      </c>
      <c r="AT1022" s="405" t="str">
        <f t="shared" si="899"/>
        <v>#REF!</v>
      </c>
      <c r="AU1022" s="129"/>
      <c r="AV1022" s="225" t="s">
        <v>3024</v>
      </c>
      <c r="AW1022" s="416"/>
      <c r="AX1022" s="416"/>
      <c r="AY1022" s="361"/>
      <c r="AZ1022" s="214"/>
      <c r="BA1022" s="214"/>
      <c r="BB1022" s="227"/>
      <c r="BC1022" s="412" t="str">
        <f t="shared" si="914"/>
        <v>#REF!</v>
      </c>
      <c r="BD1022" s="132" t="str">
        <f t="shared" si="905"/>
        <v>#REF!</v>
      </c>
      <c r="BE1022" s="215"/>
      <c r="BF1022" s="48"/>
      <c r="BG1022" s="49"/>
      <c r="BH1022" s="224" t="str">
        <f t="shared" si="910"/>
        <v>#REF!</v>
      </c>
      <c r="BI1022" s="224" t="str">
        <f t="shared" si="911"/>
        <v>#REF!</v>
      </c>
      <c r="BJ1022" s="224" t="str">
        <f t="shared" si="912"/>
        <v>#REF!</v>
      </c>
      <c r="BK1022" s="224" t="str">
        <f t="shared" si="913"/>
        <v>#REF!</v>
      </c>
      <c r="BL1022" s="49"/>
      <c r="BM1022" s="49"/>
      <c r="BN1022" s="49"/>
      <c r="BO1022" s="49"/>
      <c r="BP1022" s="49"/>
      <c r="BQ1022" s="49"/>
      <c r="BR1022" s="49"/>
      <c r="BS1022" s="49"/>
      <c r="BT1022" s="49"/>
      <c r="BU1022" s="49"/>
      <c r="BV1022" s="49"/>
      <c r="BW1022" s="49"/>
      <c r="BX1022" s="49"/>
      <c r="BY1022" s="49"/>
      <c r="BZ1022" s="49"/>
      <c r="CA1022" s="49"/>
      <c r="CB1022" s="49"/>
      <c r="CC1022" s="49"/>
      <c r="CD1022" s="49"/>
      <c r="CE1022" s="49"/>
      <c r="CF1022" s="49"/>
    </row>
    <row r="1023" ht="14.25" customHeight="1">
      <c r="A1023" s="103" t="s">
        <v>84</v>
      </c>
      <c r="B1023" s="103" t="s">
        <v>3561</v>
      </c>
      <c r="C1023" s="103" t="s">
        <v>120</v>
      </c>
      <c r="D1023" s="103" t="s">
        <v>1886</v>
      </c>
      <c r="E1023" s="109" t="s">
        <v>2920</v>
      </c>
      <c r="F1023" s="105" t="s">
        <v>3534</v>
      </c>
      <c r="G1023" s="110" t="s">
        <v>3075</v>
      </c>
      <c r="H1023" s="110"/>
      <c r="I1023" s="478"/>
      <c r="J1023" s="479" t="s">
        <v>3581</v>
      </c>
      <c r="K1023" s="108"/>
      <c r="L1023" s="109" t="s">
        <v>3582</v>
      </c>
      <c r="M1023" s="104" t="s">
        <v>3583</v>
      </c>
      <c r="N1023" s="110"/>
      <c r="O1023" s="109" t="s">
        <v>147</v>
      </c>
      <c r="P1023" s="106"/>
      <c r="Q1023" s="105" t="s">
        <v>3081</v>
      </c>
      <c r="R1023" s="106"/>
      <c r="S1023" s="106"/>
      <c r="T1023" s="110"/>
      <c r="U1023" s="106">
        <v>9.403208E9</v>
      </c>
      <c r="V1023" s="112">
        <v>0.0</v>
      </c>
      <c r="W1023" s="106">
        <v>45.0</v>
      </c>
      <c r="X1023" s="106">
        <v>45.0</v>
      </c>
      <c r="Y1023" s="106"/>
      <c r="Z1023" s="106" t="s">
        <v>99</v>
      </c>
      <c r="AA1023" s="114" t="str">
        <f t="shared" si="891"/>
        <v>#REF!</v>
      </c>
      <c r="AB1023" s="115"/>
      <c r="AC1023" s="212" t="str">
        <f t="shared" si="892"/>
        <v>#REF!</v>
      </c>
      <c r="AD1023" s="213" t="str">
        <f t="shared" si="799"/>
        <v>#REF!</v>
      </c>
      <c r="AE1023" s="212"/>
      <c r="AF1023" s="212" t="str">
        <f t="shared" si="94"/>
        <v>#REF!</v>
      </c>
      <c r="AG1023" s="210" t="str">
        <f t="shared" si="95"/>
        <v>#REF!</v>
      </c>
      <c r="AH1023" s="120" t="str">
        <f t="shared" si="96"/>
        <v>#REF!</v>
      </c>
      <c r="AI1023" s="121">
        <f t="shared" si="893"/>
        <v>0.05</v>
      </c>
      <c r="AJ1023" s="121">
        <v>0.05</v>
      </c>
      <c r="AK1023" s="418">
        <v>0.18</v>
      </c>
      <c r="AL1023" s="123" t="str">
        <f t="shared" si="11"/>
        <v>#REF!</v>
      </c>
      <c r="AM1023" s="401" t="s">
        <v>10</v>
      </c>
      <c r="AN1023" s="125" t="str">
        <f t="shared" si="894"/>
        <v>#REF!</v>
      </c>
      <c r="AO1023" s="402" t="str">
        <f t="shared" si="895"/>
        <v>#REF!</v>
      </c>
      <c r="AP1023" s="127"/>
      <c r="AQ1023" s="128" t="str">
        <f t="shared" si="896"/>
        <v>#REF!</v>
      </c>
      <c r="AR1023" s="404" t="str">
        <f t="shared" si="897"/>
        <v>#REF!</v>
      </c>
      <c r="AS1023" s="405" t="str">
        <f t="shared" si="898"/>
        <v>#REF!</v>
      </c>
      <c r="AT1023" s="405" t="str">
        <f t="shared" si="899"/>
        <v>#REF!</v>
      </c>
      <c r="AU1023" s="129"/>
      <c r="AV1023" s="225" t="s">
        <v>3024</v>
      </c>
      <c r="AW1023" s="416"/>
      <c r="AX1023" s="416"/>
      <c r="AY1023" s="361"/>
      <c r="AZ1023" s="214"/>
      <c r="BA1023" s="214"/>
      <c r="BB1023" s="227"/>
      <c r="BC1023" s="412" t="str">
        <f t="shared" si="914"/>
        <v>#REF!</v>
      </c>
      <c r="BD1023" s="132" t="str">
        <f t="shared" si="905"/>
        <v>#REF!</v>
      </c>
      <c r="BE1023" s="215"/>
      <c r="BF1023" s="48"/>
      <c r="BG1023" s="49"/>
      <c r="BH1023" s="224" t="str">
        <f t="shared" si="910"/>
        <v>#REF!</v>
      </c>
      <c r="BI1023" s="224" t="str">
        <f t="shared" si="911"/>
        <v>#REF!</v>
      </c>
      <c r="BJ1023" s="224" t="str">
        <f t="shared" si="912"/>
        <v>#REF!</v>
      </c>
      <c r="BK1023" s="224" t="str">
        <f t="shared" si="913"/>
        <v>#REF!</v>
      </c>
      <c r="BL1023" s="49"/>
      <c r="BM1023" s="49"/>
      <c r="BN1023" s="49"/>
      <c r="BO1023" s="49"/>
      <c r="BP1023" s="49"/>
      <c r="BQ1023" s="49"/>
      <c r="BR1023" s="49"/>
      <c r="BS1023" s="49"/>
      <c r="BT1023" s="49"/>
      <c r="BU1023" s="49"/>
      <c r="BV1023" s="49"/>
      <c r="BW1023" s="49"/>
      <c r="BX1023" s="49"/>
      <c r="BY1023" s="49"/>
      <c r="BZ1023" s="49"/>
      <c r="CA1023" s="49"/>
      <c r="CB1023" s="49"/>
      <c r="CC1023" s="49"/>
      <c r="CD1023" s="49"/>
      <c r="CE1023" s="49"/>
      <c r="CF1023" s="49"/>
    </row>
    <row r="1024" ht="14.25" customHeight="1">
      <c r="A1024" s="103" t="s">
        <v>84</v>
      </c>
      <c r="B1024" s="103" t="s">
        <v>3561</v>
      </c>
      <c r="C1024" s="103" t="s">
        <v>85</v>
      </c>
      <c r="D1024" s="103" t="s">
        <v>1886</v>
      </c>
      <c r="E1024" s="109" t="s">
        <v>2920</v>
      </c>
      <c r="F1024" s="105" t="s">
        <v>3534</v>
      </c>
      <c r="G1024" s="110" t="s">
        <v>3535</v>
      </c>
      <c r="H1024" s="110"/>
      <c r="I1024" s="478"/>
      <c r="J1024" s="479" t="s">
        <v>3584</v>
      </c>
      <c r="K1024" s="108"/>
      <c r="L1024" s="109" t="s">
        <v>3585</v>
      </c>
      <c r="M1024" s="104" t="s">
        <v>3586</v>
      </c>
      <c r="N1024" s="110"/>
      <c r="O1024" s="109" t="s">
        <v>147</v>
      </c>
      <c r="P1024" s="106"/>
      <c r="Q1024" s="105" t="s">
        <v>3081</v>
      </c>
      <c r="R1024" s="106"/>
      <c r="S1024" s="106"/>
      <c r="T1024" s="110"/>
      <c r="U1024" s="106">
        <v>9.403208E9</v>
      </c>
      <c r="V1024" s="112">
        <v>0.0</v>
      </c>
      <c r="W1024" s="106">
        <v>45.0</v>
      </c>
      <c r="X1024" s="106">
        <v>45.0</v>
      </c>
      <c r="Y1024" s="106"/>
      <c r="Z1024" s="106" t="s">
        <v>99</v>
      </c>
      <c r="AA1024" s="114" t="str">
        <f t="shared" si="891"/>
        <v>#REF!</v>
      </c>
      <c r="AB1024" s="115"/>
      <c r="AC1024" s="212" t="str">
        <f t="shared" si="892"/>
        <v>#REF!</v>
      </c>
      <c r="AD1024" s="213" t="str">
        <f t="shared" si="799"/>
        <v>#REF!</v>
      </c>
      <c r="AE1024" s="212"/>
      <c r="AF1024" s="212" t="str">
        <f t="shared" si="94"/>
        <v>#REF!</v>
      </c>
      <c r="AG1024" s="210" t="str">
        <f t="shared" si="95"/>
        <v>#REF!</v>
      </c>
      <c r="AH1024" s="120" t="str">
        <f t="shared" si="96"/>
        <v>#REF!</v>
      </c>
      <c r="AI1024" s="121">
        <f t="shared" si="893"/>
        <v>0.05</v>
      </c>
      <c r="AJ1024" s="121">
        <v>0.05</v>
      </c>
      <c r="AK1024" s="418">
        <v>0.18</v>
      </c>
      <c r="AL1024" s="123" t="str">
        <f t="shared" si="11"/>
        <v>#REF!</v>
      </c>
      <c r="AM1024" s="401" t="s">
        <v>10</v>
      </c>
      <c r="AN1024" s="125" t="str">
        <f t="shared" si="894"/>
        <v>#REF!</v>
      </c>
      <c r="AO1024" s="402" t="str">
        <f t="shared" si="895"/>
        <v>#REF!</v>
      </c>
      <c r="AP1024" s="127"/>
      <c r="AQ1024" s="128" t="str">
        <f t="shared" si="896"/>
        <v>#REF!</v>
      </c>
      <c r="AR1024" s="404" t="str">
        <f t="shared" si="897"/>
        <v>#REF!</v>
      </c>
      <c r="AS1024" s="405" t="str">
        <f t="shared" si="898"/>
        <v>#REF!</v>
      </c>
      <c r="AT1024" s="405" t="str">
        <f t="shared" si="899"/>
        <v>#REF!</v>
      </c>
      <c r="AU1024" s="129"/>
      <c r="AV1024" s="225" t="s">
        <v>3024</v>
      </c>
      <c r="AW1024" s="416"/>
      <c r="AX1024" s="416"/>
      <c r="AY1024" s="361"/>
      <c r="AZ1024" s="214"/>
      <c r="BA1024" s="214"/>
      <c r="BB1024" s="227"/>
      <c r="BC1024" s="412" t="str">
        <f t="shared" si="914"/>
        <v>#REF!</v>
      </c>
      <c r="BD1024" s="132" t="str">
        <f t="shared" si="905"/>
        <v>#REF!</v>
      </c>
      <c r="BE1024" s="215"/>
      <c r="BF1024" s="48"/>
      <c r="BG1024" s="49"/>
      <c r="BH1024" s="224" t="str">
        <f t="shared" si="910"/>
        <v>#REF!</v>
      </c>
      <c r="BI1024" s="224" t="str">
        <f t="shared" si="911"/>
        <v>#REF!</v>
      </c>
      <c r="BJ1024" s="224" t="str">
        <f t="shared" si="912"/>
        <v>#REF!</v>
      </c>
      <c r="BK1024" s="224" t="str">
        <f t="shared" si="913"/>
        <v>#REF!</v>
      </c>
      <c r="BL1024" s="49"/>
      <c r="BM1024" s="49"/>
      <c r="BN1024" s="49"/>
      <c r="BO1024" s="49"/>
      <c r="BP1024" s="49"/>
      <c r="BQ1024" s="49"/>
      <c r="BR1024" s="49"/>
      <c r="BS1024" s="49"/>
      <c r="BT1024" s="49"/>
      <c r="BU1024" s="49"/>
      <c r="BV1024" s="49"/>
      <c r="BW1024" s="49"/>
      <c r="BX1024" s="49"/>
      <c r="BY1024" s="49"/>
      <c r="BZ1024" s="49"/>
      <c r="CA1024" s="49"/>
      <c r="CB1024" s="49"/>
      <c r="CC1024" s="49"/>
      <c r="CD1024" s="49"/>
      <c r="CE1024" s="49"/>
      <c r="CF1024" s="49"/>
    </row>
    <row r="1025" ht="14.25" customHeight="1">
      <c r="A1025" s="103" t="s">
        <v>84</v>
      </c>
      <c r="B1025" s="103" t="s">
        <v>3561</v>
      </c>
      <c r="C1025" s="103" t="s">
        <v>85</v>
      </c>
      <c r="D1025" s="103" t="s">
        <v>1886</v>
      </c>
      <c r="E1025" s="109" t="s">
        <v>2920</v>
      </c>
      <c r="F1025" s="105" t="s">
        <v>3534</v>
      </c>
      <c r="G1025" s="110" t="s">
        <v>3490</v>
      </c>
      <c r="H1025" s="110"/>
      <c r="I1025" s="478"/>
      <c r="J1025" s="479" t="s">
        <v>3587</v>
      </c>
      <c r="K1025" s="108"/>
      <c r="L1025" s="109" t="s">
        <v>3588</v>
      </c>
      <c r="M1025" s="104" t="s">
        <v>3589</v>
      </c>
      <c r="N1025" s="110"/>
      <c r="O1025" s="109" t="s">
        <v>147</v>
      </c>
      <c r="P1025" s="106"/>
      <c r="Q1025" s="105" t="s">
        <v>3081</v>
      </c>
      <c r="R1025" s="106"/>
      <c r="S1025" s="106"/>
      <c r="T1025" s="110"/>
      <c r="U1025" s="106">
        <v>9.403208E9</v>
      </c>
      <c r="V1025" s="112">
        <v>0.0</v>
      </c>
      <c r="W1025" s="106">
        <v>45.0</v>
      </c>
      <c r="X1025" s="106">
        <v>45.0</v>
      </c>
      <c r="Y1025" s="106"/>
      <c r="Z1025" s="106" t="s">
        <v>99</v>
      </c>
      <c r="AA1025" s="114" t="str">
        <f t="shared" si="891"/>
        <v>#REF!</v>
      </c>
      <c r="AB1025" s="115"/>
      <c r="AC1025" s="212" t="str">
        <f t="shared" si="892"/>
        <v>#REF!</v>
      </c>
      <c r="AD1025" s="213" t="str">
        <f t="shared" si="799"/>
        <v>#REF!</v>
      </c>
      <c r="AE1025" s="212"/>
      <c r="AF1025" s="212" t="str">
        <f t="shared" si="94"/>
        <v>#REF!</v>
      </c>
      <c r="AG1025" s="210" t="str">
        <f t="shared" si="95"/>
        <v>#REF!</v>
      </c>
      <c r="AH1025" s="120" t="str">
        <f t="shared" si="96"/>
        <v>#REF!</v>
      </c>
      <c r="AI1025" s="121">
        <f t="shared" si="893"/>
        <v>0.05</v>
      </c>
      <c r="AJ1025" s="121">
        <v>0.05</v>
      </c>
      <c r="AK1025" s="418">
        <v>0.18</v>
      </c>
      <c r="AL1025" s="123" t="str">
        <f t="shared" si="11"/>
        <v>#REF!</v>
      </c>
      <c r="AM1025" s="401" t="s">
        <v>10</v>
      </c>
      <c r="AN1025" s="125" t="str">
        <f t="shared" si="894"/>
        <v>#REF!</v>
      </c>
      <c r="AO1025" s="402" t="str">
        <f t="shared" si="895"/>
        <v>#REF!</v>
      </c>
      <c r="AP1025" s="127"/>
      <c r="AQ1025" s="128" t="str">
        <f t="shared" si="896"/>
        <v>#REF!</v>
      </c>
      <c r="AR1025" s="404" t="str">
        <f t="shared" si="897"/>
        <v>#REF!</v>
      </c>
      <c r="AS1025" s="405" t="str">
        <f t="shared" si="898"/>
        <v>#REF!</v>
      </c>
      <c r="AT1025" s="405" t="str">
        <f t="shared" si="899"/>
        <v>#REF!</v>
      </c>
      <c r="AU1025" s="129"/>
      <c r="AV1025" s="225" t="s">
        <v>3024</v>
      </c>
      <c r="AW1025" s="416"/>
      <c r="AX1025" s="416"/>
      <c r="AY1025" s="361"/>
      <c r="AZ1025" s="214"/>
      <c r="BA1025" s="214"/>
      <c r="BB1025" s="227"/>
      <c r="BC1025" s="412" t="str">
        <f t="shared" si="914"/>
        <v>#REF!</v>
      </c>
      <c r="BD1025" s="132" t="str">
        <f t="shared" si="905"/>
        <v>#REF!</v>
      </c>
      <c r="BE1025" s="215"/>
      <c r="BF1025" s="48"/>
      <c r="BG1025" s="49"/>
      <c r="BH1025" s="224" t="str">
        <f t="shared" si="910"/>
        <v>#REF!</v>
      </c>
      <c r="BI1025" s="224" t="str">
        <f t="shared" si="911"/>
        <v>#REF!</v>
      </c>
      <c r="BJ1025" s="224" t="str">
        <f t="shared" si="912"/>
        <v>#REF!</v>
      </c>
      <c r="BK1025" s="224" t="str">
        <f t="shared" si="913"/>
        <v>#REF!</v>
      </c>
      <c r="BL1025" s="49"/>
      <c r="BM1025" s="49"/>
      <c r="BN1025" s="49"/>
      <c r="BO1025" s="49"/>
      <c r="BP1025" s="49"/>
      <c r="BQ1025" s="49"/>
      <c r="BR1025" s="49"/>
      <c r="BS1025" s="49"/>
      <c r="BT1025" s="49"/>
      <c r="BU1025" s="49"/>
      <c r="BV1025" s="49"/>
      <c r="BW1025" s="49"/>
      <c r="BX1025" s="49"/>
      <c r="BY1025" s="49"/>
      <c r="BZ1025" s="49"/>
      <c r="CA1025" s="49"/>
      <c r="CB1025" s="49"/>
      <c r="CC1025" s="49"/>
      <c r="CD1025" s="49"/>
      <c r="CE1025" s="49"/>
      <c r="CF1025" s="49"/>
    </row>
    <row r="1026" ht="14.25" customHeight="1">
      <c r="A1026" s="103" t="s">
        <v>84</v>
      </c>
      <c r="B1026" s="103" t="s">
        <v>3561</v>
      </c>
      <c r="C1026" s="103" t="s">
        <v>85</v>
      </c>
      <c r="D1026" s="103" t="s">
        <v>1886</v>
      </c>
      <c r="E1026" s="109" t="s">
        <v>2920</v>
      </c>
      <c r="F1026" s="105" t="s">
        <v>3534</v>
      </c>
      <c r="G1026" s="110" t="s">
        <v>3494</v>
      </c>
      <c r="H1026" s="110"/>
      <c r="I1026" s="478"/>
      <c r="J1026" s="479" t="s">
        <v>3590</v>
      </c>
      <c r="K1026" s="108"/>
      <c r="L1026" s="109" t="s">
        <v>3591</v>
      </c>
      <c r="M1026" s="104" t="s">
        <v>3592</v>
      </c>
      <c r="N1026" s="110"/>
      <c r="O1026" s="109" t="s">
        <v>147</v>
      </c>
      <c r="P1026" s="106"/>
      <c r="Q1026" s="105" t="s">
        <v>3081</v>
      </c>
      <c r="R1026" s="106"/>
      <c r="S1026" s="106"/>
      <c r="T1026" s="110"/>
      <c r="U1026" s="106">
        <v>9.403208E9</v>
      </c>
      <c r="V1026" s="112">
        <v>0.0</v>
      </c>
      <c r="W1026" s="106">
        <v>45.0</v>
      </c>
      <c r="X1026" s="106">
        <v>45.0</v>
      </c>
      <c r="Y1026" s="106"/>
      <c r="Z1026" s="106" t="s">
        <v>99</v>
      </c>
      <c r="AA1026" s="114" t="str">
        <f t="shared" si="891"/>
        <v>#REF!</v>
      </c>
      <c r="AB1026" s="115"/>
      <c r="AC1026" s="212" t="str">
        <f t="shared" si="892"/>
        <v>#REF!</v>
      </c>
      <c r="AD1026" s="213" t="str">
        <f t="shared" si="799"/>
        <v>#REF!</v>
      </c>
      <c r="AE1026" s="212"/>
      <c r="AF1026" s="212" t="str">
        <f t="shared" si="94"/>
        <v>#REF!</v>
      </c>
      <c r="AG1026" s="210" t="str">
        <f t="shared" si="95"/>
        <v>#REF!</v>
      </c>
      <c r="AH1026" s="120" t="str">
        <f t="shared" si="96"/>
        <v>#REF!</v>
      </c>
      <c r="AI1026" s="121">
        <f t="shared" si="893"/>
        <v>0.05</v>
      </c>
      <c r="AJ1026" s="121">
        <v>0.05</v>
      </c>
      <c r="AK1026" s="418">
        <v>0.18</v>
      </c>
      <c r="AL1026" s="123" t="str">
        <f t="shared" si="11"/>
        <v>#REF!</v>
      </c>
      <c r="AM1026" s="401" t="s">
        <v>10</v>
      </c>
      <c r="AN1026" s="125" t="str">
        <f t="shared" si="894"/>
        <v>#REF!</v>
      </c>
      <c r="AO1026" s="402" t="str">
        <f t="shared" si="895"/>
        <v>#REF!</v>
      </c>
      <c r="AP1026" s="127"/>
      <c r="AQ1026" s="128" t="str">
        <f t="shared" si="896"/>
        <v>#REF!</v>
      </c>
      <c r="AR1026" s="404" t="str">
        <f t="shared" si="897"/>
        <v>#REF!</v>
      </c>
      <c r="AS1026" s="405" t="str">
        <f t="shared" si="898"/>
        <v>#REF!</v>
      </c>
      <c r="AT1026" s="405" t="str">
        <f t="shared" si="899"/>
        <v>#REF!</v>
      </c>
      <c r="AU1026" s="129"/>
      <c r="AV1026" s="225" t="s">
        <v>3024</v>
      </c>
      <c r="AW1026" s="416"/>
      <c r="AX1026" s="416"/>
      <c r="AY1026" s="361"/>
      <c r="AZ1026" s="214"/>
      <c r="BA1026" s="214"/>
      <c r="BB1026" s="227"/>
      <c r="BC1026" s="412" t="str">
        <f t="shared" si="914"/>
        <v>#REF!</v>
      </c>
      <c r="BD1026" s="132" t="str">
        <f t="shared" si="905"/>
        <v>#REF!</v>
      </c>
      <c r="BE1026" s="215"/>
      <c r="BF1026" s="48"/>
      <c r="BG1026" s="49"/>
      <c r="BH1026" s="224" t="str">
        <f t="shared" si="910"/>
        <v>#REF!</v>
      </c>
      <c r="BI1026" s="224" t="str">
        <f t="shared" si="911"/>
        <v>#REF!</v>
      </c>
      <c r="BJ1026" s="224" t="str">
        <f t="shared" si="912"/>
        <v>#REF!</v>
      </c>
      <c r="BK1026" s="224" t="str">
        <f t="shared" si="913"/>
        <v>#REF!</v>
      </c>
      <c r="BL1026" s="49"/>
      <c r="BM1026" s="49"/>
      <c r="BN1026" s="49"/>
      <c r="BO1026" s="49"/>
      <c r="BP1026" s="49"/>
      <c r="BQ1026" s="49"/>
      <c r="BR1026" s="49"/>
      <c r="BS1026" s="49"/>
      <c r="BT1026" s="49"/>
      <c r="BU1026" s="49"/>
      <c r="BV1026" s="49"/>
      <c r="BW1026" s="49"/>
      <c r="BX1026" s="49"/>
      <c r="BY1026" s="49"/>
      <c r="BZ1026" s="49"/>
      <c r="CA1026" s="49"/>
      <c r="CB1026" s="49"/>
      <c r="CC1026" s="49"/>
      <c r="CD1026" s="49"/>
      <c r="CE1026" s="49"/>
      <c r="CF1026" s="49"/>
    </row>
    <row r="1027" ht="14.25" customHeight="1">
      <c r="A1027" s="103" t="s">
        <v>84</v>
      </c>
      <c r="B1027" s="103" t="s">
        <v>3561</v>
      </c>
      <c r="C1027" s="103" t="s">
        <v>85</v>
      </c>
      <c r="D1027" s="103" t="s">
        <v>1886</v>
      </c>
      <c r="E1027" s="109" t="s">
        <v>2920</v>
      </c>
      <c r="F1027" s="105" t="s">
        <v>3534</v>
      </c>
      <c r="G1027" s="110" t="s">
        <v>3546</v>
      </c>
      <c r="H1027" s="110"/>
      <c r="I1027" s="478"/>
      <c r="J1027" s="479" t="s">
        <v>3593</v>
      </c>
      <c r="K1027" s="108"/>
      <c r="L1027" s="109" t="s">
        <v>3594</v>
      </c>
      <c r="M1027" s="104" t="s">
        <v>3595</v>
      </c>
      <c r="N1027" s="110"/>
      <c r="O1027" s="109" t="s">
        <v>147</v>
      </c>
      <c r="P1027" s="106"/>
      <c r="Q1027" s="105" t="s">
        <v>3081</v>
      </c>
      <c r="R1027" s="106"/>
      <c r="S1027" s="106"/>
      <c r="T1027" s="110"/>
      <c r="U1027" s="106">
        <v>9.403208E9</v>
      </c>
      <c r="V1027" s="112">
        <v>0.0</v>
      </c>
      <c r="W1027" s="106">
        <v>45.0</v>
      </c>
      <c r="X1027" s="106">
        <v>45.0</v>
      </c>
      <c r="Y1027" s="106"/>
      <c r="Z1027" s="106" t="s">
        <v>99</v>
      </c>
      <c r="AA1027" s="114" t="str">
        <f t="shared" si="891"/>
        <v>#REF!</v>
      </c>
      <c r="AB1027" s="115"/>
      <c r="AC1027" s="212" t="str">
        <f t="shared" si="892"/>
        <v>#REF!</v>
      </c>
      <c r="AD1027" s="213" t="str">
        <f t="shared" si="799"/>
        <v>#REF!</v>
      </c>
      <c r="AE1027" s="212"/>
      <c r="AF1027" s="212" t="str">
        <f t="shared" si="94"/>
        <v>#REF!</v>
      </c>
      <c r="AG1027" s="210" t="str">
        <f t="shared" si="95"/>
        <v>#REF!</v>
      </c>
      <c r="AH1027" s="120" t="str">
        <f t="shared" si="96"/>
        <v>#REF!</v>
      </c>
      <c r="AI1027" s="121">
        <f t="shared" si="893"/>
        <v>0.05</v>
      </c>
      <c r="AJ1027" s="121">
        <v>0.05</v>
      </c>
      <c r="AK1027" s="418">
        <v>0.18</v>
      </c>
      <c r="AL1027" s="123" t="str">
        <f t="shared" si="11"/>
        <v>#REF!</v>
      </c>
      <c r="AM1027" s="401" t="s">
        <v>10</v>
      </c>
      <c r="AN1027" s="125" t="str">
        <f t="shared" si="894"/>
        <v>#REF!</v>
      </c>
      <c r="AO1027" s="402" t="str">
        <f t="shared" si="895"/>
        <v>#REF!</v>
      </c>
      <c r="AP1027" s="127"/>
      <c r="AQ1027" s="128" t="str">
        <f t="shared" si="896"/>
        <v>#REF!</v>
      </c>
      <c r="AR1027" s="404" t="str">
        <f t="shared" si="897"/>
        <v>#REF!</v>
      </c>
      <c r="AS1027" s="405" t="str">
        <f t="shared" si="898"/>
        <v>#REF!</v>
      </c>
      <c r="AT1027" s="405" t="str">
        <f t="shared" si="899"/>
        <v>#REF!</v>
      </c>
      <c r="AU1027" s="129"/>
      <c r="AV1027" s="225" t="s">
        <v>3024</v>
      </c>
      <c r="AW1027" s="416"/>
      <c r="AX1027" s="416"/>
      <c r="AY1027" s="361"/>
      <c r="AZ1027" s="214"/>
      <c r="BA1027" s="214"/>
      <c r="BB1027" s="227"/>
      <c r="BC1027" s="412" t="str">
        <f t="shared" si="914"/>
        <v>#REF!</v>
      </c>
      <c r="BD1027" s="132" t="str">
        <f t="shared" si="905"/>
        <v>#REF!</v>
      </c>
      <c r="BE1027" s="215"/>
      <c r="BF1027" s="48"/>
      <c r="BG1027" s="49"/>
      <c r="BH1027" s="224" t="str">
        <f t="shared" si="910"/>
        <v>#REF!</v>
      </c>
      <c r="BI1027" s="224" t="str">
        <f t="shared" si="911"/>
        <v>#REF!</v>
      </c>
      <c r="BJ1027" s="224" t="str">
        <f t="shared" si="912"/>
        <v>#REF!</v>
      </c>
      <c r="BK1027" s="224" t="str">
        <f t="shared" si="913"/>
        <v>#REF!</v>
      </c>
      <c r="BL1027" s="49"/>
      <c r="BM1027" s="49"/>
      <c r="BN1027" s="49"/>
      <c r="BO1027" s="49"/>
      <c r="BP1027" s="49"/>
      <c r="BQ1027" s="49"/>
      <c r="BR1027" s="49"/>
      <c r="BS1027" s="49"/>
      <c r="BT1027" s="49"/>
      <c r="BU1027" s="49"/>
      <c r="BV1027" s="49"/>
      <c r="BW1027" s="49"/>
      <c r="BX1027" s="49"/>
      <c r="BY1027" s="49"/>
      <c r="BZ1027" s="49"/>
      <c r="CA1027" s="49"/>
      <c r="CB1027" s="49"/>
      <c r="CC1027" s="49"/>
      <c r="CD1027" s="49"/>
      <c r="CE1027" s="49"/>
      <c r="CF1027" s="49"/>
    </row>
    <row r="1028" ht="14.25" customHeight="1">
      <c r="A1028" s="103" t="s">
        <v>84</v>
      </c>
      <c r="B1028" s="103" t="s">
        <v>3561</v>
      </c>
      <c r="C1028" s="103" t="s">
        <v>85</v>
      </c>
      <c r="D1028" s="103" t="s">
        <v>1886</v>
      </c>
      <c r="E1028" s="109" t="s">
        <v>2920</v>
      </c>
      <c r="F1028" s="105" t="s">
        <v>3534</v>
      </c>
      <c r="G1028" s="110" t="s">
        <v>3550</v>
      </c>
      <c r="H1028" s="110"/>
      <c r="I1028" s="478"/>
      <c r="J1028" s="479" t="s">
        <v>3596</v>
      </c>
      <c r="K1028" s="108"/>
      <c r="L1028" s="109" t="s">
        <v>3597</v>
      </c>
      <c r="M1028" s="104" t="s">
        <v>3598</v>
      </c>
      <c r="N1028" s="110"/>
      <c r="O1028" s="109" t="s">
        <v>147</v>
      </c>
      <c r="P1028" s="106"/>
      <c r="Q1028" s="105" t="s">
        <v>3081</v>
      </c>
      <c r="R1028" s="106"/>
      <c r="S1028" s="106"/>
      <c r="T1028" s="110"/>
      <c r="U1028" s="106">
        <v>9.403208E9</v>
      </c>
      <c r="V1028" s="112">
        <v>0.0</v>
      </c>
      <c r="W1028" s="106">
        <v>45.0</v>
      </c>
      <c r="X1028" s="106">
        <v>45.0</v>
      </c>
      <c r="Y1028" s="106"/>
      <c r="Z1028" s="106" t="s">
        <v>99</v>
      </c>
      <c r="AA1028" s="114" t="str">
        <f t="shared" si="891"/>
        <v>#REF!</v>
      </c>
      <c r="AB1028" s="115"/>
      <c r="AC1028" s="212" t="str">
        <f t="shared" si="892"/>
        <v>#REF!</v>
      </c>
      <c r="AD1028" s="213" t="str">
        <f t="shared" si="799"/>
        <v>#REF!</v>
      </c>
      <c r="AE1028" s="212"/>
      <c r="AF1028" s="212" t="str">
        <f t="shared" si="94"/>
        <v>#REF!</v>
      </c>
      <c r="AG1028" s="210" t="str">
        <f t="shared" si="95"/>
        <v>#REF!</v>
      </c>
      <c r="AH1028" s="120" t="str">
        <f t="shared" si="96"/>
        <v>#REF!</v>
      </c>
      <c r="AI1028" s="121">
        <f t="shared" si="893"/>
        <v>0.05</v>
      </c>
      <c r="AJ1028" s="121">
        <v>0.05</v>
      </c>
      <c r="AK1028" s="418">
        <v>0.18</v>
      </c>
      <c r="AL1028" s="123" t="str">
        <f t="shared" si="11"/>
        <v>#REF!</v>
      </c>
      <c r="AM1028" s="401" t="s">
        <v>10</v>
      </c>
      <c r="AN1028" s="125" t="str">
        <f t="shared" si="894"/>
        <v>#REF!</v>
      </c>
      <c r="AO1028" s="402" t="str">
        <f t="shared" si="895"/>
        <v>#REF!</v>
      </c>
      <c r="AP1028" s="127"/>
      <c r="AQ1028" s="128" t="str">
        <f t="shared" si="896"/>
        <v>#REF!</v>
      </c>
      <c r="AR1028" s="404" t="str">
        <f t="shared" si="897"/>
        <v>#REF!</v>
      </c>
      <c r="AS1028" s="405" t="str">
        <f t="shared" si="898"/>
        <v>#REF!</v>
      </c>
      <c r="AT1028" s="405" t="str">
        <f t="shared" si="899"/>
        <v>#REF!</v>
      </c>
      <c r="AU1028" s="129"/>
      <c r="AV1028" s="225" t="s">
        <v>3024</v>
      </c>
      <c r="AW1028" s="416"/>
      <c r="AX1028" s="416"/>
      <c r="AY1028" s="361"/>
      <c r="AZ1028" s="214"/>
      <c r="BA1028" s="214"/>
      <c r="BB1028" s="227"/>
      <c r="BC1028" s="412" t="str">
        <f t="shared" si="914"/>
        <v>#REF!</v>
      </c>
      <c r="BD1028" s="132" t="str">
        <f t="shared" si="905"/>
        <v>#REF!</v>
      </c>
      <c r="BE1028" s="215"/>
      <c r="BF1028" s="48"/>
      <c r="BG1028" s="49"/>
      <c r="BH1028" s="224" t="str">
        <f t="shared" si="910"/>
        <v>#REF!</v>
      </c>
      <c r="BI1028" s="224" t="str">
        <f t="shared" si="911"/>
        <v>#REF!</v>
      </c>
      <c r="BJ1028" s="224" t="str">
        <f t="shared" si="912"/>
        <v>#REF!</v>
      </c>
      <c r="BK1028" s="224" t="str">
        <f t="shared" si="913"/>
        <v>#REF!</v>
      </c>
      <c r="BL1028" s="49"/>
      <c r="BM1028" s="49"/>
      <c r="BN1028" s="49"/>
      <c r="BO1028" s="49"/>
      <c r="BP1028" s="49"/>
      <c r="BQ1028" s="49"/>
      <c r="BR1028" s="49"/>
      <c r="BS1028" s="49"/>
      <c r="BT1028" s="49"/>
      <c r="BU1028" s="49"/>
      <c r="BV1028" s="49"/>
      <c r="BW1028" s="49"/>
      <c r="BX1028" s="49"/>
      <c r="BY1028" s="49"/>
      <c r="BZ1028" s="49"/>
      <c r="CA1028" s="49"/>
      <c r="CB1028" s="49"/>
      <c r="CC1028" s="49"/>
      <c r="CD1028" s="49"/>
      <c r="CE1028" s="49"/>
      <c r="CF1028" s="49"/>
    </row>
    <row r="1029" ht="14.25" customHeight="1">
      <c r="A1029" s="103" t="s">
        <v>84</v>
      </c>
      <c r="B1029" s="103" t="s">
        <v>3561</v>
      </c>
      <c r="C1029" s="103" t="s">
        <v>85</v>
      </c>
      <c r="D1029" s="103" t="s">
        <v>1886</v>
      </c>
      <c r="E1029" s="109" t="s">
        <v>2920</v>
      </c>
      <c r="F1029" s="105" t="s">
        <v>3534</v>
      </c>
      <c r="G1029" s="110" t="s">
        <v>3554</v>
      </c>
      <c r="H1029" s="110"/>
      <c r="I1029" s="478"/>
      <c r="J1029" s="479" t="s">
        <v>3599</v>
      </c>
      <c r="K1029" s="108"/>
      <c r="L1029" s="109" t="s">
        <v>3600</v>
      </c>
      <c r="M1029" s="104" t="s">
        <v>3601</v>
      </c>
      <c r="N1029" s="110"/>
      <c r="O1029" s="109" t="s">
        <v>147</v>
      </c>
      <c r="P1029" s="106"/>
      <c r="Q1029" s="105" t="s">
        <v>3081</v>
      </c>
      <c r="R1029" s="106"/>
      <c r="S1029" s="106"/>
      <c r="T1029" s="110"/>
      <c r="U1029" s="106">
        <v>9.403208E9</v>
      </c>
      <c r="V1029" s="112">
        <v>0.0</v>
      </c>
      <c r="W1029" s="106">
        <v>45.0</v>
      </c>
      <c r="X1029" s="106">
        <v>45.0</v>
      </c>
      <c r="Y1029" s="106"/>
      <c r="Z1029" s="106" t="s">
        <v>99</v>
      </c>
      <c r="AA1029" s="114" t="str">
        <f t="shared" si="891"/>
        <v>#REF!</v>
      </c>
      <c r="AB1029" s="115"/>
      <c r="AC1029" s="212" t="str">
        <f t="shared" si="892"/>
        <v>#REF!</v>
      </c>
      <c r="AD1029" s="213" t="str">
        <f t="shared" si="799"/>
        <v>#REF!</v>
      </c>
      <c r="AE1029" s="212"/>
      <c r="AF1029" s="212" t="str">
        <f t="shared" si="94"/>
        <v>#REF!</v>
      </c>
      <c r="AG1029" s="210" t="str">
        <f t="shared" si="95"/>
        <v>#REF!</v>
      </c>
      <c r="AH1029" s="120" t="str">
        <f t="shared" si="96"/>
        <v>#REF!</v>
      </c>
      <c r="AI1029" s="121">
        <f t="shared" si="893"/>
        <v>0.05</v>
      </c>
      <c r="AJ1029" s="121">
        <v>0.05</v>
      </c>
      <c r="AK1029" s="418">
        <v>0.18</v>
      </c>
      <c r="AL1029" s="123" t="str">
        <f t="shared" si="11"/>
        <v>#REF!</v>
      </c>
      <c r="AM1029" s="401" t="s">
        <v>10</v>
      </c>
      <c r="AN1029" s="125" t="str">
        <f t="shared" si="894"/>
        <v>#REF!</v>
      </c>
      <c r="AO1029" s="402" t="str">
        <f t="shared" si="895"/>
        <v>#REF!</v>
      </c>
      <c r="AP1029" s="127"/>
      <c r="AQ1029" s="128" t="str">
        <f t="shared" si="896"/>
        <v>#REF!</v>
      </c>
      <c r="AR1029" s="404" t="str">
        <f t="shared" si="897"/>
        <v>#REF!</v>
      </c>
      <c r="AS1029" s="405" t="str">
        <f t="shared" si="898"/>
        <v>#REF!</v>
      </c>
      <c r="AT1029" s="405" t="str">
        <f t="shared" si="899"/>
        <v>#REF!</v>
      </c>
      <c r="AU1029" s="129"/>
      <c r="AV1029" s="225" t="s">
        <v>3024</v>
      </c>
      <c r="AW1029" s="416"/>
      <c r="AX1029" s="416"/>
      <c r="AY1029" s="361"/>
      <c r="AZ1029" s="214"/>
      <c r="BA1029" s="214"/>
      <c r="BB1029" s="227"/>
      <c r="BC1029" s="412" t="str">
        <f t="shared" si="914"/>
        <v>#REF!</v>
      </c>
      <c r="BD1029" s="132" t="str">
        <f t="shared" si="905"/>
        <v>#REF!</v>
      </c>
      <c r="BE1029" s="215"/>
      <c r="BF1029" s="48"/>
      <c r="BG1029" s="49"/>
      <c r="BH1029" s="224" t="str">
        <f t="shared" si="910"/>
        <v>#REF!</v>
      </c>
      <c r="BI1029" s="224" t="str">
        <f t="shared" si="911"/>
        <v>#REF!</v>
      </c>
      <c r="BJ1029" s="224" t="str">
        <f t="shared" si="912"/>
        <v>#REF!</v>
      </c>
      <c r="BK1029" s="224" t="str">
        <f t="shared" si="913"/>
        <v>#REF!</v>
      </c>
      <c r="BL1029" s="49"/>
      <c r="BM1029" s="49"/>
      <c r="BN1029" s="49"/>
      <c r="BO1029" s="49"/>
      <c r="BP1029" s="49"/>
      <c r="BQ1029" s="49"/>
      <c r="BR1029" s="49"/>
      <c r="BS1029" s="49"/>
      <c r="BT1029" s="49"/>
      <c r="BU1029" s="49"/>
      <c r="BV1029" s="49"/>
      <c r="BW1029" s="49"/>
      <c r="BX1029" s="49"/>
      <c r="BY1029" s="49"/>
      <c r="BZ1029" s="49"/>
      <c r="CA1029" s="49"/>
      <c r="CB1029" s="49"/>
      <c r="CC1029" s="49"/>
      <c r="CD1029" s="49"/>
      <c r="CE1029" s="49"/>
      <c r="CF1029" s="49"/>
    </row>
    <row r="1030" ht="14.25" customHeight="1">
      <c r="A1030" s="103" t="s">
        <v>84</v>
      </c>
      <c r="B1030" s="103" t="s">
        <v>3561</v>
      </c>
      <c r="C1030" s="103" t="s">
        <v>85</v>
      </c>
      <c r="D1030" s="103" t="s">
        <v>1886</v>
      </c>
      <c r="E1030" s="109" t="s">
        <v>2920</v>
      </c>
      <c r="F1030" s="105" t="s">
        <v>3534</v>
      </c>
      <c r="G1030" s="110" t="s">
        <v>3075</v>
      </c>
      <c r="H1030" s="110"/>
      <c r="I1030" s="478"/>
      <c r="J1030" s="479" t="s">
        <v>3602</v>
      </c>
      <c r="K1030" s="108"/>
      <c r="L1030" s="109" t="s">
        <v>3603</v>
      </c>
      <c r="M1030" s="104" t="s">
        <v>3604</v>
      </c>
      <c r="N1030" s="110"/>
      <c r="O1030" s="109" t="s">
        <v>147</v>
      </c>
      <c r="P1030" s="106"/>
      <c r="Q1030" s="105" t="s">
        <v>3081</v>
      </c>
      <c r="R1030" s="106"/>
      <c r="S1030" s="106"/>
      <c r="T1030" s="110"/>
      <c r="U1030" s="106">
        <v>9.403208E9</v>
      </c>
      <c r="V1030" s="112">
        <v>0.0</v>
      </c>
      <c r="W1030" s="106">
        <v>45.0</v>
      </c>
      <c r="X1030" s="106">
        <v>45.0</v>
      </c>
      <c r="Y1030" s="106"/>
      <c r="Z1030" s="106" t="s">
        <v>99</v>
      </c>
      <c r="AA1030" s="114" t="str">
        <f t="shared" si="891"/>
        <v>#REF!</v>
      </c>
      <c r="AB1030" s="115"/>
      <c r="AC1030" s="212" t="str">
        <f t="shared" si="892"/>
        <v>#REF!</v>
      </c>
      <c r="AD1030" s="213" t="str">
        <f t="shared" si="799"/>
        <v>#REF!</v>
      </c>
      <c r="AE1030" s="212"/>
      <c r="AF1030" s="212" t="str">
        <f t="shared" si="94"/>
        <v>#REF!</v>
      </c>
      <c r="AG1030" s="210" t="str">
        <f t="shared" si="95"/>
        <v>#REF!</v>
      </c>
      <c r="AH1030" s="120" t="str">
        <f t="shared" si="96"/>
        <v>#REF!</v>
      </c>
      <c r="AI1030" s="121">
        <f t="shared" si="893"/>
        <v>0.05</v>
      </c>
      <c r="AJ1030" s="121">
        <v>0.05</v>
      </c>
      <c r="AK1030" s="418">
        <v>0.18</v>
      </c>
      <c r="AL1030" s="123" t="str">
        <f t="shared" si="11"/>
        <v>#REF!</v>
      </c>
      <c r="AM1030" s="401" t="s">
        <v>10</v>
      </c>
      <c r="AN1030" s="125" t="str">
        <f t="shared" si="894"/>
        <v>#REF!</v>
      </c>
      <c r="AO1030" s="402" t="str">
        <f t="shared" si="895"/>
        <v>#REF!</v>
      </c>
      <c r="AP1030" s="127"/>
      <c r="AQ1030" s="128" t="str">
        <f t="shared" si="896"/>
        <v>#REF!</v>
      </c>
      <c r="AR1030" s="404" t="str">
        <f t="shared" si="897"/>
        <v>#REF!</v>
      </c>
      <c r="AS1030" s="405" t="str">
        <f t="shared" si="898"/>
        <v>#REF!</v>
      </c>
      <c r="AT1030" s="405" t="str">
        <f t="shared" si="899"/>
        <v>#REF!</v>
      </c>
      <c r="AU1030" s="129"/>
      <c r="AV1030" s="225" t="s">
        <v>3024</v>
      </c>
      <c r="AW1030" s="416"/>
      <c r="AX1030" s="416"/>
      <c r="AY1030" s="361"/>
      <c r="AZ1030" s="214"/>
      <c r="BA1030" s="214"/>
      <c r="BB1030" s="227"/>
      <c r="BC1030" s="412" t="str">
        <f t="shared" si="914"/>
        <v>#REF!</v>
      </c>
      <c r="BD1030" s="132" t="str">
        <f t="shared" si="905"/>
        <v>#REF!</v>
      </c>
      <c r="BE1030" s="215"/>
      <c r="BF1030" s="48"/>
      <c r="BG1030" s="49"/>
      <c r="BH1030" s="224" t="str">
        <f t="shared" si="910"/>
        <v>#REF!</v>
      </c>
      <c r="BI1030" s="224" t="str">
        <f t="shared" si="911"/>
        <v>#REF!</v>
      </c>
      <c r="BJ1030" s="224" t="str">
        <f t="shared" si="912"/>
        <v>#REF!</v>
      </c>
      <c r="BK1030" s="224" t="str">
        <f t="shared" si="913"/>
        <v>#REF!</v>
      </c>
      <c r="BL1030" s="49"/>
      <c r="BM1030" s="49"/>
      <c r="BN1030" s="49"/>
      <c r="BO1030" s="49"/>
      <c r="BP1030" s="49"/>
      <c r="BQ1030" s="49"/>
      <c r="BR1030" s="49"/>
      <c r="BS1030" s="49"/>
      <c r="BT1030" s="49"/>
      <c r="BU1030" s="49"/>
      <c r="BV1030" s="49"/>
      <c r="BW1030" s="49"/>
      <c r="BX1030" s="49"/>
      <c r="BY1030" s="49"/>
      <c r="BZ1030" s="49"/>
      <c r="CA1030" s="49"/>
      <c r="CB1030" s="49"/>
      <c r="CC1030" s="49"/>
      <c r="CD1030" s="49"/>
      <c r="CE1030" s="49"/>
      <c r="CF1030" s="49"/>
    </row>
    <row r="1031" ht="14.25" customHeight="1">
      <c r="A1031" s="103" t="s">
        <v>84</v>
      </c>
      <c r="B1031" s="103" t="s">
        <v>3561</v>
      </c>
      <c r="C1031" s="103" t="s">
        <v>85</v>
      </c>
      <c r="D1031" s="103" t="s">
        <v>1886</v>
      </c>
      <c r="E1031" s="109" t="s">
        <v>2920</v>
      </c>
      <c r="F1031" s="105" t="s">
        <v>3534</v>
      </c>
      <c r="G1031" s="110" t="s">
        <v>3535</v>
      </c>
      <c r="H1031" s="110"/>
      <c r="I1031" s="478"/>
      <c r="J1031" s="479" t="s">
        <v>3605</v>
      </c>
      <c r="K1031" s="108"/>
      <c r="L1031" s="109" t="s">
        <v>3606</v>
      </c>
      <c r="M1031" s="104" t="s">
        <v>3607</v>
      </c>
      <c r="N1031" s="110"/>
      <c r="O1031" s="109" t="s">
        <v>147</v>
      </c>
      <c r="P1031" s="106"/>
      <c r="Q1031" s="105" t="s">
        <v>3081</v>
      </c>
      <c r="R1031" s="106"/>
      <c r="S1031" s="106"/>
      <c r="T1031" s="110"/>
      <c r="U1031" s="106">
        <v>9.403208E9</v>
      </c>
      <c r="V1031" s="112">
        <v>0.0</v>
      </c>
      <c r="W1031" s="106">
        <v>45.0</v>
      </c>
      <c r="X1031" s="106">
        <v>45.0</v>
      </c>
      <c r="Y1031" s="106"/>
      <c r="Z1031" s="106" t="s">
        <v>99</v>
      </c>
      <c r="AA1031" s="114" t="str">
        <f t="shared" si="891"/>
        <v>#REF!</v>
      </c>
      <c r="AB1031" s="115"/>
      <c r="AC1031" s="212" t="str">
        <f t="shared" si="892"/>
        <v>#REF!</v>
      </c>
      <c r="AD1031" s="213" t="str">
        <f t="shared" si="799"/>
        <v>#REF!</v>
      </c>
      <c r="AE1031" s="212"/>
      <c r="AF1031" s="212" t="str">
        <f t="shared" si="94"/>
        <v>#REF!</v>
      </c>
      <c r="AG1031" s="210" t="str">
        <f t="shared" si="95"/>
        <v>#REF!</v>
      </c>
      <c r="AH1031" s="120" t="str">
        <f t="shared" si="96"/>
        <v>#REF!</v>
      </c>
      <c r="AI1031" s="121">
        <f t="shared" si="893"/>
        <v>0.05</v>
      </c>
      <c r="AJ1031" s="121">
        <v>0.05</v>
      </c>
      <c r="AK1031" s="418">
        <v>0.18</v>
      </c>
      <c r="AL1031" s="123" t="str">
        <f t="shared" si="11"/>
        <v>#REF!</v>
      </c>
      <c r="AM1031" s="401" t="s">
        <v>10</v>
      </c>
      <c r="AN1031" s="125" t="str">
        <f t="shared" si="894"/>
        <v>#REF!</v>
      </c>
      <c r="AO1031" s="402" t="str">
        <f t="shared" si="895"/>
        <v>#REF!</v>
      </c>
      <c r="AP1031" s="127"/>
      <c r="AQ1031" s="128" t="str">
        <f t="shared" si="896"/>
        <v>#REF!</v>
      </c>
      <c r="AR1031" s="404" t="str">
        <f t="shared" si="897"/>
        <v>#REF!</v>
      </c>
      <c r="AS1031" s="405" t="str">
        <f t="shared" si="898"/>
        <v>#REF!</v>
      </c>
      <c r="AT1031" s="405" t="str">
        <f t="shared" si="899"/>
        <v>#REF!</v>
      </c>
      <c r="AU1031" s="129"/>
      <c r="AV1031" s="225" t="s">
        <v>3024</v>
      </c>
      <c r="AW1031" s="416"/>
      <c r="AX1031" s="416"/>
      <c r="AY1031" s="361"/>
      <c r="AZ1031" s="214"/>
      <c r="BA1031" s="214"/>
      <c r="BB1031" s="227"/>
      <c r="BC1031" s="412" t="str">
        <f t="shared" si="914"/>
        <v>#REF!</v>
      </c>
      <c r="BD1031" s="132" t="str">
        <f t="shared" si="905"/>
        <v>#REF!</v>
      </c>
      <c r="BE1031" s="215"/>
      <c r="BF1031" s="48"/>
      <c r="BG1031" s="49"/>
      <c r="BH1031" s="224" t="str">
        <f t="shared" si="910"/>
        <v>#REF!</v>
      </c>
      <c r="BI1031" s="224" t="str">
        <f t="shared" si="911"/>
        <v>#REF!</v>
      </c>
      <c r="BJ1031" s="224" t="str">
        <f t="shared" si="912"/>
        <v>#REF!</v>
      </c>
      <c r="BK1031" s="224" t="str">
        <f t="shared" si="913"/>
        <v>#REF!</v>
      </c>
      <c r="BL1031" s="49"/>
      <c r="BM1031" s="49"/>
      <c r="BN1031" s="49"/>
      <c r="BO1031" s="49"/>
      <c r="BP1031" s="49"/>
      <c r="BQ1031" s="49"/>
      <c r="BR1031" s="49"/>
      <c r="BS1031" s="49"/>
      <c r="BT1031" s="49"/>
      <c r="BU1031" s="49"/>
      <c r="BV1031" s="49"/>
      <c r="BW1031" s="49"/>
      <c r="BX1031" s="49"/>
      <c r="BY1031" s="49"/>
      <c r="BZ1031" s="49"/>
      <c r="CA1031" s="49"/>
      <c r="CB1031" s="49"/>
      <c r="CC1031" s="49"/>
      <c r="CD1031" s="49"/>
      <c r="CE1031" s="49"/>
      <c r="CF1031" s="49"/>
    </row>
    <row r="1032" ht="14.25" customHeight="1">
      <c r="A1032" s="103" t="s">
        <v>84</v>
      </c>
      <c r="B1032" s="103" t="s">
        <v>85</v>
      </c>
      <c r="C1032" s="103" t="s">
        <v>85</v>
      </c>
      <c r="D1032" s="103" t="s">
        <v>1886</v>
      </c>
      <c r="E1032" s="109" t="s">
        <v>2920</v>
      </c>
      <c r="F1032" s="105" t="s">
        <v>3534</v>
      </c>
      <c r="G1032" s="110" t="s">
        <v>3490</v>
      </c>
      <c r="H1032" s="110"/>
      <c r="I1032" s="478"/>
      <c r="J1032" s="479" t="s">
        <v>3608</v>
      </c>
      <c r="K1032" s="108"/>
      <c r="L1032" s="109" t="s">
        <v>3609</v>
      </c>
      <c r="M1032" s="104" t="s">
        <v>3610</v>
      </c>
      <c r="N1032" s="110"/>
      <c r="O1032" s="109" t="s">
        <v>147</v>
      </c>
      <c r="P1032" s="106"/>
      <c r="Q1032" s="105" t="s">
        <v>3081</v>
      </c>
      <c r="R1032" s="106"/>
      <c r="S1032" s="106"/>
      <c r="T1032" s="110"/>
      <c r="U1032" s="106">
        <v>9.403208E9</v>
      </c>
      <c r="V1032" s="112">
        <v>0.0</v>
      </c>
      <c r="W1032" s="106">
        <v>45.0</v>
      </c>
      <c r="X1032" s="106">
        <v>45.0</v>
      </c>
      <c r="Y1032" s="106"/>
      <c r="Z1032" s="106" t="s">
        <v>99</v>
      </c>
      <c r="AA1032" s="114" t="str">
        <f t="shared" si="891"/>
        <v>#REF!</v>
      </c>
      <c r="AB1032" s="115"/>
      <c r="AC1032" s="212" t="str">
        <f t="shared" si="892"/>
        <v>#REF!</v>
      </c>
      <c r="AD1032" s="213" t="str">
        <f t="shared" si="799"/>
        <v>#REF!</v>
      </c>
      <c r="AE1032" s="212"/>
      <c r="AF1032" s="212" t="str">
        <f t="shared" si="94"/>
        <v>#REF!</v>
      </c>
      <c r="AG1032" s="210" t="str">
        <f t="shared" si="95"/>
        <v>#REF!</v>
      </c>
      <c r="AH1032" s="120" t="str">
        <f t="shared" si="96"/>
        <v>#REF!</v>
      </c>
      <c r="AI1032" s="121">
        <f t="shared" si="893"/>
        <v>0.05</v>
      </c>
      <c r="AJ1032" s="121">
        <v>0.05</v>
      </c>
      <c r="AK1032" s="418">
        <v>0.18</v>
      </c>
      <c r="AL1032" s="123" t="str">
        <f t="shared" si="11"/>
        <v>#REF!</v>
      </c>
      <c r="AM1032" s="401" t="s">
        <v>10</v>
      </c>
      <c r="AN1032" s="125" t="str">
        <f t="shared" si="894"/>
        <v>#REF!</v>
      </c>
      <c r="AO1032" s="402" t="str">
        <f t="shared" si="895"/>
        <v>#REF!</v>
      </c>
      <c r="AP1032" s="127"/>
      <c r="AQ1032" s="128" t="str">
        <f t="shared" si="896"/>
        <v>#REF!</v>
      </c>
      <c r="AR1032" s="404" t="str">
        <f t="shared" si="897"/>
        <v>#REF!</v>
      </c>
      <c r="AS1032" s="405" t="str">
        <f t="shared" si="898"/>
        <v>#REF!</v>
      </c>
      <c r="AT1032" s="405" t="str">
        <f t="shared" si="899"/>
        <v>#REF!</v>
      </c>
      <c r="AU1032" s="129"/>
      <c r="AV1032" s="225" t="s">
        <v>3024</v>
      </c>
      <c r="AW1032" s="416"/>
      <c r="AX1032" s="416"/>
      <c r="AY1032" s="361"/>
      <c r="AZ1032" s="214"/>
      <c r="BA1032" s="214"/>
      <c r="BB1032" s="227"/>
      <c r="BC1032" s="412" t="str">
        <f t="shared" si="914"/>
        <v>#REF!</v>
      </c>
      <c r="BD1032" s="132" t="str">
        <f t="shared" si="905"/>
        <v>#REF!</v>
      </c>
      <c r="BE1032" s="215"/>
      <c r="BF1032" s="48"/>
      <c r="BG1032" s="49"/>
      <c r="BH1032" s="224" t="str">
        <f t="shared" si="910"/>
        <v>#REF!</v>
      </c>
      <c r="BI1032" s="224" t="str">
        <f t="shared" si="911"/>
        <v>#REF!</v>
      </c>
      <c r="BJ1032" s="224" t="str">
        <f t="shared" si="912"/>
        <v>#REF!</v>
      </c>
      <c r="BK1032" s="224" t="str">
        <f t="shared" si="913"/>
        <v>#REF!</v>
      </c>
      <c r="BL1032" s="49"/>
      <c r="BM1032" s="49"/>
      <c r="BN1032" s="49"/>
      <c r="BO1032" s="49"/>
      <c r="BP1032" s="49"/>
      <c r="BQ1032" s="49"/>
      <c r="BR1032" s="49"/>
      <c r="BS1032" s="49"/>
      <c r="BT1032" s="49"/>
      <c r="BU1032" s="49"/>
      <c r="BV1032" s="49"/>
      <c r="BW1032" s="49"/>
      <c r="BX1032" s="49"/>
      <c r="BY1032" s="49"/>
      <c r="BZ1032" s="49"/>
      <c r="CA1032" s="49"/>
      <c r="CB1032" s="49"/>
      <c r="CC1032" s="49"/>
      <c r="CD1032" s="49"/>
      <c r="CE1032" s="49"/>
      <c r="CF1032" s="49"/>
    </row>
    <row r="1033" ht="14.25" customHeight="1">
      <c r="A1033" s="103" t="s">
        <v>84</v>
      </c>
      <c r="B1033" s="103" t="s">
        <v>85</v>
      </c>
      <c r="C1033" s="103" t="s">
        <v>85</v>
      </c>
      <c r="D1033" s="103" t="s">
        <v>1886</v>
      </c>
      <c r="E1033" s="109" t="s">
        <v>2920</v>
      </c>
      <c r="F1033" s="105" t="s">
        <v>3534</v>
      </c>
      <c r="G1033" s="110" t="s">
        <v>3494</v>
      </c>
      <c r="H1033" s="110"/>
      <c r="I1033" s="478"/>
      <c r="J1033" s="479" t="s">
        <v>3611</v>
      </c>
      <c r="K1033" s="108"/>
      <c r="L1033" s="109" t="s">
        <v>3612</v>
      </c>
      <c r="M1033" s="104" t="s">
        <v>3613</v>
      </c>
      <c r="N1033" s="110"/>
      <c r="O1033" s="109" t="s">
        <v>147</v>
      </c>
      <c r="P1033" s="106"/>
      <c r="Q1033" s="105" t="s">
        <v>3081</v>
      </c>
      <c r="R1033" s="106"/>
      <c r="S1033" s="106"/>
      <c r="T1033" s="110"/>
      <c r="U1033" s="106">
        <v>9.403208E9</v>
      </c>
      <c r="V1033" s="112">
        <v>0.0</v>
      </c>
      <c r="W1033" s="106">
        <v>45.0</v>
      </c>
      <c r="X1033" s="106">
        <v>45.0</v>
      </c>
      <c r="Y1033" s="106"/>
      <c r="Z1033" s="106" t="s">
        <v>99</v>
      </c>
      <c r="AA1033" s="114" t="str">
        <f t="shared" si="891"/>
        <v>#REF!</v>
      </c>
      <c r="AB1033" s="115"/>
      <c r="AC1033" s="212" t="str">
        <f t="shared" si="892"/>
        <v>#REF!</v>
      </c>
      <c r="AD1033" s="213" t="str">
        <f t="shared" si="799"/>
        <v>#REF!</v>
      </c>
      <c r="AE1033" s="212"/>
      <c r="AF1033" s="212" t="str">
        <f t="shared" si="94"/>
        <v>#REF!</v>
      </c>
      <c r="AG1033" s="210" t="str">
        <f t="shared" si="95"/>
        <v>#REF!</v>
      </c>
      <c r="AH1033" s="120" t="str">
        <f t="shared" si="96"/>
        <v>#REF!</v>
      </c>
      <c r="AI1033" s="121">
        <f t="shared" si="893"/>
        <v>0.05</v>
      </c>
      <c r="AJ1033" s="121">
        <v>0.05</v>
      </c>
      <c r="AK1033" s="418">
        <v>0.18</v>
      </c>
      <c r="AL1033" s="123" t="str">
        <f t="shared" si="11"/>
        <v>#REF!</v>
      </c>
      <c r="AM1033" s="401" t="s">
        <v>10</v>
      </c>
      <c r="AN1033" s="125" t="str">
        <f t="shared" si="894"/>
        <v>#REF!</v>
      </c>
      <c r="AO1033" s="402" t="str">
        <f t="shared" si="895"/>
        <v>#REF!</v>
      </c>
      <c r="AP1033" s="127"/>
      <c r="AQ1033" s="128" t="str">
        <f t="shared" si="896"/>
        <v>#REF!</v>
      </c>
      <c r="AR1033" s="404" t="str">
        <f t="shared" si="897"/>
        <v>#REF!</v>
      </c>
      <c r="AS1033" s="405" t="str">
        <f t="shared" si="898"/>
        <v>#REF!</v>
      </c>
      <c r="AT1033" s="405" t="str">
        <f t="shared" si="899"/>
        <v>#REF!</v>
      </c>
      <c r="AU1033" s="129"/>
      <c r="AV1033" s="225" t="s">
        <v>3024</v>
      </c>
      <c r="AW1033" s="416"/>
      <c r="AX1033" s="416"/>
      <c r="AY1033" s="361"/>
      <c r="AZ1033" s="214"/>
      <c r="BA1033" s="214"/>
      <c r="BB1033" s="227"/>
      <c r="BC1033" s="412" t="str">
        <f t="shared" si="914"/>
        <v>#REF!</v>
      </c>
      <c r="BD1033" s="132" t="str">
        <f t="shared" si="905"/>
        <v>#REF!</v>
      </c>
      <c r="BE1033" s="215"/>
      <c r="BF1033" s="48"/>
      <c r="BG1033" s="49"/>
      <c r="BH1033" s="224" t="str">
        <f t="shared" si="910"/>
        <v>#REF!</v>
      </c>
      <c r="BI1033" s="224" t="str">
        <f t="shared" si="911"/>
        <v>#REF!</v>
      </c>
      <c r="BJ1033" s="224" t="str">
        <f t="shared" si="912"/>
        <v>#REF!</v>
      </c>
      <c r="BK1033" s="224" t="str">
        <f t="shared" si="913"/>
        <v>#REF!</v>
      </c>
      <c r="BL1033" s="49"/>
      <c r="BM1033" s="49"/>
      <c r="BN1033" s="49"/>
      <c r="BO1033" s="49"/>
      <c r="BP1033" s="49"/>
      <c r="BQ1033" s="49"/>
      <c r="BR1033" s="49"/>
      <c r="BS1033" s="49"/>
      <c r="BT1033" s="49"/>
      <c r="BU1033" s="49"/>
      <c r="BV1033" s="49"/>
      <c r="BW1033" s="49"/>
      <c r="BX1033" s="49"/>
      <c r="BY1033" s="49"/>
      <c r="BZ1033" s="49"/>
      <c r="CA1033" s="49"/>
      <c r="CB1033" s="49"/>
      <c r="CC1033" s="49"/>
      <c r="CD1033" s="49"/>
      <c r="CE1033" s="49"/>
      <c r="CF1033" s="49"/>
    </row>
    <row r="1034" ht="14.25" customHeight="1">
      <c r="A1034" s="103" t="s">
        <v>84</v>
      </c>
      <c r="B1034" s="103" t="s">
        <v>85</v>
      </c>
      <c r="C1034" s="103" t="s">
        <v>85</v>
      </c>
      <c r="D1034" s="103" t="s">
        <v>1886</v>
      </c>
      <c r="E1034" s="109" t="s">
        <v>2920</v>
      </c>
      <c r="F1034" s="105" t="s">
        <v>3534</v>
      </c>
      <c r="G1034" s="110" t="s">
        <v>3546</v>
      </c>
      <c r="H1034" s="110"/>
      <c r="I1034" s="478"/>
      <c r="J1034" s="479" t="s">
        <v>3614</v>
      </c>
      <c r="K1034" s="108"/>
      <c r="L1034" s="109" t="s">
        <v>3615</v>
      </c>
      <c r="M1034" s="104" t="s">
        <v>3616</v>
      </c>
      <c r="N1034" s="110"/>
      <c r="O1034" s="109" t="s">
        <v>147</v>
      </c>
      <c r="P1034" s="106"/>
      <c r="Q1034" s="105" t="s">
        <v>3081</v>
      </c>
      <c r="R1034" s="106"/>
      <c r="S1034" s="106"/>
      <c r="T1034" s="110"/>
      <c r="U1034" s="106">
        <v>9.403208E9</v>
      </c>
      <c r="V1034" s="112">
        <v>0.0</v>
      </c>
      <c r="W1034" s="106">
        <v>45.0</v>
      </c>
      <c r="X1034" s="106">
        <v>45.0</v>
      </c>
      <c r="Y1034" s="106"/>
      <c r="Z1034" s="106" t="s">
        <v>99</v>
      </c>
      <c r="AA1034" s="114" t="str">
        <f t="shared" si="891"/>
        <v>#REF!</v>
      </c>
      <c r="AB1034" s="115"/>
      <c r="AC1034" s="212" t="str">
        <f t="shared" si="892"/>
        <v>#REF!</v>
      </c>
      <c r="AD1034" s="213" t="str">
        <f t="shared" si="799"/>
        <v>#REF!</v>
      </c>
      <c r="AE1034" s="212"/>
      <c r="AF1034" s="212" t="str">
        <f t="shared" si="94"/>
        <v>#REF!</v>
      </c>
      <c r="AG1034" s="210" t="str">
        <f t="shared" si="95"/>
        <v>#REF!</v>
      </c>
      <c r="AH1034" s="120" t="str">
        <f t="shared" si="96"/>
        <v>#REF!</v>
      </c>
      <c r="AI1034" s="121">
        <f t="shared" si="893"/>
        <v>0.05</v>
      </c>
      <c r="AJ1034" s="121">
        <v>0.05</v>
      </c>
      <c r="AK1034" s="418">
        <v>0.18</v>
      </c>
      <c r="AL1034" s="123" t="str">
        <f t="shared" si="11"/>
        <v>#REF!</v>
      </c>
      <c r="AM1034" s="401" t="s">
        <v>10</v>
      </c>
      <c r="AN1034" s="125" t="str">
        <f t="shared" si="894"/>
        <v>#REF!</v>
      </c>
      <c r="AO1034" s="402" t="str">
        <f t="shared" si="895"/>
        <v>#REF!</v>
      </c>
      <c r="AP1034" s="127"/>
      <c r="AQ1034" s="128" t="str">
        <f t="shared" si="896"/>
        <v>#REF!</v>
      </c>
      <c r="AR1034" s="404" t="str">
        <f t="shared" si="897"/>
        <v>#REF!</v>
      </c>
      <c r="AS1034" s="405" t="str">
        <f t="shared" si="898"/>
        <v>#REF!</v>
      </c>
      <c r="AT1034" s="405" t="str">
        <f t="shared" si="899"/>
        <v>#REF!</v>
      </c>
      <c r="AU1034" s="129"/>
      <c r="AV1034" s="225" t="s">
        <v>3024</v>
      </c>
      <c r="AW1034" s="416"/>
      <c r="AX1034" s="416"/>
      <c r="AY1034" s="361"/>
      <c r="AZ1034" s="214"/>
      <c r="BA1034" s="214"/>
      <c r="BB1034" s="227"/>
      <c r="BC1034" s="412" t="str">
        <f t="shared" si="914"/>
        <v>#REF!</v>
      </c>
      <c r="BD1034" s="132" t="str">
        <f t="shared" si="905"/>
        <v>#REF!</v>
      </c>
      <c r="BE1034" s="215"/>
      <c r="BF1034" s="48"/>
      <c r="BG1034" s="49"/>
      <c r="BH1034" s="224" t="str">
        <f t="shared" si="910"/>
        <v>#REF!</v>
      </c>
      <c r="BI1034" s="224" t="str">
        <f t="shared" si="911"/>
        <v>#REF!</v>
      </c>
      <c r="BJ1034" s="224" t="str">
        <f t="shared" si="912"/>
        <v>#REF!</v>
      </c>
      <c r="BK1034" s="224" t="str">
        <f t="shared" si="913"/>
        <v>#REF!</v>
      </c>
      <c r="BL1034" s="49"/>
      <c r="BM1034" s="49"/>
      <c r="BN1034" s="49"/>
      <c r="BO1034" s="49"/>
      <c r="BP1034" s="49"/>
      <c r="BQ1034" s="49"/>
      <c r="BR1034" s="49"/>
      <c r="BS1034" s="49"/>
      <c r="BT1034" s="49"/>
      <c r="BU1034" s="49"/>
      <c r="BV1034" s="49"/>
      <c r="BW1034" s="49"/>
      <c r="BX1034" s="49"/>
      <c r="BY1034" s="49"/>
      <c r="BZ1034" s="49"/>
      <c r="CA1034" s="49"/>
      <c r="CB1034" s="49"/>
      <c r="CC1034" s="49"/>
      <c r="CD1034" s="49"/>
      <c r="CE1034" s="49"/>
      <c r="CF1034" s="49"/>
    </row>
    <row r="1035" ht="14.25" customHeight="1">
      <c r="A1035" s="103" t="s">
        <v>84</v>
      </c>
      <c r="B1035" s="103" t="s">
        <v>85</v>
      </c>
      <c r="C1035" s="103" t="s">
        <v>85</v>
      </c>
      <c r="D1035" s="103" t="s">
        <v>1886</v>
      </c>
      <c r="E1035" s="109" t="s">
        <v>2920</v>
      </c>
      <c r="F1035" s="105" t="s">
        <v>3534</v>
      </c>
      <c r="G1035" s="110" t="s">
        <v>3550</v>
      </c>
      <c r="H1035" s="110"/>
      <c r="I1035" s="478"/>
      <c r="J1035" s="479" t="s">
        <v>3617</v>
      </c>
      <c r="K1035" s="108"/>
      <c r="L1035" s="109" t="s">
        <v>3618</v>
      </c>
      <c r="M1035" s="104" t="s">
        <v>3619</v>
      </c>
      <c r="N1035" s="110"/>
      <c r="O1035" s="109" t="s">
        <v>147</v>
      </c>
      <c r="P1035" s="106"/>
      <c r="Q1035" s="105" t="s">
        <v>3081</v>
      </c>
      <c r="R1035" s="106"/>
      <c r="S1035" s="106"/>
      <c r="T1035" s="110"/>
      <c r="U1035" s="106">
        <v>9.403208E9</v>
      </c>
      <c r="V1035" s="112">
        <v>0.0</v>
      </c>
      <c r="W1035" s="106">
        <v>45.0</v>
      </c>
      <c r="X1035" s="106">
        <v>45.0</v>
      </c>
      <c r="Y1035" s="106"/>
      <c r="Z1035" s="106" t="s">
        <v>99</v>
      </c>
      <c r="AA1035" s="114" t="str">
        <f t="shared" si="891"/>
        <v>#REF!</v>
      </c>
      <c r="AB1035" s="115"/>
      <c r="AC1035" s="212" t="str">
        <f t="shared" si="892"/>
        <v>#REF!</v>
      </c>
      <c r="AD1035" s="213" t="str">
        <f t="shared" si="799"/>
        <v>#REF!</v>
      </c>
      <c r="AE1035" s="212"/>
      <c r="AF1035" s="212" t="str">
        <f t="shared" si="94"/>
        <v>#REF!</v>
      </c>
      <c r="AG1035" s="210" t="str">
        <f t="shared" si="95"/>
        <v>#REF!</v>
      </c>
      <c r="AH1035" s="120" t="str">
        <f t="shared" si="96"/>
        <v>#REF!</v>
      </c>
      <c r="AI1035" s="121">
        <f t="shared" si="893"/>
        <v>0.05</v>
      </c>
      <c r="AJ1035" s="121">
        <v>0.05</v>
      </c>
      <c r="AK1035" s="418">
        <v>0.18</v>
      </c>
      <c r="AL1035" s="123" t="str">
        <f t="shared" si="11"/>
        <v>#REF!</v>
      </c>
      <c r="AM1035" s="401" t="s">
        <v>10</v>
      </c>
      <c r="AN1035" s="125" t="str">
        <f t="shared" si="894"/>
        <v>#REF!</v>
      </c>
      <c r="AO1035" s="402" t="str">
        <f t="shared" si="895"/>
        <v>#REF!</v>
      </c>
      <c r="AP1035" s="127"/>
      <c r="AQ1035" s="128" t="str">
        <f t="shared" si="896"/>
        <v>#REF!</v>
      </c>
      <c r="AR1035" s="404" t="str">
        <f t="shared" si="897"/>
        <v>#REF!</v>
      </c>
      <c r="AS1035" s="405" t="str">
        <f t="shared" si="898"/>
        <v>#REF!</v>
      </c>
      <c r="AT1035" s="405" t="str">
        <f t="shared" si="899"/>
        <v>#REF!</v>
      </c>
      <c r="AU1035" s="129"/>
      <c r="AV1035" s="225" t="s">
        <v>3024</v>
      </c>
      <c r="AW1035" s="416"/>
      <c r="AX1035" s="416"/>
      <c r="AY1035" s="361"/>
      <c r="AZ1035" s="214"/>
      <c r="BA1035" s="214"/>
      <c r="BB1035" s="227"/>
      <c r="BC1035" s="412" t="str">
        <f t="shared" si="914"/>
        <v>#REF!</v>
      </c>
      <c r="BD1035" s="132" t="str">
        <f t="shared" si="905"/>
        <v>#REF!</v>
      </c>
      <c r="BE1035" s="215"/>
      <c r="BF1035" s="48"/>
      <c r="BG1035" s="49"/>
      <c r="BH1035" s="224" t="str">
        <f t="shared" si="910"/>
        <v>#REF!</v>
      </c>
      <c r="BI1035" s="224" t="str">
        <f t="shared" si="911"/>
        <v>#REF!</v>
      </c>
      <c r="BJ1035" s="224" t="str">
        <f t="shared" si="912"/>
        <v>#REF!</v>
      </c>
      <c r="BK1035" s="224" t="str">
        <f t="shared" si="913"/>
        <v>#REF!</v>
      </c>
      <c r="BL1035" s="49"/>
      <c r="BM1035" s="49"/>
      <c r="BN1035" s="49"/>
      <c r="BO1035" s="49"/>
      <c r="BP1035" s="49"/>
      <c r="BQ1035" s="49"/>
      <c r="BR1035" s="49"/>
      <c r="BS1035" s="49"/>
      <c r="BT1035" s="49"/>
      <c r="BU1035" s="49"/>
      <c r="BV1035" s="49"/>
      <c r="BW1035" s="49"/>
      <c r="BX1035" s="49"/>
      <c r="BY1035" s="49"/>
      <c r="BZ1035" s="49"/>
      <c r="CA1035" s="49"/>
      <c r="CB1035" s="49"/>
      <c r="CC1035" s="49"/>
      <c r="CD1035" s="49"/>
      <c r="CE1035" s="49"/>
      <c r="CF1035" s="49"/>
    </row>
    <row r="1036" ht="14.25" customHeight="1">
      <c r="A1036" s="103" t="s">
        <v>84</v>
      </c>
      <c r="B1036" s="103" t="s">
        <v>85</v>
      </c>
      <c r="C1036" s="103" t="s">
        <v>85</v>
      </c>
      <c r="D1036" s="103" t="s">
        <v>1886</v>
      </c>
      <c r="E1036" s="109" t="s">
        <v>2920</v>
      </c>
      <c r="F1036" s="105" t="s">
        <v>3534</v>
      </c>
      <c r="G1036" s="110" t="s">
        <v>3554</v>
      </c>
      <c r="H1036" s="110"/>
      <c r="I1036" s="478"/>
      <c r="J1036" s="479" t="s">
        <v>3620</v>
      </c>
      <c r="K1036" s="108"/>
      <c r="L1036" s="109" t="s">
        <v>3621</v>
      </c>
      <c r="M1036" s="104" t="s">
        <v>3622</v>
      </c>
      <c r="N1036" s="110"/>
      <c r="O1036" s="109" t="s">
        <v>147</v>
      </c>
      <c r="P1036" s="106"/>
      <c r="Q1036" s="105" t="s">
        <v>3081</v>
      </c>
      <c r="R1036" s="106"/>
      <c r="S1036" s="106"/>
      <c r="T1036" s="110"/>
      <c r="U1036" s="106">
        <v>9.403208E9</v>
      </c>
      <c r="V1036" s="112">
        <v>0.0</v>
      </c>
      <c r="W1036" s="106">
        <v>45.0</v>
      </c>
      <c r="X1036" s="106">
        <v>45.0</v>
      </c>
      <c r="Y1036" s="106"/>
      <c r="Z1036" s="106" t="s">
        <v>99</v>
      </c>
      <c r="AA1036" s="114" t="str">
        <f t="shared" si="891"/>
        <v>#REF!</v>
      </c>
      <c r="AB1036" s="115"/>
      <c r="AC1036" s="212" t="str">
        <f t="shared" si="892"/>
        <v>#REF!</v>
      </c>
      <c r="AD1036" s="213" t="str">
        <f t="shared" si="799"/>
        <v>#REF!</v>
      </c>
      <c r="AE1036" s="212"/>
      <c r="AF1036" s="212" t="str">
        <f t="shared" si="94"/>
        <v>#REF!</v>
      </c>
      <c r="AG1036" s="210" t="str">
        <f t="shared" si="95"/>
        <v>#REF!</v>
      </c>
      <c r="AH1036" s="120" t="str">
        <f t="shared" si="96"/>
        <v>#REF!</v>
      </c>
      <c r="AI1036" s="121">
        <f t="shared" si="893"/>
        <v>0.05</v>
      </c>
      <c r="AJ1036" s="121">
        <v>0.05</v>
      </c>
      <c r="AK1036" s="418">
        <v>0.18</v>
      </c>
      <c r="AL1036" s="123" t="str">
        <f t="shared" si="11"/>
        <v>#REF!</v>
      </c>
      <c r="AM1036" s="401" t="s">
        <v>10</v>
      </c>
      <c r="AN1036" s="125" t="str">
        <f t="shared" si="894"/>
        <v>#REF!</v>
      </c>
      <c r="AO1036" s="402" t="str">
        <f t="shared" si="895"/>
        <v>#REF!</v>
      </c>
      <c r="AP1036" s="127"/>
      <c r="AQ1036" s="128" t="str">
        <f t="shared" si="896"/>
        <v>#REF!</v>
      </c>
      <c r="AR1036" s="404" t="str">
        <f t="shared" si="897"/>
        <v>#REF!</v>
      </c>
      <c r="AS1036" s="405" t="str">
        <f t="shared" si="898"/>
        <v>#REF!</v>
      </c>
      <c r="AT1036" s="405" t="str">
        <f t="shared" si="899"/>
        <v>#REF!</v>
      </c>
      <c r="AU1036" s="129"/>
      <c r="AV1036" s="225" t="s">
        <v>3024</v>
      </c>
      <c r="AW1036" s="416"/>
      <c r="AX1036" s="416"/>
      <c r="AY1036" s="361"/>
      <c r="AZ1036" s="214"/>
      <c r="BA1036" s="214"/>
      <c r="BB1036" s="227"/>
      <c r="BC1036" s="412" t="str">
        <f t="shared" si="914"/>
        <v>#REF!</v>
      </c>
      <c r="BD1036" s="132" t="str">
        <f t="shared" si="905"/>
        <v>#REF!</v>
      </c>
      <c r="BE1036" s="215"/>
      <c r="BF1036" s="48"/>
      <c r="BG1036" s="49"/>
      <c r="BH1036" s="224" t="str">
        <f t="shared" si="910"/>
        <v>#REF!</v>
      </c>
      <c r="BI1036" s="224" t="str">
        <f t="shared" si="911"/>
        <v>#REF!</v>
      </c>
      <c r="BJ1036" s="224" t="str">
        <f t="shared" si="912"/>
        <v>#REF!</v>
      </c>
      <c r="BK1036" s="224" t="str">
        <f t="shared" si="913"/>
        <v>#REF!</v>
      </c>
      <c r="BL1036" s="49"/>
      <c r="BM1036" s="49"/>
      <c r="BN1036" s="49"/>
      <c r="BO1036" s="49"/>
      <c r="BP1036" s="49"/>
      <c r="BQ1036" s="49"/>
      <c r="BR1036" s="49"/>
      <c r="BS1036" s="49"/>
      <c r="BT1036" s="49"/>
      <c r="BU1036" s="49"/>
      <c r="BV1036" s="49"/>
      <c r="BW1036" s="49"/>
      <c r="BX1036" s="49"/>
      <c r="BY1036" s="49"/>
      <c r="BZ1036" s="49"/>
      <c r="CA1036" s="49"/>
      <c r="CB1036" s="49"/>
      <c r="CC1036" s="49"/>
      <c r="CD1036" s="49"/>
      <c r="CE1036" s="49"/>
      <c r="CF1036" s="49"/>
    </row>
    <row r="1037" ht="14.25" customHeight="1">
      <c r="A1037" s="103" t="s">
        <v>84</v>
      </c>
      <c r="B1037" s="103" t="s">
        <v>85</v>
      </c>
      <c r="C1037" s="103" t="s">
        <v>85</v>
      </c>
      <c r="D1037" s="103" t="s">
        <v>1886</v>
      </c>
      <c r="E1037" s="109" t="s">
        <v>2920</v>
      </c>
      <c r="F1037" s="105" t="s">
        <v>3534</v>
      </c>
      <c r="G1037" s="110" t="s">
        <v>3075</v>
      </c>
      <c r="H1037" s="110"/>
      <c r="I1037" s="478"/>
      <c r="J1037" s="479" t="s">
        <v>3623</v>
      </c>
      <c r="K1037" s="108"/>
      <c r="L1037" s="109" t="s">
        <v>3624</v>
      </c>
      <c r="M1037" s="104" t="s">
        <v>3625</v>
      </c>
      <c r="N1037" s="110"/>
      <c r="O1037" s="109" t="s">
        <v>147</v>
      </c>
      <c r="P1037" s="106"/>
      <c r="Q1037" s="105" t="s">
        <v>3081</v>
      </c>
      <c r="R1037" s="106"/>
      <c r="S1037" s="106"/>
      <c r="T1037" s="110"/>
      <c r="U1037" s="106">
        <v>9.403208E9</v>
      </c>
      <c r="V1037" s="112">
        <v>0.0</v>
      </c>
      <c r="W1037" s="106">
        <v>45.0</v>
      </c>
      <c r="X1037" s="106">
        <v>45.0</v>
      </c>
      <c r="Y1037" s="106"/>
      <c r="Z1037" s="106" t="s">
        <v>99</v>
      </c>
      <c r="AA1037" s="114" t="str">
        <f t="shared" si="891"/>
        <v>#REF!</v>
      </c>
      <c r="AB1037" s="115"/>
      <c r="AC1037" s="212" t="str">
        <f t="shared" si="892"/>
        <v>#REF!</v>
      </c>
      <c r="AD1037" s="213" t="str">
        <f t="shared" si="799"/>
        <v>#REF!</v>
      </c>
      <c r="AE1037" s="212"/>
      <c r="AF1037" s="212" t="str">
        <f t="shared" si="94"/>
        <v>#REF!</v>
      </c>
      <c r="AG1037" s="210" t="str">
        <f t="shared" si="95"/>
        <v>#REF!</v>
      </c>
      <c r="AH1037" s="120" t="str">
        <f t="shared" si="96"/>
        <v>#REF!</v>
      </c>
      <c r="AI1037" s="121">
        <f t="shared" si="893"/>
        <v>0.05</v>
      </c>
      <c r="AJ1037" s="121">
        <v>0.05</v>
      </c>
      <c r="AK1037" s="418">
        <v>0.18</v>
      </c>
      <c r="AL1037" s="123" t="str">
        <f t="shared" si="11"/>
        <v>#REF!</v>
      </c>
      <c r="AM1037" s="401" t="s">
        <v>10</v>
      </c>
      <c r="AN1037" s="125" t="str">
        <f t="shared" si="894"/>
        <v>#REF!</v>
      </c>
      <c r="AO1037" s="402" t="str">
        <f t="shared" si="895"/>
        <v>#REF!</v>
      </c>
      <c r="AP1037" s="127"/>
      <c r="AQ1037" s="128" t="str">
        <f t="shared" si="896"/>
        <v>#REF!</v>
      </c>
      <c r="AR1037" s="404" t="str">
        <f t="shared" si="897"/>
        <v>#REF!</v>
      </c>
      <c r="AS1037" s="405" t="str">
        <f t="shared" si="898"/>
        <v>#REF!</v>
      </c>
      <c r="AT1037" s="405" t="str">
        <f t="shared" si="899"/>
        <v>#REF!</v>
      </c>
      <c r="AU1037" s="129"/>
      <c r="AV1037" s="225" t="s">
        <v>3024</v>
      </c>
      <c r="AW1037" s="416"/>
      <c r="AX1037" s="416"/>
      <c r="AY1037" s="361"/>
      <c r="AZ1037" s="214"/>
      <c r="BA1037" s="214"/>
      <c r="BB1037" s="227"/>
      <c r="BC1037" s="412" t="str">
        <f t="shared" si="914"/>
        <v>#REF!</v>
      </c>
      <c r="BD1037" s="132" t="str">
        <f t="shared" si="905"/>
        <v>#REF!</v>
      </c>
      <c r="BE1037" s="215"/>
      <c r="BF1037" s="48"/>
      <c r="BG1037" s="49"/>
      <c r="BH1037" s="224" t="str">
        <f t="shared" si="910"/>
        <v>#REF!</v>
      </c>
      <c r="BI1037" s="224" t="str">
        <f t="shared" si="911"/>
        <v>#REF!</v>
      </c>
      <c r="BJ1037" s="224" t="str">
        <f t="shared" si="912"/>
        <v>#REF!</v>
      </c>
      <c r="BK1037" s="224" t="str">
        <f t="shared" si="913"/>
        <v>#REF!</v>
      </c>
      <c r="BL1037" s="49"/>
      <c r="BM1037" s="49"/>
      <c r="BN1037" s="49"/>
      <c r="BO1037" s="49"/>
      <c r="BP1037" s="49"/>
      <c r="BQ1037" s="49"/>
      <c r="BR1037" s="49"/>
      <c r="BS1037" s="49"/>
      <c r="BT1037" s="49"/>
      <c r="BU1037" s="49"/>
      <c r="BV1037" s="49"/>
      <c r="BW1037" s="49"/>
      <c r="BX1037" s="49"/>
      <c r="BY1037" s="49"/>
      <c r="BZ1037" s="49"/>
      <c r="CA1037" s="49"/>
      <c r="CB1037" s="49"/>
      <c r="CC1037" s="49"/>
      <c r="CD1037" s="49"/>
      <c r="CE1037" s="49"/>
      <c r="CF1037" s="49"/>
    </row>
    <row r="1038" ht="14.25" customHeight="1">
      <c r="A1038" s="103" t="s">
        <v>84</v>
      </c>
      <c r="B1038" s="103" t="s">
        <v>85</v>
      </c>
      <c r="C1038" s="103" t="s">
        <v>85</v>
      </c>
      <c r="D1038" s="103" t="s">
        <v>1886</v>
      </c>
      <c r="E1038" s="109" t="s">
        <v>2920</v>
      </c>
      <c r="F1038" s="105" t="s">
        <v>3534</v>
      </c>
      <c r="G1038" s="110" t="s">
        <v>3535</v>
      </c>
      <c r="H1038" s="110"/>
      <c r="I1038" s="478"/>
      <c r="J1038" s="479" t="s">
        <v>3626</v>
      </c>
      <c r="K1038" s="108"/>
      <c r="L1038" s="109" t="s">
        <v>3627</v>
      </c>
      <c r="M1038" s="104" t="s">
        <v>3628</v>
      </c>
      <c r="N1038" s="110"/>
      <c r="O1038" s="109" t="s">
        <v>147</v>
      </c>
      <c r="P1038" s="106"/>
      <c r="Q1038" s="105" t="s">
        <v>3081</v>
      </c>
      <c r="R1038" s="106"/>
      <c r="S1038" s="106"/>
      <c r="T1038" s="110"/>
      <c r="U1038" s="106">
        <v>9.403208E9</v>
      </c>
      <c r="V1038" s="112">
        <v>0.0</v>
      </c>
      <c r="W1038" s="106">
        <v>45.0</v>
      </c>
      <c r="X1038" s="106">
        <v>45.0</v>
      </c>
      <c r="Y1038" s="106"/>
      <c r="Z1038" s="106" t="s">
        <v>99</v>
      </c>
      <c r="AA1038" s="114" t="str">
        <f t="shared" si="891"/>
        <v>#REF!</v>
      </c>
      <c r="AB1038" s="115"/>
      <c r="AC1038" s="212" t="str">
        <f t="shared" si="892"/>
        <v>#REF!</v>
      </c>
      <c r="AD1038" s="213" t="str">
        <f t="shared" si="799"/>
        <v>#REF!</v>
      </c>
      <c r="AE1038" s="212"/>
      <c r="AF1038" s="212" t="str">
        <f t="shared" si="94"/>
        <v>#REF!</v>
      </c>
      <c r="AG1038" s="210" t="str">
        <f t="shared" si="95"/>
        <v>#REF!</v>
      </c>
      <c r="AH1038" s="120" t="str">
        <f t="shared" si="96"/>
        <v>#REF!</v>
      </c>
      <c r="AI1038" s="121">
        <f t="shared" si="893"/>
        <v>0.05</v>
      </c>
      <c r="AJ1038" s="121">
        <v>0.05</v>
      </c>
      <c r="AK1038" s="418">
        <v>0.18</v>
      </c>
      <c r="AL1038" s="123" t="str">
        <f t="shared" si="11"/>
        <v>#REF!</v>
      </c>
      <c r="AM1038" s="401" t="s">
        <v>10</v>
      </c>
      <c r="AN1038" s="125" t="str">
        <f t="shared" si="894"/>
        <v>#REF!</v>
      </c>
      <c r="AO1038" s="402" t="str">
        <f t="shared" si="895"/>
        <v>#REF!</v>
      </c>
      <c r="AP1038" s="127"/>
      <c r="AQ1038" s="128" t="str">
        <f t="shared" si="896"/>
        <v>#REF!</v>
      </c>
      <c r="AR1038" s="404" t="str">
        <f t="shared" si="897"/>
        <v>#REF!</v>
      </c>
      <c r="AS1038" s="405" t="str">
        <f t="shared" si="898"/>
        <v>#REF!</v>
      </c>
      <c r="AT1038" s="405" t="str">
        <f t="shared" si="899"/>
        <v>#REF!</v>
      </c>
      <c r="AU1038" s="129"/>
      <c r="AV1038" s="225" t="s">
        <v>3024</v>
      </c>
      <c r="AW1038" s="416"/>
      <c r="AX1038" s="416"/>
      <c r="AY1038" s="361"/>
      <c r="AZ1038" s="214"/>
      <c r="BA1038" s="214"/>
      <c r="BB1038" s="227"/>
      <c r="BC1038" s="412" t="str">
        <f t="shared" si="914"/>
        <v>#REF!</v>
      </c>
      <c r="BD1038" s="132" t="str">
        <f t="shared" si="905"/>
        <v>#REF!</v>
      </c>
      <c r="BE1038" s="215"/>
      <c r="BF1038" s="48"/>
      <c r="BG1038" s="49"/>
      <c r="BH1038" s="224" t="str">
        <f t="shared" si="910"/>
        <v>#REF!</v>
      </c>
      <c r="BI1038" s="224" t="str">
        <f t="shared" si="911"/>
        <v>#REF!</v>
      </c>
      <c r="BJ1038" s="224" t="str">
        <f t="shared" si="912"/>
        <v>#REF!</v>
      </c>
      <c r="BK1038" s="224" t="str">
        <f t="shared" si="913"/>
        <v>#REF!</v>
      </c>
      <c r="BL1038" s="49"/>
      <c r="BM1038" s="49"/>
      <c r="BN1038" s="49"/>
      <c r="BO1038" s="49"/>
      <c r="BP1038" s="49"/>
      <c r="BQ1038" s="49"/>
      <c r="BR1038" s="49"/>
      <c r="BS1038" s="49"/>
      <c r="BT1038" s="49"/>
      <c r="BU1038" s="49"/>
      <c r="BV1038" s="49"/>
      <c r="BW1038" s="49"/>
      <c r="BX1038" s="49"/>
      <c r="BY1038" s="49"/>
      <c r="BZ1038" s="49"/>
      <c r="CA1038" s="49"/>
      <c r="CB1038" s="49"/>
      <c r="CC1038" s="49"/>
      <c r="CD1038" s="49"/>
      <c r="CE1038" s="49"/>
      <c r="CF1038" s="49"/>
    </row>
    <row r="1039" ht="14.25" customHeight="1">
      <c r="A1039" s="103" t="s">
        <v>84</v>
      </c>
      <c r="B1039" s="103" t="s">
        <v>85</v>
      </c>
      <c r="C1039" s="103" t="s">
        <v>85</v>
      </c>
      <c r="D1039" s="103" t="s">
        <v>1886</v>
      </c>
      <c r="E1039" s="109" t="s">
        <v>2920</v>
      </c>
      <c r="F1039" s="105" t="s">
        <v>3534</v>
      </c>
      <c r="G1039" s="110" t="s">
        <v>3490</v>
      </c>
      <c r="H1039" s="110"/>
      <c r="I1039" s="478"/>
      <c r="J1039" s="479" t="s">
        <v>3629</v>
      </c>
      <c r="K1039" s="108"/>
      <c r="L1039" s="109" t="s">
        <v>3630</v>
      </c>
      <c r="M1039" s="104" t="s">
        <v>3631</v>
      </c>
      <c r="N1039" s="110"/>
      <c r="O1039" s="109" t="s">
        <v>147</v>
      </c>
      <c r="P1039" s="106"/>
      <c r="Q1039" s="105" t="s">
        <v>3081</v>
      </c>
      <c r="R1039" s="106"/>
      <c r="S1039" s="106"/>
      <c r="T1039" s="110"/>
      <c r="U1039" s="106">
        <v>9.403208E9</v>
      </c>
      <c r="V1039" s="112">
        <v>0.0</v>
      </c>
      <c r="W1039" s="106">
        <v>45.0</v>
      </c>
      <c r="X1039" s="106">
        <v>45.0</v>
      </c>
      <c r="Y1039" s="106"/>
      <c r="Z1039" s="106" t="s">
        <v>99</v>
      </c>
      <c r="AA1039" s="114" t="str">
        <f t="shared" si="891"/>
        <v>#REF!</v>
      </c>
      <c r="AB1039" s="115"/>
      <c r="AC1039" s="212" t="str">
        <f t="shared" si="892"/>
        <v>#REF!</v>
      </c>
      <c r="AD1039" s="213" t="str">
        <f t="shared" si="799"/>
        <v>#REF!</v>
      </c>
      <c r="AE1039" s="212"/>
      <c r="AF1039" s="212" t="str">
        <f t="shared" si="94"/>
        <v>#REF!</v>
      </c>
      <c r="AG1039" s="210" t="str">
        <f t="shared" si="95"/>
        <v>#REF!</v>
      </c>
      <c r="AH1039" s="120" t="str">
        <f t="shared" si="96"/>
        <v>#REF!</v>
      </c>
      <c r="AI1039" s="121">
        <f t="shared" si="893"/>
        <v>0.05</v>
      </c>
      <c r="AJ1039" s="121">
        <v>0.05</v>
      </c>
      <c r="AK1039" s="418">
        <v>0.18</v>
      </c>
      <c r="AL1039" s="123" t="str">
        <f t="shared" si="11"/>
        <v>#REF!</v>
      </c>
      <c r="AM1039" s="401" t="s">
        <v>10</v>
      </c>
      <c r="AN1039" s="125" t="str">
        <f t="shared" si="894"/>
        <v>#REF!</v>
      </c>
      <c r="AO1039" s="402" t="str">
        <f t="shared" si="895"/>
        <v>#REF!</v>
      </c>
      <c r="AP1039" s="127"/>
      <c r="AQ1039" s="128" t="str">
        <f t="shared" si="896"/>
        <v>#REF!</v>
      </c>
      <c r="AR1039" s="404" t="str">
        <f t="shared" si="897"/>
        <v>#REF!</v>
      </c>
      <c r="AS1039" s="405" t="str">
        <f t="shared" si="898"/>
        <v>#REF!</v>
      </c>
      <c r="AT1039" s="405" t="str">
        <f t="shared" si="899"/>
        <v>#REF!</v>
      </c>
      <c r="AU1039" s="129"/>
      <c r="AV1039" s="225" t="s">
        <v>3024</v>
      </c>
      <c r="AW1039" s="416"/>
      <c r="AX1039" s="416"/>
      <c r="AY1039" s="361"/>
      <c r="AZ1039" s="214"/>
      <c r="BA1039" s="214"/>
      <c r="BB1039" s="227"/>
      <c r="BC1039" s="412" t="str">
        <f t="shared" si="914"/>
        <v>#REF!</v>
      </c>
      <c r="BD1039" s="132" t="str">
        <f t="shared" si="905"/>
        <v>#REF!</v>
      </c>
      <c r="BE1039" s="215"/>
      <c r="BF1039" s="48"/>
      <c r="BG1039" s="49"/>
      <c r="BH1039" s="224" t="str">
        <f t="shared" si="910"/>
        <v>#REF!</v>
      </c>
      <c r="BI1039" s="224" t="str">
        <f t="shared" si="911"/>
        <v>#REF!</v>
      </c>
      <c r="BJ1039" s="224" t="str">
        <f t="shared" si="912"/>
        <v>#REF!</v>
      </c>
      <c r="BK1039" s="224" t="str">
        <f t="shared" si="913"/>
        <v>#REF!</v>
      </c>
      <c r="BL1039" s="49"/>
      <c r="BM1039" s="49"/>
      <c r="BN1039" s="49"/>
      <c r="BO1039" s="49"/>
      <c r="BP1039" s="49"/>
      <c r="BQ1039" s="49"/>
      <c r="BR1039" s="49"/>
      <c r="BS1039" s="49"/>
      <c r="BT1039" s="49"/>
      <c r="BU1039" s="49"/>
      <c r="BV1039" s="49"/>
      <c r="BW1039" s="49"/>
      <c r="BX1039" s="49"/>
      <c r="BY1039" s="49"/>
      <c r="BZ1039" s="49"/>
      <c r="CA1039" s="49"/>
      <c r="CB1039" s="49"/>
      <c r="CC1039" s="49"/>
      <c r="CD1039" s="49"/>
      <c r="CE1039" s="49"/>
      <c r="CF1039" s="49"/>
    </row>
    <row r="1040" ht="14.25" customHeight="1">
      <c r="A1040" s="103" t="s">
        <v>84</v>
      </c>
      <c r="B1040" s="103" t="s">
        <v>85</v>
      </c>
      <c r="C1040" s="103" t="s">
        <v>85</v>
      </c>
      <c r="D1040" s="103" t="s">
        <v>1886</v>
      </c>
      <c r="E1040" s="109" t="s">
        <v>2920</v>
      </c>
      <c r="F1040" s="105" t="s">
        <v>3534</v>
      </c>
      <c r="G1040" s="110" t="s">
        <v>3494</v>
      </c>
      <c r="H1040" s="110"/>
      <c r="I1040" s="478"/>
      <c r="J1040" s="479" t="s">
        <v>3632</v>
      </c>
      <c r="K1040" s="108"/>
      <c r="L1040" s="109" t="s">
        <v>3633</v>
      </c>
      <c r="M1040" s="104" t="s">
        <v>3634</v>
      </c>
      <c r="N1040" s="110"/>
      <c r="O1040" s="109" t="s">
        <v>147</v>
      </c>
      <c r="P1040" s="106"/>
      <c r="Q1040" s="105" t="s">
        <v>3081</v>
      </c>
      <c r="R1040" s="106"/>
      <c r="S1040" s="106"/>
      <c r="T1040" s="110"/>
      <c r="U1040" s="106">
        <v>9.403208E9</v>
      </c>
      <c r="V1040" s="112">
        <v>0.0</v>
      </c>
      <c r="W1040" s="106">
        <v>45.0</v>
      </c>
      <c r="X1040" s="106">
        <v>45.0</v>
      </c>
      <c r="Y1040" s="106"/>
      <c r="Z1040" s="106" t="s">
        <v>99</v>
      </c>
      <c r="AA1040" s="114" t="str">
        <f t="shared" si="891"/>
        <v>#REF!</v>
      </c>
      <c r="AB1040" s="115"/>
      <c r="AC1040" s="212" t="str">
        <f t="shared" si="892"/>
        <v>#REF!</v>
      </c>
      <c r="AD1040" s="213" t="str">
        <f t="shared" si="799"/>
        <v>#REF!</v>
      </c>
      <c r="AE1040" s="212"/>
      <c r="AF1040" s="212" t="str">
        <f t="shared" si="94"/>
        <v>#REF!</v>
      </c>
      <c r="AG1040" s="210" t="str">
        <f t="shared" si="95"/>
        <v>#REF!</v>
      </c>
      <c r="AH1040" s="120" t="str">
        <f t="shared" si="96"/>
        <v>#REF!</v>
      </c>
      <c r="AI1040" s="121">
        <f t="shared" si="893"/>
        <v>0.05</v>
      </c>
      <c r="AJ1040" s="121">
        <v>0.05</v>
      </c>
      <c r="AK1040" s="418">
        <v>0.18</v>
      </c>
      <c r="AL1040" s="123" t="str">
        <f t="shared" si="11"/>
        <v>#REF!</v>
      </c>
      <c r="AM1040" s="401" t="s">
        <v>10</v>
      </c>
      <c r="AN1040" s="125" t="str">
        <f t="shared" si="894"/>
        <v>#REF!</v>
      </c>
      <c r="AO1040" s="402" t="str">
        <f t="shared" si="895"/>
        <v>#REF!</v>
      </c>
      <c r="AP1040" s="127"/>
      <c r="AQ1040" s="128" t="str">
        <f t="shared" si="896"/>
        <v>#REF!</v>
      </c>
      <c r="AR1040" s="404" t="str">
        <f t="shared" si="897"/>
        <v>#REF!</v>
      </c>
      <c r="AS1040" s="405" t="str">
        <f t="shared" si="898"/>
        <v>#REF!</v>
      </c>
      <c r="AT1040" s="405" t="str">
        <f t="shared" si="899"/>
        <v>#REF!</v>
      </c>
      <c r="AU1040" s="129"/>
      <c r="AV1040" s="225" t="s">
        <v>3024</v>
      </c>
      <c r="AW1040" s="416"/>
      <c r="AX1040" s="416"/>
      <c r="AY1040" s="361"/>
      <c r="AZ1040" s="214"/>
      <c r="BA1040" s="214"/>
      <c r="BB1040" s="227"/>
      <c r="BC1040" s="412" t="str">
        <f t="shared" si="914"/>
        <v>#REF!</v>
      </c>
      <c r="BD1040" s="132" t="str">
        <f t="shared" si="905"/>
        <v>#REF!</v>
      </c>
      <c r="BE1040" s="215"/>
      <c r="BF1040" s="48"/>
      <c r="BG1040" s="49"/>
      <c r="BH1040" s="224" t="str">
        <f t="shared" si="910"/>
        <v>#REF!</v>
      </c>
      <c r="BI1040" s="224" t="str">
        <f t="shared" si="911"/>
        <v>#REF!</v>
      </c>
      <c r="BJ1040" s="224" t="str">
        <f t="shared" si="912"/>
        <v>#REF!</v>
      </c>
      <c r="BK1040" s="224" t="str">
        <f t="shared" si="913"/>
        <v>#REF!</v>
      </c>
      <c r="BL1040" s="49"/>
      <c r="BM1040" s="49"/>
      <c r="BN1040" s="49"/>
      <c r="BO1040" s="49"/>
      <c r="BP1040" s="49"/>
      <c r="BQ1040" s="49"/>
      <c r="BR1040" s="49"/>
      <c r="BS1040" s="49"/>
      <c r="BT1040" s="49"/>
      <c r="BU1040" s="49"/>
      <c r="BV1040" s="49"/>
      <c r="BW1040" s="49"/>
      <c r="BX1040" s="49"/>
      <c r="BY1040" s="49"/>
      <c r="BZ1040" s="49"/>
      <c r="CA1040" s="49"/>
      <c r="CB1040" s="49"/>
      <c r="CC1040" s="49"/>
      <c r="CD1040" s="49"/>
      <c r="CE1040" s="49"/>
      <c r="CF1040" s="49"/>
    </row>
    <row r="1041" ht="14.25" customHeight="1">
      <c r="A1041" s="103" t="s">
        <v>84</v>
      </c>
      <c r="B1041" s="103" t="s">
        <v>85</v>
      </c>
      <c r="C1041" s="103" t="s">
        <v>85</v>
      </c>
      <c r="D1041" s="103" t="s">
        <v>1886</v>
      </c>
      <c r="E1041" s="109" t="s">
        <v>2920</v>
      </c>
      <c r="F1041" s="105" t="s">
        <v>3534</v>
      </c>
      <c r="G1041" s="110" t="s">
        <v>3546</v>
      </c>
      <c r="H1041" s="110"/>
      <c r="I1041" s="478"/>
      <c r="J1041" s="479" t="s">
        <v>3635</v>
      </c>
      <c r="K1041" s="108"/>
      <c r="L1041" s="109" t="s">
        <v>3636</v>
      </c>
      <c r="M1041" s="104" t="s">
        <v>3637</v>
      </c>
      <c r="N1041" s="110"/>
      <c r="O1041" s="109" t="s">
        <v>147</v>
      </c>
      <c r="P1041" s="106"/>
      <c r="Q1041" s="105" t="s">
        <v>3081</v>
      </c>
      <c r="R1041" s="106"/>
      <c r="S1041" s="106"/>
      <c r="T1041" s="110"/>
      <c r="U1041" s="106">
        <v>9.403208E9</v>
      </c>
      <c r="V1041" s="112">
        <v>0.0</v>
      </c>
      <c r="W1041" s="106">
        <v>45.0</v>
      </c>
      <c r="X1041" s="106">
        <v>45.0</v>
      </c>
      <c r="Y1041" s="106"/>
      <c r="Z1041" s="106" t="s">
        <v>99</v>
      </c>
      <c r="AA1041" s="114" t="str">
        <f t="shared" si="891"/>
        <v>#REF!</v>
      </c>
      <c r="AB1041" s="115"/>
      <c r="AC1041" s="212" t="str">
        <f t="shared" si="892"/>
        <v>#REF!</v>
      </c>
      <c r="AD1041" s="213" t="str">
        <f t="shared" si="799"/>
        <v>#REF!</v>
      </c>
      <c r="AE1041" s="212"/>
      <c r="AF1041" s="212" t="str">
        <f t="shared" si="94"/>
        <v>#REF!</v>
      </c>
      <c r="AG1041" s="210" t="str">
        <f t="shared" si="95"/>
        <v>#REF!</v>
      </c>
      <c r="AH1041" s="120" t="str">
        <f t="shared" si="96"/>
        <v>#REF!</v>
      </c>
      <c r="AI1041" s="121">
        <f t="shared" si="893"/>
        <v>0.05</v>
      </c>
      <c r="AJ1041" s="121">
        <v>0.05</v>
      </c>
      <c r="AK1041" s="418">
        <v>0.18</v>
      </c>
      <c r="AL1041" s="123" t="str">
        <f t="shared" si="11"/>
        <v>#REF!</v>
      </c>
      <c r="AM1041" s="401" t="s">
        <v>10</v>
      </c>
      <c r="AN1041" s="125" t="str">
        <f t="shared" si="894"/>
        <v>#REF!</v>
      </c>
      <c r="AO1041" s="402" t="str">
        <f t="shared" si="895"/>
        <v>#REF!</v>
      </c>
      <c r="AP1041" s="127"/>
      <c r="AQ1041" s="128" t="str">
        <f t="shared" si="896"/>
        <v>#REF!</v>
      </c>
      <c r="AR1041" s="404" t="str">
        <f t="shared" si="897"/>
        <v>#REF!</v>
      </c>
      <c r="AS1041" s="405" t="str">
        <f t="shared" si="898"/>
        <v>#REF!</v>
      </c>
      <c r="AT1041" s="405" t="str">
        <f t="shared" si="899"/>
        <v>#REF!</v>
      </c>
      <c r="AU1041" s="129"/>
      <c r="AV1041" s="225" t="s">
        <v>3024</v>
      </c>
      <c r="AW1041" s="416"/>
      <c r="AX1041" s="416"/>
      <c r="AY1041" s="361"/>
      <c r="AZ1041" s="214"/>
      <c r="BA1041" s="214"/>
      <c r="BB1041" s="227"/>
      <c r="BC1041" s="412" t="str">
        <f t="shared" si="914"/>
        <v>#REF!</v>
      </c>
      <c r="BD1041" s="132" t="str">
        <f t="shared" si="905"/>
        <v>#REF!</v>
      </c>
      <c r="BE1041" s="215"/>
      <c r="BF1041" s="48"/>
      <c r="BG1041" s="49"/>
      <c r="BH1041" s="224" t="str">
        <f t="shared" si="910"/>
        <v>#REF!</v>
      </c>
      <c r="BI1041" s="224" t="str">
        <f t="shared" si="911"/>
        <v>#REF!</v>
      </c>
      <c r="BJ1041" s="224" t="str">
        <f t="shared" si="912"/>
        <v>#REF!</v>
      </c>
      <c r="BK1041" s="224" t="str">
        <f t="shared" si="913"/>
        <v>#REF!</v>
      </c>
      <c r="BL1041" s="49"/>
      <c r="BM1041" s="49"/>
      <c r="BN1041" s="49"/>
      <c r="BO1041" s="49"/>
      <c r="BP1041" s="49"/>
      <c r="BQ1041" s="49"/>
      <c r="BR1041" s="49"/>
      <c r="BS1041" s="49"/>
      <c r="BT1041" s="49"/>
      <c r="BU1041" s="49"/>
      <c r="BV1041" s="49"/>
      <c r="BW1041" s="49"/>
      <c r="BX1041" s="49"/>
      <c r="BY1041" s="49"/>
      <c r="BZ1041" s="49"/>
      <c r="CA1041" s="49"/>
      <c r="CB1041" s="49"/>
      <c r="CC1041" s="49"/>
      <c r="CD1041" s="49"/>
      <c r="CE1041" s="49"/>
      <c r="CF1041" s="49"/>
    </row>
    <row r="1042" ht="14.25" customHeight="1">
      <c r="A1042" s="103" t="s">
        <v>84</v>
      </c>
      <c r="B1042" s="103" t="s">
        <v>85</v>
      </c>
      <c r="C1042" s="103" t="s">
        <v>85</v>
      </c>
      <c r="D1042" s="103" t="s">
        <v>1886</v>
      </c>
      <c r="E1042" s="109" t="s">
        <v>2920</v>
      </c>
      <c r="F1042" s="105" t="s">
        <v>3534</v>
      </c>
      <c r="G1042" s="110" t="s">
        <v>3550</v>
      </c>
      <c r="H1042" s="110"/>
      <c r="I1042" s="478"/>
      <c r="J1042" s="479" t="s">
        <v>3638</v>
      </c>
      <c r="K1042" s="108"/>
      <c r="L1042" s="109" t="s">
        <v>3639</v>
      </c>
      <c r="M1042" s="104" t="s">
        <v>3640</v>
      </c>
      <c r="N1042" s="110"/>
      <c r="O1042" s="109" t="s">
        <v>147</v>
      </c>
      <c r="P1042" s="106"/>
      <c r="Q1042" s="105" t="s">
        <v>3081</v>
      </c>
      <c r="R1042" s="106"/>
      <c r="S1042" s="106"/>
      <c r="T1042" s="110"/>
      <c r="U1042" s="106">
        <v>9.403208E9</v>
      </c>
      <c r="V1042" s="112">
        <v>0.0</v>
      </c>
      <c r="W1042" s="106">
        <v>45.0</v>
      </c>
      <c r="X1042" s="106">
        <v>45.0</v>
      </c>
      <c r="Y1042" s="106"/>
      <c r="Z1042" s="106" t="s">
        <v>99</v>
      </c>
      <c r="AA1042" s="114" t="str">
        <f t="shared" si="891"/>
        <v>#REF!</v>
      </c>
      <c r="AB1042" s="115"/>
      <c r="AC1042" s="212" t="str">
        <f t="shared" si="892"/>
        <v>#REF!</v>
      </c>
      <c r="AD1042" s="213" t="str">
        <f t="shared" si="799"/>
        <v>#REF!</v>
      </c>
      <c r="AE1042" s="212"/>
      <c r="AF1042" s="212" t="str">
        <f t="shared" si="94"/>
        <v>#REF!</v>
      </c>
      <c r="AG1042" s="210" t="str">
        <f t="shared" si="95"/>
        <v>#REF!</v>
      </c>
      <c r="AH1042" s="120" t="str">
        <f t="shared" si="96"/>
        <v>#REF!</v>
      </c>
      <c r="AI1042" s="121">
        <f t="shared" si="893"/>
        <v>0.05</v>
      </c>
      <c r="AJ1042" s="121">
        <v>0.05</v>
      </c>
      <c r="AK1042" s="418">
        <v>0.18</v>
      </c>
      <c r="AL1042" s="123" t="str">
        <f t="shared" si="11"/>
        <v>#REF!</v>
      </c>
      <c r="AM1042" s="401" t="s">
        <v>10</v>
      </c>
      <c r="AN1042" s="125" t="str">
        <f t="shared" si="894"/>
        <v>#REF!</v>
      </c>
      <c r="AO1042" s="402" t="str">
        <f t="shared" si="895"/>
        <v>#REF!</v>
      </c>
      <c r="AP1042" s="127"/>
      <c r="AQ1042" s="128" t="str">
        <f t="shared" si="896"/>
        <v>#REF!</v>
      </c>
      <c r="AR1042" s="404" t="str">
        <f t="shared" si="897"/>
        <v>#REF!</v>
      </c>
      <c r="AS1042" s="405" t="str">
        <f t="shared" si="898"/>
        <v>#REF!</v>
      </c>
      <c r="AT1042" s="405" t="str">
        <f t="shared" si="899"/>
        <v>#REF!</v>
      </c>
      <c r="AU1042" s="129"/>
      <c r="AV1042" s="225" t="s">
        <v>3024</v>
      </c>
      <c r="AW1042" s="416"/>
      <c r="AX1042" s="416"/>
      <c r="AY1042" s="361"/>
      <c r="AZ1042" s="214"/>
      <c r="BA1042" s="214"/>
      <c r="BB1042" s="227"/>
      <c r="BC1042" s="412" t="str">
        <f t="shared" si="914"/>
        <v>#REF!</v>
      </c>
      <c r="BD1042" s="132" t="str">
        <f t="shared" si="905"/>
        <v>#REF!</v>
      </c>
      <c r="BE1042" s="215"/>
      <c r="BF1042" s="48"/>
      <c r="BG1042" s="49"/>
      <c r="BH1042" s="224" t="str">
        <f t="shared" si="910"/>
        <v>#REF!</v>
      </c>
      <c r="BI1042" s="224" t="str">
        <f t="shared" si="911"/>
        <v>#REF!</v>
      </c>
      <c r="BJ1042" s="224" t="str">
        <f t="shared" si="912"/>
        <v>#REF!</v>
      </c>
      <c r="BK1042" s="224" t="str">
        <f t="shared" si="913"/>
        <v>#REF!</v>
      </c>
      <c r="BL1042" s="49"/>
      <c r="BM1042" s="49"/>
      <c r="BN1042" s="49"/>
      <c r="BO1042" s="49"/>
      <c r="BP1042" s="49"/>
      <c r="BQ1042" s="49"/>
      <c r="BR1042" s="49"/>
      <c r="BS1042" s="49"/>
      <c r="BT1042" s="49"/>
      <c r="BU1042" s="49"/>
      <c r="BV1042" s="49"/>
      <c r="BW1042" s="49"/>
      <c r="BX1042" s="49"/>
      <c r="BY1042" s="49"/>
      <c r="BZ1042" s="49"/>
      <c r="CA1042" s="49"/>
      <c r="CB1042" s="49"/>
      <c r="CC1042" s="49"/>
      <c r="CD1042" s="49"/>
      <c r="CE1042" s="49"/>
      <c r="CF1042" s="49"/>
    </row>
    <row r="1043" ht="14.25" customHeight="1">
      <c r="A1043" s="103" t="s">
        <v>84</v>
      </c>
      <c r="B1043" s="103" t="s">
        <v>85</v>
      </c>
      <c r="C1043" s="103" t="s">
        <v>85</v>
      </c>
      <c r="D1043" s="103" t="s">
        <v>1886</v>
      </c>
      <c r="E1043" s="109" t="s">
        <v>2920</v>
      </c>
      <c r="F1043" s="105" t="s">
        <v>3534</v>
      </c>
      <c r="G1043" s="110" t="s">
        <v>3554</v>
      </c>
      <c r="H1043" s="110"/>
      <c r="I1043" s="478"/>
      <c r="J1043" s="479" t="s">
        <v>3641</v>
      </c>
      <c r="K1043" s="108"/>
      <c r="L1043" s="109" t="s">
        <v>3642</v>
      </c>
      <c r="M1043" s="104" t="s">
        <v>3643</v>
      </c>
      <c r="N1043" s="110"/>
      <c r="O1043" s="109" t="s">
        <v>147</v>
      </c>
      <c r="P1043" s="106"/>
      <c r="Q1043" s="105" t="s">
        <v>3081</v>
      </c>
      <c r="R1043" s="106"/>
      <c r="S1043" s="106"/>
      <c r="T1043" s="110"/>
      <c r="U1043" s="106">
        <v>9.403208E9</v>
      </c>
      <c r="V1043" s="112">
        <v>0.0</v>
      </c>
      <c r="W1043" s="106">
        <v>45.0</v>
      </c>
      <c r="X1043" s="106">
        <v>45.0</v>
      </c>
      <c r="Y1043" s="106"/>
      <c r="Z1043" s="106" t="s">
        <v>99</v>
      </c>
      <c r="AA1043" s="114" t="str">
        <f t="shared" si="891"/>
        <v>#REF!</v>
      </c>
      <c r="AB1043" s="115"/>
      <c r="AC1043" s="212" t="str">
        <f t="shared" si="892"/>
        <v>#REF!</v>
      </c>
      <c r="AD1043" s="213" t="str">
        <f t="shared" si="799"/>
        <v>#REF!</v>
      </c>
      <c r="AE1043" s="212"/>
      <c r="AF1043" s="212" t="str">
        <f t="shared" si="94"/>
        <v>#REF!</v>
      </c>
      <c r="AG1043" s="210" t="str">
        <f t="shared" si="95"/>
        <v>#REF!</v>
      </c>
      <c r="AH1043" s="120" t="str">
        <f t="shared" si="96"/>
        <v>#REF!</v>
      </c>
      <c r="AI1043" s="121">
        <f t="shared" si="893"/>
        <v>0.05</v>
      </c>
      <c r="AJ1043" s="121">
        <v>0.05</v>
      </c>
      <c r="AK1043" s="418">
        <v>0.18</v>
      </c>
      <c r="AL1043" s="123" t="str">
        <f t="shared" si="11"/>
        <v>#REF!</v>
      </c>
      <c r="AM1043" s="401" t="s">
        <v>10</v>
      </c>
      <c r="AN1043" s="125" t="str">
        <f t="shared" si="894"/>
        <v>#REF!</v>
      </c>
      <c r="AO1043" s="402" t="str">
        <f t="shared" si="895"/>
        <v>#REF!</v>
      </c>
      <c r="AP1043" s="127"/>
      <c r="AQ1043" s="128" t="str">
        <f t="shared" si="896"/>
        <v>#REF!</v>
      </c>
      <c r="AR1043" s="404" t="str">
        <f t="shared" si="897"/>
        <v>#REF!</v>
      </c>
      <c r="AS1043" s="405" t="str">
        <f t="shared" si="898"/>
        <v>#REF!</v>
      </c>
      <c r="AT1043" s="405" t="str">
        <f t="shared" si="899"/>
        <v>#REF!</v>
      </c>
      <c r="AU1043" s="129"/>
      <c r="AV1043" s="225" t="s">
        <v>3024</v>
      </c>
      <c r="AW1043" s="416"/>
      <c r="AX1043" s="416"/>
      <c r="AY1043" s="361"/>
      <c r="AZ1043" s="214"/>
      <c r="BA1043" s="214"/>
      <c r="BB1043" s="227"/>
      <c r="BC1043" s="412" t="str">
        <f t="shared" si="914"/>
        <v>#REF!</v>
      </c>
      <c r="BD1043" s="132" t="str">
        <f t="shared" si="905"/>
        <v>#REF!</v>
      </c>
      <c r="BE1043" s="215"/>
      <c r="BF1043" s="48"/>
      <c r="BG1043" s="49"/>
      <c r="BH1043" s="224" t="str">
        <f t="shared" si="910"/>
        <v>#REF!</v>
      </c>
      <c r="BI1043" s="224" t="str">
        <f t="shared" si="911"/>
        <v>#REF!</v>
      </c>
      <c r="BJ1043" s="224" t="str">
        <f t="shared" si="912"/>
        <v>#REF!</v>
      </c>
      <c r="BK1043" s="224" t="str">
        <f t="shared" si="913"/>
        <v>#REF!</v>
      </c>
      <c r="BL1043" s="49"/>
      <c r="BM1043" s="49"/>
      <c r="BN1043" s="49"/>
      <c r="BO1043" s="49"/>
      <c r="BP1043" s="49"/>
      <c r="BQ1043" s="49"/>
      <c r="BR1043" s="49"/>
      <c r="BS1043" s="49"/>
      <c r="BT1043" s="49"/>
      <c r="BU1043" s="49"/>
      <c r="BV1043" s="49"/>
      <c r="BW1043" s="49"/>
      <c r="BX1043" s="49"/>
      <c r="BY1043" s="49"/>
      <c r="BZ1043" s="49"/>
      <c r="CA1043" s="49"/>
      <c r="CB1043" s="49"/>
      <c r="CC1043" s="49"/>
      <c r="CD1043" s="49"/>
      <c r="CE1043" s="49"/>
      <c r="CF1043" s="49"/>
    </row>
    <row r="1044" ht="14.25" customHeight="1">
      <c r="A1044" s="103" t="s">
        <v>84</v>
      </c>
      <c r="B1044" s="103" t="s">
        <v>85</v>
      </c>
      <c r="C1044" s="103" t="s">
        <v>85</v>
      </c>
      <c r="D1044" s="103" t="s">
        <v>1886</v>
      </c>
      <c r="E1044" s="109" t="s">
        <v>2920</v>
      </c>
      <c r="F1044" s="105" t="s">
        <v>3534</v>
      </c>
      <c r="G1044" s="110" t="s">
        <v>3075</v>
      </c>
      <c r="H1044" s="110"/>
      <c r="I1044" s="478"/>
      <c r="J1044" s="479" t="s">
        <v>3644</v>
      </c>
      <c r="K1044" s="108"/>
      <c r="L1044" s="109" t="s">
        <v>3645</v>
      </c>
      <c r="M1044" s="104" t="s">
        <v>3646</v>
      </c>
      <c r="N1044" s="110"/>
      <c r="O1044" s="109" t="s">
        <v>147</v>
      </c>
      <c r="P1044" s="106"/>
      <c r="Q1044" s="105" t="s">
        <v>3081</v>
      </c>
      <c r="R1044" s="106"/>
      <c r="S1044" s="106"/>
      <c r="T1044" s="110"/>
      <c r="U1044" s="106">
        <v>9.403208E9</v>
      </c>
      <c r="V1044" s="112">
        <v>0.0</v>
      </c>
      <c r="W1044" s="106">
        <v>45.0</v>
      </c>
      <c r="X1044" s="106">
        <v>45.0</v>
      </c>
      <c r="Y1044" s="106"/>
      <c r="Z1044" s="106" t="s">
        <v>99</v>
      </c>
      <c r="AA1044" s="114" t="str">
        <f t="shared" si="891"/>
        <v>#REF!</v>
      </c>
      <c r="AB1044" s="115"/>
      <c r="AC1044" s="212" t="str">
        <f t="shared" si="892"/>
        <v>#REF!</v>
      </c>
      <c r="AD1044" s="213" t="str">
        <f t="shared" si="799"/>
        <v>#REF!</v>
      </c>
      <c r="AE1044" s="212"/>
      <c r="AF1044" s="212" t="str">
        <f t="shared" si="94"/>
        <v>#REF!</v>
      </c>
      <c r="AG1044" s="210" t="str">
        <f t="shared" si="95"/>
        <v>#REF!</v>
      </c>
      <c r="AH1044" s="120" t="str">
        <f t="shared" si="96"/>
        <v>#REF!</v>
      </c>
      <c r="AI1044" s="121">
        <f t="shared" si="893"/>
        <v>0.05</v>
      </c>
      <c r="AJ1044" s="121">
        <v>0.05</v>
      </c>
      <c r="AK1044" s="418">
        <v>0.18</v>
      </c>
      <c r="AL1044" s="123" t="str">
        <f t="shared" si="11"/>
        <v>#REF!</v>
      </c>
      <c r="AM1044" s="401" t="s">
        <v>10</v>
      </c>
      <c r="AN1044" s="125" t="str">
        <f t="shared" si="894"/>
        <v>#REF!</v>
      </c>
      <c r="AO1044" s="402" t="str">
        <f t="shared" si="895"/>
        <v>#REF!</v>
      </c>
      <c r="AP1044" s="127"/>
      <c r="AQ1044" s="128" t="str">
        <f t="shared" si="896"/>
        <v>#REF!</v>
      </c>
      <c r="AR1044" s="404" t="str">
        <f t="shared" si="897"/>
        <v>#REF!</v>
      </c>
      <c r="AS1044" s="405" t="str">
        <f t="shared" si="898"/>
        <v>#REF!</v>
      </c>
      <c r="AT1044" s="405" t="str">
        <f t="shared" si="899"/>
        <v>#REF!</v>
      </c>
      <c r="AU1044" s="129"/>
      <c r="AV1044" s="225" t="s">
        <v>3024</v>
      </c>
      <c r="AW1044" s="416"/>
      <c r="AX1044" s="416"/>
      <c r="AY1044" s="361"/>
      <c r="AZ1044" s="214"/>
      <c r="BA1044" s="214"/>
      <c r="BB1044" s="227"/>
      <c r="BC1044" s="412" t="str">
        <f t="shared" si="914"/>
        <v>#REF!</v>
      </c>
      <c r="BD1044" s="132" t="str">
        <f t="shared" si="905"/>
        <v>#REF!</v>
      </c>
      <c r="BE1044" s="215"/>
      <c r="BF1044" s="48"/>
      <c r="BG1044" s="49"/>
      <c r="BH1044" s="224" t="str">
        <f t="shared" si="910"/>
        <v>#REF!</v>
      </c>
      <c r="BI1044" s="224" t="str">
        <f t="shared" si="911"/>
        <v>#REF!</v>
      </c>
      <c r="BJ1044" s="224" t="str">
        <f t="shared" si="912"/>
        <v>#REF!</v>
      </c>
      <c r="BK1044" s="224" t="str">
        <f t="shared" si="913"/>
        <v>#REF!</v>
      </c>
      <c r="BL1044" s="49"/>
      <c r="BM1044" s="49"/>
      <c r="BN1044" s="49"/>
      <c r="BO1044" s="49"/>
      <c r="BP1044" s="49"/>
      <c r="BQ1044" s="49"/>
      <c r="BR1044" s="49"/>
      <c r="BS1044" s="49"/>
      <c r="BT1044" s="49"/>
      <c r="BU1044" s="49"/>
      <c r="BV1044" s="49"/>
      <c r="BW1044" s="49"/>
      <c r="BX1044" s="49"/>
      <c r="BY1044" s="49"/>
      <c r="BZ1044" s="49"/>
      <c r="CA1044" s="49"/>
      <c r="CB1044" s="49"/>
      <c r="CC1044" s="49"/>
      <c r="CD1044" s="49"/>
      <c r="CE1044" s="49"/>
      <c r="CF1044" s="49"/>
    </row>
    <row r="1045" ht="14.25" customHeight="1">
      <c r="A1045" s="103" t="s">
        <v>84</v>
      </c>
      <c r="B1045" s="103" t="s">
        <v>120</v>
      </c>
      <c r="C1045" s="103" t="s">
        <v>120</v>
      </c>
      <c r="D1045" s="103" t="s">
        <v>1886</v>
      </c>
      <c r="E1045" s="109" t="s">
        <v>2920</v>
      </c>
      <c r="F1045" s="105" t="s">
        <v>3185</v>
      </c>
      <c r="G1045" s="110" t="s">
        <v>3647</v>
      </c>
      <c r="H1045" s="110"/>
      <c r="I1045" s="478"/>
      <c r="J1045" s="479" t="s">
        <v>3648</v>
      </c>
      <c r="K1045" s="108"/>
      <c r="L1045" s="109" t="s">
        <v>3649</v>
      </c>
      <c r="M1045" s="104" t="s">
        <v>3650</v>
      </c>
      <c r="N1045" s="110"/>
      <c r="O1045" s="109" t="s">
        <v>147</v>
      </c>
      <c r="P1045" s="106"/>
      <c r="Q1045" s="105" t="s">
        <v>3081</v>
      </c>
      <c r="R1045" s="106"/>
      <c r="S1045" s="106"/>
      <c r="T1045" s="110"/>
      <c r="U1045" s="106">
        <v>9.403208E9</v>
      </c>
      <c r="V1045" s="112">
        <v>0.0</v>
      </c>
      <c r="W1045" s="106">
        <v>45.0</v>
      </c>
      <c r="X1045" s="106">
        <v>45.0</v>
      </c>
      <c r="Y1045" s="106"/>
      <c r="Z1045" s="106" t="s">
        <v>99</v>
      </c>
      <c r="AA1045" s="114" t="str">
        <f t="shared" si="891"/>
        <v>#REF!</v>
      </c>
      <c r="AB1045" s="115"/>
      <c r="AC1045" s="212" t="str">
        <f t="shared" si="892"/>
        <v>#REF!</v>
      </c>
      <c r="AD1045" s="213" t="str">
        <f t="shared" si="799"/>
        <v>#REF!</v>
      </c>
      <c r="AE1045" s="212"/>
      <c r="AF1045" s="212" t="str">
        <f t="shared" si="94"/>
        <v>#REF!</v>
      </c>
      <c r="AG1045" s="210" t="str">
        <f t="shared" si="95"/>
        <v>#REF!</v>
      </c>
      <c r="AH1045" s="120" t="str">
        <f t="shared" si="96"/>
        <v>#REF!</v>
      </c>
      <c r="AI1045" s="121">
        <f t="shared" si="893"/>
        <v>0.05</v>
      </c>
      <c r="AJ1045" s="121">
        <v>0.05</v>
      </c>
      <c r="AK1045" s="418">
        <v>0.22</v>
      </c>
      <c r="AL1045" s="123" t="str">
        <f t="shared" si="11"/>
        <v>#REF!</v>
      </c>
      <c r="AM1045" s="401" t="s">
        <v>10</v>
      </c>
      <c r="AN1045" s="125" t="str">
        <f t="shared" si="894"/>
        <v>#REF!</v>
      </c>
      <c r="AO1045" s="402" t="str">
        <f t="shared" si="895"/>
        <v>#REF!</v>
      </c>
      <c r="AP1045" s="127"/>
      <c r="AQ1045" s="128" t="str">
        <f t="shared" si="896"/>
        <v>#REF!</v>
      </c>
      <c r="AR1045" s="404" t="str">
        <f t="shared" si="897"/>
        <v>#REF!</v>
      </c>
      <c r="AS1045" s="405" t="str">
        <f t="shared" si="898"/>
        <v>#REF!</v>
      </c>
      <c r="AT1045" s="405" t="str">
        <f t="shared" si="899"/>
        <v>#REF!</v>
      </c>
      <c r="AU1045" s="129"/>
      <c r="AV1045" s="225" t="s">
        <v>3024</v>
      </c>
      <c r="AW1045" s="416"/>
      <c r="AX1045" s="416"/>
      <c r="AY1045" s="361"/>
      <c r="AZ1045" s="214"/>
      <c r="BA1045" s="214"/>
      <c r="BB1045" s="227"/>
      <c r="BC1045" s="412" t="str">
        <f t="shared" si="914"/>
        <v>#REF!</v>
      </c>
      <c r="BD1045" s="132" t="str">
        <f t="shared" si="905"/>
        <v>#REF!</v>
      </c>
      <c r="BE1045" s="215"/>
      <c r="BF1045" s="48"/>
      <c r="BG1045" s="49"/>
      <c r="BH1045" s="224" t="str">
        <f t="shared" si="910"/>
        <v>#REF!</v>
      </c>
      <c r="BI1045" s="224" t="str">
        <f t="shared" si="911"/>
        <v>#REF!</v>
      </c>
      <c r="BJ1045" s="224" t="str">
        <f t="shared" si="912"/>
        <v>#REF!</v>
      </c>
      <c r="BK1045" s="224" t="str">
        <f t="shared" si="913"/>
        <v>#REF!</v>
      </c>
      <c r="BL1045" s="49"/>
      <c r="BM1045" s="49"/>
      <c r="BN1045" s="49"/>
      <c r="BO1045" s="49"/>
      <c r="BP1045" s="49"/>
      <c r="BQ1045" s="49"/>
      <c r="BR1045" s="49"/>
      <c r="BS1045" s="49"/>
      <c r="BT1045" s="49"/>
      <c r="BU1045" s="49"/>
      <c r="BV1045" s="49"/>
      <c r="BW1045" s="49"/>
      <c r="BX1045" s="49"/>
      <c r="BY1045" s="49"/>
      <c r="BZ1045" s="49"/>
      <c r="CA1045" s="49"/>
      <c r="CB1045" s="49"/>
      <c r="CC1045" s="49"/>
      <c r="CD1045" s="49"/>
      <c r="CE1045" s="49"/>
      <c r="CF1045" s="49"/>
    </row>
    <row r="1046" ht="14.25" customHeight="1">
      <c r="A1046" s="103" t="s">
        <v>84</v>
      </c>
      <c r="B1046" s="103" t="s">
        <v>120</v>
      </c>
      <c r="C1046" s="103" t="s">
        <v>120</v>
      </c>
      <c r="D1046" s="103" t="s">
        <v>1886</v>
      </c>
      <c r="E1046" s="109" t="s">
        <v>2920</v>
      </c>
      <c r="F1046" s="105" t="s">
        <v>3185</v>
      </c>
      <c r="G1046" s="110" t="s">
        <v>3490</v>
      </c>
      <c r="H1046" s="110"/>
      <c r="I1046" s="478"/>
      <c r="J1046" s="479" t="s">
        <v>3651</v>
      </c>
      <c r="K1046" s="108"/>
      <c r="L1046" s="109" t="s">
        <v>3652</v>
      </c>
      <c r="M1046" s="104" t="s">
        <v>3653</v>
      </c>
      <c r="N1046" s="110"/>
      <c r="O1046" s="109" t="s">
        <v>147</v>
      </c>
      <c r="P1046" s="106"/>
      <c r="Q1046" s="105" t="s">
        <v>3081</v>
      </c>
      <c r="R1046" s="106"/>
      <c r="S1046" s="106"/>
      <c r="T1046" s="110"/>
      <c r="U1046" s="106">
        <v>9.403208E9</v>
      </c>
      <c r="V1046" s="112">
        <v>0.0</v>
      </c>
      <c r="W1046" s="106">
        <v>45.0</v>
      </c>
      <c r="X1046" s="106">
        <v>45.0</v>
      </c>
      <c r="Y1046" s="106"/>
      <c r="Z1046" s="106" t="s">
        <v>99</v>
      </c>
      <c r="AA1046" s="114" t="str">
        <f t="shared" si="891"/>
        <v>#REF!</v>
      </c>
      <c r="AB1046" s="115"/>
      <c r="AC1046" s="212" t="str">
        <f t="shared" si="892"/>
        <v>#REF!</v>
      </c>
      <c r="AD1046" s="213" t="str">
        <f t="shared" si="799"/>
        <v>#REF!</v>
      </c>
      <c r="AE1046" s="212"/>
      <c r="AF1046" s="212" t="str">
        <f t="shared" si="94"/>
        <v>#REF!</v>
      </c>
      <c r="AG1046" s="210" t="str">
        <f t="shared" si="95"/>
        <v>#REF!</v>
      </c>
      <c r="AH1046" s="120" t="str">
        <f t="shared" si="96"/>
        <v>#REF!</v>
      </c>
      <c r="AI1046" s="121">
        <f t="shared" si="893"/>
        <v>0.05</v>
      </c>
      <c r="AJ1046" s="121">
        <v>0.05</v>
      </c>
      <c r="AK1046" s="418">
        <v>0.22</v>
      </c>
      <c r="AL1046" s="123" t="str">
        <f t="shared" si="11"/>
        <v>#REF!</v>
      </c>
      <c r="AM1046" s="401" t="s">
        <v>10</v>
      </c>
      <c r="AN1046" s="125" t="str">
        <f t="shared" si="894"/>
        <v>#REF!</v>
      </c>
      <c r="AO1046" s="402" t="str">
        <f t="shared" si="895"/>
        <v>#REF!</v>
      </c>
      <c r="AP1046" s="127"/>
      <c r="AQ1046" s="128" t="str">
        <f t="shared" si="896"/>
        <v>#REF!</v>
      </c>
      <c r="AR1046" s="404" t="str">
        <f t="shared" si="897"/>
        <v>#REF!</v>
      </c>
      <c r="AS1046" s="405" t="str">
        <f t="shared" si="898"/>
        <v>#REF!</v>
      </c>
      <c r="AT1046" s="405" t="str">
        <f t="shared" si="899"/>
        <v>#REF!</v>
      </c>
      <c r="AU1046" s="129"/>
      <c r="AV1046" s="225" t="s">
        <v>3024</v>
      </c>
      <c r="AW1046" s="416"/>
      <c r="AX1046" s="416"/>
      <c r="AY1046" s="361"/>
      <c r="AZ1046" s="214"/>
      <c r="BA1046" s="214"/>
      <c r="BB1046" s="227"/>
      <c r="BC1046" s="412" t="str">
        <f t="shared" si="914"/>
        <v>#REF!</v>
      </c>
      <c r="BD1046" s="132" t="str">
        <f t="shared" si="905"/>
        <v>#REF!</v>
      </c>
      <c r="BE1046" s="215"/>
      <c r="BF1046" s="48"/>
      <c r="BG1046" s="49"/>
      <c r="BH1046" s="224" t="str">
        <f t="shared" si="910"/>
        <v>#REF!</v>
      </c>
      <c r="BI1046" s="224" t="str">
        <f t="shared" si="911"/>
        <v>#REF!</v>
      </c>
      <c r="BJ1046" s="224" t="str">
        <f t="shared" si="912"/>
        <v>#REF!</v>
      </c>
      <c r="BK1046" s="224" t="str">
        <f t="shared" si="913"/>
        <v>#REF!</v>
      </c>
      <c r="BL1046" s="49"/>
      <c r="BM1046" s="49"/>
      <c r="BN1046" s="49"/>
      <c r="BO1046" s="49"/>
      <c r="BP1046" s="49"/>
      <c r="BQ1046" s="49"/>
      <c r="BR1046" s="49"/>
      <c r="BS1046" s="49"/>
      <c r="BT1046" s="49"/>
      <c r="BU1046" s="49"/>
      <c r="BV1046" s="49"/>
      <c r="BW1046" s="49"/>
      <c r="BX1046" s="49"/>
      <c r="BY1046" s="49"/>
      <c r="BZ1046" s="49"/>
      <c r="CA1046" s="49"/>
      <c r="CB1046" s="49"/>
      <c r="CC1046" s="49"/>
      <c r="CD1046" s="49"/>
      <c r="CE1046" s="49"/>
      <c r="CF1046" s="49"/>
    </row>
    <row r="1047" ht="14.25" customHeight="1">
      <c r="A1047" s="103" t="s">
        <v>84</v>
      </c>
      <c r="B1047" s="103" t="s">
        <v>120</v>
      </c>
      <c r="C1047" s="103" t="s">
        <v>120</v>
      </c>
      <c r="D1047" s="103" t="s">
        <v>1886</v>
      </c>
      <c r="E1047" s="109" t="s">
        <v>2920</v>
      </c>
      <c r="F1047" s="105" t="s">
        <v>3185</v>
      </c>
      <c r="G1047" s="110" t="s">
        <v>3494</v>
      </c>
      <c r="H1047" s="110"/>
      <c r="I1047" s="478"/>
      <c r="J1047" s="479" t="s">
        <v>3654</v>
      </c>
      <c r="K1047" s="108"/>
      <c r="L1047" s="109" t="s">
        <v>3655</v>
      </c>
      <c r="M1047" s="104" t="s">
        <v>3656</v>
      </c>
      <c r="N1047" s="110"/>
      <c r="O1047" s="109" t="s">
        <v>147</v>
      </c>
      <c r="P1047" s="106"/>
      <c r="Q1047" s="105" t="s">
        <v>3081</v>
      </c>
      <c r="R1047" s="106"/>
      <c r="S1047" s="106"/>
      <c r="T1047" s="110"/>
      <c r="U1047" s="106">
        <v>9.403208E9</v>
      </c>
      <c r="V1047" s="112">
        <v>0.0</v>
      </c>
      <c r="W1047" s="106">
        <v>45.0</v>
      </c>
      <c r="X1047" s="106">
        <v>45.0</v>
      </c>
      <c r="Y1047" s="106"/>
      <c r="Z1047" s="106" t="s">
        <v>99</v>
      </c>
      <c r="AA1047" s="114" t="str">
        <f t="shared" si="891"/>
        <v>#REF!</v>
      </c>
      <c r="AB1047" s="115"/>
      <c r="AC1047" s="212" t="str">
        <f t="shared" si="892"/>
        <v>#REF!</v>
      </c>
      <c r="AD1047" s="213" t="str">
        <f t="shared" si="799"/>
        <v>#REF!</v>
      </c>
      <c r="AE1047" s="212"/>
      <c r="AF1047" s="212" t="str">
        <f t="shared" si="94"/>
        <v>#REF!</v>
      </c>
      <c r="AG1047" s="210" t="str">
        <f t="shared" si="95"/>
        <v>#REF!</v>
      </c>
      <c r="AH1047" s="120" t="str">
        <f t="shared" si="96"/>
        <v>#REF!</v>
      </c>
      <c r="AI1047" s="121">
        <f t="shared" si="893"/>
        <v>0.05</v>
      </c>
      <c r="AJ1047" s="121">
        <v>0.05</v>
      </c>
      <c r="AK1047" s="418">
        <v>0.22</v>
      </c>
      <c r="AL1047" s="123" t="str">
        <f t="shared" si="11"/>
        <v>#REF!</v>
      </c>
      <c r="AM1047" s="401" t="s">
        <v>10</v>
      </c>
      <c r="AN1047" s="125" t="str">
        <f t="shared" si="894"/>
        <v>#REF!</v>
      </c>
      <c r="AO1047" s="402" t="str">
        <f t="shared" si="895"/>
        <v>#REF!</v>
      </c>
      <c r="AP1047" s="127"/>
      <c r="AQ1047" s="128" t="str">
        <f t="shared" si="896"/>
        <v>#REF!</v>
      </c>
      <c r="AR1047" s="404" t="str">
        <f t="shared" si="897"/>
        <v>#REF!</v>
      </c>
      <c r="AS1047" s="405" t="str">
        <f t="shared" si="898"/>
        <v>#REF!</v>
      </c>
      <c r="AT1047" s="405" t="str">
        <f t="shared" si="899"/>
        <v>#REF!</v>
      </c>
      <c r="AU1047" s="129"/>
      <c r="AV1047" s="225" t="s">
        <v>3024</v>
      </c>
      <c r="AW1047" s="416"/>
      <c r="AX1047" s="416"/>
      <c r="AY1047" s="361"/>
      <c r="AZ1047" s="214"/>
      <c r="BA1047" s="214"/>
      <c r="BB1047" s="227"/>
      <c r="BC1047" s="412" t="str">
        <f t="shared" si="914"/>
        <v>#REF!</v>
      </c>
      <c r="BD1047" s="132" t="str">
        <f t="shared" si="905"/>
        <v>#REF!</v>
      </c>
      <c r="BE1047" s="215"/>
      <c r="BF1047" s="48"/>
      <c r="BG1047" s="49"/>
      <c r="BH1047" s="224" t="str">
        <f t="shared" si="910"/>
        <v>#REF!</v>
      </c>
      <c r="BI1047" s="224" t="str">
        <f t="shared" si="911"/>
        <v>#REF!</v>
      </c>
      <c r="BJ1047" s="224" t="str">
        <f t="shared" si="912"/>
        <v>#REF!</v>
      </c>
      <c r="BK1047" s="224" t="str">
        <f t="shared" si="913"/>
        <v>#REF!</v>
      </c>
      <c r="BL1047" s="49"/>
      <c r="BM1047" s="49"/>
      <c r="BN1047" s="49"/>
      <c r="BO1047" s="49"/>
      <c r="BP1047" s="49"/>
      <c r="BQ1047" s="49"/>
      <c r="BR1047" s="49"/>
      <c r="BS1047" s="49"/>
      <c r="BT1047" s="49"/>
      <c r="BU1047" s="49"/>
      <c r="BV1047" s="49"/>
      <c r="BW1047" s="49"/>
      <c r="BX1047" s="49"/>
      <c r="BY1047" s="49"/>
      <c r="BZ1047" s="49"/>
      <c r="CA1047" s="49"/>
      <c r="CB1047" s="49"/>
      <c r="CC1047" s="49"/>
      <c r="CD1047" s="49"/>
      <c r="CE1047" s="49"/>
      <c r="CF1047" s="49"/>
    </row>
    <row r="1048" ht="14.25" customHeight="1">
      <c r="A1048" s="103" t="s">
        <v>84</v>
      </c>
      <c r="B1048" s="103" t="s">
        <v>120</v>
      </c>
      <c r="C1048" s="103" t="s">
        <v>120</v>
      </c>
      <c r="D1048" s="103" t="s">
        <v>1886</v>
      </c>
      <c r="E1048" s="109" t="s">
        <v>2920</v>
      </c>
      <c r="F1048" s="105" t="s">
        <v>3185</v>
      </c>
      <c r="G1048" s="110" t="s">
        <v>3657</v>
      </c>
      <c r="H1048" s="110"/>
      <c r="I1048" s="478"/>
      <c r="J1048" s="479" t="s">
        <v>3658</v>
      </c>
      <c r="K1048" s="108"/>
      <c r="L1048" s="109" t="s">
        <v>3659</v>
      </c>
      <c r="M1048" s="104" t="s">
        <v>3660</v>
      </c>
      <c r="N1048" s="110"/>
      <c r="O1048" s="109" t="s">
        <v>147</v>
      </c>
      <c r="P1048" s="106"/>
      <c r="Q1048" s="105" t="s">
        <v>3081</v>
      </c>
      <c r="R1048" s="106"/>
      <c r="S1048" s="106"/>
      <c r="T1048" s="110"/>
      <c r="U1048" s="106">
        <v>9.403208E9</v>
      </c>
      <c r="V1048" s="112">
        <v>0.0</v>
      </c>
      <c r="W1048" s="106">
        <v>45.0</v>
      </c>
      <c r="X1048" s="106">
        <v>45.0</v>
      </c>
      <c r="Y1048" s="106"/>
      <c r="Z1048" s="106" t="s">
        <v>99</v>
      </c>
      <c r="AA1048" s="114" t="str">
        <f t="shared" si="891"/>
        <v>#REF!</v>
      </c>
      <c r="AB1048" s="115"/>
      <c r="AC1048" s="212" t="str">
        <f t="shared" si="892"/>
        <v>#REF!</v>
      </c>
      <c r="AD1048" s="213" t="str">
        <f t="shared" si="799"/>
        <v>#REF!</v>
      </c>
      <c r="AE1048" s="212"/>
      <c r="AF1048" s="212" t="str">
        <f t="shared" si="94"/>
        <v>#REF!</v>
      </c>
      <c r="AG1048" s="210" t="str">
        <f t="shared" si="95"/>
        <v>#REF!</v>
      </c>
      <c r="AH1048" s="120" t="str">
        <f t="shared" si="96"/>
        <v>#REF!</v>
      </c>
      <c r="AI1048" s="121">
        <f t="shared" si="893"/>
        <v>0.05</v>
      </c>
      <c r="AJ1048" s="121">
        <v>0.05</v>
      </c>
      <c r="AK1048" s="418">
        <v>0.22</v>
      </c>
      <c r="AL1048" s="123" t="str">
        <f t="shared" si="11"/>
        <v>#REF!</v>
      </c>
      <c r="AM1048" s="401" t="s">
        <v>10</v>
      </c>
      <c r="AN1048" s="125" t="str">
        <f t="shared" si="894"/>
        <v>#REF!</v>
      </c>
      <c r="AO1048" s="402" t="str">
        <f t="shared" si="895"/>
        <v>#REF!</v>
      </c>
      <c r="AP1048" s="127"/>
      <c r="AQ1048" s="128" t="str">
        <f t="shared" si="896"/>
        <v>#REF!</v>
      </c>
      <c r="AR1048" s="404" t="str">
        <f t="shared" si="897"/>
        <v>#REF!</v>
      </c>
      <c r="AS1048" s="405" t="str">
        <f t="shared" si="898"/>
        <v>#REF!</v>
      </c>
      <c r="AT1048" s="405" t="str">
        <f t="shared" si="899"/>
        <v>#REF!</v>
      </c>
      <c r="AU1048" s="129"/>
      <c r="AV1048" s="225" t="s">
        <v>3024</v>
      </c>
      <c r="AW1048" s="416"/>
      <c r="AX1048" s="416"/>
      <c r="AY1048" s="361"/>
      <c r="AZ1048" s="214"/>
      <c r="BA1048" s="214"/>
      <c r="BB1048" s="227"/>
      <c r="BC1048" s="412" t="str">
        <f t="shared" si="914"/>
        <v>#REF!</v>
      </c>
      <c r="BD1048" s="132" t="str">
        <f t="shared" si="905"/>
        <v>#REF!</v>
      </c>
      <c r="BE1048" s="215"/>
      <c r="BF1048" s="48"/>
      <c r="BG1048" s="49"/>
      <c r="BH1048" s="224" t="str">
        <f t="shared" si="910"/>
        <v>#REF!</v>
      </c>
      <c r="BI1048" s="224" t="str">
        <f t="shared" si="911"/>
        <v>#REF!</v>
      </c>
      <c r="BJ1048" s="224" t="str">
        <f t="shared" si="912"/>
        <v>#REF!</v>
      </c>
      <c r="BK1048" s="224" t="str">
        <f t="shared" si="913"/>
        <v>#REF!</v>
      </c>
      <c r="BL1048" s="49"/>
      <c r="BM1048" s="49"/>
      <c r="BN1048" s="49"/>
      <c r="BO1048" s="49"/>
      <c r="BP1048" s="49"/>
      <c r="BQ1048" s="49"/>
      <c r="BR1048" s="49"/>
      <c r="BS1048" s="49"/>
      <c r="BT1048" s="49"/>
      <c r="BU1048" s="49"/>
      <c r="BV1048" s="49"/>
      <c r="BW1048" s="49"/>
      <c r="BX1048" s="49"/>
      <c r="BY1048" s="49"/>
      <c r="BZ1048" s="49"/>
      <c r="CA1048" s="49"/>
      <c r="CB1048" s="49"/>
      <c r="CC1048" s="49"/>
      <c r="CD1048" s="49"/>
      <c r="CE1048" s="49"/>
      <c r="CF1048" s="49"/>
    </row>
    <row r="1049" ht="14.25" customHeight="1">
      <c r="A1049" s="103" t="s">
        <v>84</v>
      </c>
      <c r="B1049" s="103" t="s">
        <v>120</v>
      </c>
      <c r="C1049" s="103" t="s">
        <v>120</v>
      </c>
      <c r="D1049" s="103" t="s">
        <v>1886</v>
      </c>
      <c r="E1049" s="109" t="s">
        <v>2920</v>
      </c>
      <c r="F1049" s="105" t="s">
        <v>3185</v>
      </c>
      <c r="G1049" s="110" t="s">
        <v>3550</v>
      </c>
      <c r="H1049" s="110"/>
      <c r="I1049" s="478"/>
      <c r="J1049" s="479" t="s">
        <v>3661</v>
      </c>
      <c r="K1049" s="108"/>
      <c r="L1049" s="109" t="s">
        <v>3662</v>
      </c>
      <c r="M1049" s="104" t="s">
        <v>3663</v>
      </c>
      <c r="N1049" s="110"/>
      <c r="O1049" s="109" t="s">
        <v>147</v>
      </c>
      <c r="P1049" s="106"/>
      <c r="Q1049" s="105" t="s">
        <v>3081</v>
      </c>
      <c r="R1049" s="106"/>
      <c r="S1049" s="106"/>
      <c r="T1049" s="110"/>
      <c r="U1049" s="106">
        <v>9.403208E9</v>
      </c>
      <c r="V1049" s="112">
        <v>0.0</v>
      </c>
      <c r="W1049" s="106">
        <v>45.0</v>
      </c>
      <c r="X1049" s="106">
        <v>45.0</v>
      </c>
      <c r="Y1049" s="106"/>
      <c r="Z1049" s="106" t="s">
        <v>99</v>
      </c>
      <c r="AA1049" s="114" t="str">
        <f t="shared" si="891"/>
        <v>#REF!</v>
      </c>
      <c r="AB1049" s="115"/>
      <c r="AC1049" s="212" t="str">
        <f t="shared" si="892"/>
        <v>#REF!</v>
      </c>
      <c r="AD1049" s="213" t="str">
        <f t="shared" si="799"/>
        <v>#REF!</v>
      </c>
      <c r="AE1049" s="212"/>
      <c r="AF1049" s="212" t="str">
        <f t="shared" si="94"/>
        <v>#REF!</v>
      </c>
      <c r="AG1049" s="210" t="str">
        <f t="shared" si="95"/>
        <v>#REF!</v>
      </c>
      <c r="AH1049" s="120" t="str">
        <f t="shared" si="96"/>
        <v>#REF!</v>
      </c>
      <c r="AI1049" s="121">
        <f t="shared" si="893"/>
        <v>0.05</v>
      </c>
      <c r="AJ1049" s="121">
        <v>0.05</v>
      </c>
      <c r="AK1049" s="418">
        <v>0.22</v>
      </c>
      <c r="AL1049" s="123" t="str">
        <f t="shared" si="11"/>
        <v>#REF!</v>
      </c>
      <c r="AM1049" s="401" t="s">
        <v>10</v>
      </c>
      <c r="AN1049" s="125" t="str">
        <f t="shared" si="894"/>
        <v>#REF!</v>
      </c>
      <c r="AO1049" s="402" t="str">
        <f t="shared" si="895"/>
        <v>#REF!</v>
      </c>
      <c r="AP1049" s="127"/>
      <c r="AQ1049" s="128" t="str">
        <f t="shared" si="896"/>
        <v>#REF!</v>
      </c>
      <c r="AR1049" s="404" t="str">
        <f t="shared" si="897"/>
        <v>#REF!</v>
      </c>
      <c r="AS1049" s="405" t="str">
        <f t="shared" si="898"/>
        <v>#REF!</v>
      </c>
      <c r="AT1049" s="405" t="str">
        <f t="shared" si="899"/>
        <v>#REF!</v>
      </c>
      <c r="AU1049" s="129"/>
      <c r="AV1049" s="225" t="s">
        <v>3024</v>
      </c>
      <c r="AW1049" s="416"/>
      <c r="AX1049" s="416"/>
      <c r="AY1049" s="361"/>
      <c r="AZ1049" s="214"/>
      <c r="BA1049" s="214"/>
      <c r="BB1049" s="227"/>
      <c r="BC1049" s="412" t="str">
        <f t="shared" si="914"/>
        <v>#REF!</v>
      </c>
      <c r="BD1049" s="132" t="str">
        <f t="shared" si="905"/>
        <v>#REF!</v>
      </c>
      <c r="BE1049" s="215"/>
      <c r="BF1049" s="48"/>
      <c r="BG1049" s="49"/>
      <c r="BH1049" s="224" t="str">
        <f t="shared" si="910"/>
        <v>#REF!</v>
      </c>
      <c r="BI1049" s="224" t="str">
        <f t="shared" si="911"/>
        <v>#REF!</v>
      </c>
      <c r="BJ1049" s="224" t="str">
        <f t="shared" si="912"/>
        <v>#REF!</v>
      </c>
      <c r="BK1049" s="224" t="str">
        <f t="shared" si="913"/>
        <v>#REF!</v>
      </c>
      <c r="BL1049" s="49"/>
      <c r="BM1049" s="49"/>
      <c r="BN1049" s="49"/>
      <c r="BO1049" s="49"/>
      <c r="BP1049" s="49"/>
      <c r="BQ1049" s="49"/>
      <c r="BR1049" s="49"/>
      <c r="BS1049" s="49"/>
      <c r="BT1049" s="49"/>
      <c r="BU1049" s="49"/>
      <c r="BV1049" s="49"/>
      <c r="BW1049" s="49"/>
      <c r="BX1049" s="49"/>
      <c r="BY1049" s="49"/>
      <c r="BZ1049" s="49"/>
      <c r="CA1049" s="49"/>
      <c r="CB1049" s="49"/>
      <c r="CC1049" s="49"/>
      <c r="CD1049" s="49"/>
      <c r="CE1049" s="49"/>
      <c r="CF1049" s="49"/>
    </row>
    <row r="1050" ht="14.25" customHeight="1">
      <c r="A1050" s="103" t="s">
        <v>84</v>
      </c>
      <c r="B1050" s="103" t="s">
        <v>120</v>
      </c>
      <c r="C1050" s="103" t="s">
        <v>120</v>
      </c>
      <c r="D1050" s="103" t="s">
        <v>1886</v>
      </c>
      <c r="E1050" s="109" t="s">
        <v>2920</v>
      </c>
      <c r="F1050" s="105" t="s">
        <v>3185</v>
      </c>
      <c r="G1050" s="110" t="s">
        <v>3075</v>
      </c>
      <c r="H1050" s="110"/>
      <c r="I1050" s="478"/>
      <c r="J1050" s="479" t="s">
        <v>3664</v>
      </c>
      <c r="K1050" s="108"/>
      <c r="L1050" s="109" t="s">
        <v>3665</v>
      </c>
      <c r="M1050" s="104" t="s">
        <v>3666</v>
      </c>
      <c r="N1050" s="110"/>
      <c r="O1050" s="109" t="s">
        <v>147</v>
      </c>
      <c r="P1050" s="106"/>
      <c r="Q1050" s="105" t="s">
        <v>3081</v>
      </c>
      <c r="R1050" s="106"/>
      <c r="S1050" s="106"/>
      <c r="T1050" s="110"/>
      <c r="U1050" s="106">
        <v>9.403208E9</v>
      </c>
      <c r="V1050" s="112">
        <v>0.0</v>
      </c>
      <c r="W1050" s="106">
        <v>45.0</v>
      </c>
      <c r="X1050" s="106">
        <v>45.0</v>
      </c>
      <c r="Y1050" s="106"/>
      <c r="Z1050" s="106" t="s">
        <v>99</v>
      </c>
      <c r="AA1050" s="114" t="str">
        <f t="shared" si="891"/>
        <v>#REF!</v>
      </c>
      <c r="AB1050" s="115"/>
      <c r="AC1050" s="212" t="str">
        <f t="shared" si="892"/>
        <v>#REF!</v>
      </c>
      <c r="AD1050" s="213" t="str">
        <f t="shared" si="799"/>
        <v>#REF!</v>
      </c>
      <c r="AE1050" s="212"/>
      <c r="AF1050" s="212" t="str">
        <f t="shared" si="94"/>
        <v>#REF!</v>
      </c>
      <c r="AG1050" s="210" t="str">
        <f t="shared" si="95"/>
        <v>#REF!</v>
      </c>
      <c r="AH1050" s="120" t="str">
        <f t="shared" si="96"/>
        <v>#REF!</v>
      </c>
      <c r="AI1050" s="121">
        <f t="shared" si="893"/>
        <v>0.05</v>
      </c>
      <c r="AJ1050" s="121">
        <v>0.05</v>
      </c>
      <c r="AK1050" s="418">
        <v>0.22</v>
      </c>
      <c r="AL1050" s="123" t="str">
        <f t="shared" si="11"/>
        <v>#REF!</v>
      </c>
      <c r="AM1050" s="401" t="s">
        <v>10</v>
      </c>
      <c r="AN1050" s="125" t="str">
        <f t="shared" si="894"/>
        <v>#REF!</v>
      </c>
      <c r="AO1050" s="402" t="str">
        <f t="shared" si="895"/>
        <v>#REF!</v>
      </c>
      <c r="AP1050" s="127"/>
      <c r="AQ1050" s="128" t="str">
        <f t="shared" si="896"/>
        <v>#REF!</v>
      </c>
      <c r="AR1050" s="404" t="str">
        <f t="shared" si="897"/>
        <v>#REF!</v>
      </c>
      <c r="AS1050" s="405" t="str">
        <f t="shared" si="898"/>
        <v>#REF!</v>
      </c>
      <c r="AT1050" s="405" t="str">
        <f t="shared" si="899"/>
        <v>#REF!</v>
      </c>
      <c r="AU1050" s="129"/>
      <c r="AV1050" s="225" t="s">
        <v>3024</v>
      </c>
      <c r="AW1050" s="416"/>
      <c r="AX1050" s="416"/>
      <c r="AY1050" s="361"/>
      <c r="AZ1050" s="214"/>
      <c r="BA1050" s="214"/>
      <c r="BB1050" s="227"/>
      <c r="BC1050" s="412" t="str">
        <f t="shared" si="914"/>
        <v>#REF!</v>
      </c>
      <c r="BD1050" s="132" t="str">
        <f t="shared" si="905"/>
        <v>#REF!</v>
      </c>
      <c r="BE1050" s="215"/>
      <c r="BF1050" s="48"/>
      <c r="BG1050" s="49"/>
      <c r="BH1050" s="224" t="str">
        <f t="shared" si="910"/>
        <v>#REF!</v>
      </c>
      <c r="BI1050" s="224" t="str">
        <f t="shared" si="911"/>
        <v>#REF!</v>
      </c>
      <c r="BJ1050" s="224" t="str">
        <f t="shared" si="912"/>
        <v>#REF!</v>
      </c>
      <c r="BK1050" s="224" t="str">
        <f t="shared" si="913"/>
        <v>#REF!</v>
      </c>
      <c r="BL1050" s="49"/>
      <c r="BM1050" s="49"/>
      <c r="BN1050" s="49"/>
      <c r="BO1050" s="49"/>
      <c r="BP1050" s="49"/>
      <c r="BQ1050" s="49"/>
      <c r="BR1050" s="49"/>
      <c r="BS1050" s="49"/>
      <c r="BT1050" s="49"/>
      <c r="BU1050" s="49"/>
      <c r="BV1050" s="49"/>
      <c r="BW1050" s="49"/>
      <c r="BX1050" s="49"/>
      <c r="BY1050" s="49"/>
      <c r="BZ1050" s="49"/>
      <c r="CA1050" s="49"/>
      <c r="CB1050" s="49"/>
      <c r="CC1050" s="49"/>
      <c r="CD1050" s="49"/>
      <c r="CE1050" s="49"/>
      <c r="CF1050" s="49"/>
    </row>
    <row r="1051" ht="14.25" customHeight="1">
      <c r="A1051" s="103" t="s">
        <v>84</v>
      </c>
      <c r="B1051" s="103" t="s">
        <v>120</v>
      </c>
      <c r="C1051" s="103" t="s">
        <v>120</v>
      </c>
      <c r="D1051" s="103" t="s">
        <v>1886</v>
      </c>
      <c r="E1051" s="109" t="s">
        <v>2920</v>
      </c>
      <c r="F1051" s="105" t="s">
        <v>3185</v>
      </c>
      <c r="G1051" s="110" t="s">
        <v>3647</v>
      </c>
      <c r="H1051" s="110"/>
      <c r="I1051" s="478"/>
      <c r="J1051" s="479" t="s">
        <v>3667</v>
      </c>
      <c r="K1051" s="108"/>
      <c r="L1051" s="109" t="s">
        <v>3668</v>
      </c>
      <c r="M1051" s="104" t="s">
        <v>3669</v>
      </c>
      <c r="N1051" s="110"/>
      <c r="O1051" s="109" t="s">
        <v>147</v>
      </c>
      <c r="P1051" s="106"/>
      <c r="Q1051" s="105" t="s">
        <v>3081</v>
      </c>
      <c r="R1051" s="106"/>
      <c r="S1051" s="106"/>
      <c r="T1051" s="110"/>
      <c r="U1051" s="106">
        <v>9.403208E9</v>
      </c>
      <c r="V1051" s="112">
        <v>0.0</v>
      </c>
      <c r="W1051" s="106">
        <v>45.0</v>
      </c>
      <c r="X1051" s="106">
        <v>45.0</v>
      </c>
      <c r="Y1051" s="106"/>
      <c r="Z1051" s="106" t="s">
        <v>99</v>
      </c>
      <c r="AA1051" s="114" t="str">
        <f t="shared" si="891"/>
        <v>#REF!</v>
      </c>
      <c r="AB1051" s="115"/>
      <c r="AC1051" s="212" t="str">
        <f t="shared" si="892"/>
        <v>#REF!</v>
      </c>
      <c r="AD1051" s="213" t="str">
        <f t="shared" si="799"/>
        <v>#REF!</v>
      </c>
      <c r="AE1051" s="212"/>
      <c r="AF1051" s="212" t="str">
        <f t="shared" si="94"/>
        <v>#REF!</v>
      </c>
      <c r="AG1051" s="210" t="str">
        <f t="shared" si="95"/>
        <v>#REF!</v>
      </c>
      <c r="AH1051" s="120" t="str">
        <f t="shared" si="96"/>
        <v>#REF!</v>
      </c>
      <c r="AI1051" s="121">
        <f t="shared" si="893"/>
        <v>0.05</v>
      </c>
      <c r="AJ1051" s="121">
        <v>0.05</v>
      </c>
      <c r="AK1051" s="418">
        <v>0.22</v>
      </c>
      <c r="AL1051" s="123" t="str">
        <f t="shared" si="11"/>
        <v>#REF!</v>
      </c>
      <c r="AM1051" s="401" t="s">
        <v>10</v>
      </c>
      <c r="AN1051" s="125" t="str">
        <f t="shared" si="894"/>
        <v>#REF!</v>
      </c>
      <c r="AO1051" s="402" t="str">
        <f t="shared" si="895"/>
        <v>#REF!</v>
      </c>
      <c r="AP1051" s="127"/>
      <c r="AQ1051" s="128" t="str">
        <f t="shared" si="896"/>
        <v>#REF!</v>
      </c>
      <c r="AR1051" s="404" t="str">
        <f t="shared" si="897"/>
        <v>#REF!</v>
      </c>
      <c r="AS1051" s="405" t="str">
        <f t="shared" si="898"/>
        <v>#REF!</v>
      </c>
      <c r="AT1051" s="405" t="str">
        <f t="shared" si="899"/>
        <v>#REF!</v>
      </c>
      <c r="AU1051" s="129"/>
      <c r="AV1051" s="225" t="s">
        <v>3024</v>
      </c>
      <c r="AW1051" s="416"/>
      <c r="AX1051" s="416"/>
      <c r="AY1051" s="361"/>
      <c r="AZ1051" s="214"/>
      <c r="BA1051" s="214"/>
      <c r="BB1051" s="227"/>
      <c r="BC1051" s="412" t="str">
        <f t="shared" si="914"/>
        <v>#REF!</v>
      </c>
      <c r="BD1051" s="132" t="str">
        <f t="shared" si="905"/>
        <v>#REF!</v>
      </c>
      <c r="BE1051" s="215"/>
      <c r="BF1051" s="48"/>
      <c r="BG1051" s="49"/>
      <c r="BH1051" s="224" t="str">
        <f t="shared" si="910"/>
        <v>#REF!</v>
      </c>
      <c r="BI1051" s="224" t="str">
        <f t="shared" si="911"/>
        <v>#REF!</v>
      </c>
      <c r="BJ1051" s="224" t="str">
        <f t="shared" si="912"/>
        <v>#REF!</v>
      </c>
      <c r="BK1051" s="224" t="str">
        <f t="shared" si="913"/>
        <v>#REF!</v>
      </c>
      <c r="BL1051" s="49"/>
      <c r="BM1051" s="49"/>
      <c r="BN1051" s="49"/>
      <c r="BO1051" s="49"/>
      <c r="BP1051" s="49"/>
      <c r="BQ1051" s="49"/>
      <c r="BR1051" s="49"/>
      <c r="BS1051" s="49"/>
      <c r="BT1051" s="49"/>
      <c r="BU1051" s="49"/>
      <c r="BV1051" s="49"/>
      <c r="BW1051" s="49"/>
      <c r="BX1051" s="49"/>
      <c r="BY1051" s="49"/>
      <c r="BZ1051" s="49"/>
      <c r="CA1051" s="49"/>
      <c r="CB1051" s="49"/>
      <c r="CC1051" s="49"/>
      <c r="CD1051" s="49"/>
      <c r="CE1051" s="49"/>
      <c r="CF1051" s="49"/>
    </row>
    <row r="1052" ht="14.25" customHeight="1">
      <c r="A1052" s="103" t="s">
        <v>84</v>
      </c>
      <c r="B1052" s="103" t="s">
        <v>120</v>
      </c>
      <c r="C1052" s="103" t="s">
        <v>120</v>
      </c>
      <c r="D1052" s="103" t="s">
        <v>1886</v>
      </c>
      <c r="E1052" s="109" t="s">
        <v>2920</v>
      </c>
      <c r="F1052" s="105" t="s">
        <v>3185</v>
      </c>
      <c r="G1052" s="110" t="s">
        <v>3490</v>
      </c>
      <c r="H1052" s="110"/>
      <c r="I1052" s="478"/>
      <c r="J1052" s="479" t="s">
        <v>3670</v>
      </c>
      <c r="K1052" s="108" t="s">
        <v>3671</v>
      </c>
      <c r="L1052" s="109" t="s">
        <v>3672</v>
      </c>
      <c r="M1052" s="104" t="s">
        <v>3673</v>
      </c>
      <c r="N1052" s="110"/>
      <c r="O1052" s="109" t="s">
        <v>147</v>
      </c>
      <c r="P1052" s="106"/>
      <c r="Q1052" s="105" t="s">
        <v>3081</v>
      </c>
      <c r="R1052" s="106"/>
      <c r="S1052" s="106"/>
      <c r="T1052" s="110"/>
      <c r="U1052" s="106">
        <v>9.403208E9</v>
      </c>
      <c r="V1052" s="112">
        <v>0.0</v>
      </c>
      <c r="W1052" s="106">
        <v>45.0</v>
      </c>
      <c r="X1052" s="106">
        <v>45.0</v>
      </c>
      <c r="Y1052" s="106"/>
      <c r="Z1052" s="106" t="s">
        <v>99</v>
      </c>
      <c r="AA1052" s="114" t="str">
        <f t="shared" si="891"/>
        <v>#REF!</v>
      </c>
      <c r="AB1052" s="115"/>
      <c r="AC1052" s="212" t="str">
        <f t="shared" si="892"/>
        <v>#REF!</v>
      </c>
      <c r="AD1052" s="213" t="str">
        <f t="shared" si="799"/>
        <v>#REF!</v>
      </c>
      <c r="AE1052" s="212"/>
      <c r="AF1052" s="212" t="str">
        <f t="shared" si="94"/>
        <v>#REF!</v>
      </c>
      <c r="AG1052" s="210" t="str">
        <f t="shared" si="95"/>
        <v>#REF!</v>
      </c>
      <c r="AH1052" s="120" t="str">
        <f t="shared" si="96"/>
        <v>#REF!</v>
      </c>
      <c r="AI1052" s="121">
        <f t="shared" si="893"/>
        <v>0.05</v>
      </c>
      <c r="AJ1052" s="121">
        <v>0.05</v>
      </c>
      <c r="AK1052" s="418">
        <v>0.22</v>
      </c>
      <c r="AL1052" s="123" t="str">
        <f t="shared" si="11"/>
        <v>#REF!</v>
      </c>
      <c r="AM1052" s="401" t="s">
        <v>10</v>
      </c>
      <c r="AN1052" s="125" t="str">
        <f t="shared" si="894"/>
        <v>#REF!</v>
      </c>
      <c r="AO1052" s="402" t="str">
        <f t="shared" si="895"/>
        <v>#REF!</v>
      </c>
      <c r="AP1052" s="127"/>
      <c r="AQ1052" s="128" t="str">
        <f t="shared" si="896"/>
        <v>#REF!</v>
      </c>
      <c r="AR1052" s="404" t="str">
        <f t="shared" si="897"/>
        <v>#REF!</v>
      </c>
      <c r="AS1052" s="405" t="str">
        <f t="shared" si="898"/>
        <v>#REF!</v>
      </c>
      <c r="AT1052" s="405" t="str">
        <f t="shared" si="899"/>
        <v>#REF!</v>
      </c>
      <c r="AU1052" s="129"/>
      <c r="AV1052" s="225" t="s">
        <v>3024</v>
      </c>
      <c r="AW1052" s="416"/>
      <c r="AX1052" s="416"/>
      <c r="AY1052" s="361"/>
      <c r="AZ1052" s="214"/>
      <c r="BA1052" s="214"/>
      <c r="BB1052" s="227"/>
      <c r="BC1052" s="412" t="str">
        <f t="shared" si="914"/>
        <v>#REF!</v>
      </c>
      <c r="BD1052" s="132" t="str">
        <f t="shared" si="905"/>
        <v>#REF!</v>
      </c>
      <c r="BE1052" s="215"/>
      <c r="BF1052" s="48"/>
      <c r="BG1052" s="49"/>
      <c r="BH1052" s="224" t="str">
        <f t="shared" si="910"/>
        <v>#REF!</v>
      </c>
      <c r="BI1052" s="224" t="str">
        <f t="shared" si="911"/>
        <v>#REF!</v>
      </c>
      <c r="BJ1052" s="224" t="str">
        <f t="shared" si="912"/>
        <v>#REF!</v>
      </c>
      <c r="BK1052" s="224" t="str">
        <f t="shared" si="913"/>
        <v>#REF!</v>
      </c>
      <c r="BL1052" s="49"/>
      <c r="BM1052" s="49"/>
      <c r="BN1052" s="49"/>
      <c r="BO1052" s="49"/>
      <c r="BP1052" s="49"/>
      <c r="BQ1052" s="49"/>
      <c r="BR1052" s="49"/>
      <c r="BS1052" s="49"/>
      <c r="BT1052" s="49"/>
      <c r="BU1052" s="49"/>
      <c r="BV1052" s="49"/>
      <c r="BW1052" s="49"/>
      <c r="BX1052" s="49"/>
      <c r="BY1052" s="49"/>
      <c r="BZ1052" s="49"/>
      <c r="CA1052" s="49"/>
      <c r="CB1052" s="49"/>
      <c r="CC1052" s="49"/>
      <c r="CD1052" s="49"/>
      <c r="CE1052" s="49"/>
      <c r="CF1052" s="49"/>
    </row>
    <row r="1053" ht="14.25" customHeight="1">
      <c r="A1053" s="103" t="s">
        <v>84</v>
      </c>
      <c r="B1053" s="103" t="s">
        <v>120</v>
      </c>
      <c r="C1053" s="103" t="s">
        <v>120</v>
      </c>
      <c r="D1053" s="103" t="s">
        <v>1886</v>
      </c>
      <c r="E1053" s="109" t="s">
        <v>2920</v>
      </c>
      <c r="F1053" s="105" t="s">
        <v>3185</v>
      </c>
      <c r="G1053" s="110" t="s">
        <v>3494</v>
      </c>
      <c r="H1053" s="110"/>
      <c r="I1053" s="478"/>
      <c r="J1053" s="479" t="s">
        <v>3674</v>
      </c>
      <c r="K1053" s="108"/>
      <c r="L1053" s="109" t="s">
        <v>3675</v>
      </c>
      <c r="M1053" s="104" t="s">
        <v>3676</v>
      </c>
      <c r="N1053" s="110"/>
      <c r="O1053" s="109" t="s">
        <v>147</v>
      </c>
      <c r="P1053" s="106"/>
      <c r="Q1053" s="105" t="s">
        <v>3081</v>
      </c>
      <c r="R1053" s="106"/>
      <c r="S1053" s="106"/>
      <c r="T1053" s="110"/>
      <c r="U1053" s="106">
        <v>9.403208E9</v>
      </c>
      <c r="V1053" s="112">
        <v>0.0</v>
      </c>
      <c r="W1053" s="106">
        <v>45.0</v>
      </c>
      <c r="X1053" s="106">
        <v>45.0</v>
      </c>
      <c r="Y1053" s="106"/>
      <c r="Z1053" s="106" t="s">
        <v>99</v>
      </c>
      <c r="AA1053" s="114" t="str">
        <f t="shared" si="891"/>
        <v>#REF!</v>
      </c>
      <c r="AB1053" s="115"/>
      <c r="AC1053" s="212" t="str">
        <f t="shared" si="892"/>
        <v>#REF!</v>
      </c>
      <c r="AD1053" s="213" t="str">
        <f t="shared" si="799"/>
        <v>#REF!</v>
      </c>
      <c r="AE1053" s="212"/>
      <c r="AF1053" s="212" t="str">
        <f t="shared" si="94"/>
        <v>#REF!</v>
      </c>
      <c r="AG1053" s="210" t="str">
        <f t="shared" si="95"/>
        <v>#REF!</v>
      </c>
      <c r="AH1053" s="120" t="str">
        <f t="shared" si="96"/>
        <v>#REF!</v>
      </c>
      <c r="AI1053" s="121">
        <f t="shared" si="893"/>
        <v>0.05</v>
      </c>
      <c r="AJ1053" s="121">
        <v>0.05</v>
      </c>
      <c r="AK1053" s="418">
        <v>0.22</v>
      </c>
      <c r="AL1053" s="123" t="str">
        <f t="shared" si="11"/>
        <v>#REF!</v>
      </c>
      <c r="AM1053" s="401" t="s">
        <v>10</v>
      </c>
      <c r="AN1053" s="125" t="str">
        <f t="shared" si="894"/>
        <v>#REF!</v>
      </c>
      <c r="AO1053" s="402" t="str">
        <f t="shared" si="895"/>
        <v>#REF!</v>
      </c>
      <c r="AP1053" s="127"/>
      <c r="AQ1053" s="128" t="str">
        <f t="shared" si="896"/>
        <v>#REF!</v>
      </c>
      <c r="AR1053" s="404" t="str">
        <f t="shared" si="897"/>
        <v>#REF!</v>
      </c>
      <c r="AS1053" s="405" t="str">
        <f t="shared" si="898"/>
        <v>#REF!</v>
      </c>
      <c r="AT1053" s="405" t="str">
        <f t="shared" si="899"/>
        <v>#REF!</v>
      </c>
      <c r="AU1053" s="129"/>
      <c r="AV1053" s="225" t="s">
        <v>3024</v>
      </c>
      <c r="AW1053" s="416"/>
      <c r="AX1053" s="416"/>
      <c r="AY1053" s="361"/>
      <c r="AZ1053" s="214"/>
      <c r="BA1053" s="214"/>
      <c r="BB1053" s="227"/>
      <c r="BC1053" s="412" t="str">
        <f t="shared" si="914"/>
        <v>#REF!</v>
      </c>
      <c r="BD1053" s="132" t="str">
        <f t="shared" si="905"/>
        <v>#REF!</v>
      </c>
      <c r="BE1053" s="215"/>
      <c r="BF1053" s="48"/>
      <c r="BG1053" s="49"/>
      <c r="BH1053" s="224" t="str">
        <f t="shared" si="910"/>
        <v>#REF!</v>
      </c>
      <c r="BI1053" s="224" t="str">
        <f t="shared" si="911"/>
        <v>#REF!</v>
      </c>
      <c r="BJ1053" s="224" t="str">
        <f t="shared" si="912"/>
        <v>#REF!</v>
      </c>
      <c r="BK1053" s="224" t="str">
        <f t="shared" si="913"/>
        <v>#REF!</v>
      </c>
      <c r="BL1053" s="49"/>
      <c r="BM1053" s="49"/>
      <c r="BN1053" s="49"/>
      <c r="BO1053" s="49"/>
      <c r="BP1053" s="49"/>
      <c r="BQ1053" s="49"/>
      <c r="BR1053" s="49"/>
      <c r="BS1053" s="49"/>
      <c r="BT1053" s="49"/>
      <c r="BU1053" s="49"/>
      <c r="BV1053" s="49"/>
      <c r="BW1053" s="49"/>
      <c r="BX1053" s="49"/>
      <c r="BY1053" s="49"/>
      <c r="BZ1053" s="49"/>
      <c r="CA1053" s="49"/>
      <c r="CB1053" s="49"/>
      <c r="CC1053" s="49"/>
      <c r="CD1053" s="49"/>
      <c r="CE1053" s="49"/>
      <c r="CF1053" s="49"/>
    </row>
    <row r="1054" ht="14.25" customHeight="1">
      <c r="A1054" s="103" t="s">
        <v>84</v>
      </c>
      <c r="B1054" s="103" t="s">
        <v>120</v>
      </c>
      <c r="C1054" s="103" t="s">
        <v>120</v>
      </c>
      <c r="D1054" s="103" t="s">
        <v>1886</v>
      </c>
      <c r="E1054" s="109" t="s">
        <v>2920</v>
      </c>
      <c r="F1054" s="105" t="s">
        <v>3185</v>
      </c>
      <c r="G1054" s="110" t="s">
        <v>3657</v>
      </c>
      <c r="H1054" s="110"/>
      <c r="I1054" s="478"/>
      <c r="J1054" s="479" t="s">
        <v>3677</v>
      </c>
      <c r="K1054" s="108"/>
      <c r="L1054" s="109" t="s">
        <v>3678</v>
      </c>
      <c r="M1054" s="104" t="s">
        <v>3679</v>
      </c>
      <c r="N1054" s="110"/>
      <c r="O1054" s="109" t="s">
        <v>147</v>
      </c>
      <c r="P1054" s="106"/>
      <c r="Q1054" s="105" t="s">
        <v>3081</v>
      </c>
      <c r="R1054" s="106"/>
      <c r="S1054" s="106"/>
      <c r="T1054" s="110"/>
      <c r="U1054" s="106">
        <v>9.403208E9</v>
      </c>
      <c r="V1054" s="112">
        <v>0.0</v>
      </c>
      <c r="W1054" s="106">
        <v>45.0</v>
      </c>
      <c r="X1054" s="106">
        <v>45.0</v>
      </c>
      <c r="Y1054" s="106"/>
      <c r="Z1054" s="106" t="s">
        <v>99</v>
      </c>
      <c r="AA1054" s="114" t="str">
        <f t="shared" si="891"/>
        <v>#REF!</v>
      </c>
      <c r="AB1054" s="115"/>
      <c r="AC1054" s="212" t="str">
        <f t="shared" si="892"/>
        <v>#REF!</v>
      </c>
      <c r="AD1054" s="213" t="str">
        <f t="shared" si="799"/>
        <v>#REF!</v>
      </c>
      <c r="AE1054" s="212"/>
      <c r="AF1054" s="212" t="str">
        <f t="shared" si="94"/>
        <v>#REF!</v>
      </c>
      <c r="AG1054" s="210" t="str">
        <f t="shared" si="95"/>
        <v>#REF!</v>
      </c>
      <c r="AH1054" s="120" t="str">
        <f t="shared" si="96"/>
        <v>#REF!</v>
      </c>
      <c r="AI1054" s="121">
        <f t="shared" si="893"/>
        <v>0.05</v>
      </c>
      <c r="AJ1054" s="121">
        <v>0.05</v>
      </c>
      <c r="AK1054" s="418">
        <v>0.22</v>
      </c>
      <c r="AL1054" s="123" t="str">
        <f t="shared" si="11"/>
        <v>#REF!</v>
      </c>
      <c r="AM1054" s="401" t="s">
        <v>10</v>
      </c>
      <c r="AN1054" s="125" t="str">
        <f t="shared" si="894"/>
        <v>#REF!</v>
      </c>
      <c r="AO1054" s="402" t="str">
        <f t="shared" si="895"/>
        <v>#REF!</v>
      </c>
      <c r="AP1054" s="127"/>
      <c r="AQ1054" s="128" t="str">
        <f t="shared" si="896"/>
        <v>#REF!</v>
      </c>
      <c r="AR1054" s="404" t="str">
        <f t="shared" si="897"/>
        <v>#REF!</v>
      </c>
      <c r="AS1054" s="405" t="str">
        <f t="shared" si="898"/>
        <v>#REF!</v>
      </c>
      <c r="AT1054" s="405" t="str">
        <f t="shared" si="899"/>
        <v>#REF!</v>
      </c>
      <c r="AU1054" s="129"/>
      <c r="AV1054" s="225" t="s">
        <v>3024</v>
      </c>
      <c r="AW1054" s="416"/>
      <c r="AX1054" s="416"/>
      <c r="AY1054" s="361"/>
      <c r="AZ1054" s="214"/>
      <c r="BA1054" s="214"/>
      <c r="BB1054" s="227"/>
      <c r="BC1054" s="412" t="str">
        <f t="shared" si="914"/>
        <v>#REF!</v>
      </c>
      <c r="BD1054" s="132" t="str">
        <f t="shared" si="905"/>
        <v>#REF!</v>
      </c>
      <c r="BE1054" s="215"/>
      <c r="BF1054" s="48"/>
      <c r="BG1054" s="49"/>
      <c r="BH1054" s="224" t="str">
        <f t="shared" si="910"/>
        <v>#REF!</v>
      </c>
      <c r="BI1054" s="224" t="str">
        <f t="shared" si="911"/>
        <v>#REF!</v>
      </c>
      <c r="BJ1054" s="224" t="str">
        <f t="shared" si="912"/>
        <v>#REF!</v>
      </c>
      <c r="BK1054" s="224" t="str">
        <f t="shared" si="913"/>
        <v>#REF!</v>
      </c>
      <c r="BL1054" s="49"/>
      <c r="BM1054" s="49"/>
      <c r="BN1054" s="49"/>
      <c r="BO1054" s="49"/>
      <c r="BP1054" s="49"/>
      <c r="BQ1054" s="49"/>
      <c r="BR1054" s="49"/>
      <c r="BS1054" s="49"/>
      <c r="BT1054" s="49"/>
      <c r="BU1054" s="49"/>
      <c r="BV1054" s="49"/>
      <c r="BW1054" s="49"/>
      <c r="BX1054" s="49"/>
      <c r="BY1054" s="49"/>
      <c r="BZ1054" s="49"/>
      <c r="CA1054" s="49"/>
      <c r="CB1054" s="49"/>
      <c r="CC1054" s="49"/>
      <c r="CD1054" s="49"/>
      <c r="CE1054" s="49"/>
      <c r="CF1054" s="49"/>
    </row>
    <row r="1055" ht="14.25" customHeight="1">
      <c r="A1055" s="103" t="s">
        <v>84</v>
      </c>
      <c r="B1055" s="103" t="s">
        <v>120</v>
      </c>
      <c r="C1055" s="103" t="s">
        <v>120</v>
      </c>
      <c r="D1055" s="103" t="s">
        <v>1886</v>
      </c>
      <c r="E1055" s="109" t="s">
        <v>2920</v>
      </c>
      <c r="F1055" s="105" t="s">
        <v>3185</v>
      </c>
      <c r="G1055" s="110" t="s">
        <v>3550</v>
      </c>
      <c r="H1055" s="110"/>
      <c r="I1055" s="478"/>
      <c r="J1055" s="479" t="s">
        <v>3680</v>
      </c>
      <c r="K1055" s="108"/>
      <c r="L1055" s="109" t="s">
        <v>3681</v>
      </c>
      <c r="M1055" s="104" t="s">
        <v>3682</v>
      </c>
      <c r="N1055" s="110"/>
      <c r="O1055" s="109" t="s">
        <v>147</v>
      </c>
      <c r="P1055" s="106"/>
      <c r="Q1055" s="105" t="s">
        <v>3081</v>
      </c>
      <c r="R1055" s="106"/>
      <c r="S1055" s="106"/>
      <c r="T1055" s="110"/>
      <c r="U1055" s="106">
        <v>9.403208E9</v>
      </c>
      <c r="V1055" s="112">
        <v>0.0</v>
      </c>
      <c r="W1055" s="106">
        <v>45.0</v>
      </c>
      <c r="X1055" s="106">
        <v>45.0</v>
      </c>
      <c r="Y1055" s="106"/>
      <c r="Z1055" s="106" t="s">
        <v>99</v>
      </c>
      <c r="AA1055" s="114" t="str">
        <f t="shared" si="891"/>
        <v>#REF!</v>
      </c>
      <c r="AB1055" s="115"/>
      <c r="AC1055" s="212" t="str">
        <f t="shared" si="892"/>
        <v>#REF!</v>
      </c>
      <c r="AD1055" s="213" t="str">
        <f t="shared" si="799"/>
        <v>#REF!</v>
      </c>
      <c r="AE1055" s="212"/>
      <c r="AF1055" s="212" t="str">
        <f t="shared" si="94"/>
        <v>#REF!</v>
      </c>
      <c r="AG1055" s="210" t="str">
        <f t="shared" si="95"/>
        <v>#REF!</v>
      </c>
      <c r="AH1055" s="120" t="str">
        <f t="shared" si="96"/>
        <v>#REF!</v>
      </c>
      <c r="AI1055" s="121">
        <f t="shared" si="893"/>
        <v>0.05</v>
      </c>
      <c r="AJ1055" s="121">
        <v>0.05</v>
      </c>
      <c r="AK1055" s="418">
        <v>0.22</v>
      </c>
      <c r="AL1055" s="123" t="str">
        <f t="shared" si="11"/>
        <v>#REF!</v>
      </c>
      <c r="AM1055" s="401" t="s">
        <v>10</v>
      </c>
      <c r="AN1055" s="125" t="str">
        <f t="shared" si="894"/>
        <v>#REF!</v>
      </c>
      <c r="AO1055" s="402" t="str">
        <f t="shared" si="895"/>
        <v>#REF!</v>
      </c>
      <c r="AP1055" s="127"/>
      <c r="AQ1055" s="128" t="str">
        <f t="shared" si="896"/>
        <v>#REF!</v>
      </c>
      <c r="AR1055" s="404" t="str">
        <f t="shared" si="897"/>
        <v>#REF!</v>
      </c>
      <c r="AS1055" s="405" t="str">
        <f t="shared" si="898"/>
        <v>#REF!</v>
      </c>
      <c r="AT1055" s="405" t="str">
        <f t="shared" si="899"/>
        <v>#REF!</v>
      </c>
      <c r="AU1055" s="129"/>
      <c r="AV1055" s="225" t="s">
        <v>3024</v>
      </c>
      <c r="AW1055" s="416"/>
      <c r="AX1055" s="416"/>
      <c r="AY1055" s="361"/>
      <c r="AZ1055" s="214"/>
      <c r="BA1055" s="214"/>
      <c r="BB1055" s="227"/>
      <c r="BC1055" s="412" t="str">
        <f t="shared" si="914"/>
        <v>#REF!</v>
      </c>
      <c r="BD1055" s="132" t="str">
        <f t="shared" si="905"/>
        <v>#REF!</v>
      </c>
      <c r="BE1055" s="215"/>
      <c r="BF1055" s="48"/>
      <c r="BG1055" s="49"/>
      <c r="BH1055" s="224" t="str">
        <f t="shared" si="910"/>
        <v>#REF!</v>
      </c>
      <c r="BI1055" s="224" t="str">
        <f t="shared" si="911"/>
        <v>#REF!</v>
      </c>
      <c r="BJ1055" s="224" t="str">
        <f t="shared" si="912"/>
        <v>#REF!</v>
      </c>
      <c r="BK1055" s="224" t="str">
        <f t="shared" si="913"/>
        <v>#REF!</v>
      </c>
      <c r="BL1055" s="49"/>
      <c r="BM1055" s="49"/>
      <c r="BN1055" s="49"/>
      <c r="BO1055" s="49"/>
      <c r="BP1055" s="49"/>
      <c r="BQ1055" s="49"/>
      <c r="BR1055" s="49"/>
      <c r="BS1055" s="49"/>
      <c r="BT1055" s="49"/>
      <c r="BU1055" s="49"/>
      <c r="BV1055" s="49"/>
      <c r="BW1055" s="49"/>
      <c r="BX1055" s="49"/>
      <c r="BY1055" s="49"/>
      <c r="BZ1055" s="49"/>
      <c r="CA1055" s="49"/>
      <c r="CB1055" s="49"/>
      <c r="CC1055" s="49"/>
      <c r="CD1055" s="49"/>
      <c r="CE1055" s="49"/>
      <c r="CF1055" s="49"/>
    </row>
    <row r="1056" ht="14.25" customHeight="1">
      <c r="A1056" s="103" t="s">
        <v>84</v>
      </c>
      <c r="B1056" s="103" t="s">
        <v>120</v>
      </c>
      <c r="C1056" s="103" t="s">
        <v>120</v>
      </c>
      <c r="D1056" s="103" t="s">
        <v>1886</v>
      </c>
      <c r="E1056" s="109" t="s">
        <v>2920</v>
      </c>
      <c r="F1056" s="105" t="s">
        <v>3185</v>
      </c>
      <c r="G1056" s="110" t="s">
        <v>3075</v>
      </c>
      <c r="H1056" s="110"/>
      <c r="I1056" s="478"/>
      <c r="J1056" s="479" t="s">
        <v>3683</v>
      </c>
      <c r="K1056" s="108"/>
      <c r="L1056" s="109" t="s">
        <v>3684</v>
      </c>
      <c r="M1056" s="104" t="s">
        <v>3685</v>
      </c>
      <c r="N1056" s="110"/>
      <c r="O1056" s="109" t="s">
        <v>147</v>
      </c>
      <c r="P1056" s="106"/>
      <c r="Q1056" s="105" t="s">
        <v>3081</v>
      </c>
      <c r="R1056" s="106"/>
      <c r="S1056" s="106"/>
      <c r="T1056" s="110"/>
      <c r="U1056" s="106">
        <v>9.403208E9</v>
      </c>
      <c r="V1056" s="112">
        <v>0.0</v>
      </c>
      <c r="W1056" s="106">
        <v>45.0</v>
      </c>
      <c r="X1056" s="106">
        <v>45.0</v>
      </c>
      <c r="Y1056" s="106"/>
      <c r="Z1056" s="106" t="s">
        <v>99</v>
      </c>
      <c r="AA1056" s="114" t="str">
        <f t="shared" si="891"/>
        <v>#REF!</v>
      </c>
      <c r="AB1056" s="115"/>
      <c r="AC1056" s="212" t="str">
        <f t="shared" si="892"/>
        <v>#REF!</v>
      </c>
      <c r="AD1056" s="213" t="str">
        <f t="shared" si="799"/>
        <v>#REF!</v>
      </c>
      <c r="AE1056" s="212"/>
      <c r="AF1056" s="212" t="str">
        <f t="shared" si="94"/>
        <v>#REF!</v>
      </c>
      <c r="AG1056" s="210" t="str">
        <f t="shared" si="95"/>
        <v>#REF!</v>
      </c>
      <c r="AH1056" s="120" t="str">
        <f t="shared" si="96"/>
        <v>#REF!</v>
      </c>
      <c r="AI1056" s="121">
        <f t="shared" si="893"/>
        <v>0.05</v>
      </c>
      <c r="AJ1056" s="121">
        <v>0.05</v>
      </c>
      <c r="AK1056" s="418">
        <v>0.22</v>
      </c>
      <c r="AL1056" s="123" t="str">
        <f t="shared" si="11"/>
        <v>#REF!</v>
      </c>
      <c r="AM1056" s="401" t="s">
        <v>10</v>
      </c>
      <c r="AN1056" s="125" t="str">
        <f t="shared" si="894"/>
        <v>#REF!</v>
      </c>
      <c r="AO1056" s="402" t="str">
        <f t="shared" si="895"/>
        <v>#REF!</v>
      </c>
      <c r="AP1056" s="127"/>
      <c r="AQ1056" s="128" t="str">
        <f t="shared" si="896"/>
        <v>#REF!</v>
      </c>
      <c r="AR1056" s="404" t="str">
        <f t="shared" si="897"/>
        <v>#REF!</v>
      </c>
      <c r="AS1056" s="405" t="str">
        <f t="shared" si="898"/>
        <v>#REF!</v>
      </c>
      <c r="AT1056" s="405" t="str">
        <f t="shared" si="899"/>
        <v>#REF!</v>
      </c>
      <c r="AU1056" s="129"/>
      <c r="AV1056" s="225" t="s">
        <v>3024</v>
      </c>
      <c r="AW1056" s="416"/>
      <c r="AX1056" s="416"/>
      <c r="AY1056" s="361"/>
      <c r="AZ1056" s="214"/>
      <c r="BA1056" s="214"/>
      <c r="BB1056" s="227"/>
      <c r="BC1056" s="412" t="str">
        <f t="shared" si="914"/>
        <v>#REF!</v>
      </c>
      <c r="BD1056" s="132" t="str">
        <f t="shared" si="905"/>
        <v>#REF!</v>
      </c>
      <c r="BE1056" s="215"/>
      <c r="BF1056" s="48"/>
      <c r="BG1056" s="49"/>
      <c r="BH1056" s="224" t="str">
        <f t="shared" si="910"/>
        <v>#REF!</v>
      </c>
      <c r="BI1056" s="224" t="str">
        <f t="shared" si="911"/>
        <v>#REF!</v>
      </c>
      <c r="BJ1056" s="224" t="str">
        <f t="shared" si="912"/>
        <v>#REF!</v>
      </c>
      <c r="BK1056" s="224" t="str">
        <f t="shared" si="913"/>
        <v>#REF!</v>
      </c>
      <c r="BL1056" s="49"/>
      <c r="BM1056" s="49"/>
      <c r="BN1056" s="49"/>
      <c r="BO1056" s="49"/>
      <c r="BP1056" s="49"/>
      <c r="BQ1056" s="49"/>
      <c r="BR1056" s="49"/>
      <c r="BS1056" s="49"/>
      <c r="BT1056" s="49"/>
      <c r="BU1056" s="49"/>
      <c r="BV1056" s="49"/>
      <c r="BW1056" s="49"/>
      <c r="BX1056" s="49"/>
      <c r="BY1056" s="49"/>
      <c r="BZ1056" s="49"/>
      <c r="CA1056" s="49"/>
      <c r="CB1056" s="49"/>
      <c r="CC1056" s="49"/>
      <c r="CD1056" s="49"/>
      <c r="CE1056" s="49"/>
      <c r="CF1056" s="49"/>
    </row>
    <row r="1057" ht="14.25" customHeight="1">
      <c r="A1057" s="103" t="s">
        <v>84</v>
      </c>
      <c r="B1057" s="103" t="s">
        <v>3073</v>
      </c>
      <c r="C1057" s="103" t="s">
        <v>120</v>
      </c>
      <c r="D1057" s="103" t="s">
        <v>1886</v>
      </c>
      <c r="E1057" s="109" t="s">
        <v>3686</v>
      </c>
      <c r="F1057" s="105" t="s">
        <v>3687</v>
      </c>
      <c r="G1057" s="110"/>
      <c r="H1057" s="110" t="s">
        <v>3134</v>
      </c>
      <c r="I1057" s="478"/>
      <c r="J1057" s="479" t="s">
        <v>3688</v>
      </c>
      <c r="K1057" s="108" t="s">
        <v>3689</v>
      </c>
      <c r="L1057" s="104" t="s">
        <v>3690</v>
      </c>
      <c r="M1057" s="104" t="s">
        <v>3691</v>
      </c>
      <c r="N1057" s="110"/>
      <c r="O1057" s="109" t="s">
        <v>147</v>
      </c>
      <c r="P1057" s="106"/>
      <c r="Q1057" s="105" t="s">
        <v>3081</v>
      </c>
      <c r="R1057" s="106"/>
      <c r="S1057" s="106"/>
      <c r="T1057" s="110"/>
      <c r="U1057" s="106">
        <v>9.403208E9</v>
      </c>
      <c r="V1057" s="112">
        <v>0.0</v>
      </c>
      <c r="W1057" s="106">
        <v>45.0</v>
      </c>
      <c r="X1057" s="106">
        <v>45.0</v>
      </c>
      <c r="Y1057" s="106"/>
      <c r="Z1057" s="106" t="s">
        <v>99</v>
      </c>
      <c r="AA1057" s="114">
        <f t="shared" si="891"/>
        <v>162.1311475</v>
      </c>
      <c r="AB1057" s="115"/>
      <c r="AC1057" s="212">
        <f t="shared" si="892"/>
        <v>140.9592823</v>
      </c>
      <c r="AD1057" s="213">
        <f t="shared" si="799"/>
        <v>151.5691207</v>
      </c>
      <c r="AE1057" s="212"/>
      <c r="AF1057" s="212" t="str">
        <f t="shared" si="94"/>
        <v>#REF!</v>
      </c>
      <c r="AG1057" s="210" t="str">
        <f t="shared" si="95"/>
        <v>#REF!</v>
      </c>
      <c r="AH1057" s="120" t="str">
        <f t="shared" si="96"/>
        <v>#REF!</v>
      </c>
      <c r="AI1057" s="121">
        <f t="shared" si="893"/>
        <v>0.05</v>
      </c>
      <c r="AJ1057" s="121">
        <v>0.05</v>
      </c>
      <c r="AK1057" s="418">
        <v>0.37</v>
      </c>
      <c r="AL1057" s="123">
        <f t="shared" si="11"/>
        <v>52.15493444</v>
      </c>
      <c r="AM1057" s="401" t="s">
        <v>10</v>
      </c>
      <c r="AN1057" s="125">
        <f t="shared" si="894"/>
        <v>140.9592823</v>
      </c>
      <c r="AO1057" s="402">
        <f t="shared" si="895"/>
        <v>0.37</v>
      </c>
      <c r="AP1057" s="127"/>
      <c r="AQ1057" s="128">
        <f t="shared" si="896"/>
        <v>98.9</v>
      </c>
      <c r="AR1057" s="404">
        <f t="shared" si="897"/>
        <v>93.47826087</v>
      </c>
      <c r="AS1057" s="405">
        <f t="shared" si="898"/>
        <v>0.39</v>
      </c>
      <c r="AT1057" s="405">
        <f t="shared" si="899"/>
        <v>0.3368421053</v>
      </c>
      <c r="AU1057" s="129"/>
      <c r="AV1057" s="225" t="s">
        <v>3024</v>
      </c>
      <c r="AW1057" s="416"/>
      <c r="AX1057" s="416"/>
      <c r="AY1057" s="361"/>
      <c r="AZ1057" s="214"/>
      <c r="BA1057" s="214"/>
      <c r="BB1057" s="227"/>
      <c r="BC1057" s="412">
        <v>81.7</v>
      </c>
      <c r="BD1057" s="132">
        <f t="shared" si="905"/>
        <v>88.80434783</v>
      </c>
      <c r="BE1057" s="215"/>
      <c r="BF1057" s="48"/>
      <c r="BG1057" s="49"/>
      <c r="BH1057" s="224">
        <f t="shared" si="910"/>
        <v>469.8642742</v>
      </c>
      <c r="BI1057" s="224">
        <f t="shared" si="911"/>
        <v>281.9185645</v>
      </c>
      <c r="BJ1057" s="224">
        <f t="shared" si="912"/>
        <v>234.9321371</v>
      </c>
      <c r="BK1057" s="224">
        <f t="shared" si="913"/>
        <v>187.9457097</v>
      </c>
      <c r="BL1057" s="49"/>
      <c r="BM1057" s="49"/>
      <c r="BN1057" s="49"/>
      <c r="BO1057" s="49"/>
      <c r="BP1057" s="49"/>
      <c r="BQ1057" s="49"/>
      <c r="BR1057" s="49"/>
      <c r="BS1057" s="49"/>
      <c r="BT1057" s="49"/>
      <c r="BU1057" s="49"/>
      <c r="BV1057" s="49"/>
      <c r="BW1057" s="49"/>
      <c r="BX1057" s="49"/>
      <c r="BY1057" s="49"/>
      <c r="BZ1057" s="49"/>
      <c r="CA1057" s="49"/>
      <c r="CB1057" s="49"/>
      <c r="CC1057" s="49"/>
      <c r="CD1057" s="49"/>
      <c r="CE1057" s="49"/>
      <c r="CF1057" s="49"/>
    </row>
    <row r="1058" ht="14.25" customHeight="1">
      <c r="A1058" s="103" t="s">
        <v>84</v>
      </c>
      <c r="B1058" s="103" t="s">
        <v>3073</v>
      </c>
      <c r="C1058" s="103" t="s">
        <v>120</v>
      </c>
      <c r="D1058" s="103" t="s">
        <v>1886</v>
      </c>
      <c r="E1058" s="109" t="s">
        <v>3686</v>
      </c>
      <c r="F1058" s="105" t="s">
        <v>3687</v>
      </c>
      <c r="G1058" s="110"/>
      <c r="H1058" s="110" t="s">
        <v>3134</v>
      </c>
      <c r="I1058" s="478"/>
      <c r="J1058" s="479" t="s">
        <v>3692</v>
      </c>
      <c r="K1058" s="108" t="s">
        <v>3693</v>
      </c>
      <c r="L1058" s="104" t="s">
        <v>3694</v>
      </c>
      <c r="M1058" s="104" t="s">
        <v>3695</v>
      </c>
      <c r="N1058" s="110"/>
      <c r="O1058" s="109" t="s">
        <v>147</v>
      </c>
      <c r="P1058" s="106"/>
      <c r="Q1058" s="105" t="s">
        <v>3081</v>
      </c>
      <c r="R1058" s="106"/>
      <c r="S1058" s="106"/>
      <c r="T1058" s="110"/>
      <c r="U1058" s="106">
        <v>9.403208E9</v>
      </c>
      <c r="V1058" s="112">
        <v>0.0</v>
      </c>
      <c r="W1058" s="106">
        <v>45.0</v>
      </c>
      <c r="X1058" s="106">
        <v>45.0</v>
      </c>
      <c r="Y1058" s="106"/>
      <c r="Z1058" s="106" t="s">
        <v>99</v>
      </c>
      <c r="AA1058" s="114">
        <f t="shared" si="891"/>
        <v>172.0534944</v>
      </c>
      <c r="AB1058" s="115"/>
      <c r="AC1058" s="212">
        <f t="shared" si="892"/>
        <v>149.5859213</v>
      </c>
      <c r="AD1058" s="213">
        <f t="shared" si="799"/>
        <v>160.8450767</v>
      </c>
      <c r="AE1058" s="212"/>
      <c r="AF1058" s="212" t="str">
        <f t="shared" si="94"/>
        <v>#REF!</v>
      </c>
      <c r="AG1058" s="210" t="str">
        <f t="shared" si="95"/>
        <v>#REF!</v>
      </c>
      <c r="AH1058" s="120" t="str">
        <f t="shared" si="96"/>
        <v>#REF!</v>
      </c>
      <c r="AI1058" s="121">
        <f t="shared" si="893"/>
        <v>0.05</v>
      </c>
      <c r="AJ1058" s="121">
        <v>0.05</v>
      </c>
      <c r="AK1058" s="418">
        <v>0.37</v>
      </c>
      <c r="AL1058" s="123">
        <f t="shared" si="11"/>
        <v>55.34679089</v>
      </c>
      <c r="AM1058" s="401" t="s">
        <v>10</v>
      </c>
      <c r="AN1058" s="125">
        <f t="shared" si="894"/>
        <v>149.5859213</v>
      </c>
      <c r="AO1058" s="402">
        <f t="shared" si="895"/>
        <v>0.37</v>
      </c>
      <c r="AP1058" s="127"/>
      <c r="AQ1058" s="128">
        <f t="shared" si="896"/>
        <v>104.9526316</v>
      </c>
      <c r="AR1058" s="404">
        <f t="shared" si="897"/>
        <v>99.19908467</v>
      </c>
      <c r="AS1058" s="405">
        <f t="shared" si="898"/>
        <v>0.39</v>
      </c>
      <c r="AT1058" s="405">
        <f t="shared" si="899"/>
        <v>0.3368421053</v>
      </c>
      <c r="AU1058" s="129"/>
      <c r="AV1058" s="225" t="s">
        <v>3024</v>
      </c>
      <c r="AW1058" s="416"/>
      <c r="AX1058" s="416"/>
      <c r="AY1058" s="361"/>
      <c r="AZ1058" s="214"/>
      <c r="BA1058" s="214"/>
      <c r="BB1058" s="227"/>
      <c r="BC1058" s="412">
        <v>86.7</v>
      </c>
      <c r="BD1058" s="132">
        <f t="shared" si="905"/>
        <v>94.23913043</v>
      </c>
      <c r="BE1058" s="215"/>
      <c r="BF1058" s="48"/>
      <c r="BG1058" s="49"/>
      <c r="BH1058" s="224">
        <f t="shared" si="910"/>
        <v>498.6197378</v>
      </c>
      <c r="BI1058" s="224">
        <f t="shared" si="911"/>
        <v>299.1718427</v>
      </c>
      <c r="BJ1058" s="224">
        <f t="shared" si="912"/>
        <v>249.3098689</v>
      </c>
      <c r="BK1058" s="224">
        <f t="shared" si="913"/>
        <v>199.4478951</v>
      </c>
      <c r="BL1058" s="49"/>
      <c r="BM1058" s="49"/>
      <c r="BN1058" s="49"/>
      <c r="BO1058" s="49"/>
      <c r="BP1058" s="49"/>
      <c r="BQ1058" s="49"/>
      <c r="BR1058" s="49"/>
      <c r="BS1058" s="49"/>
      <c r="BT1058" s="49"/>
      <c r="BU1058" s="49"/>
      <c r="BV1058" s="49"/>
      <c r="BW1058" s="49"/>
      <c r="BX1058" s="49"/>
      <c r="BY1058" s="49"/>
      <c r="BZ1058" s="49"/>
      <c r="CA1058" s="49"/>
      <c r="CB1058" s="49"/>
      <c r="CC1058" s="49"/>
      <c r="CD1058" s="49"/>
      <c r="CE1058" s="49"/>
      <c r="CF1058" s="49"/>
    </row>
    <row r="1059" ht="14.25" customHeight="1">
      <c r="A1059" s="103" t="s">
        <v>84</v>
      </c>
      <c r="B1059" s="103" t="s">
        <v>3073</v>
      </c>
      <c r="C1059" s="103" t="s">
        <v>120</v>
      </c>
      <c r="D1059" s="103" t="s">
        <v>1886</v>
      </c>
      <c r="E1059" s="109" t="s">
        <v>3686</v>
      </c>
      <c r="F1059" s="105" t="s">
        <v>3687</v>
      </c>
      <c r="G1059" s="110"/>
      <c r="H1059" s="110" t="s">
        <v>3159</v>
      </c>
      <c r="I1059" s="478"/>
      <c r="J1059" s="479" t="s">
        <v>3696</v>
      </c>
      <c r="K1059" s="108" t="s">
        <v>3697</v>
      </c>
      <c r="L1059" s="104" t="s">
        <v>3698</v>
      </c>
      <c r="M1059" s="104" t="s">
        <v>3699</v>
      </c>
      <c r="N1059" s="110"/>
      <c r="O1059" s="109" t="s">
        <v>147</v>
      </c>
      <c r="P1059" s="106"/>
      <c r="Q1059" s="105" t="s">
        <v>3081</v>
      </c>
      <c r="R1059" s="106"/>
      <c r="S1059" s="106"/>
      <c r="T1059" s="110"/>
      <c r="U1059" s="106">
        <v>9.403208E9</v>
      </c>
      <c r="V1059" s="112">
        <v>0.0</v>
      </c>
      <c r="W1059" s="106">
        <v>45.0</v>
      </c>
      <c r="X1059" s="106">
        <v>45.0</v>
      </c>
      <c r="Y1059" s="106"/>
      <c r="Z1059" s="106" t="s">
        <v>99</v>
      </c>
      <c r="AA1059" s="114">
        <f t="shared" si="891"/>
        <v>159.1026747</v>
      </c>
      <c r="AB1059" s="115"/>
      <c r="AC1059" s="212">
        <f t="shared" si="892"/>
        <v>159.0752243</v>
      </c>
      <c r="AD1059" s="213">
        <f t="shared" si="799"/>
        <v>171.0486283</v>
      </c>
      <c r="AE1059" s="212"/>
      <c r="AF1059" s="212" t="str">
        <f t="shared" si="94"/>
        <v>#REF!</v>
      </c>
      <c r="AG1059" s="210" t="str">
        <f t="shared" si="95"/>
        <v>#REF!</v>
      </c>
      <c r="AH1059" s="120" t="str">
        <f t="shared" si="96"/>
        <v>#REF!</v>
      </c>
      <c r="AI1059" s="121">
        <f t="shared" si="893"/>
        <v>0.05</v>
      </c>
      <c r="AJ1059" s="121">
        <v>0.05</v>
      </c>
      <c r="AK1059" s="418">
        <v>0.37</v>
      </c>
      <c r="AL1059" s="123">
        <f t="shared" si="11"/>
        <v>58.85783299</v>
      </c>
      <c r="AM1059" s="401" t="s">
        <v>10</v>
      </c>
      <c r="AN1059" s="125">
        <f t="shared" si="894"/>
        <v>159.0752243</v>
      </c>
      <c r="AO1059" s="402">
        <f t="shared" si="895"/>
        <v>0.37</v>
      </c>
      <c r="AP1059" s="127"/>
      <c r="AQ1059" s="403">
        <f t="shared" ref="AQ1059:AR1059" si="915">BC1059/(1-AI1059)</f>
        <v>97.05263158</v>
      </c>
      <c r="AR1059" s="404">
        <f t="shared" si="915"/>
        <v>105.4919908</v>
      </c>
      <c r="AS1059" s="134">
        <f t="shared" si="898"/>
        <v>0.39</v>
      </c>
      <c r="AT1059" s="405">
        <f t="shared" si="899"/>
        <v>0.3368421053</v>
      </c>
      <c r="AU1059" s="129"/>
      <c r="AV1059" s="225" t="s">
        <v>3024</v>
      </c>
      <c r="AW1059" s="416"/>
      <c r="AX1059" s="416"/>
      <c r="AY1059" s="361"/>
      <c r="AZ1059" s="214"/>
      <c r="BA1059" s="214"/>
      <c r="BB1059" s="227"/>
      <c r="BC1059" s="412">
        <v>92.2</v>
      </c>
      <c r="BD1059" s="132">
        <f t="shared" si="905"/>
        <v>100.2173913</v>
      </c>
      <c r="BE1059" s="215"/>
      <c r="BF1059" s="48"/>
      <c r="BG1059" s="49"/>
      <c r="BH1059" s="224">
        <f t="shared" si="910"/>
        <v>530.2507476</v>
      </c>
      <c r="BI1059" s="224">
        <f t="shared" si="911"/>
        <v>318.1504486</v>
      </c>
      <c r="BJ1059" s="224">
        <f t="shared" si="912"/>
        <v>265.1253738</v>
      </c>
      <c r="BK1059" s="224">
        <f t="shared" si="913"/>
        <v>212.1002991</v>
      </c>
      <c r="BL1059" s="49"/>
      <c r="BM1059" s="49"/>
      <c r="BN1059" s="49"/>
      <c r="BO1059" s="49"/>
      <c r="BP1059" s="49"/>
      <c r="BQ1059" s="49"/>
      <c r="BR1059" s="49"/>
      <c r="BS1059" s="49"/>
      <c r="BT1059" s="49"/>
      <c r="BU1059" s="49"/>
      <c r="BV1059" s="49"/>
      <c r="BW1059" s="49"/>
      <c r="BX1059" s="49"/>
      <c r="BY1059" s="49"/>
      <c r="BZ1059" s="49"/>
      <c r="CA1059" s="49"/>
      <c r="CB1059" s="49"/>
      <c r="CC1059" s="49"/>
      <c r="CD1059" s="49"/>
      <c r="CE1059" s="49"/>
      <c r="CF1059" s="49"/>
    </row>
    <row r="1060" ht="14.25" customHeight="1">
      <c r="A1060" s="103" t="s">
        <v>84</v>
      </c>
      <c r="B1060" s="103" t="s">
        <v>3073</v>
      </c>
      <c r="C1060" s="103" t="s">
        <v>120</v>
      </c>
      <c r="D1060" s="103" t="s">
        <v>1886</v>
      </c>
      <c r="E1060" s="109" t="s">
        <v>3686</v>
      </c>
      <c r="F1060" s="105" t="s">
        <v>3687</v>
      </c>
      <c r="G1060" s="110"/>
      <c r="H1060" s="110" t="s">
        <v>3159</v>
      </c>
      <c r="I1060" s="478"/>
      <c r="J1060" s="479" t="s">
        <v>3700</v>
      </c>
      <c r="K1060" s="108" t="s">
        <v>3701</v>
      </c>
      <c r="L1060" s="104" t="s">
        <v>3702</v>
      </c>
      <c r="M1060" s="104" t="s">
        <v>3703</v>
      </c>
      <c r="N1060" s="110"/>
      <c r="O1060" s="109" t="s">
        <v>147</v>
      </c>
      <c r="P1060" s="106"/>
      <c r="Q1060" s="105" t="s">
        <v>3081</v>
      </c>
      <c r="R1060" s="106"/>
      <c r="S1060" s="106"/>
      <c r="T1060" s="110"/>
      <c r="U1060" s="106">
        <v>9.403208E9</v>
      </c>
      <c r="V1060" s="112">
        <v>0.0</v>
      </c>
      <c r="W1060" s="106">
        <v>45.0</v>
      </c>
      <c r="X1060" s="106">
        <v>45.0</v>
      </c>
      <c r="Y1060" s="106"/>
      <c r="Z1060" s="106" t="s">
        <v>99</v>
      </c>
      <c r="AA1060" s="114">
        <f t="shared" si="891"/>
        <v>167.7308024</v>
      </c>
      <c r="AB1060" s="115"/>
      <c r="AC1060" s="212">
        <f t="shared" si="892"/>
        <v>167.7018634</v>
      </c>
      <c r="AD1060" s="213">
        <f t="shared" si="799"/>
        <v>180.3245843</v>
      </c>
      <c r="AE1060" s="212"/>
      <c r="AF1060" s="212" t="str">
        <f t="shared" si="94"/>
        <v>#REF!</v>
      </c>
      <c r="AG1060" s="210" t="str">
        <f t="shared" si="95"/>
        <v>#REF!</v>
      </c>
      <c r="AH1060" s="120" t="str">
        <f t="shared" si="96"/>
        <v>#REF!</v>
      </c>
      <c r="AI1060" s="121">
        <f t="shared" si="893"/>
        <v>0.05</v>
      </c>
      <c r="AJ1060" s="121">
        <v>0.05</v>
      </c>
      <c r="AK1060" s="418">
        <v>0.37</v>
      </c>
      <c r="AL1060" s="123">
        <f t="shared" si="11"/>
        <v>62.04968944</v>
      </c>
      <c r="AM1060" s="401" t="s">
        <v>10</v>
      </c>
      <c r="AN1060" s="125">
        <f t="shared" si="894"/>
        <v>167.7018634</v>
      </c>
      <c r="AO1060" s="402">
        <f t="shared" si="895"/>
        <v>0.37</v>
      </c>
      <c r="AP1060" s="127"/>
      <c r="AQ1060" s="403">
        <f t="shared" ref="AQ1060:AR1060" si="916">BC1060/(1-AI1060)</f>
        <v>102.3157895</v>
      </c>
      <c r="AR1060" s="404">
        <f t="shared" si="916"/>
        <v>111.2128146</v>
      </c>
      <c r="AS1060" s="405">
        <f t="shared" si="898"/>
        <v>0.39</v>
      </c>
      <c r="AT1060" s="405">
        <f t="shared" si="899"/>
        <v>0.3368421053</v>
      </c>
      <c r="AU1060" s="129"/>
      <c r="AV1060" s="225" t="s">
        <v>3024</v>
      </c>
      <c r="AW1060" s="416"/>
      <c r="AX1060" s="416"/>
      <c r="AY1060" s="361"/>
      <c r="AZ1060" s="214"/>
      <c r="BA1060" s="214"/>
      <c r="BB1060" s="227"/>
      <c r="BC1060" s="412">
        <v>97.2</v>
      </c>
      <c r="BD1060" s="132">
        <f t="shared" si="905"/>
        <v>105.6521739</v>
      </c>
      <c r="BE1060" s="215"/>
      <c r="BF1060" s="48"/>
      <c r="BG1060" s="49"/>
      <c r="BH1060" s="224">
        <f t="shared" si="910"/>
        <v>559.0062112</v>
      </c>
      <c r="BI1060" s="224">
        <f t="shared" si="911"/>
        <v>335.4037267</v>
      </c>
      <c r="BJ1060" s="224">
        <f t="shared" si="912"/>
        <v>279.5031056</v>
      </c>
      <c r="BK1060" s="224">
        <f t="shared" si="913"/>
        <v>223.6024845</v>
      </c>
      <c r="BL1060" s="49"/>
      <c r="BM1060" s="49"/>
      <c r="BN1060" s="49"/>
      <c r="BO1060" s="49"/>
      <c r="BP1060" s="49"/>
      <c r="BQ1060" s="49"/>
      <c r="BR1060" s="49"/>
      <c r="BS1060" s="49"/>
      <c r="BT1060" s="49"/>
      <c r="BU1060" s="49"/>
      <c r="BV1060" s="49"/>
      <c r="BW1060" s="49"/>
      <c r="BX1060" s="49"/>
      <c r="BY1060" s="49"/>
      <c r="BZ1060" s="49"/>
      <c r="CA1060" s="49"/>
      <c r="CB1060" s="49"/>
      <c r="CC1060" s="49"/>
      <c r="CD1060" s="49"/>
      <c r="CE1060" s="49"/>
      <c r="CF1060" s="49"/>
    </row>
    <row r="1061" ht="14.25" customHeight="1">
      <c r="A1061" s="103" t="s">
        <v>84</v>
      </c>
      <c r="B1061" s="103" t="s">
        <v>3073</v>
      </c>
      <c r="C1061" s="103" t="s">
        <v>120</v>
      </c>
      <c r="D1061" s="103" t="s">
        <v>1886</v>
      </c>
      <c r="E1061" s="109" t="s">
        <v>3686</v>
      </c>
      <c r="F1061" s="105" t="s">
        <v>3687</v>
      </c>
      <c r="G1061" s="110"/>
      <c r="H1061" s="110" t="s">
        <v>3240</v>
      </c>
      <c r="I1061" s="478"/>
      <c r="J1061" s="479" t="s">
        <v>3704</v>
      </c>
      <c r="K1061" s="108"/>
      <c r="L1061" s="104" t="s">
        <v>3705</v>
      </c>
      <c r="M1061" s="104" t="s">
        <v>3706</v>
      </c>
      <c r="N1061" s="110"/>
      <c r="O1061" s="109" t="s">
        <v>147</v>
      </c>
      <c r="P1061" s="106"/>
      <c r="Q1061" s="105" t="s">
        <v>3081</v>
      </c>
      <c r="R1061" s="106"/>
      <c r="S1061" s="106"/>
      <c r="T1061" s="110"/>
      <c r="U1061" s="106">
        <v>9.403208E9</v>
      </c>
      <c r="V1061" s="112">
        <v>0.0</v>
      </c>
      <c r="W1061" s="106">
        <v>45.0</v>
      </c>
      <c r="X1061" s="106">
        <v>45.0</v>
      </c>
      <c r="Y1061" s="106"/>
      <c r="Z1061" s="106" t="s">
        <v>99</v>
      </c>
      <c r="AA1061" s="114">
        <f t="shared" si="891"/>
        <v>177.9119931</v>
      </c>
      <c r="AB1061" s="115"/>
      <c r="AC1061" s="212">
        <f t="shared" si="892"/>
        <v>177.8812974</v>
      </c>
      <c r="AD1061" s="213">
        <f t="shared" si="799"/>
        <v>191.2702123</v>
      </c>
      <c r="AE1061" s="212"/>
      <c r="AF1061" s="212" t="str">
        <f t="shared" si="94"/>
        <v>#REF!</v>
      </c>
      <c r="AG1061" s="210" t="str">
        <f t="shared" si="95"/>
        <v>#REF!</v>
      </c>
      <c r="AH1061" s="120" t="str">
        <f t="shared" si="96"/>
        <v>#REF!</v>
      </c>
      <c r="AI1061" s="121">
        <f t="shared" si="893"/>
        <v>0.05</v>
      </c>
      <c r="AJ1061" s="121">
        <v>0.05</v>
      </c>
      <c r="AK1061" s="418">
        <v>0.37</v>
      </c>
      <c r="AL1061" s="123">
        <f t="shared" si="11"/>
        <v>65.81608006</v>
      </c>
      <c r="AM1061" s="401" t="s">
        <v>10</v>
      </c>
      <c r="AN1061" s="125">
        <f t="shared" si="894"/>
        <v>177.8812974</v>
      </c>
      <c r="AO1061" s="402">
        <f t="shared" si="895"/>
        <v>0.37</v>
      </c>
      <c r="AP1061" s="127"/>
      <c r="AQ1061" s="403">
        <f t="shared" ref="AQ1061:AR1061" si="917">BC1061/(1-AI1061)</f>
        <v>108.5263158</v>
      </c>
      <c r="AR1061" s="404">
        <f t="shared" si="917"/>
        <v>117.9633867</v>
      </c>
      <c r="AS1061" s="405">
        <f t="shared" si="898"/>
        <v>0.39</v>
      </c>
      <c r="AT1061" s="405">
        <f t="shared" si="899"/>
        <v>0.3368421053</v>
      </c>
      <c r="AU1061" s="129"/>
      <c r="AV1061" s="225" t="s">
        <v>3024</v>
      </c>
      <c r="AW1061" s="416"/>
      <c r="AX1061" s="416"/>
      <c r="AY1061" s="361"/>
      <c r="AZ1061" s="214"/>
      <c r="BA1061" s="214"/>
      <c r="BB1061" s="227"/>
      <c r="BC1061" s="412">
        <v>103.1</v>
      </c>
      <c r="BD1061" s="132">
        <f t="shared" si="905"/>
        <v>112.0652174</v>
      </c>
      <c r="BE1061" s="215"/>
      <c r="BF1061" s="48"/>
      <c r="BG1061" s="49"/>
      <c r="BH1061" s="224">
        <f t="shared" si="910"/>
        <v>592.9376582</v>
      </c>
      <c r="BI1061" s="224">
        <f t="shared" si="911"/>
        <v>355.7625949</v>
      </c>
      <c r="BJ1061" s="224">
        <f t="shared" si="912"/>
        <v>296.4688291</v>
      </c>
      <c r="BK1061" s="224">
        <f t="shared" si="913"/>
        <v>237.1750633</v>
      </c>
      <c r="BL1061" s="49"/>
      <c r="BM1061" s="49"/>
      <c r="BN1061" s="49"/>
      <c r="BO1061" s="49"/>
      <c r="BP1061" s="49"/>
      <c r="BQ1061" s="49"/>
      <c r="BR1061" s="49"/>
      <c r="BS1061" s="49"/>
      <c r="BT1061" s="49"/>
      <c r="BU1061" s="49"/>
      <c r="BV1061" s="49"/>
      <c r="BW1061" s="49"/>
      <c r="BX1061" s="49"/>
      <c r="BY1061" s="49"/>
      <c r="BZ1061" s="49"/>
      <c r="CA1061" s="49"/>
      <c r="CB1061" s="49"/>
      <c r="CC1061" s="49"/>
      <c r="CD1061" s="49"/>
      <c r="CE1061" s="49"/>
      <c r="CF1061" s="49"/>
    </row>
    <row r="1062" ht="14.25" customHeight="1">
      <c r="A1062" s="103" t="s">
        <v>84</v>
      </c>
      <c r="B1062" s="103" t="s">
        <v>3073</v>
      </c>
      <c r="C1062" s="103" t="s">
        <v>120</v>
      </c>
      <c r="D1062" s="103" t="s">
        <v>1886</v>
      </c>
      <c r="E1062" s="109" t="s">
        <v>3686</v>
      </c>
      <c r="F1062" s="105" t="s">
        <v>3687</v>
      </c>
      <c r="G1062" s="110"/>
      <c r="H1062" s="110" t="s">
        <v>3240</v>
      </c>
      <c r="I1062" s="478"/>
      <c r="J1062" s="479" t="s">
        <v>3707</v>
      </c>
      <c r="K1062" s="108"/>
      <c r="L1062" s="104" t="s">
        <v>3708</v>
      </c>
      <c r="M1062" s="104" t="s">
        <v>3709</v>
      </c>
      <c r="N1062" s="110"/>
      <c r="O1062" s="109" t="s">
        <v>147</v>
      </c>
      <c r="P1062" s="106"/>
      <c r="Q1062" s="105" t="s">
        <v>3081</v>
      </c>
      <c r="R1062" s="106"/>
      <c r="S1062" s="106"/>
      <c r="T1062" s="110"/>
      <c r="U1062" s="106">
        <v>9.403208E9</v>
      </c>
      <c r="V1062" s="112">
        <v>0.0</v>
      </c>
      <c r="W1062" s="106">
        <v>45.0</v>
      </c>
      <c r="X1062" s="106">
        <v>45.0</v>
      </c>
      <c r="Y1062" s="106"/>
      <c r="Z1062" s="106" t="s">
        <v>99</v>
      </c>
      <c r="AA1062" s="114">
        <f t="shared" si="891"/>
        <v>187.7480587</v>
      </c>
      <c r="AB1062" s="115"/>
      <c r="AC1062" s="212">
        <f t="shared" si="892"/>
        <v>187.715666</v>
      </c>
      <c r="AD1062" s="213">
        <f t="shared" si="799"/>
        <v>201.8448021</v>
      </c>
      <c r="AE1062" s="212"/>
      <c r="AF1062" s="212" t="str">
        <f t="shared" si="94"/>
        <v>#REF!</v>
      </c>
      <c r="AG1062" s="210" t="str">
        <f t="shared" si="95"/>
        <v>#REF!</v>
      </c>
      <c r="AH1062" s="120" t="str">
        <f t="shared" si="96"/>
        <v>#REF!</v>
      </c>
      <c r="AI1062" s="121">
        <f t="shared" si="893"/>
        <v>0.05</v>
      </c>
      <c r="AJ1062" s="121">
        <v>0.05</v>
      </c>
      <c r="AK1062" s="418">
        <v>0.37</v>
      </c>
      <c r="AL1062" s="123">
        <f t="shared" si="11"/>
        <v>69.45479641</v>
      </c>
      <c r="AM1062" s="401" t="s">
        <v>10</v>
      </c>
      <c r="AN1062" s="125">
        <f t="shared" si="894"/>
        <v>187.715666</v>
      </c>
      <c r="AO1062" s="402">
        <f t="shared" si="895"/>
        <v>0.37</v>
      </c>
      <c r="AP1062" s="127"/>
      <c r="AQ1062" s="403">
        <f t="shared" ref="AQ1062:AR1062" si="918">BC1062/(1-AI1062)</f>
        <v>114.5263158</v>
      </c>
      <c r="AR1062" s="404">
        <f t="shared" si="918"/>
        <v>124.4851259</v>
      </c>
      <c r="AS1062" s="405">
        <f t="shared" si="898"/>
        <v>0.39</v>
      </c>
      <c r="AT1062" s="405">
        <f t="shared" si="899"/>
        <v>0.3368421053</v>
      </c>
      <c r="AU1062" s="129"/>
      <c r="AV1062" s="225" t="s">
        <v>3024</v>
      </c>
      <c r="AW1062" s="416"/>
      <c r="AX1062" s="416"/>
      <c r="AY1062" s="361"/>
      <c r="AZ1062" s="214"/>
      <c r="BA1062" s="214"/>
      <c r="BB1062" s="227"/>
      <c r="BC1062" s="412">
        <v>108.8</v>
      </c>
      <c r="BD1062" s="132">
        <f t="shared" si="905"/>
        <v>118.2608696</v>
      </c>
      <c r="BE1062" s="215"/>
      <c r="BF1062" s="48"/>
      <c r="BG1062" s="49"/>
      <c r="BH1062" s="224">
        <f t="shared" si="910"/>
        <v>625.7188866</v>
      </c>
      <c r="BI1062" s="224">
        <f t="shared" si="911"/>
        <v>375.431332</v>
      </c>
      <c r="BJ1062" s="224">
        <f t="shared" si="912"/>
        <v>312.8594433</v>
      </c>
      <c r="BK1062" s="224">
        <f t="shared" si="913"/>
        <v>250.2875546</v>
      </c>
      <c r="BL1062" s="49"/>
      <c r="BM1062" s="49"/>
      <c r="BN1062" s="49"/>
      <c r="BO1062" s="49"/>
      <c r="BP1062" s="49"/>
      <c r="BQ1062" s="49"/>
      <c r="BR1062" s="49"/>
      <c r="BS1062" s="49"/>
      <c r="BT1062" s="49"/>
      <c r="BU1062" s="49"/>
      <c r="BV1062" s="49"/>
      <c r="BW1062" s="49"/>
      <c r="BX1062" s="49"/>
      <c r="BY1062" s="49"/>
      <c r="BZ1062" s="49"/>
      <c r="CA1062" s="49"/>
      <c r="CB1062" s="49"/>
      <c r="CC1062" s="49"/>
      <c r="CD1062" s="49"/>
      <c r="CE1062" s="49"/>
      <c r="CF1062" s="49"/>
    </row>
    <row r="1063" ht="14.25" customHeight="1">
      <c r="A1063" s="103" t="s">
        <v>84</v>
      </c>
      <c r="B1063" s="103" t="s">
        <v>3073</v>
      </c>
      <c r="C1063" s="103" t="s">
        <v>120</v>
      </c>
      <c r="D1063" s="103" t="s">
        <v>1886</v>
      </c>
      <c r="E1063" s="109" t="s">
        <v>3686</v>
      </c>
      <c r="F1063" s="105" t="s">
        <v>3687</v>
      </c>
      <c r="G1063" s="110"/>
      <c r="H1063" s="110" t="s">
        <v>3076</v>
      </c>
      <c r="I1063" s="478"/>
      <c r="J1063" s="479" t="s">
        <v>3710</v>
      </c>
      <c r="K1063" s="108" t="s">
        <v>3711</v>
      </c>
      <c r="L1063" s="104" t="s">
        <v>3712</v>
      </c>
      <c r="M1063" s="104" t="s">
        <v>3713</v>
      </c>
      <c r="N1063" s="110"/>
      <c r="O1063" s="109" t="s">
        <v>147</v>
      </c>
      <c r="P1063" s="106"/>
      <c r="Q1063" s="105" t="s">
        <v>3081</v>
      </c>
      <c r="R1063" s="106"/>
      <c r="S1063" s="106"/>
      <c r="T1063" s="110"/>
      <c r="U1063" s="106">
        <v>9.403208E9</v>
      </c>
      <c r="V1063" s="112">
        <v>0.0</v>
      </c>
      <c r="W1063" s="106">
        <v>45.0</v>
      </c>
      <c r="X1063" s="106">
        <v>45.0</v>
      </c>
      <c r="Y1063" s="106"/>
      <c r="Z1063" s="106" t="s">
        <v>99</v>
      </c>
      <c r="AA1063" s="114">
        <f t="shared" si="891"/>
        <v>114.4089733</v>
      </c>
      <c r="AB1063" s="115"/>
      <c r="AC1063" s="212">
        <f t="shared" si="892"/>
        <v>114.389234</v>
      </c>
      <c r="AD1063" s="213">
        <f t="shared" si="799"/>
        <v>122.9991763</v>
      </c>
      <c r="AE1063" s="212"/>
      <c r="AF1063" s="212" t="str">
        <f t="shared" si="94"/>
        <v>#REF!</v>
      </c>
      <c r="AG1063" s="210" t="str">
        <f t="shared" si="95"/>
        <v>#REF!</v>
      </c>
      <c r="AH1063" s="120" t="str">
        <f t="shared" si="96"/>
        <v>#REF!</v>
      </c>
      <c r="AI1063" s="121">
        <f t="shared" si="893"/>
        <v>0.05</v>
      </c>
      <c r="AJ1063" s="121">
        <v>0.05</v>
      </c>
      <c r="AK1063" s="418">
        <v>0.37</v>
      </c>
      <c r="AL1063" s="123">
        <f t="shared" si="11"/>
        <v>42.32401656</v>
      </c>
      <c r="AM1063" s="401" t="s">
        <v>10</v>
      </c>
      <c r="AN1063" s="125">
        <f t="shared" si="894"/>
        <v>114.389234</v>
      </c>
      <c r="AO1063" s="402">
        <f t="shared" si="895"/>
        <v>0.37</v>
      </c>
      <c r="AP1063" s="127"/>
      <c r="AQ1063" s="403">
        <f t="shared" ref="AQ1063:AR1063" si="919">BC1063/(1-AI1063)</f>
        <v>69.78947368</v>
      </c>
      <c r="AR1063" s="404">
        <f t="shared" si="919"/>
        <v>75.85812357</v>
      </c>
      <c r="AS1063" s="405">
        <f t="shared" si="898"/>
        <v>0.39</v>
      </c>
      <c r="AT1063" s="405">
        <f t="shared" si="899"/>
        <v>0.3368421053</v>
      </c>
      <c r="AU1063" s="129"/>
      <c r="AV1063" s="225" t="s">
        <v>3024</v>
      </c>
      <c r="AW1063" s="416"/>
      <c r="AX1063" s="416"/>
      <c r="AY1063" s="361"/>
      <c r="AZ1063" s="214"/>
      <c r="BA1063" s="214"/>
      <c r="BB1063" s="227"/>
      <c r="BC1063" s="412">
        <v>66.3</v>
      </c>
      <c r="BD1063" s="132">
        <f t="shared" si="905"/>
        <v>72.06521739</v>
      </c>
      <c r="BE1063" s="215"/>
      <c r="BF1063" s="48"/>
      <c r="BG1063" s="49"/>
      <c r="BH1063" s="224">
        <f t="shared" si="910"/>
        <v>381.2974465</v>
      </c>
      <c r="BI1063" s="224">
        <f t="shared" si="911"/>
        <v>228.7784679</v>
      </c>
      <c r="BJ1063" s="224">
        <f t="shared" si="912"/>
        <v>190.6487233</v>
      </c>
      <c r="BK1063" s="224">
        <f t="shared" si="913"/>
        <v>152.5189786</v>
      </c>
      <c r="BL1063" s="49"/>
      <c r="BM1063" s="49"/>
      <c r="BN1063" s="49"/>
      <c r="BO1063" s="49"/>
      <c r="BP1063" s="49"/>
      <c r="BQ1063" s="49"/>
      <c r="BR1063" s="49"/>
      <c r="BS1063" s="49"/>
      <c r="BT1063" s="49"/>
      <c r="BU1063" s="49"/>
      <c r="BV1063" s="49"/>
      <c r="BW1063" s="49"/>
      <c r="BX1063" s="49"/>
      <c r="BY1063" s="49"/>
      <c r="BZ1063" s="49"/>
      <c r="CA1063" s="49"/>
      <c r="CB1063" s="49"/>
      <c r="CC1063" s="49"/>
      <c r="CD1063" s="49"/>
      <c r="CE1063" s="49"/>
      <c r="CF1063" s="49"/>
    </row>
    <row r="1064" ht="14.25" customHeight="1">
      <c r="A1064" s="103" t="s">
        <v>84</v>
      </c>
      <c r="B1064" s="103" t="s">
        <v>3073</v>
      </c>
      <c r="C1064" s="103" t="s">
        <v>120</v>
      </c>
      <c r="D1064" s="103" t="s">
        <v>1886</v>
      </c>
      <c r="E1064" s="109" t="s">
        <v>3686</v>
      </c>
      <c r="F1064" s="105" t="s">
        <v>3687</v>
      </c>
      <c r="G1064" s="110"/>
      <c r="H1064" s="110" t="s">
        <v>3076</v>
      </c>
      <c r="I1064" s="478"/>
      <c r="J1064" s="479" t="s">
        <v>3714</v>
      </c>
      <c r="K1064" s="108" t="s">
        <v>3715</v>
      </c>
      <c r="L1064" s="104" t="s">
        <v>3716</v>
      </c>
      <c r="M1064" s="104" t="s">
        <v>3717</v>
      </c>
      <c r="N1064" s="110"/>
      <c r="O1064" s="109" t="s">
        <v>147</v>
      </c>
      <c r="P1064" s="106"/>
      <c r="Q1064" s="105" t="s">
        <v>3081</v>
      </c>
      <c r="R1064" s="106"/>
      <c r="S1064" s="106"/>
      <c r="T1064" s="110"/>
      <c r="U1064" s="106">
        <v>9.403208E9</v>
      </c>
      <c r="V1064" s="112">
        <v>0.0</v>
      </c>
      <c r="W1064" s="106">
        <v>45.0</v>
      </c>
      <c r="X1064" s="106">
        <v>45.0</v>
      </c>
      <c r="Y1064" s="106"/>
      <c r="Z1064" s="106" t="s">
        <v>99</v>
      </c>
      <c r="AA1064" s="114">
        <f t="shared" si="891"/>
        <v>123.0371009</v>
      </c>
      <c r="AB1064" s="115"/>
      <c r="AC1064" s="212">
        <f t="shared" si="892"/>
        <v>123.015873</v>
      </c>
      <c r="AD1064" s="213">
        <f t="shared" si="799"/>
        <v>132.2751323</v>
      </c>
      <c r="AE1064" s="212"/>
      <c r="AF1064" s="212" t="str">
        <f t="shared" si="94"/>
        <v>#REF!</v>
      </c>
      <c r="AG1064" s="210" t="str">
        <f t="shared" si="95"/>
        <v>#REF!</v>
      </c>
      <c r="AH1064" s="120" t="str">
        <f t="shared" si="96"/>
        <v>#REF!</v>
      </c>
      <c r="AI1064" s="121">
        <f t="shared" si="893"/>
        <v>0.05</v>
      </c>
      <c r="AJ1064" s="121">
        <v>0.05</v>
      </c>
      <c r="AK1064" s="418">
        <v>0.37</v>
      </c>
      <c r="AL1064" s="123">
        <f t="shared" si="11"/>
        <v>45.51587302</v>
      </c>
      <c r="AM1064" s="401" t="s">
        <v>10</v>
      </c>
      <c r="AN1064" s="125">
        <f t="shared" si="894"/>
        <v>123.015873</v>
      </c>
      <c r="AO1064" s="402">
        <f t="shared" si="895"/>
        <v>0.37</v>
      </c>
      <c r="AP1064" s="127"/>
      <c r="AQ1064" s="403">
        <f t="shared" ref="AQ1064:AR1064" si="920">BC1064/(1-AI1064)</f>
        <v>75.05263158</v>
      </c>
      <c r="AR1064" s="404">
        <f t="shared" si="920"/>
        <v>81.57894737</v>
      </c>
      <c r="AS1064" s="405">
        <f t="shared" si="898"/>
        <v>0.39</v>
      </c>
      <c r="AT1064" s="405">
        <f t="shared" si="899"/>
        <v>0.3368421053</v>
      </c>
      <c r="AU1064" s="129"/>
      <c r="AV1064" s="225" t="s">
        <v>3024</v>
      </c>
      <c r="AW1064" s="416"/>
      <c r="AX1064" s="416"/>
      <c r="AY1064" s="361"/>
      <c r="AZ1064" s="214"/>
      <c r="BA1064" s="214"/>
      <c r="BB1064" s="227"/>
      <c r="BC1064" s="412">
        <v>71.3</v>
      </c>
      <c r="BD1064" s="132">
        <f t="shared" si="905"/>
        <v>77.5</v>
      </c>
      <c r="BE1064" s="215"/>
      <c r="BF1064" s="48"/>
      <c r="BG1064" s="49"/>
      <c r="BH1064" s="224">
        <f t="shared" si="910"/>
        <v>410.0529101</v>
      </c>
      <c r="BI1064" s="224">
        <f t="shared" si="911"/>
        <v>246.031746</v>
      </c>
      <c r="BJ1064" s="224">
        <f t="shared" si="912"/>
        <v>205.026455</v>
      </c>
      <c r="BK1064" s="224">
        <f t="shared" si="913"/>
        <v>164.021164</v>
      </c>
      <c r="BL1064" s="49"/>
      <c r="BM1064" s="49"/>
      <c r="BN1064" s="49"/>
      <c r="BO1064" s="49"/>
      <c r="BP1064" s="49"/>
      <c r="BQ1064" s="49"/>
      <c r="BR1064" s="49"/>
      <c r="BS1064" s="49"/>
      <c r="BT1064" s="49"/>
      <c r="BU1064" s="49"/>
      <c r="BV1064" s="49"/>
      <c r="BW1064" s="49"/>
      <c r="BX1064" s="49"/>
      <c r="BY1064" s="49"/>
      <c r="BZ1064" s="49"/>
      <c r="CA1064" s="49"/>
      <c r="CB1064" s="49"/>
      <c r="CC1064" s="49"/>
      <c r="CD1064" s="49"/>
      <c r="CE1064" s="49"/>
      <c r="CF1064" s="49"/>
    </row>
    <row r="1065" ht="14.25" customHeight="1">
      <c r="A1065" s="103" t="s">
        <v>84</v>
      </c>
      <c r="B1065" s="103" t="s">
        <v>3073</v>
      </c>
      <c r="C1065" s="103" t="s">
        <v>120</v>
      </c>
      <c r="D1065" s="103" t="s">
        <v>1886</v>
      </c>
      <c r="E1065" s="109" t="s">
        <v>3686</v>
      </c>
      <c r="F1065" s="105" t="s">
        <v>3687</v>
      </c>
      <c r="G1065" s="110"/>
      <c r="H1065" s="110" t="s">
        <v>3101</v>
      </c>
      <c r="I1065" s="478"/>
      <c r="J1065" s="479" t="s">
        <v>3718</v>
      </c>
      <c r="K1065" s="108"/>
      <c r="L1065" s="104" t="s">
        <v>3719</v>
      </c>
      <c r="M1065" s="104" t="s">
        <v>3720</v>
      </c>
      <c r="N1065" s="110"/>
      <c r="O1065" s="109" t="s">
        <v>147</v>
      </c>
      <c r="P1065" s="106"/>
      <c r="Q1065" s="105" t="s">
        <v>3081</v>
      </c>
      <c r="R1065" s="106"/>
      <c r="S1065" s="106"/>
      <c r="T1065" s="110"/>
      <c r="U1065" s="106">
        <v>9.403208E9</v>
      </c>
      <c r="V1065" s="112">
        <v>0.0</v>
      </c>
      <c r="W1065" s="106">
        <v>45.0</v>
      </c>
      <c r="X1065" s="106">
        <v>45.0</v>
      </c>
      <c r="Y1065" s="106"/>
      <c r="Z1065" s="106" t="s">
        <v>99</v>
      </c>
      <c r="AA1065" s="114">
        <f t="shared" si="891"/>
        <v>127.5237274</v>
      </c>
      <c r="AB1065" s="115"/>
      <c r="AC1065" s="212">
        <f t="shared" si="892"/>
        <v>127.5017253</v>
      </c>
      <c r="AD1065" s="213">
        <f t="shared" si="799"/>
        <v>137.0986294</v>
      </c>
      <c r="AE1065" s="212"/>
      <c r="AF1065" s="212" t="str">
        <f t="shared" si="94"/>
        <v>#REF!</v>
      </c>
      <c r="AG1065" s="210" t="str">
        <f t="shared" si="95"/>
        <v>#REF!</v>
      </c>
      <c r="AH1065" s="120" t="str">
        <f t="shared" si="96"/>
        <v>#REF!</v>
      </c>
      <c r="AI1065" s="121">
        <f t="shared" si="893"/>
        <v>0.05</v>
      </c>
      <c r="AJ1065" s="121">
        <v>0.05</v>
      </c>
      <c r="AK1065" s="418">
        <v>0.37</v>
      </c>
      <c r="AL1065" s="123">
        <f t="shared" si="11"/>
        <v>47.17563837</v>
      </c>
      <c r="AM1065" s="401" t="s">
        <v>10</v>
      </c>
      <c r="AN1065" s="125">
        <f t="shared" si="894"/>
        <v>127.5017253</v>
      </c>
      <c r="AO1065" s="402">
        <f t="shared" si="895"/>
        <v>0.37</v>
      </c>
      <c r="AP1065" s="127"/>
      <c r="AQ1065" s="403">
        <f t="shared" ref="AQ1065:AR1065" si="921">BC1065/(1-AI1065)</f>
        <v>77.78947368</v>
      </c>
      <c r="AR1065" s="404">
        <f t="shared" si="921"/>
        <v>84.55377574</v>
      </c>
      <c r="AS1065" s="405">
        <f t="shared" si="898"/>
        <v>0.39</v>
      </c>
      <c r="AT1065" s="405">
        <f t="shared" si="899"/>
        <v>0.3368421053</v>
      </c>
      <c r="AU1065" s="129"/>
      <c r="AV1065" s="225" t="s">
        <v>3024</v>
      </c>
      <c r="AW1065" s="416"/>
      <c r="AX1065" s="416"/>
      <c r="AY1065" s="361"/>
      <c r="AZ1065" s="214"/>
      <c r="BA1065" s="214"/>
      <c r="BB1065" s="227"/>
      <c r="BC1065" s="412">
        <v>73.9</v>
      </c>
      <c r="BD1065" s="132">
        <f t="shared" si="905"/>
        <v>80.32608696</v>
      </c>
      <c r="BE1065" s="215"/>
      <c r="BF1065" s="48"/>
      <c r="BG1065" s="49"/>
      <c r="BH1065" s="224">
        <f t="shared" si="910"/>
        <v>425.0057511</v>
      </c>
      <c r="BI1065" s="224">
        <f t="shared" si="911"/>
        <v>255.0034507</v>
      </c>
      <c r="BJ1065" s="224">
        <f t="shared" si="912"/>
        <v>212.5028755</v>
      </c>
      <c r="BK1065" s="224">
        <f t="shared" si="913"/>
        <v>170.0023004</v>
      </c>
      <c r="BL1065" s="49"/>
      <c r="BM1065" s="49"/>
      <c r="BN1065" s="49"/>
      <c r="BO1065" s="49"/>
      <c r="BP1065" s="49"/>
      <c r="BQ1065" s="49"/>
      <c r="BR1065" s="49"/>
      <c r="BS1065" s="49"/>
      <c r="BT1065" s="49"/>
      <c r="BU1065" s="49"/>
      <c r="BV1065" s="49"/>
      <c r="BW1065" s="49"/>
      <c r="BX1065" s="49"/>
      <c r="BY1065" s="49"/>
      <c r="BZ1065" s="49"/>
      <c r="CA1065" s="49"/>
      <c r="CB1065" s="49"/>
      <c r="CC1065" s="49"/>
      <c r="CD1065" s="49"/>
      <c r="CE1065" s="49"/>
      <c r="CF1065" s="49"/>
    </row>
    <row r="1066" ht="14.25" customHeight="1">
      <c r="A1066" s="103" t="s">
        <v>84</v>
      </c>
      <c r="B1066" s="103" t="s">
        <v>3073</v>
      </c>
      <c r="C1066" s="103" t="s">
        <v>120</v>
      </c>
      <c r="D1066" s="103" t="s">
        <v>1886</v>
      </c>
      <c r="E1066" s="109" t="s">
        <v>3686</v>
      </c>
      <c r="F1066" s="105" t="s">
        <v>3687</v>
      </c>
      <c r="G1066" s="110"/>
      <c r="H1066" s="110" t="s">
        <v>3101</v>
      </c>
      <c r="I1066" s="478"/>
      <c r="J1066" s="479" t="s">
        <v>3721</v>
      </c>
      <c r="K1066" s="108"/>
      <c r="L1066" s="104" t="s">
        <v>3722</v>
      </c>
      <c r="M1066" s="104" t="s">
        <v>3723</v>
      </c>
      <c r="N1066" s="110"/>
      <c r="O1066" s="109" t="s">
        <v>147</v>
      </c>
      <c r="P1066" s="106"/>
      <c r="Q1066" s="105" t="s">
        <v>3081</v>
      </c>
      <c r="R1066" s="106"/>
      <c r="S1066" s="106"/>
      <c r="T1066" s="110"/>
      <c r="U1066" s="106">
        <v>9.403208E9</v>
      </c>
      <c r="V1066" s="112">
        <v>0.0</v>
      </c>
      <c r="W1066" s="106">
        <v>45.0</v>
      </c>
      <c r="X1066" s="106">
        <v>45.0</v>
      </c>
      <c r="Y1066" s="106"/>
      <c r="Z1066" s="106" t="s">
        <v>99</v>
      </c>
      <c r="AA1066" s="114">
        <f t="shared" si="891"/>
        <v>136.151855</v>
      </c>
      <c r="AB1066" s="115"/>
      <c r="AC1066" s="212">
        <f t="shared" si="892"/>
        <v>136.1283644</v>
      </c>
      <c r="AD1066" s="213">
        <f t="shared" si="799"/>
        <v>146.3745854</v>
      </c>
      <c r="AE1066" s="212"/>
      <c r="AF1066" s="212" t="str">
        <f t="shared" si="94"/>
        <v>#REF!</v>
      </c>
      <c r="AG1066" s="210" t="str">
        <f t="shared" si="95"/>
        <v>#REF!</v>
      </c>
      <c r="AH1066" s="120" t="str">
        <f t="shared" si="96"/>
        <v>#REF!</v>
      </c>
      <c r="AI1066" s="121">
        <f t="shared" si="893"/>
        <v>0.05</v>
      </c>
      <c r="AJ1066" s="121">
        <v>0.05</v>
      </c>
      <c r="AK1066" s="418">
        <v>0.37</v>
      </c>
      <c r="AL1066" s="123">
        <f t="shared" si="11"/>
        <v>50.36749482</v>
      </c>
      <c r="AM1066" s="401" t="s">
        <v>10</v>
      </c>
      <c r="AN1066" s="125">
        <f t="shared" si="894"/>
        <v>136.1283644</v>
      </c>
      <c r="AO1066" s="402">
        <f t="shared" si="895"/>
        <v>0.37</v>
      </c>
      <c r="AP1066" s="127"/>
      <c r="AQ1066" s="403">
        <f t="shared" ref="AQ1066:AR1066" si="922">BC1066/(1-AI1066)</f>
        <v>83.05263158</v>
      </c>
      <c r="AR1066" s="404">
        <f t="shared" si="922"/>
        <v>90.27459954</v>
      </c>
      <c r="AS1066" s="405">
        <f t="shared" si="898"/>
        <v>0.39</v>
      </c>
      <c r="AT1066" s="405">
        <f t="shared" si="899"/>
        <v>0.3368421053</v>
      </c>
      <c r="AU1066" s="129"/>
      <c r="AV1066" s="225" t="s">
        <v>3024</v>
      </c>
      <c r="AW1066" s="416"/>
      <c r="AX1066" s="416"/>
      <c r="AY1066" s="361"/>
      <c r="AZ1066" s="214"/>
      <c r="BA1066" s="214"/>
      <c r="BB1066" s="227"/>
      <c r="BC1066" s="412">
        <v>78.9</v>
      </c>
      <c r="BD1066" s="132">
        <f t="shared" si="905"/>
        <v>85.76086957</v>
      </c>
      <c r="BE1066" s="215"/>
      <c r="BF1066" s="48"/>
      <c r="BG1066" s="49"/>
      <c r="BH1066" s="224">
        <f t="shared" si="910"/>
        <v>453.7612146</v>
      </c>
      <c r="BI1066" s="224">
        <f t="shared" si="911"/>
        <v>272.2567288</v>
      </c>
      <c r="BJ1066" s="224">
        <f t="shared" si="912"/>
        <v>226.8806073</v>
      </c>
      <c r="BK1066" s="224">
        <f t="shared" si="913"/>
        <v>181.5044859</v>
      </c>
      <c r="BL1066" s="49"/>
      <c r="BM1066" s="49"/>
      <c r="BN1066" s="49"/>
      <c r="BO1066" s="49"/>
      <c r="BP1066" s="49"/>
      <c r="BQ1066" s="49"/>
      <c r="BR1066" s="49"/>
      <c r="BS1066" s="49"/>
      <c r="BT1066" s="49"/>
      <c r="BU1066" s="49"/>
      <c r="BV1066" s="49"/>
      <c r="BW1066" s="49"/>
      <c r="BX1066" s="49"/>
      <c r="BY1066" s="49"/>
      <c r="BZ1066" s="49"/>
      <c r="CA1066" s="49"/>
      <c r="CB1066" s="49"/>
      <c r="CC1066" s="49"/>
      <c r="CD1066" s="49"/>
      <c r="CE1066" s="49"/>
      <c r="CF1066" s="49"/>
    </row>
    <row r="1067" ht="14.25" customHeight="1">
      <c r="A1067" s="103" t="s">
        <v>84</v>
      </c>
      <c r="B1067" s="103" t="s">
        <v>3073</v>
      </c>
      <c r="C1067" s="103" t="s">
        <v>120</v>
      </c>
      <c r="D1067" s="103" t="s">
        <v>1886</v>
      </c>
      <c r="E1067" s="109" t="s">
        <v>3686</v>
      </c>
      <c r="F1067" s="105" t="s">
        <v>3687</v>
      </c>
      <c r="G1067" s="110"/>
      <c r="H1067" s="110" t="s">
        <v>3120</v>
      </c>
      <c r="I1067" s="478"/>
      <c r="J1067" s="479" t="s">
        <v>3724</v>
      </c>
      <c r="K1067" s="108"/>
      <c r="L1067" s="104" t="s">
        <v>3725</v>
      </c>
      <c r="M1067" s="104" t="s">
        <v>3726</v>
      </c>
      <c r="N1067" s="110"/>
      <c r="O1067" s="109" t="s">
        <v>147</v>
      </c>
      <c r="P1067" s="106"/>
      <c r="Q1067" s="105" t="s">
        <v>3081</v>
      </c>
      <c r="R1067" s="106"/>
      <c r="S1067" s="106"/>
      <c r="T1067" s="110"/>
      <c r="U1067" s="106">
        <v>9.403208E9</v>
      </c>
      <c r="V1067" s="112">
        <v>0.0</v>
      </c>
      <c r="W1067" s="106">
        <v>45.0</v>
      </c>
      <c r="X1067" s="106">
        <v>45.0</v>
      </c>
      <c r="Y1067" s="106"/>
      <c r="Z1067" s="106" t="s">
        <v>99</v>
      </c>
      <c r="AA1067" s="114">
        <f t="shared" si="891"/>
        <v>141.1561691</v>
      </c>
      <c r="AB1067" s="115"/>
      <c r="AC1067" s="212">
        <f t="shared" si="892"/>
        <v>141.131815</v>
      </c>
      <c r="AD1067" s="213">
        <f t="shared" si="799"/>
        <v>151.7546398</v>
      </c>
      <c r="AE1067" s="212"/>
      <c r="AF1067" s="212" t="str">
        <f t="shared" si="94"/>
        <v>#REF!</v>
      </c>
      <c r="AG1067" s="210" t="str">
        <f t="shared" si="95"/>
        <v>#REF!</v>
      </c>
      <c r="AH1067" s="120" t="str">
        <f t="shared" si="96"/>
        <v>#REF!</v>
      </c>
      <c r="AI1067" s="121">
        <f t="shared" si="893"/>
        <v>0.05</v>
      </c>
      <c r="AJ1067" s="121">
        <v>0.05</v>
      </c>
      <c r="AK1067" s="418">
        <v>0.37</v>
      </c>
      <c r="AL1067" s="123">
        <f t="shared" si="11"/>
        <v>52.21877157</v>
      </c>
      <c r="AM1067" s="401" t="s">
        <v>10</v>
      </c>
      <c r="AN1067" s="125">
        <f t="shared" si="894"/>
        <v>141.131815</v>
      </c>
      <c r="AO1067" s="402">
        <f t="shared" si="895"/>
        <v>0.37</v>
      </c>
      <c r="AP1067" s="127"/>
      <c r="AQ1067" s="403">
        <f t="shared" ref="AQ1067:AR1067" si="923">BC1067/(1-AI1067)</f>
        <v>86.10526316</v>
      </c>
      <c r="AR1067" s="404">
        <f t="shared" si="923"/>
        <v>93.59267735</v>
      </c>
      <c r="AS1067" s="405">
        <f t="shared" si="898"/>
        <v>0.39</v>
      </c>
      <c r="AT1067" s="405">
        <f t="shared" si="899"/>
        <v>0.3368421053</v>
      </c>
      <c r="AU1067" s="129"/>
      <c r="AV1067" s="225" t="s">
        <v>3024</v>
      </c>
      <c r="AW1067" s="416"/>
      <c r="AX1067" s="416"/>
      <c r="AY1067" s="361"/>
      <c r="AZ1067" s="214"/>
      <c r="BA1067" s="214"/>
      <c r="BB1067" s="227"/>
      <c r="BC1067" s="412">
        <v>81.8</v>
      </c>
      <c r="BD1067" s="132">
        <f t="shared" si="905"/>
        <v>88.91304348</v>
      </c>
      <c r="BE1067" s="215"/>
      <c r="BF1067" s="48"/>
      <c r="BG1067" s="49"/>
      <c r="BH1067" s="224">
        <f t="shared" si="910"/>
        <v>470.4393835</v>
      </c>
      <c r="BI1067" s="224">
        <f t="shared" si="911"/>
        <v>282.2636301</v>
      </c>
      <c r="BJ1067" s="224">
        <f t="shared" si="912"/>
        <v>235.2196917</v>
      </c>
      <c r="BK1067" s="224">
        <f t="shared" si="913"/>
        <v>188.1757534</v>
      </c>
      <c r="BL1067" s="49"/>
      <c r="BM1067" s="49"/>
      <c r="BN1067" s="49"/>
      <c r="BO1067" s="49"/>
      <c r="BP1067" s="49"/>
      <c r="BQ1067" s="49"/>
      <c r="BR1067" s="49"/>
      <c r="BS1067" s="49"/>
      <c r="BT1067" s="49"/>
      <c r="BU1067" s="49"/>
      <c r="BV1067" s="49"/>
      <c r="BW1067" s="49"/>
      <c r="BX1067" s="49"/>
      <c r="BY1067" s="49"/>
      <c r="BZ1067" s="49"/>
      <c r="CA1067" s="49"/>
      <c r="CB1067" s="49"/>
      <c r="CC1067" s="49"/>
      <c r="CD1067" s="49"/>
      <c r="CE1067" s="49"/>
      <c r="CF1067" s="49"/>
    </row>
    <row r="1068" ht="14.25" customHeight="1">
      <c r="A1068" s="103" t="s">
        <v>84</v>
      </c>
      <c r="B1068" s="103" t="s">
        <v>3073</v>
      </c>
      <c r="C1068" s="103" t="s">
        <v>120</v>
      </c>
      <c r="D1068" s="103" t="s">
        <v>1886</v>
      </c>
      <c r="E1068" s="109" t="s">
        <v>3686</v>
      </c>
      <c r="F1068" s="105" t="s">
        <v>3687</v>
      </c>
      <c r="G1068" s="110"/>
      <c r="H1068" s="110" t="s">
        <v>3727</v>
      </c>
      <c r="I1068" s="478"/>
      <c r="J1068" s="479" t="s">
        <v>3728</v>
      </c>
      <c r="K1068" s="108"/>
      <c r="L1068" s="104" t="s">
        <v>3729</v>
      </c>
      <c r="M1068" s="104" t="s">
        <v>3730</v>
      </c>
      <c r="N1068" s="110"/>
      <c r="O1068" s="109" t="s">
        <v>147</v>
      </c>
      <c r="P1068" s="106"/>
      <c r="Q1068" s="105" t="s">
        <v>3081</v>
      </c>
      <c r="R1068" s="106"/>
      <c r="S1068" s="106"/>
      <c r="T1068" s="110"/>
      <c r="U1068" s="106">
        <v>9.403208E9</v>
      </c>
      <c r="V1068" s="112">
        <v>0.0</v>
      </c>
      <c r="W1068" s="106">
        <v>45.0</v>
      </c>
      <c r="X1068" s="106">
        <v>45.0</v>
      </c>
      <c r="Y1068" s="106"/>
      <c r="Z1068" s="106" t="s">
        <v>99</v>
      </c>
      <c r="AA1068" s="114">
        <f t="shared" si="891"/>
        <v>149.7842968</v>
      </c>
      <c r="AB1068" s="115"/>
      <c r="AC1068" s="212">
        <f t="shared" si="892"/>
        <v>149.7584541</v>
      </c>
      <c r="AD1068" s="213">
        <f t="shared" si="799"/>
        <v>161.0305958</v>
      </c>
      <c r="AE1068" s="212"/>
      <c r="AF1068" s="212" t="str">
        <f t="shared" si="94"/>
        <v>#REF!</v>
      </c>
      <c r="AG1068" s="210" t="str">
        <f t="shared" si="95"/>
        <v>#REF!</v>
      </c>
      <c r="AH1068" s="120" t="str">
        <f t="shared" si="96"/>
        <v>#REF!</v>
      </c>
      <c r="AI1068" s="121">
        <f t="shared" si="893"/>
        <v>0.05</v>
      </c>
      <c r="AJ1068" s="121">
        <v>0.05</v>
      </c>
      <c r="AK1068" s="418">
        <v>0.37</v>
      </c>
      <c r="AL1068" s="123">
        <f t="shared" si="11"/>
        <v>55.41062802</v>
      </c>
      <c r="AM1068" s="401" t="s">
        <v>10</v>
      </c>
      <c r="AN1068" s="125">
        <f t="shared" si="894"/>
        <v>149.7584541</v>
      </c>
      <c r="AO1068" s="402">
        <f t="shared" si="895"/>
        <v>0.37</v>
      </c>
      <c r="AP1068" s="127"/>
      <c r="AQ1068" s="403">
        <f t="shared" ref="AQ1068:AR1068" si="924">BC1068/(1-AI1068)</f>
        <v>91.36842105</v>
      </c>
      <c r="AR1068" s="404">
        <f t="shared" si="924"/>
        <v>99.31350114</v>
      </c>
      <c r="AS1068" s="405">
        <f t="shared" si="898"/>
        <v>0.39</v>
      </c>
      <c r="AT1068" s="405">
        <f t="shared" si="899"/>
        <v>0.3368421053</v>
      </c>
      <c r="AU1068" s="129"/>
      <c r="AV1068" s="225" t="s">
        <v>3024</v>
      </c>
      <c r="AW1068" s="416"/>
      <c r="AX1068" s="416"/>
      <c r="AY1068" s="361"/>
      <c r="AZ1068" s="214"/>
      <c r="BA1068" s="214"/>
      <c r="BB1068" s="227"/>
      <c r="BC1068" s="412">
        <v>86.8</v>
      </c>
      <c r="BD1068" s="132">
        <f t="shared" si="905"/>
        <v>94.34782609</v>
      </c>
      <c r="BE1068" s="215"/>
      <c r="BF1068" s="48"/>
      <c r="BG1068" s="49"/>
      <c r="BH1068" s="224">
        <f t="shared" si="910"/>
        <v>499.194847</v>
      </c>
      <c r="BI1068" s="224">
        <f t="shared" si="911"/>
        <v>299.5169082</v>
      </c>
      <c r="BJ1068" s="224">
        <f t="shared" si="912"/>
        <v>249.5974235</v>
      </c>
      <c r="BK1068" s="224">
        <f t="shared" si="913"/>
        <v>199.6779388</v>
      </c>
      <c r="BL1068" s="49"/>
      <c r="BM1068" s="49"/>
      <c r="BN1068" s="49"/>
      <c r="BO1068" s="49"/>
      <c r="BP1068" s="49"/>
      <c r="BQ1068" s="49"/>
      <c r="BR1068" s="49"/>
      <c r="BS1068" s="49"/>
      <c r="BT1068" s="49"/>
      <c r="BU1068" s="49"/>
      <c r="BV1068" s="49"/>
      <c r="BW1068" s="49"/>
      <c r="BX1068" s="49"/>
      <c r="BY1068" s="49"/>
      <c r="BZ1068" s="49"/>
      <c r="CA1068" s="49"/>
      <c r="CB1068" s="49"/>
      <c r="CC1068" s="49"/>
      <c r="CD1068" s="49"/>
      <c r="CE1068" s="49"/>
      <c r="CF1068" s="49"/>
    </row>
    <row r="1069" ht="14.25" customHeight="1">
      <c r="A1069" s="103" t="s">
        <v>84</v>
      </c>
      <c r="B1069" s="103" t="s">
        <v>3073</v>
      </c>
      <c r="C1069" s="103" t="s">
        <v>120</v>
      </c>
      <c r="D1069" s="103" t="s">
        <v>1886</v>
      </c>
      <c r="E1069" s="109" t="s">
        <v>3686</v>
      </c>
      <c r="F1069" s="105" t="s">
        <v>3687</v>
      </c>
      <c r="G1069" s="110"/>
      <c r="H1069" s="110"/>
      <c r="I1069" s="478"/>
      <c r="J1069" s="479" t="s">
        <v>3731</v>
      </c>
      <c r="K1069" s="108"/>
      <c r="L1069" s="104" t="s">
        <v>3732</v>
      </c>
      <c r="M1069" s="104" t="s">
        <v>3733</v>
      </c>
      <c r="N1069" s="110"/>
      <c r="O1069" s="109" t="s">
        <v>147</v>
      </c>
      <c r="P1069" s="106"/>
      <c r="Q1069" s="105" t="s">
        <v>3081</v>
      </c>
      <c r="R1069" s="106"/>
      <c r="S1069" s="106"/>
      <c r="T1069" s="110"/>
      <c r="U1069" s="106">
        <v>9.403208E9</v>
      </c>
      <c r="V1069" s="112">
        <v>0.0</v>
      </c>
      <c r="W1069" s="106">
        <v>45.0</v>
      </c>
      <c r="X1069" s="106">
        <v>45.0</v>
      </c>
      <c r="Y1069" s="106"/>
      <c r="Z1069" s="106" t="s">
        <v>99</v>
      </c>
      <c r="AA1069" s="114" t="str">
        <f t="shared" si="891"/>
        <v>#REF!</v>
      </c>
      <c r="AB1069" s="115"/>
      <c r="AC1069" s="212" t="str">
        <f t="shared" si="892"/>
        <v>#REF!</v>
      </c>
      <c r="AD1069" s="213" t="str">
        <f t="shared" si="799"/>
        <v>#REF!</v>
      </c>
      <c r="AE1069" s="212"/>
      <c r="AF1069" s="212" t="str">
        <f t="shared" si="94"/>
        <v>#REF!</v>
      </c>
      <c r="AG1069" s="210" t="str">
        <f t="shared" si="95"/>
        <v>#REF!</v>
      </c>
      <c r="AH1069" s="120" t="str">
        <f t="shared" si="96"/>
        <v>#REF!</v>
      </c>
      <c r="AI1069" s="121">
        <f t="shared" si="893"/>
        <v>0.05</v>
      </c>
      <c r="AJ1069" s="121">
        <v>0.05</v>
      </c>
      <c r="AK1069" s="418">
        <v>0.37</v>
      </c>
      <c r="AL1069" s="123" t="str">
        <f t="shared" si="11"/>
        <v>#REF!</v>
      </c>
      <c r="AM1069" s="401" t="s">
        <v>10</v>
      </c>
      <c r="AN1069" s="125" t="str">
        <f t="shared" si="894"/>
        <v>#REF!</v>
      </c>
      <c r="AO1069" s="402" t="str">
        <f t="shared" si="895"/>
        <v>#REF!</v>
      </c>
      <c r="AP1069" s="127"/>
      <c r="AQ1069" s="403" t="str">
        <f t="shared" ref="AQ1069:AR1069" si="925">BC1069/(1-AI1069)</f>
        <v>#REF!</v>
      </c>
      <c r="AR1069" s="404" t="str">
        <f t="shared" si="925"/>
        <v>#REF!</v>
      </c>
      <c r="AS1069" s="405" t="str">
        <f t="shared" si="898"/>
        <v>#REF!</v>
      </c>
      <c r="AT1069" s="405" t="str">
        <f t="shared" si="899"/>
        <v>#REF!</v>
      </c>
      <c r="AU1069" s="129"/>
      <c r="AV1069" s="225" t="s">
        <v>3024</v>
      </c>
      <c r="AW1069" s="416"/>
      <c r="AX1069" s="416"/>
      <c r="AY1069" s="361"/>
      <c r="AZ1069" s="214"/>
      <c r="BA1069" s="214"/>
      <c r="BB1069" s="227"/>
      <c r="BC1069" s="412" t="str">
        <f t="shared" ref="BC1069:BC1096" si="927">VLOOKUP(J1069,'[7]ACCESSORIES 19'!$C$5:$I$63,6,FALSE)</f>
        <v>#REF!</v>
      </c>
      <c r="BD1069" s="132" t="str">
        <f t="shared" si="905"/>
        <v>#REF!</v>
      </c>
      <c r="BE1069" s="19"/>
      <c r="BF1069" s="8"/>
      <c r="BG1069" s="1"/>
      <c r="BH1069" s="224" t="str">
        <f t="shared" si="910"/>
        <v>#REF!</v>
      </c>
      <c r="BI1069" s="224" t="str">
        <f t="shared" si="911"/>
        <v>#REF!</v>
      </c>
      <c r="BJ1069" s="224" t="str">
        <f t="shared" si="912"/>
        <v>#REF!</v>
      </c>
      <c r="BK1069" s="224" t="str">
        <f t="shared" si="913"/>
        <v>#REF!</v>
      </c>
      <c r="BL1069" s="49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</row>
    <row r="1070" ht="14.25" customHeight="1">
      <c r="A1070" s="103" t="s">
        <v>84</v>
      </c>
      <c r="B1070" s="103" t="s">
        <v>3073</v>
      </c>
      <c r="C1070" s="103" t="s">
        <v>120</v>
      </c>
      <c r="D1070" s="103" t="s">
        <v>1886</v>
      </c>
      <c r="E1070" s="109" t="s">
        <v>3686</v>
      </c>
      <c r="F1070" s="105" t="s">
        <v>3687</v>
      </c>
      <c r="G1070" s="110"/>
      <c r="H1070" s="110"/>
      <c r="I1070" s="478"/>
      <c r="J1070" s="479" t="s">
        <v>3734</v>
      </c>
      <c r="K1070" s="108"/>
      <c r="L1070" s="104" t="s">
        <v>3735</v>
      </c>
      <c r="M1070" s="104" t="s">
        <v>3736</v>
      </c>
      <c r="N1070" s="110"/>
      <c r="O1070" s="109" t="s">
        <v>147</v>
      </c>
      <c r="P1070" s="106"/>
      <c r="Q1070" s="105" t="s">
        <v>3081</v>
      </c>
      <c r="R1070" s="106"/>
      <c r="S1070" s="106"/>
      <c r="T1070" s="110"/>
      <c r="U1070" s="106">
        <v>9.403208E9</v>
      </c>
      <c r="V1070" s="112">
        <v>0.0</v>
      </c>
      <c r="W1070" s="106">
        <v>45.0</v>
      </c>
      <c r="X1070" s="106">
        <v>45.0</v>
      </c>
      <c r="Y1070" s="106"/>
      <c r="Z1070" s="106" t="s">
        <v>99</v>
      </c>
      <c r="AA1070" s="114" t="str">
        <f t="shared" si="891"/>
        <v>#REF!</v>
      </c>
      <c r="AB1070" s="115"/>
      <c r="AC1070" s="212" t="str">
        <f t="shared" si="892"/>
        <v>#REF!</v>
      </c>
      <c r="AD1070" s="213" t="str">
        <f t="shared" si="799"/>
        <v>#REF!</v>
      </c>
      <c r="AE1070" s="212"/>
      <c r="AF1070" s="212" t="str">
        <f t="shared" si="94"/>
        <v>#REF!</v>
      </c>
      <c r="AG1070" s="210" t="str">
        <f t="shared" si="95"/>
        <v>#REF!</v>
      </c>
      <c r="AH1070" s="120" t="str">
        <f t="shared" si="96"/>
        <v>#REF!</v>
      </c>
      <c r="AI1070" s="121">
        <f t="shared" si="893"/>
        <v>0.05</v>
      </c>
      <c r="AJ1070" s="121">
        <v>0.05</v>
      </c>
      <c r="AK1070" s="418">
        <v>0.37</v>
      </c>
      <c r="AL1070" s="123" t="str">
        <f t="shared" si="11"/>
        <v>#REF!</v>
      </c>
      <c r="AM1070" s="401" t="s">
        <v>10</v>
      </c>
      <c r="AN1070" s="125" t="str">
        <f t="shared" si="894"/>
        <v>#REF!</v>
      </c>
      <c r="AO1070" s="402" t="str">
        <f t="shared" si="895"/>
        <v>#REF!</v>
      </c>
      <c r="AP1070" s="127"/>
      <c r="AQ1070" s="403" t="str">
        <f t="shared" ref="AQ1070:AR1070" si="926">BC1070/(1-AI1070)</f>
        <v>#REF!</v>
      </c>
      <c r="AR1070" s="404" t="str">
        <f t="shared" si="926"/>
        <v>#REF!</v>
      </c>
      <c r="AS1070" s="405" t="str">
        <f t="shared" si="898"/>
        <v>#REF!</v>
      </c>
      <c r="AT1070" s="405" t="str">
        <f t="shared" si="899"/>
        <v>#REF!</v>
      </c>
      <c r="AU1070" s="129"/>
      <c r="AV1070" s="225" t="s">
        <v>3024</v>
      </c>
      <c r="AW1070" s="416"/>
      <c r="AX1070" s="416"/>
      <c r="AY1070" s="361"/>
      <c r="AZ1070" s="214"/>
      <c r="BA1070" s="214"/>
      <c r="BB1070" s="227"/>
      <c r="BC1070" s="412" t="str">
        <f t="shared" si="927"/>
        <v>#REF!</v>
      </c>
      <c r="BD1070" s="132" t="str">
        <f t="shared" si="905"/>
        <v>#REF!</v>
      </c>
      <c r="BE1070" s="19"/>
      <c r="BF1070" s="8"/>
      <c r="BG1070" s="1"/>
      <c r="BH1070" s="224" t="str">
        <f t="shared" si="910"/>
        <v>#REF!</v>
      </c>
      <c r="BI1070" s="224" t="str">
        <f t="shared" si="911"/>
        <v>#REF!</v>
      </c>
      <c r="BJ1070" s="224" t="str">
        <f t="shared" si="912"/>
        <v>#REF!</v>
      </c>
      <c r="BK1070" s="224" t="str">
        <f t="shared" si="913"/>
        <v>#REF!</v>
      </c>
      <c r="BL1070" s="49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</row>
    <row r="1071" ht="14.25" customHeight="1">
      <c r="A1071" s="103" t="s">
        <v>84</v>
      </c>
      <c r="B1071" s="103" t="s">
        <v>3073</v>
      </c>
      <c r="C1071" s="103" t="s">
        <v>120</v>
      </c>
      <c r="D1071" s="103" t="s">
        <v>1886</v>
      </c>
      <c r="E1071" s="105" t="s">
        <v>1887</v>
      </c>
      <c r="F1071" s="105" t="s">
        <v>1887</v>
      </c>
      <c r="G1071" s="110"/>
      <c r="H1071" s="110"/>
      <c r="I1071" s="478"/>
      <c r="J1071" s="479" t="s">
        <v>3737</v>
      </c>
      <c r="K1071" s="108"/>
      <c r="L1071" s="104" t="s">
        <v>3738</v>
      </c>
      <c r="M1071" s="103" t="s">
        <v>3739</v>
      </c>
      <c r="N1071" s="110"/>
      <c r="O1071" s="109" t="s">
        <v>147</v>
      </c>
      <c r="P1071" s="106"/>
      <c r="Q1071" s="105" t="s">
        <v>3081</v>
      </c>
      <c r="R1071" s="110" t="s">
        <v>3740</v>
      </c>
      <c r="S1071" s="106"/>
      <c r="T1071" s="110"/>
      <c r="U1071" s="106">
        <v>9.403208E9</v>
      </c>
      <c r="V1071" s="112">
        <v>0.0</v>
      </c>
      <c r="W1071" s="106">
        <v>45.0</v>
      </c>
      <c r="X1071" s="106">
        <v>45.0</v>
      </c>
      <c r="Y1071" s="113">
        <v>55.0</v>
      </c>
      <c r="Z1071" s="106" t="s">
        <v>99</v>
      </c>
      <c r="AA1071" s="114" t="str">
        <f t="shared" si="891"/>
        <v>#REF!</v>
      </c>
      <c r="AB1071" s="115"/>
      <c r="AC1071" s="212" t="str">
        <f t="shared" si="892"/>
        <v>#REF!</v>
      </c>
      <c r="AD1071" s="213" t="str">
        <f t="shared" si="799"/>
        <v>#REF!</v>
      </c>
      <c r="AE1071" s="212"/>
      <c r="AF1071" s="212" t="str">
        <f t="shared" si="94"/>
        <v>#REF!</v>
      </c>
      <c r="AG1071" s="210" t="str">
        <f t="shared" si="95"/>
        <v>#REF!</v>
      </c>
      <c r="AH1071" s="120" t="str">
        <f t="shared" si="96"/>
        <v>#REF!</v>
      </c>
      <c r="AI1071" s="121">
        <f t="shared" si="893"/>
        <v>0.05</v>
      </c>
      <c r="AJ1071" s="121">
        <v>0.05</v>
      </c>
      <c r="AK1071" s="418">
        <v>0.37</v>
      </c>
      <c r="AL1071" s="123" t="str">
        <f t="shared" si="11"/>
        <v>#REF!</v>
      </c>
      <c r="AM1071" s="401" t="s">
        <v>10</v>
      </c>
      <c r="AN1071" s="125" t="str">
        <f t="shared" si="894"/>
        <v>#REF!</v>
      </c>
      <c r="AO1071" s="402" t="str">
        <f t="shared" si="895"/>
        <v>#REF!</v>
      </c>
      <c r="AP1071" s="127"/>
      <c r="AQ1071" s="403" t="str">
        <f t="shared" ref="AQ1071:AR1071" si="928">BC1071/(1-AI1071)</f>
        <v>#REF!</v>
      </c>
      <c r="AR1071" s="404" t="str">
        <f t="shared" si="928"/>
        <v>#REF!</v>
      </c>
      <c r="AS1071" s="405" t="str">
        <f t="shared" si="898"/>
        <v>#REF!</v>
      </c>
      <c r="AT1071" s="405" t="str">
        <f t="shared" si="899"/>
        <v>#REF!</v>
      </c>
      <c r="AU1071" s="129"/>
      <c r="AV1071" s="225" t="s">
        <v>3024</v>
      </c>
      <c r="AW1071" s="416"/>
      <c r="AX1071" s="416"/>
      <c r="AY1071" s="361"/>
      <c r="AZ1071" s="214"/>
      <c r="BA1071" s="214"/>
      <c r="BB1071" s="227"/>
      <c r="BC1071" s="412" t="str">
        <f t="shared" si="927"/>
        <v>#REF!</v>
      </c>
      <c r="BD1071" s="132" t="str">
        <f t="shared" si="905"/>
        <v>#REF!</v>
      </c>
      <c r="BE1071" s="19"/>
      <c r="BF1071" s="8"/>
      <c r="BG1071" s="1"/>
      <c r="BH1071" s="224" t="str">
        <f t="shared" si="910"/>
        <v>#REF!</v>
      </c>
      <c r="BI1071" s="224" t="str">
        <f t="shared" si="911"/>
        <v>#REF!</v>
      </c>
      <c r="BJ1071" s="224" t="str">
        <f t="shared" si="912"/>
        <v>#REF!</v>
      </c>
      <c r="BK1071" s="224" t="str">
        <f t="shared" si="913"/>
        <v>#REF!</v>
      </c>
      <c r="BL1071" s="49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</row>
    <row r="1072" ht="14.25" customHeight="1">
      <c r="A1072" s="103" t="s">
        <v>84</v>
      </c>
      <c r="B1072" s="103" t="s">
        <v>3073</v>
      </c>
      <c r="C1072" s="103" t="s">
        <v>120</v>
      </c>
      <c r="D1072" s="103" t="s">
        <v>1886</v>
      </c>
      <c r="E1072" s="105" t="s">
        <v>1887</v>
      </c>
      <c r="F1072" s="105" t="s">
        <v>1887</v>
      </c>
      <c r="G1072" s="110"/>
      <c r="H1072" s="110"/>
      <c r="I1072" s="478"/>
      <c r="J1072" s="479" t="s">
        <v>3741</v>
      </c>
      <c r="K1072" s="108"/>
      <c r="L1072" s="104" t="s">
        <v>3742</v>
      </c>
      <c r="M1072" s="103" t="s">
        <v>3743</v>
      </c>
      <c r="N1072" s="110"/>
      <c r="O1072" s="109" t="s">
        <v>147</v>
      </c>
      <c r="P1072" s="106"/>
      <c r="Q1072" s="105" t="s">
        <v>3081</v>
      </c>
      <c r="R1072" s="110" t="s">
        <v>3740</v>
      </c>
      <c r="S1072" s="106"/>
      <c r="T1072" s="110"/>
      <c r="U1072" s="106">
        <v>9.403208E9</v>
      </c>
      <c r="V1072" s="112">
        <v>0.0</v>
      </c>
      <c r="W1072" s="106">
        <v>45.0</v>
      </c>
      <c r="X1072" s="106">
        <v>45.0</v>
      </c>
      <c r="Y1072" s="113">
        <v>55.0</v>
      </c>
      <c r="Z1072" s="106" t="s">
        <v>99</v>
      </c>
      <c r="AA1072" s="114" t="str">
        <f t="shared" si="891"/>
        <v>#REF!</v>
      </c>
      <c r="AB1072" s="115"/>
      <c r="AC1072" s="212" t="str">
        <f t="shared" si="892"/>
        <v>#REF!</v>
      </c>
      <c r="AD1072" s="213" t="str">
        <f t="shared" si="799"/>
        <v>#REF!</v>
      </c>
      <c r="AE1072" s="212"/>
      <c r="AF1072" s="212" t="str">
        <f t="shared" si="94"/>
        <v>#REF!</v>
      </c>
      <c r="AG1072" s="210" t="str">
        <f t="shared" si="95"/>
        <v>#REF!</v>
      </c>
      <c r="AH1072" s="120" t="str">
        <f t="shared" si="96"/>
        <v>#REF!</v>
      </c>
      <c r="AI1072" s="121">
        <f t="shared" si="893"/>
        <v>0.05</v>
      </c>
      <c r="AJ1072" s="121">
        <v>0.05</v>
      </c>
      <c r="AK1072" s="418">
        <v>0.37</v>
      </c>
      <c r="AL1072" s="123" t="str">
        <f t="shared" si="11"/>
        <v>#REF!</v>
      </c>
      <c r="AM1072" s="401" t="s">
        <v>10</v>
      </c>
      <c r="AN1072" s="125" t="str">
        <f t="shared" si="894"/>
        <v>#REF!</v>
      </c>
      <c r="AO1072" s="402" t="str">
        <f t="shared" si="895"/>
        <v>#REF!</v>
      </c>
      <c r="AP1072" s="127"/>
      <c r="AQ1072" s="403" t="str">
        <f t="shared" ref="AQ1072:AR1072" si="929">BC1072/(1-AI1072)</f>
        <v>#REF!</v>
      </c>
      <c r="AR1072" s="404" t="str">
        <f t="shared" si="929"/>
        <v>#REF!</v>
      </c>
      <c r="AS1072" s="405" t="str">
        <f t="shared" si="898"/>
        <v>#REF!</v>
      </c>
      <c r="AT1072" s="405" t="str">
        <f t="shared" si="899"/>
        <v>#REF!</v>
      </c>
      <c r="AU1072" s="129"/>
      <c r="AV1072" s="225" t="s">
        <v>3024</v>
      </c>
      <c r="AW1072" s="416"/>
      <c r="AX1072" s="416"/>
      <c r="AY1072" s="361"/>
      <c r="AZ1072" s="214"/>
      <c r="BA1072" s="214"/>
      <c r="BB1072" s="227"/>
      <c r="BC1072" s="412" t="str">
        <f t="shared" si="927"/>
        <v>#REF!</v>
      </c>
      <c r="BD1072" s="132" t="str">
        <f t="shared" si="905"/>
        <v>#REF!</v>
      </c>
      <c r="BE1072" s="19"/>
      <c r="BF1072" s="8"/>
      <c r="BG1072" s="1"/>
      <c r="BH1072" s="224" t="str">
        <f t="shared" si="910"/>
        <v>#REF!</v>
      </c>
      <c r="BI1072" s="224" t="str">
        <f t="shared" si="911"/>
        <v>#REF!</v>
      </c>
      <c r="BJ1072" s="224" t="str">
        <f t="shared" si="912"/>
        <v>#REF!</v>
      </c>
      <c r="BK1072" s="224" t="str">
        <f t="shared" si="913"/>
        <v>#REF!</v>
      </c>
      <c r="BL1072" s="49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</row>
    <row r="1073" ht="14.25" customHeight="1">
      <c r="A1073" s="103" t="s">
        <v>84</v>
      </c>
      <c r="B1073" s="103" t="s">
        <v>3073</v>
      </c>
      <c r="C1073" s="103" t="s">
        <v>120</v>
      </c>
      <c r="D1073" s="103" t="s">
        <v>1886</v>
      </c>
      <c r="E1073" s="105" t="s">
        <v>1887</v>
      </c>
      <c r="F1073" s="105" t="s">
        <v>1887</v>
      </c>
      <c r="G1073" s="110"/>
      <c r="H1073" s="110"/>
      <c r="I1073" s="478"/>
      <c r="J1073" s="479" t="s">
        <v>3744</v>
      </c>
      <c r="K1073" s="108"/>
      <c r="L1073" s="104" t="s">
        <v>3745</v>
      </c>
      <c r="M1073" s="103" t="s">
        <v>3746</v>
      </c>
      <c r="N1073" s="110"/>
      <c r="O1073" s="109" t="s">
        <v>147</v>
      </c>
      <c r="P1073" s="106"/>
      <c r="Q1073" s="105" t="s">
        <v>3081</v>
      </c>
      <c r="R1073" s="110" t="s">
        <v>3740</v>
      </c>
      <c r="S1073" s="106"/>
      <c r="T1073" s="110"/>
      <c r="U1073" s="106">
        <v>9.403208E9</v>
      </c>
      <c r="V1073" s="112">
        <v>0.0</v>
      </c>
      <c r="W1073" s="106">
        <v>45.0</v>
      </c>
      <c r="X1073" s="106">
        <v>45.0</v>
      </c>
      <c r="Y1073" s="113">
        <v>55.0</v>
      </c>
      <c r="Z1073" s="106" t="s">
        <v>99</v>
      </c>
      <c r="AA1073" s="114" t="str">
        <f t="shared" si="891"/>
        <v>#REF!</v>
      </c>
      <c r="AB1073" s="115"/>
      <c r="AC1073" s="212" t="str">
        <f t="shared" si="892"/>
        <v>#REF!</v>
      </c>
      <c r="AD1073" s="213" t="str">
        <f t="shared" si="799"/>
        <v>#REF!</v>
      </c>
      <c r="AE1073" s="212"/>
      <c r="AF1073" s="212" t="str">
        <f t="shared" si="94"/>
        <v>#REF!</v>
      </c>
      <c r="AG1073" s="210" t="str">
        <f t="shared" si="95"/>
        <v>#REF!</v>
      </c>
      <c r="AH1073" s="120" t="str">
        <f t="shared" si="96"/>
        <v>#REF!</v>
      </c>
      <c r="AI1073" s="121">
        <f t="shared" si="893"/>
        <v>0.05</v>
      </c>
      <c r="AJ1073" s="121">
        <v>0.05</v>
      </c>
      <c r="AK1073" s="418">
        <v>0.37</v>
      </c>
      <c r="AL1073" s="123" t="str">
        <f t="shared" si="11"/>
        <v>#REF!</v>
      </c>
      <c r="AM1073" s="401" t="s">
        <v>10</v>
      </c>
      <c r="AN1073" s="125" t="str">
        <f t="shared" si="894"/>
        <v>#REF!</v>
      </c>
      <c r="AO1073" s="402" t="str">
        <f t="shared" si="895"/>
        <v>#REF!</v>
      </c>
      <c r="AP1073" s="127"/>
      <c r="AQ1073" s="403" t="str">
        <f t="shared" ref="AQ1073:AR1073" si="930">BC1073/(1-AI1073)</f>
        <v>#REF!</v>
      </c>
      <c r="AR1073" s="404" t="str">
        <f t="shared" si="930"/>
        <v>#REF!</v>
      </c>
      <c r="AS1073" s="405" t="str">
        <f t="shared" si="898"/>
        <v>#REF!</v>
      </c>
      <c r="AT1073" s="405" t="str">
        <f t="shared" si="899"/>
        <v>#REF!</v>
      </c>
      <c r="AU1073" s="129"/>
      <c r="AV1073" s="225" t="s">
        <v>3024</v>
      </c>
      <c r="AW1073" s="416"/>
      <c r="AX1073" s="416"/>
      <c r="AY1073" s="361"/>
      <c r="AZ1073" s="214"/>
      <c r="BA1073" s="214"/>
      <c r="BB1073" s="227"/>
      <c r="BC1073" s="412" t="str">
        <f t="shared" si="927"/>
        <v>#REF!</v>
      </c>
      <c r="BD1073" s="132" t="str">
        <f t="shared" si="905"/>
        <v>#REF!</v>
      </c>
      <c r="BE1073" s="19"/>
      <c r="BF1073" s="8"/>
      <c r="BG1073" s="1"/>
      <c r="BH1073" s="224" t="str">
        <f t="shared" si="910"/>
        <v>#REF!</v>
      </c>
      <c r="BI1073" s="224" t="str">
        <f t="shared" si="911"/>
        <v>#REF!</v>
      </c>
      <c r="BJ1073" s="224" t="str">
        <f t="shared" si="912"/>
        <v>#REF!</v>
      </c>
      <c r="BK1073" s="224" t="str">
        <f t="shared" si="913"/>
        <v>#REF!</v>
      </c>
      <c r="BL1073" s="49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</row>
    <row r="1074" ht="14.25" customHeight="1">
      <c r="A1074" s="103" t="s">
        <v>84</v>
      </c>
      <c r="B1074" s="103" t="s">
        <v>3073</v>
      </c>
      <c r="C1074" s="103" t="s">
        <v>120</v>
      </c>
      <c r="D1074" s="103" t="s">
        <v>1886</v>
      </c>
      <c r="E1074" s="105" t="s">
        <v>1887</v>
      </c>
      <c r="F1074" s="105" t="s">
        <v>1887</v>
      </c>
      <c r="G1074" s="110"/>
      <c r="H1074" s="110"/>
      <c r="I1074" s="478"/>
      <c r="J1074" s="479" t="s">
        <v>3747</v>
      </c>
      <c r="K1074" s="108"/>
      <c r="L1074" s="104" t="s">
        <v>3748</v>
      </c>
      <c r="M1074" s="103" t="s">
        <v>3749</v>
      </c>
      <c r="N1074" s="110"/>
      <c r="O1074" s="109" t="s">
        <v>147</v>
      </c>
      <c r="P1074" s="106"/>
      <c r="Q1074" s="105" t="s">
        <v>3081</v>
      </c>
      <c r="R1074" s="110" t="s">
        <v>3740</v>
      </c>
      <c r="S1074" s="106"/>
      <c r="T1074" s="110"/>
      <c r="U1074" s="106">
        <v>9.403208E9</v>
      </c>
      <c r="V1074" s="112">
        <v>0.0</v>
      </c>
      <c r="W1074" s="106">
        <v>45.0</v>
      </c>
      <c r="X1074" s="106">
        <v>45.0</v>
      </c>
      <c r="Y1074" s="113">
        <v>55.0</v>
      </c>
      <c r="Z1074" s="106" t="s">
        <v>99</v>
      </c>
      <c r="AA1074" s="114" t="str">
        <f t="shared" si="891"/>
        <v>#REF!</v>
      </c>
      <c r="AB1074" s="115"/>
      <c r="AC1074" s="212" t="str">
        <f t="shared" si="892"/>
        <v>#REF!</v>
      </c>
      <c r="AD1074" s="213" t="str">
        <f t="shared" si="799"/>
        <v>#REF!</v>
      </c>
      <c r="AE1074" s="212"/>
      <c r="AF1074" s="212" t="str">
        <f t="shared" si="94"/>
        <v>#REF!</v>
      </c>
      <c r="AG1074" s="210" t="str">
        <f t="shared" si="95"/>
        <v>#REF!</v>
      </c>
      <c r="AH1074" s="120" t="str">
        <f t="shared" si="96"/>
        <v>#REF!</v>
      </c>
      <c r="AI1074" s="121">
        <f t="shared" si="893"/>
        <v>0.05</v>
      </c>
      <c r="AJ1074" s="121">
        <v>0.05</v>
      </c>
      <c r="AK1074" s="418">
        <v>0.37</v>
      </c>
      <c r="AL1074" s="123" t="str">
        <f t="shared" si="11"/>
        <v>#REF!</v>
      </c>
      <c r="AM1074" s="401" t="s">
        <v>10</v>
      </c>
      <c r="AN1074" s="125" t="str">
        <f t="shared" si="894"/>
        <v>#REF!</v>
      </c>
      <c r="AO1074" s="402" t="str">
        <f t="shared" si="895"/>
        <v>#REF!</v>
      </c>
      <c r="AP1074" s="127"/>
      <c r="AQ1074" s="403" t="str">
        <f t="shared" ref="AQ1074:AR1074" si="931">BC1074/(1-AI1074)</f>
        <v>#REF!</v>
      </c>
      <c r="AR1074" s="404" t="str">
        <f t="shared" si="931"/>
        <v>#REF!</v>
      </c>
      <c r="AS1074" s="405" t="str">
        <f t="shared" si="898"/>
        <v>#REF!</v>
      </c>
      <c r="AT1074" s="405" t="str">
        <f t="shared" si="899"/>
        <v>#REF!</v>
      </c>
      <c r="AU1074" s="129"/>
      <c r="AV1074" s="225" t="s">
        <v>3024</v>
      </c>
      <c r="AW1074" s="416"/>
      <c r="AX1074" s="416"/>
      <c r="AY1074" s="361"/>
      <c r="AZ1074" s="214"/>
      <c r="BA1074" s="214"/>
      <c r="BB1074" s="227"/>
      <c r="BC1074" s="412" t="str">
        <f t="shared" si="927"/>
        <v>#REF!</v>
      </c>
      <c r="BD1074" s="132" t="str">
        <f t="shared" si="905"/>
        <v>#REF!</v>
      </c>
      <c r="BE1074" s="19"/>
      <c r="BF1074" s="8"/>
      <c r="BG1074" s="1"/>
      <c r="BH1074" s="224" t="str">
        <f t="shared" si="910"/>
        <v>#REF!</v>
      </c>
      <c r="BI1074" s="224" t="str">
        <f t="shared" si="911"/>
        <v>#REF!</v>
      </c>
      <c r="BJ1074" s="224" t="str">
        <f t="shared" si="912"/>
        <v>#REF!</v>
      </c>
      <c r="BK1074" s="224" t="str">
        <f t="shared" si="913"/>
        <v>#REF!</v>
      </c>
      <c r="BL1074" s="49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</row>
    <row r="1075" ht="14.25" customHeight="1">
      <c r="A1075" s="103" t="s">
        <v>84</v>
      </c>
      <c r="B1075" s="103" t="s">
        <v>3073</v>
      </c>
      <c r="C1075" s="103" t="s">
        <v>120</v>
      </c>
      <c r="D1075" s="103" t="s">
        <v>1886</v>
      </c>
      <c r="E1075" s="105" t="s">
        <v>1887</v>
      </c>
      <c r="F1075" s="105" t="s">
        <v>1887</v>
      </c>
      <c r="G1075" s="110"/>
      <c r="H1075" s="110"/>
      <c r="I1075" s="478"/>
      <c r="J1075" s="479" t="s">
        <v>3750</v>
      </c>
      <c r="K1075" s="108"/>
      <c r="L1075" s="104" t="s">
        <v>3751</v>
      </c>
      <c r="M1075" s="103" t="s">
        <v>3752</v>
      </c>
      <c r="N1075" s="110"/>
      <c r="O1075" s="109" t="s">
        <v>147</v>
      </c>
      <c r="P1075" s="106"/>
      <c r="Q1075" s="105" t="s">
        <v>3081</v>
      </c>
      <c r="R1075" s="110" t="s">
        <v>3740</v>
      </c>
      <c r="S1075" s="106"/>
      <c r="T1075" s="110"/>
      <c r="U1075" s="106">
        <v>9.403208E9</v>
      </c>
      <c r="V1075" s="112">
        <v>0.0</v>
      </c>
      <c r="W1075" s="106">
        <v>45.0</v>
      </c>
      <c r="X1075" s="106">
        <v>45.0</v>
      </c>
      <c r="Y1075" s="113">
        <v>55.0</v>
      </c>
      <c r="Z1075" s="106" t="s">
        <v>99</v>
      </c>
      <c r="AA1075" s="114" t="str">
        <f t="shared" si="891"/>
        <v>#REF!</v>
      </c>
      <c r="AB1075" s="115"/>
      <c r="AC1075" s="212" t="str">
        <f t="shared" si="892"/>
        <v>#REF!</v>
      </c>
      <c r="AD1075" s="213" t="str">
        <f t="shared" si="799"/>
        <v>#REF!</v>
      </c>
      <c r="AE1075" s="212"/>
      <c r="AF1075" s="212" t="str">
        <f t="shared" si="94"/>
        <v>#REF!</v>
      </c>
      <c r="AG1075" s="210" t="str">
        <f t="shared" si="95"/>
        <v>#REF!</v>
      </c>
      <c r="AH1075" s="120" t="str">
        <f t="shared" si="96"/>
        <v>#REF!</v>
      </c>
      <c r="AI1075" s="121">
        <f t="shared" si="893"/>
        <v>0.05</v>
      </c>
      <c r="AJ1075" s="121">
        <v>0.05</v>
      </c>
      <c r="AK1075" s="418">
        <v>0.37</v>
      </c>
      <c r="AL1075" s="123" t="str">
        <f t="shared" si="11"/>
        <v>#REF!</v>
      </c>
      <c r="AM1075" s="401" t="s">
        <v>10</v>
      </c>
      <c r="AN1075" s="125" t="str">
        <f t="shared" si="894"/>
        <v>#REF!</v>
      </c>
      <c r="AO1075" s="402" t="str">
        <f t="shared" si="895"/>
        <v>#REF!</v>
      </c>
      <c r="AP1075" s="127"/>
      <c r="AQ1075" s="403" t="str">
        <f t="shared" ref="AQ1075:AR1075" si="932">BC1075/(1-AI1075)</f>
        <v>#REF!</v>
      </c>
      <c r="AR1075" s="404" t="str">
        <f t="shared" si="932"/>
        <v>#REF!</v>
      </c>
      <c r="AS1075" s="405" t="str">
        <f t="shared" si="898"/>
        <v>#REF!</v>
      </c>
      <c r="AT1075" s="405" t="str">
        <f t="shared" si="899"/>
        <v>#REF!</v>
      </c>
      <c r="AU1075" s="129"/>
      <c r="AV1075" s="225" t="s">
        <v>3024</v>
      </c>
      <c r="AW1075" s="416"/>
      <c r="AX1075" s="416"/>
      <c r="AY1075" s="361"/>
      <c r="AZ1075" s="214"/>
      <c r="BA1075" s="214"/>
      <c r="BB1075" s="227"/>
      <c r="BC1075" s="412" t="str">
        <f t="shared" si="927"/>
        <v>#REF!</v>
      </c>
      <c r="BD1075" s="132" t="str">
        <f t="shared" si="905"/>
        <v>#REF!</v>
      </c>
      <c r="BE1075" s="19"/>
      <c r="BF1075" s="8"/>
      <c r="BG1075" s="1"/>
      <c r="BH1075" s="224" t="str">
        <f t="shared" si="910"/>
        <v>#REF!</v>
      </c>
      <c r="BI1075" s="224" t="str">
        <f t="shared" si="911"/>
        <v>#REF!</v>
      </c>
      <c r="BJ1075" s="224" t="str">
        <f t="shared" si="912"/>
        <v>#REF!</v>
      </c>
      <c r="BK1075" s="224" t="str">
        <f t="shared" si="913"/>
        <v>#REF!</v>
      </c>
      <c r="BL1075" s="49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</row>
    <row r="1076" ht="14.25" customHeight="1">
      <c r="A1076" s="103" t="s">
        <v>84</v>
      </c>
      <c r="B1076" s="103" t="s">
        <v>3073</v>
      </c>
      <c r="C1076" s="103" t="s">
        <v>120</v>
      </c>
      <c r="D1076" s="103" t="s">
        <v>1886</v>
      </c>
      <c r="E1076" s="105" t="s">
        <v>1887</v>
      </c>
      <c r="F1076" s="105" t="s">
        <v>1887</v>
      </c>
      <c r="G1076" s="110"/>
      <c r="H1076" s="110"/>
      <c r="I1076" s="478"/>
      <c r="J1076" s="479" t="s">
        <v>3753</v>
      </c>
      <c r="K1076" s="108"/>
      <c r="L1076" s="104" t="s">
        <v>3754</v>
      </c>
      <c r="M1076" s="103" t="s">
        <v>3755</v>
      </c>
      <c r="N1076" s="110"/>
      <c r="O1076" s="109" t="s">
        <v>147</v>
      </c>
      <c r="P1076" s="106"/>
      <c r="Q1076" s="105" t="s">
        <v>3081</v>
      </c>
      <c r="R1076" s="110" t="s">
        <v>3740</v>
      </c>
      <c r="S1076" s="106"/>
      <c r="T1076" s="110"/>
      <c r="U1076" s="106">
        <v>9.403208E9</v>
      </c>
      <c r="V1076" s="112">
        <v>0.0</v>
      </c>
      <c r="W1076" s="106">
        <v>45.0</v>
      </c>
      <c r="X1076" s="106">
        <v>45.0</v>
      </c>
      <c r="Y1076" s="113">
        <v>55.0</v>
      </c>
      <c r="Z1076" s="106" t="s">
        <v>99</v>
      </c>
      <c r="AA1076" s="114" t="str">
        <f t="shared" si="891"/>
        <v>#REF!</v>
      </c>
      <c r="AB1076" s="115"/>
      <c r="AC1076" s="212" t="str">
        <f t="shared" si="892"/>
        <v>#REF!</v>
      </c>
      <c r="AD1076" s="213" t="str">
        <f t="shared" si="799"/>
        <v>#REF!</v>
      </c>
      <c r="AE1076" s="212"/>
      <c r="AF1076" s="212" t="str">
        <f t="shared" si="94"/>
        <v>#REF!</v>
      </c>
      <c r="AG1076" s="210" t="str">
        <f t="shared" si="95"/>
        <v>#REF!</v>
      </c>
      <c r="AH1076" s="120" t="str">
        <f t="shared" si="96"/>
        <v>#REF!</v>
      </c>
      <c r="AI1076" s="121">
        <f t="shared" si="893"/>
        <v>0.05</v>
      </c>
      <c r="AJ1076" s="121">
        <v>0.05</v>
      </c>
      <c r="AK1076" s="418">
        <v>0.37</v>
      </c>
      <c r="AL1076" s="123" t="str">
        <f t="shared" si="11"/>
        <v>#REF!</v>
      </c>
      <c r="AM1076" s="401" t="s">
        <v>10</v>
      </c>
      <c r="AN1076" s="125" t="str">
        <f t="shared" si="894"/>
        <v>#REF!</v>
      </c>
      <c r="AO1076" s="402" t="str">
        <f t="shared" si="895"/>
        <v>#REF!</v>
      </c>
      <c r="AP1076" s="127"/>
      <c r="AQ1076" s="403" t="str">
        <f t="shared" ref="AQ1076:AR1076" si="933">BC1076/(1-AI1076)</f>
        <v>#REF!</v>
      </c>
      <c r="AR1076" s="404" t="str">
        <f t="shared" si="933"/>
        <v>#REF!</v>
      </c>
      <c r="AS1076" s="405" t="str">
        <f t="shared" si="898"/>
        <v>#REF!</v>
      </c>
      <c r="AT1076" s="405" t="str">
        <f t="shared" si="899"/>
        <v>#REF!</v>
      </c>
      <c r="AU1076" s="129"/>
      <c r="AV1076" s="225" t="s">
        <v>3024</v>
      </c>
      <c r="AW1076" s="416"/>
      <c r="AX1076" s="416"/>
      <c r="AY1076" s="361"/>
      <c r="AZ1076" s="214"/>
      <c r="BA1076" s="214"/>
      <c r="BB1076" s="227"/>
      <c r="BC1076" s="412" t="str">
        <f t="shared" si="927"/>
        <v>#REF!</v>
      </c>
      <c r="BD1076" s="132" t="str">
        <f t="shared" si="905"/>
        <v>#REF!</v>
      </c>
      <c r="BE1076" s="19"/>
      <c r="BF1076" s="8"/>
      <c r="BG1076" s="1"/>
      <c r="BH1076" s="224" t="str">
        <f t="shared" si="910"/>
        <v>#REF!</v>
      </c>
      <c r="BI1076" s="224" t="str">
        <f t="shared" si="911"/>
        <v>#REF!</v>
      </c>
      <c r="BJ1076" s="224" t="str">
        <f t="shared" si="912"/>
        <v>#REF!</v>
      </c>
      <c r="BK1076" s="224" t="str">
        <f t="shared" si="913"/>
        <v>#REF!</v>
      </c>
      <c r="BL1076" s="49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</row>
    <row r="1077" ht="14.25" customHeight="1">
      <c r="A1077" s="103" t="s">
        <v>84</v>
      </c>
      <c r="B1077" s="103" t="s">
        <v>3073</v>
      </c>
      <c r="C1077" s="103" t="s">
        <v>120</v>
      </c>
      <c r="D1077" s="103" t="s">
        <v>1886</v>
      </c>
      <c r="E1077" s="105" t="s">
        <v>1887</v>
      </c>
      <c r="F1077" s="105" t="s">
        <v>1887</v>
      </c>
      <c r="G1077" s="110"/>
      <c r="H1077" s="110"/>
      <c r="I1077" s="478"/>
      <c r="J1077" s="479" t="s">
        <v>3756</v>
      </c>
      <c r="K1077" s="108"/>
      <c r="L1077" s="104" t="s">
        <v>3757</v>
      </c>
      <c r="M1077" s="103" t="s">
        <v>3758</v>
      </c>
      <c r="N1077" s="110"/>
      <c r="O1077" s="109" t="s">
        <v>147</v>
      </c>
      <c r="P1077" s="106"/>
      <c r="Q1077" s="105" t="s">
        <v>3081</v>
      </c>
      <c r="R1077" s="110" t="s">
        <v>3740</v>
      </c>
      <c r="S1077" s="106"/>
      <c r="T1077" s="110"/>
      <c r="U1077" s="106">
        <v>9.403208E9</v>
      </c>
      <c r="V1077" s="112">
        <v>0.0</v>
      </c>
      <c r="W1077" s="106">
        <v>45.0</v>
      </c>
      <c r="X1077" s="106">
        <v>45.0</v>
      </c>
      <c r="Y1077" s="113">
        <v>55.0</v>
      </c>
      <c r="Z1077" s="106" t="s">
        <v>99</v>
      </c>
      <c r="AA1077" s="114" t="str">
        <f t="shared" si="891"/>
        <v>#REF!</v>
      </c>
      <c r="AB1077" s="115"/>
      <c r="AC1077" s="212" t="str">
        <f t="shared" si="892"/>
        <v>#REF!</v>
      </c>
      <c r="AD1077" s="213" t="str">
        <f t="shared" si="799"/>
        <v>#REF!</v>
      </c>
      <c r="AE1077" s="212"/>
      <c r="AF1077" s="212" t="str">
        <f t="shared" si="94"/>
        <v>#REF!</v>
      </c>
      <c r="AG1077" s="210" t="str">
        <f t="shared" si="95"/>
        <v>#REF!</v>
      </c>
      <c r="AH1077" s="120" t="str">
        <f t="shared" si="96"/>
        <v>#REF!</v>
      </c>
      <c r="AI1077" s="121">
        <f t="shared" si="893"/>
        <v>0.05</v>
      </c>
      <c r="AJ1077" s="121">
        <v>0.05</v>
      </c>
      <c r="AK1077" s="418">
        <v>0.37</v>
      </c>
      <c r="AL1077" s="123" t="str">
        <f t="shared" si="11"/>
        <v>#REF!</v>
      </c>
      <c r="AM1077" s="401" t="s">
        <v>10</v>
      </c>
      <c r="AN1077" s="125" t="str">
        <f t="shared" si="894"/>
        <v>#REF!</v>
      </c>
      <c r="AO1077" s="402" t="str">
        <f t="shared" si="895"/>
        <v>#REF!</v>
      </c>
      <c r="AP1077" s="127"/>
      <c r="AQ1077" s="403" t="str">
        <f t="shared" ref="AQ1077:AR1077" si="934">BC1077/(1-AI1077)</f>
        <v>#REF!</v>
      </c>
      <c r="AR1077" s="404" t="str">
        <f t="shared" si="934"/>
        <v>#REF!</v>
      </c>
      <c r="AS1077" s="405" t="str">
        <f t="shared" si="898"/>
        <v>#REF!</v>
      </c>
      <c r="AT1077" s="405" t="str">
        <f t="shared" si="899"/>
        <v>#REF!</v>
      </c>
      <c r="AU1077" s="129"/>
      <c r="AV1077" s="225" t="s">
        <v>3024</v>
      </c>
      <c r="AW1077" s="416"/>
      <c r="AX1077" s="416"/>
      <c r="AY1077" s="361"/>
      <c r="AZ1077" s="214"/>
      <c r="BA1077" s="214"/>
      <c r="BB1077" s="227"/>
      <c r="BC1077" s="412" t="str">
        <f t="shared" si="927"/>
        <v>#REF!</v>
      </c>
      <c r="BD1077" s="132" t="str">
        <f t="shared" si="905"/>
        <v>#REF!</v>
      </c>
      <c r="BE1077" s="19"/>
      <c r="BF1077" s="8"/>
      <c r="BG1077" s="1"/>
      <c r="BH1077" s="224" t="str">
        <f t="shared" si="910"/>
        <v>#REF!</v>
      </c>
      <c r="BI1077" s="224" t="str">
        <f t="shared" si="911"/>
        <v>#REF!</v>
      </c>
      <c r="BJ1077" s="224" t="str">
        <f t="shared" si="912"/>
        <v>#REF!</v>
      </c>
      <c r="BK1077" s="224" t="str">
        <f t="shared" si="913"/>
        <v>#REF!</v>
      </c>
      <c r="BL1077" s="49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</row>
    <row r="1078" ht="14.25" customHeight="1">
      <c r="A1078" s="103" t="s">
        <v>84</v>
      </c>
      <c r="B1078" s="103" t="s">
        <v>3073</v>
      </c>
      <c r="C1078" s="103" t="s">
        <v>120</v>
      </c>
      <c r="D1078" s="103" t="s">
        <v>1886</v>
      </c>
      <c r="E1078" s="105" t="s">
        <v>1887</v>
      </c>
      <c r="F1078" s="105" t="s">
        <v>1887</v>
      </c>
      <c r="G1078" s="110"/>
      <c r="H1078" s="110"/>
      <c r="I1078" s="478"/>
      <c r="J1078" s="479" t="s">
        <v>3759</v>
      </c>
      <c r="K1078" s="108"/>
      <c r="L1078" s="104" t="s">
        <v>3760</v>
      </c>
      <c r="M1078" s="103" t="s">
        <v>3761</v>
      </c>
      <c r="N1078" s="110"/>
      <c r="O1078" s="109" t="s">
        <v>147</v>
      </c>
      <c r="P1078" s="106"/>
      <c r="Q1078" s="105" t="s">
        <v>3081</v>
      </c>
      <c r="R1078" s="110" t="s">
        <v>3740</v>
      </c>
      <c r="S1078" s="106"/>
      <c r="T1078" s="110"/>
      <c r="U1078" s="106">
        <v>9.403208E9</v>
      </c>
      <c r="V1078" s="112">
        <v>0.0</v>
      </c>
      <c r="W1078" s="106">
        <v>45.0</v>
      </c>
      <c r="X1078" s="106">
        <v>45.0</v>
      </c>
      <c r="Y1078" s="113">
        <v>55.0</v>
      </c>
      <c r="Z1078" s="106" t="s">
        <v>99</v>
      </c>
      <c r="AA1078" s="114" t="str">
        <f t="shared" si="891"/>
        <v>#REF!</v>
      </c>
      <c r="AB1078" s="115"/>
      <c r="AC1078" s="212" t="str">
        <f t="shared" si="892"/>
        <v>#REF!</v>
      </c>
      <c r="AD1078" s="213" t="str">
        <f t="shared" si="799"/>
        <v>#REF!</v>
      </c>
      <c r="AE1078" s="212"/>
      <c r="AF1078" s="212" t="str">
        <f t="shared" si="94"/>
        <v>#REF!</v>
      </c>
      <c r="AG1078" s="210" t="str">
        <f t="shared" si="95"/>
        <v>#REF!</v>
      </c>
      <c r="AH1078" s="120" t="str">
        <f t="shared" si="96"/>
        <v>#REF!</v>
      </c>
      <c r="AI1078" s="121">
        <f t="shared" si="893"/>
        <v>0.05</v>
      </c>
      <c r="AJ1078" s="121">
        <v>0.05</v>
      </c>
      <c r="AK1078" s="418">
        <v>0.37</v>
      </c>
      <c r="AL1078" s="123" t="str">
        <f t="shared" si="11"/>
        <v>#REF!</v>
      </c>
      <c r="AM1078" s="401" t="s">
        <v>10</v>
      </c>
      <c r="AN1078" s="125" t="str">
        <f t="shared" si="894"/>
        <v>#REF!</v>
      </c>
      <c r="AO1078" s="402" t="str">
        <f t="shared" si="895"/>
        <v>#REF!</v>
      </c>
      <c r="AP1078" s="127"/>
      <c r="AQ1078" s="403" t="str">
        <f t="shared" ref="AQ1078:AR1078" si="935">BC1078/(1-AI1078)</f>
        <v>#REF!</v>
      </c>
      <c r="AR1078" s="404" t="str">
        <f t="shared" si="935"/>
        <v>#REF!</v>
      </c>
      <c r="AS1078" s="405" t="str">
        <f t="shared" si="898"/>
        <v>#REF!</v>
      </c>
      <c r="AT1078" s="405" t="str">
        <f t="shared" si="899"/>
        <v>#REF!</v>
      </c>
      <c r="AU1078" s="129"/>
      <c r="AV1078" s="225" t="s">
        <v>3024</v>
      </c>
      <c r="AW1078" s="416"/>
      <c r="AX1078" s="416"/>
      <c r="AY1078" s="361"/>
      <c r="AZ1078" s="214"/>
      <c r="BA1078" s="214"/>
      <c r="BB1078" s="227"/>
      <c r="BC1078" s="412" t="str">
        <f t="shared" si="927"/>
        <v>#REF!</v>
      </c>
      <c r="BD1078" s="132" t="str">
        <f t="shared" si="905"/>
        <v>#REF!</v>
      </c>
      <c r="BE1078" s="19"/>
      <c r="BF1078" s="8"/>
      <c r="BG1078" s="1"/>
      <c r="BH1078" s="224" t="str">
        <f t="shared" si="910"/>
        <v>#REF!</v>
      </c>
      <c r="BI1078" s="224" t="str">
        <f t="shared" si="911"/>
        <v>#REF!</v>
      </c>
      <c r="BJ1078" s="224" t="str">
        <f t="shared" si="912"/>
        <v>#REF!</v>
      </c>
      <c r="BK1078" s="224" t="str">
        <f t="shared" si="913"/>
        <v>#REF!</v>
      </c>
      <c r="BL1078" s="49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</row>
    <row r="1079" ht="14.25" customHeight="1">
      <c r="A1079" s="103" t="s">
        <v>84</v>
      </c>
      <c r="B1079" s="103" t="s">
        <v>3073</v>
      </c>
      <c r="C1079" s="103" t="s">
        <v>120</v>
      </c>
      <c r="D1079" s="103" t="s">
        <v>1886</v>
      </c>
      <c r="E1079" s="105" t="s">
        <v>1887</v>
      </c>
      <c r="F1079" s="105" t="s">
        <v>1887</v>
      </c>
      <c r="G1079" s="110"/>
      <c r="H1079" s="110"/>
      <c r="I1079" s="478"/>
      <c r="J1079" s="479" t="s">
        <v>3762</v>
      </c>
      <c r="K1079" s="108"/>
      <c r="L1079" s="104" t="s">
        <v>3763</v>
      </c>
      <c r="M1079" s="103" t="s">
        <v>3764</v>
      </c>
      <c r="N1079" s="110"/>
      <c r="O1079" s="109" t="s">
        <v>147</v>
      </c>
      <c r="P1079" s="106"/>
      <c r="Q1079" s="105" t="s">
        <v>3081</v>
      </c>
      <c r="R1079" s="110" t="s">
        <v>3740</v>
      </c>
      <c r="S1079" s="106"/>
      <c r="T1079" s="110"/>
      <c r="U1079" s="106">
        <v>9.403208E9</v>
      </c>
      <c r="V1079" s="112">
        <v>0.0</v>
      </c>
      <c r="W1079" s="106">
        <v>45.0</v>
      </c>
      <c r="X1079" s="106">
        <v>45.0</v>
      </c>
      <c r="Y1079" s="113">
        <v>55.0</v>
      </c>
      <c r="Z1079" s="106" t="s">
        <v>99</v>
      </c>
      <c r="AA1079" s="114" t="str">
        <f t="shared" si="891"/>
        <v>#REF!</v>
      </c>
      <c r="AB1079" s="115"/>
      <c r="AC1079" s="212" t="str">
        <f t="shared" si="892"/>
        <v>#REF!</v>
      </c>
      <c r="AD1079" s="213" t="str">
        <f t="shared" si="799"/>
        <v>#REF!</v>
      </c>
      <c r="AE1079" s="212"/>
      <c r="AF1079" s="212" t="str">
        <f t="shared" si="94"/>
        <v>#REF!</v>
      </c>
      <c r="AG1079" s="210" t="str">
        <f t="shared" si="95"/>
        <v>#REF!</v>
      </c>
      <c r="AH1079" s="120" t="str">
        <f t="shared" si="96"/>
        <v>#REF!</v>
      </c>
      <c r="AI1079" s="121">
        <f t="shared" si="893"/>
        <v>0.05</v>
      </c>
      <c r="AJ1079" s="121">
        <v>0.05</v>
      </c>
      <c r="AK1079" s="418">
        <v>0.37</v>
      </c>
      <c r="AL1079" s="123" t="str">
        <f t="shared" si="11"/>
        <v>#REF!</v>
      </c>
      <c r="AM1079" s="401" t="s">
        <v>10</v>
      </c>
      <c r="AN1079" s="125" t="str">
        <f t="shared" si="894"/>
        <v>#REF!</v>
      </c>
      <c r="AO1079" s="402" t="str">
        <f t="shared" si="895"/>
        <v>#REF!</v>
      </c>
      <c r="AP1079" s="127"/>
      <c r="AQ1079" s="403" t="str">
        <f t="shared" ref="AQ1079:AR1079" si="936">BC1079/(1-AI1079)</f>
        <v>#REF!</v>
      </c>
      <c r="AR1079" s="404" t="str">
        <f t="shared" si="936"/>
        <v>#REF!</v>
      </c>
      <c r="AS1079" s="405" t="str">
        <f t="shared" si="898"/>
        <v>#REF!</v>
      </c>
      <c r="AT1079" s="405" t="str">
        <f t="shared" si="899"/>
        <v>#REF!</v>
      </c>
      <c r="AU1079" s="129"/>
      <c r="AV1079" s="225" t="s">
        <v>3024</v>
      </c>
      <c r="AW1079" s="416"/>
      <c r="AX1079" s="416"/>
      <c r="AY1079" s="361"/>
      <c r="AZ1079" s="214"/>
      <c r="BA1079" s="214"/>
      <c r="BB1079" s="227"/>
      <c r="BC1079" s="412" t="str">
        <f t="shared" si="927"/>
        <v>#REF!</v>
      </c>
      <c r="BD1079" s="132" t="str">
        <f t="shared" si="905"/>
        <v>#REF!</v>
      </c>
      <c r="BE1079" s="19"/>
      <c r="BF1079" s="8"/>
      <c r="BG1079" s="1"/>
      <c r="BH1079" s="224" t="str">
        <f t="shared" si="910"/>
        <v>#REF!</v>
      </c>
      <c r="BI1079" s="224" t="str">
        <f t="shared" si="911"/>
        <v>#REF!</v>
      </c>
      <c r="BJ1079" s="224" t="str">
        <f t="shared" si="912"/>
        <v>#REF!</v>
      </c>
      <c r="BK1079" s="224" t="str">
        <f t="shared" si="913"/>
        <v>#REF!</v>
      </c>
      <c r="BL1079" s="49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</row>
    <row r="1080" ht="14.25" customHeight="1">
      <c r="A1080" s="103" t="s">
        <v>84</v>
      </c>
      <c r="B1080" s="103" t="s">
        <v>3073</v>
      </c>
      <c r="C1080" s="103" t="s">
        <v>120</v>
      </c>
      <c r="D1080" s="103" t="s">
        <v>1886</v>
      </c>
      <c r="E1080" s="109" t="s">
        <v>3686</v>
      </c>
      <c r="F1080" s="105" t="s">
        <v>3687</v>
      </c>
      <c r="G1080" s="110"/>
      <c r="H1080" s="110"/>
      <c r="I1080" s="478"/>
      <c r="J1080" s="479" t="s">
        <v>3765</v>
      </c>
      <c r="K1080" s="108"/>
      <c r="L1080" s="104" t="s">
        <v>3766</v>
      </c>
      <c r="M1080" s="104" t="s">
        <v>3767</v>
      </c>
      <c r="N1080" s="110"/>
      <c r="O1080" s="109" t="s">
        <v>147</v>
      </c>
      <c r="P1080" s="106"/>
      <c r="Q1080" s="105" t="s">
        <v>3081</v>
      </c>
      <c r="R1080" s="106"/>
      <c r="S1080" s="106"/>
      <c r="T1080" s="110"/>
      <c r="U1080" s="106">
        <v>9.403208E9</v>
      </c>
      <c r="V1080" s="112">
        <v>0.0</v>
      </c>
      <c r="W1080" s="106">
        <v>45.0</v>
      </c>
      <c r="X1080" s="106">
        <v>45.0</v>
      </c>
      <c r="Y1080" s="106"/>
      <c r="Z1080" s="106" t="s">
        <v>99</v>
      </c>
      <c r="AA1080" s="114" t="str">
        <f t="shared" si="891"/>
        <v>#REF!</v>
      </c>
      <c r="AB1080" s="115"/>
      <c r="AC1080" s="212" t="str">
        <f t="shared" si="892"/>
        <v>#REF!</v>
      </c>
      <c r="AD1080" s="213" t="str">
        <f t="shared" si="799"/>
        <v>#REF!</v>
      </c>
      <c r="AE1080" s="212"/>
      <c r="AF1080" s="212" t="str">
        <f t="shared" si="94"/>
        <v>#REF!</v>
      </c>
      <c r="AG1080" s="210" t="str">
        <f t="shared" si="95"/>
        <v>#REF!</v>
      </c>
      <c r="AH1080" s="120" t="str">
        <f t="shared" si="96"/>
        <v>#REF!</v>
      </c>
      <c r="AI1080" s="121">
        <f t="shared" si="893"/>
        <v>0.05</v>
      </c>
      <c r="AJ1080" s="121">
        <v>0.05</v>
      </c>
      <c r="AK1080" s="418">
        <v>0.37</v>
      </c>
      <c r="AL1080" s="123" t="str">
        <f t="shared" si="11"/>
        <v>#REF!</v>
      </c>
      <c r="AM1080" s="401" t="s">
        <v>10</v>
      </c>
      <c r="AN1080" s="125" t="str">
        <f t="shared" si="894"/>
        <v>#REF!</v>
      </c>
      <c r="AO1080" s="402" t="str">
        <f t="shared" si="895"/>
        <v>#REF!</v>
      </c>
      <c r="AP1080" s="127"/>
      <c r="AQ1080" s="403" t="str">
        <f t="shared" ref="AQ1080:AR1080" si="937">BC1080/(1-AI1080)</f>
        <v>#REF!</v>
      </c>
      <c r="AR1080" s="404" t="str">
        <f t="shared" si="937"/>
        <v>#REF!</v>
      </c>
      <c r="AS1080" s="405" t="str">
        <f t="shared" si="898"/>
        <v>#REF!</v>
      </c>
      <c r="AT1080" s="405" t="str">
        <f t="shared" si="899"/>
        <v>#REF!</v>
      </c>
      <c r="AU1080" s="129"/>
      <c r="AV1080" s="225" t="s">
        <v>3024</v>
      </c>
      <c r="AW1080" s="416"/>
      <c r="AX1080" s="416"/>
      <c r="AY1080" s="361"/>
      <c r="AZ1080" s="214"/>
      <c r="BA1080" s="214"/>
      <c r="BB1080" s="227"/>
      <c r="BC1080" s="412" t="str">
        <f t="shared" si="927"/>
        <v>#REF!</v>
      </c>
      <c r="BD1080" s="132" t="str">
        <f t="shared" si="905"/>
        <v>#REF!</v>
      </c>
      <c r="BE1080" s="19"/>
      <c r="BF1080" s="8"/>
      <c r="BG1080" s="1"/>
      <c r="BH1080" s="224" t="str">
        <f t="shared" si="910"/>
        <v>#REF!</v>
      </c>
      <c r="BI1080" s="224" t="str">
        <f t="shared" si="911"/>
        <v>#REF!</v>
      </c>
      <c r="BJ1080" s="224" t="str">
        <f t="shared" si="912"/>
        <v>#REF!</v>
      </c>
      <c r="BK1080" s="224" t="str">
        <f t="shared" si="913"/>
        <v>#REF!</v>
      </c>
      <c r="BL1080" s="49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</row>
    <row r="1081" ht="14.25" customHeight="1">
      <c r="A1081" s="103" t="s">
        <v>84</v>
      </c>
      <c r="B1081" s="103" t="s">
        <v>3073</v>
      </c>
      <c r="C1081" s="103" t="s">
        <v>120</v>
      </c>
      <c r="D1081" s="103" t="s">
        <v>1886</v>
      </c>
      <c r="E1081" s="109" t="s">
        <v>3686</v>
      </c>
      <c r="F1081" s="105" t="s">
        <v>3687</v>
      </c>
      <c r="G1081" s="110"/>
      <c r="H1081" s="110"/>
      <c r="I1081" s="478"/>
      <c r="J1081" s="479" t="s">
        <v>3768</v>
      </c>
      <c r="K1081" s="108"/>
      <c r="L1081" s="104" t="s">
        <v>3769</v>
      </c>
      <c r="M1081" s="104" t="s">
        <v>3770</v>
      </c>
      <c r="N1081" s="110"/>
      <c r="O1081" s="109" t="s">
        <v>147</v>
      </c>
      <c r="P1081" s="106"/>
      <c r="Q1081" s="105" t="s">
        <v>3081</v>
      </c>
      <c r="R1081" s="106"/>
      <c r="S1081" s="106"/>
      <c r="T1081" s="110"/>
      <c r="U1081" s="106">
        <v>9.403208E9</v>
      </c>
      <c r="V1081" s="112">
        <v>0.0</v>
      </c>
      <c r="W1081" s="106">
        <v>45.0</v>
      </c>
      <c r="X1081" s="106">
        <v>45.0</v>
      </c>
      <c r="Y1081" s="106"/>
      <c r="Z1081" s="106" t="s">
        <v>99</v>
      </c>
      <c r="AA1081" s="114" t="str">
        <f t="shared" si="891"/>
        <v>#REF!</v>
      </c>
      <c r="AB1081" s="115"/>
      <c r="AC1081" s="212" t="str">
        <f t="shared" si="892"/>
        <v>#REF!</v>
      </c>
      <c r="AD1081" s="213" t="str">
        <f t="shared" si="799"/>
        <v>#REF!</v>
      </c>
      <c r="AE1081" s="212"/>
      <c r="AF1081" s="212" t="str">
        <f t="shared" si="94"/>
        <v>#REF!</v>
      </c>
      <c r="AG1081" s="210" t="str">
        <f t="shared" si="95"/>
        <v>#REF!</v>
      </c>
      <c r="AH1081" s="120" t="str">
        <f t="shared" si="96"/>
        <v>#REF!</v>
      </c>
      <c r="AI1081" s="121">
        <f t="shared" si="893"/>
        <v>0.05</v>
      </c>
      <c r="AJ1081" s="121">
        <v>0.05</v>
      </c>
      <c r="AK1081" s="418">
        <v>0.37</v>
      </c>
      <c r="AL1081" s="123" t="str">
        <f t="shared" si="11"/>
        <v>#REF!</v>
      </c>
      <c r="AM1081" s="401" t="s">
        <v>10</v>
      </c>
      <c r="AN1081" s="125" t="str">
        <f t="shared" si="894"/>
        <v>#REF!</v>
      </c>
      <c r="AO1081" s="402" t="str">
        <f t="shared" si="895"/>
        <v>#REF!</v>
      </c>
      <c r="AP1081" s="127"/>
      <c r="AQ1081" s="403" t="str">
        <f t="shared" ref="AQ1081:AR1081" si="938">BC1081/(1-AI1081)</f>
        <v>#REF!</v>
      </c>
      <c r="AR1081" s="404" t="str">
        <f t="shared" si="938"/>
        <v>#REF!</v>
      </c>
      <c r="AS1081" s="405" t="str">
        <f t="shared" si="898"/>
        <v>#REF!</v>
      </c>
      <c r="AT1081" s="405" t="str">
        <f t="shared" si="899"/>
        <v>#REF!</v>
      </c>
      <c r="AU1081" s="129"/>
      <c r="AV1081" s="225" t="s">
        <v>3024</v>
      </c>
      <c r="AW1081" s="416"/>
      <c r="AX1081" s="416"/>
      <c r="AY1081" s="361"/>
      <c r="AZ1081" s="214"/>
      <c r="BA1081" s="214"/>
      <c r="BB1081" s="227"/>
      <c r="BC1081" s="412" t="str">
        <f t="shared" si="927"/>
        <v>#REF!</v>
      </c>
      <c r="BD1081" s="132" t="str">
        <f t="shared" si="905"/>
        <v>#REF!</v>
      </c>
      <c r="BE1081" s="19"/>
      <c r="BF1081" s="8"/>
      <c r="BG1081" s="1"/>
      <c r="BH1081" s="224" t="str">
        <f t="shared" si="910"/>
        <v>#REF!</v>
      </c>
      <c r="BI1081" s="224" t="str">
        <f t="shared" si="911"/>
        <v>#REF!</v>
      </c>
      <c r="BJ1081" s="224" t="str">
        <f t="shared" si="912"/>
        <v>#REF!</v>
      </c>
      <c r="BK1081" s="224" t="str">
        <f t="shared" si="913"/>
        <v>#REF!</v>
      </c>
      <c r="BL1081" s="49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</row>
    <row r="1082" ht="14.25" customHeight="1">
      <c r="A1082" s="103" t="s">
        <v>84</v>
      </c>
      <c r="B1082" s="103" t="s">
        <v>3073</v>
      </c>
      <c r="C1082" s="103" t="s">
        <v>120</v>
      </c>
      <c r="D1082" s="103" t="s">
        <v>1886</v>
      </c>
      <c r="E1082" s="109" t="s">
        <v>3686</v>
      </c>
      <c r="F1082" s="105" t="s">
        <v>3687</v>
      </c>
      <c r="G1082" s="110"/>
      <c r="H1082" s="110"/>
      <c r="I1082" s="478"/>
      <c r="J1082" s="479" t="s">
        <v>3771</v>
      </c>
      <c r="K1082" s="108"/>
      <c r="L1082" s="104" t="s">
        <v>3772</v>
      </c>
      <c r="M1082" s="104" t="s">
        <v>3773</v>
      </c>
      <c r="N1082" s="110"/>
      <c r="O1082" s="109" t="s">
        <v>147</v>
      </c>
      <c r="P1082" s="106"/>
      <c r="Q1082" s="105" t="s">
        <v>3081</v>
      </c>
      <c r="R1082" s="106"/>
      <c r="S1082" s="106"/>
      <c r="T1082" s="110"/>
      <c r="U1082" s="106">
        <v>9.403208E9</v>
      </c>
      <c r="V1082" s="112">
        <v>0.0</v>
      </c>
      <c r="W1082" s="106">
        <v>45.0</v>
      </c>
      <c r="X1082" s="106">
        <v>45.0</v>
      </c>
      <c r="Y1082" s="106"/>
      <c r="Z1082" s="106" t="s">
        <v>99</v>
      </c>
      <c r="AA1082" s="114" t="str">
        <f t="shared" si="891"/>
        <v>#REF!</v>
      </c>
      <c r="AB1082" s="115"/>
      <c r="AC1082" s="212" t="str">
        <f t="shared" si="892"/>
        <v>#REF!</v>
      </c>
      <c r="AD1082" s="213" t="str">
        <f t="shared" si="799"/>
        <v>#REF!</v>
      </c>
      <c r="AE1082" s="212"/>
      <c r="AF1082" s="212" t="str">
        <f t="shared" si="94"/>
        <v>#REF!</v>
      </c>
      <c r="AG1082" s="210" t="str">
        <f t="shared" si="95"/>
        <v>#REF!</v>
      </c>
      <c r="AH1082" s="120" t="str">
        <f t="shared" si="96"/>
        <v>#REF!</v>
      </c>
      <c r="AI1082" s="121">
        <f t="shared" si="893"/>
        <v>0.05</v>
      </c>
      <c r="AJ1082" s="121">
        <v>0.05</v>
      </c>
      <c r="AK1082" s="418">
        <v>0.37</v>
      </c>
      <c r="AL1082" s="123" t="str">
        <f t="shared" si="11"/>
        <v>#REF!</v>
      </c>
      <c r="AM1082" s="401" t="s">
        <v>10</v>
      </c>
      <c r="AN1082" s="125" t="str">
        <f t="shared" si="894"/>
        <v>#REF!</v>
      </c>
      <c r="AO1082" s="402" t="str">
        <f t="shared" si="895"/>
        <v>#REF!</v>
      </c>
      <c r="AP1082" s="127"/>
      <c r="AQ1082" s="403" t="str">
        <f t="shared" ref="AQ1082:AR1082" si="939">BC1082/(1-AI1082)</f>
        <v>#REF!</v>
      </c>
      <c r="AR1082" s="404" t="str">
        <f t="shared" si="939"/>
        <v>#REF!</v>
      </c>
      <c r="AS1082" s="405" t="str">
        <f t="shared" si="898"/>
        <v>#REF!</v>
      </c>
      <c r="AT1082" s="405" t="str">
        <f t="shared" si="899"/>
        <v>#REF!</v>
      </c>
      <c r="AU1082" s="129"/>
      <c r="AV1082" s="225" t="s">
        <v>3024</v>
      </c>
      <c r="AW1082" s="416"/>
      <c r="AX1082" s="416"/>
      <c r="AY1082" s="361"/>
      <c r="AZ1082" s="214"/>
      <c r="BA1082" s="214"/>
      <c r="BB1082" s="227"/>
      <c r="BC1082" s="412" t="str">
        <f t="shared" si="927"/>
        <v>#REF!</v>
      </c>
      <c r="BD1082" s="132" t="str">
        <f t="shared" si="905"/>
        <v>#REF!</v>
      </c>
      <c r="BE1082" s="19"/>
      <c r="BF1082" s="8"/>
      <c r="BG1082" s="1"/>
      <c r="BH1082" s="224" t="str">
        <f t="shared" si="910"/>
        <v>#REF!</v>
      </c>
      <c r="BI1082" s="224" t="str">
        <f t="shared" si="911"/>
        <v>#REF!</v>
      </c>
      <c r="BJ1082" s="224" t="str">
        <f t="shared" si="912"/>
        <v>#REF!</v>
      </c>
      <c r="BK1082" s="224" t="str">
        <f t="shared" si="913"/>
        <v>#REF!</v>
      </c>
      <c r="BL1082" s="49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</row>
    <row r="1083" ht="14.25" customHeight="1">
      <c r="A1083" s="103" t="s">
        <v>84</v>
      </c>
      <c r="B1083" s="103" t="s">
        <v>3073</v>
      </c>
      <c r="C1083" s="103" t="s">
        <v>120</v>
      </c>
      <c r="D1083" s="103" t="s">
        <v>1886</v>
      </c>
      <c r="E1083" s="109" t="s">
        <v>3686</v>
      </c>
      <c r="F1083" s="105" t="s">
        <v>3687</v>
      </c>
      <c r="G1083" s="110"/>
      <c r="H1083" s="110"/>
      <c r="I1083" s="478"/>
      <c r="J1083" s="479" t="s">
        <v>3774</v>
      </c>
      <c r="K1083" s="108"/>
      <c r="L1083" s="104" t="s">
        <v>3775</v>
      </c>
      <c r="M1083" s="104" t="s">
        <v>3776</v>
      </c>
      <c r="N1083" s="110"/>
      <c r="O1083" s="109" t="s">
        <v>147</v>
      </c>
      <c r="P1083" s="106"/>
      <c r="Q1083" s="105" t="s">
        <v>3081</v>
      </c>
      <c r="R1083" s="106"/>
      <c r="S1083" s="106"/>
      <c r="T1083" s="110"/>
      <c r="U1083" s="106">
        <v>9.403208E9</v>
      </c>
      <c r="V1083" s="112">
        <v>0.0</v>
      </c>
      <c r="W1083" s="106">
        <v>45.0</v>
      </c>
      <c r="X1083" s="106">
        <v>45.0</v>
      </c>
      <c r="Y1083" s="106"/>
      <c r="Z1083" s="106" t="s">
        <v>99</v>
      </c>
      <c r="AA1083" s="114" t="str">
        <f t="shared" si="891"/>
        <v>#REF!</v>
      </c>
      <c r="AB1083" s="115"/>
      <c r="AC1083" s="212" t="str">
        <f t="shared" si="892"/>
        <v>#REF!</v>
      </c>
      <c r="AD1083" s="213" t="str">
        <f t="shared" si="799"/>
        <v>#REF!</v>
      </c>
      <c r="AE1083" s="212"/>
      <c r="AF1083" s="212" t="str">
        <f t="shared" si="94"/>
        <v>#REF!</v>
      </c>
      <c r="AG1083" s="210" t="str">
        <f t="shared" si="95"/>
        <v>#REF!</v>
      </c>
      <c r="AH1083" s="120" t="str">
        <f t="shared" si="96"/>
        <v>#REF!</v>
      </c>
      <c r="AI1083" s="121">
        <f t="shared" si="893"/>
        <v>0.05</v>
      </c>
      <c r="AJ1083" s="121">
        <v>0.05</v>
      </c>
      <c r="AK1083" s="418">
        <v>0.37</v>
      </c>
      <c r="AL1083" s="123" t="str">
        <f t="shared" si="11"/>
        <v>#REF!</v>
      </c>
      <c r="AM1083" s="401" t="s">
        <v>10</v>
      </c>
      <c r="AN1083" s="125" t="str">
        <f t="shared" si="894"/>
        <v>#REF!</v>
      </c>
      <c r="AO1083" s="402" t="str">
        <f t="shared" si="895"/>
        <v>#REF!</v>
      </c>
      <c r="AP1083" s="127"/>
      <c r="AQ1083" s="403" t="str">
        <f t="shared" ref="AQ1083:AR1083" si="940">BC1083/(1-AI1083)</f>
        <v>#REF!</v>
      </c>
      <c r="AR1083" s="404" t="str">
        <f t="shared" si="940"/>
        <v>#REF!</v>
      </c>
      <c r="AS1083" s="405" t="str">
        <f t="shared" si="898"/>
        <v>#REF!</v>
      </c>
      <c r="AT1083" s="405" t="str">
        <f t="shared" si="899"/>
        <v>#REF!</v>
      </c>
      <c r="AU1083" s="129"/>
      <c r="AV1083" s="225" t="s">
        <v>3024</v>
      </c>
      <c r="AW1083" s="416"/>
      <c r="AX1083" s="416"/>
      <c r="AY1083" s="361"/>
      <c r="AZ1083" s="214"/>
      <c r="BA1083" s="214"/>
      <c r="BB1083" s="227"/>
      <c r="BC1083" s="412" t="str">
        <f t="shared" si="927"/>
        <v>#REF!</v>
      </c>
      <c r="BD1083" s="132" t="str">
        <f t="shared" si="905"/>
        <v>#REF!</v>
      </c>
      <c r="BE1083" s="19"/>
      <c r="BF1083" s="8"/>
      <c r="BG1083" s="1"/>
      <c r="BH1083" s="224" t="str">
        <f t="shared" si="910"/>
        <v>#REF!</v>
      </c>
      <c r="BI1083" s="224" t="str">
        <f t="shared" si="911"/>
        <v>#REF!</v>
      </c>
      <c r="BJ1083" s="224" t="str">
        <f t="shared" si="912"/>
        <v>#REF!</v>
      </c>
      <c r="BK1083" s="224" t="str">
        <f t="shared" si="913"/>
        <v>#REF!</v>
      </c>
      <c r="BL1083" s="49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</row>
    <row r="1084" ht="14.25" customHeight="1">
      <c r="A1084" s="103" t="s">
        <v>84</v>
      </c>
      <c r="B1084" s="103" t="s">
        <v>3073</v>
      </c>
      <c r="C1084" s="103" t="s">
        <v>120</v>
      </c>
      <c r="D1084" s="103" t="s">
        <v>1886</v>
      </c>
      <c r="E1084" s="105" t="s">
        <v>1887</v>
      </c>
      <c r="F1084" s="105" t="s">
        <v>1887</v>
      </c>
      <c r="G1084" s="110"/>
      <c r="H1084" s="110"/>
      <c r="I1084" s="478"/>
      <c r="J1084" s="479" t="s">
        <v>3777</v>
      </c>
      <c r="K1084" s="108"/>
      <c r="L1084" s="104" t="s">
        <v>3778</v>
      </c>
      <c r="M1084" s="104" t="s">
        <v>3779</v>
      </c>
      <c r="N1084" s="110"/>
      <c r="O1084" s="109" t="s">
        <v>147</v>
      </c>
      <c r="P1084" s="106"/>
      <c r="Q1084" s="105" t="s">
        <v>3081</v>
      </c>
      <c r="R1084" s="110" t="s">
        <v>3740</v>
      </c>
      <c r="S1084" s="106"/>
      <c r="T1084" s="110"/>
      <c r="U1084" s="106">
        <v>9.403208E9</v>
      </c>
      <c r="V1084" s="112">
        <v>0.0</v>
      </c>
      <c r="W1084" s="106">
        <v>45.0</v>
      </c>
      <c r="X1084" s="106">
        <v>45.0</v>
      </c>
      <c r="Y1084" s="113">
        <v>55.0</v>
      </c>
      <c r="Z1084" s="106" t="s">
        <v>99</v>
      </c>
      <c r="AA1084" s="114" t="str">
        <f t="shared" si="891"/>
        <v>#REF!</v>
      </c>
      <c r="AB1084" s="115"/>
      <c r="AC1084" s="212" t="str">
        <f t="shared" si="892"/>
        <v>#REF!</v>
      </c>
      <c r="AD1084" s="213" t="str">
        <f t="shared" si="799"/>
        <v>#REF!</v>
      </c>
      <c r="AE1084" s="212"/>
      <c r="AF1084" s="212" t="str">
        <f t="shared" si="94"/>
        <v>#REF!</v>
      </c>
      <c r="AG1084" s="210" t="str">
        <f t="shared" si="95"/>
        <v>#REF!</v>
      </c>
      <c r="AH1084" s="120" t="str">
        <f t="shared" si="96"/>
        <v>#REF!</v>
      </c>
      <c r="AI1084" s="121">
        <f t="shared" si="893"/>
        <v>0.05</v>
      </c>
      <c r="AJ1084" s="121">
        <v>0.05</v>
      </c>
      <c r="AK1084" s="418">
        <v>0.37</v>
      </c>
      <c r="AL1084" s="123" t="str">
        <f t="shared" si="11"/>
        <v>#REF!</v>
      </c>
      <c r="AM1084" s="401" t="s">
        <v>10</v>
      </c>
      <c r="AN1084" s="125" t="str">
        <f t="shared" si="894"/>
        <v>#REF!</v>
      </c>
      <c r="AO1084" s="402" t="str">
        <f t="shared" si="895"/>
        <v>#REF!</v>
      </c>
      <c r="AP1084" s="127"/>
      <c r="AQ1084" s="403" t="str">
        <f t="shared" ref="AQ1084:AR1084" si="941">BC1084/(1-AI1084)</f>
        <v>#REF!</v>
      </c>
      <c r="AR1084" s="404" t="str">
        <f t="shared" si="941"/>
        <v>#REF!</v>
      </c>
      <c r="AS1084" s="405" t="str">
        <f t="shared" si="898"/>
        <v>#REF!</v>
      </c>
      <c r="AT1084" s="405" t="str">
        <f t="shared" si="899"/>
        <v>#REF!</v>
      </c>
      <c r="AU1084" s="129"/>
      <c r="AV1084" s="225" t="s">
        <v>3024</v>
      </c>
      <c r="AW1084" s="416"/>
      <c r="AX1084" s="416"/>
      <c r="AY1084" s="361"/>
      <c r="AZ1084" s="214"/>
      <c r="BA1084" s="214"/>
      <c r="BB1084" s="227"/>
      <c r="BC1084" s="412" t="str">
        <f t="shared" si="927"/>
        <v>#REF!</v>
      </c>
      <c r="BD1084" s="132" t="str">
        <f t="shared" si="905"/>
        <v>#REF!</v>
      </c>
      <c r="BE1084" s="19"/>
      <c r="BF1084" s="8"/>
      <c r="BG1084" s="1"/>
      <c r="BH1084" s="224" t="str">
        <f t="shared" si="910"/>
        <v>#REF!</v>
      </c>
      <c r="BI1084" s="224" t="str">
        <f t="shared" si="911"/>
        <v>#REF!</v>
      </c>
      <c r="BJ1084" s="224" t="str">
        <f t="shared" si="912"/>
        <v>#REF!</v>
      </c>
      <c r="BK1084" s="224" t="str">
        <f t="shared" si="913"/>
        <v>#REF!</v>
      </c>
      <c r="BL1084" s="49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</row>
    <row r="1085" ht="14.25" customHeight="1">
      <c r="A1085" s="103" t="s">
        <v>84</v>
      </c>
      <c r="B1085" s="103" t="s">
        <v>3073</v>
      </c>
      <c r="C1085" s="103" t="s">
        <v>120</v>
      </c>
      <c r="D1085" s="103" t="s">
        <v>1886</v>
      </c>
      <c r="E1085" s="105" t="s">
        <v>1887</v>
      </c>
      <c r="F1085" s="105" t="s">
        <v>1887</v>
      </c>
      <c r="G1085" s="110"/>
      <c r="H1085" s="110"/>
      <c r="I1085" s="478"/>
      <c r="J1085" s="479" t="s">
        <v>3780</v>
      </c>
      <c r="K1085" s="108"/>
      <c r="L1085" s="104" t="s">
        <v>3781</v>
      </c>
      <c r="M1085" s="104" t="s">
        <v>3782</v>
      </c>
      <c r="N1085" s="110"/>
      <c r="O1085" s="109" t="s">
        <v>147</v>
      </c>
      <c r="P1085" s="106"/>
      <c r="Q1085" s="105" t="s">
        <v>3081</v>
      </c>
      <c r="R1085" s="110" t="s">
        <v>3740</v>
      </c>
      <c r="S1085" s="106"/>
      <c r="T1085" s="110"/>
      <c r="U1085" s="106">
        <v>9.403208E9</v>
      </c>
      <c r="V1085" s="112">
        <v>0.0</v>
      </c>
      <c r="W1085" s="106">
        <v>45.0</v>
      </c>
      <c r="X1085" s="106">
        <v>45.0</v>
      </c>
      <c r="Y1085" s="113">
        <v>55.0</v>
      </c>
      <c r="Z1085" s="106" t="s">
        <v>99</v>
      </c>
      <c r="AA1085" s="114" t="str">
        <f t="shared" si="891"/>
        <v>#REF!</v>
      </c>
      <c r="AB1085" s="115"/>
      <c r="AC1085" s="212" t="str">
        <f t="shared" si="892"/>
        <v>#REF!</v>
      </c>
      <c r="AD1085" s="213" t="str">
        <f t="shared" si="799"/>
        <v>#REF!</v>
      </c>
      <c r="AE1085" s="212"/>
      <c r="AF1085" s="212" t="str">
        <f t="shared" si="94"/>
        <v>#REF!</v>
      </c>
      <c r="AG1085" s="210" t="str">
        <f t="shared" si="95"/>
        <v>#REF!</v>
      </c>
      <c r="AH1085" s="120" t="str">
        <f t="shared" si="96"/>
        <v>#REF!</v>
      </c>
      <c r="AI1085" s="121">
        <f t="shared" si="893"/>
        <v>0.05</v>
      </c>
      <c r="AJ1085" s="121">
        <v>0.05</v>
      </c>
      <c r="AK1085" s="418">
        <v>0.37</v>
      </c>
      <c r="AL1085" s="123" t="str">
        <f t="shared" si="11"/>
        <v>#REF!</v>
      </c>
      <c r="AM1085" s="401" t="s">
        <v>10</v>
      </c>
      <c r="AN1085" s="125" t="str">
        <f t="shared" si="894"/>
        <v>#REF!</v>
      </c>
      <c r="AO1085" s="402" t="str">
        <f t="shared" si="895"/>
        <v>#REF!</v>
      </c>
      <c r="AP1085" s="127"/>
      <c r="AQ1085" s="403" t="str">
        <f t="shared" ref="AQ1085:AR1085" si="942">BC1085/(1-AI1085)</f>
        <v>#REF!</v>
      </c>
      <c r="AR1085" s="404" t="str">
        <f t="shared" si="942"/>
        <v>#REF!</v>
      </c>
      <c r="AS1085" s="405" t="str">
        <f t="shared" si="898"/>
        <v>#REF!</v>
      </c>
      <c r="AT1085" s="405" t="str">
        <f t="shared" si="899"/>
        <v>#REF!</v>
      </c>
      <c r="AU1085" s="129"/>
      <c r="AV1085" s="225" t="s">
        <v>3024</v>
      </c>
      <c r="AW1085" s="416"/>
      <c r="AX1085" s="416"/>
      <c r="AY1085" s="361"/>
      <c r="AZ1085" s="214"/>
      <c r="BA1085" s="214"/>
      <c r="BB1085" s="227"/>
      <c r="BC1085" s="412" t="str">
        <f t="shared" si="927"/>
        <v>#REF!</v>
      </c>
      <c r="BD1085" s="132" t="str">
        <f t="shared" si="905"/>
        <v>#REF!</v>
      </c>
      <c r="BE1085" s="19"/>
      <c r="BF1085" s="8"/>
      <c r="BG1085" s="1"/>
      <c r="BH1085" s="224" t="str">
        <f t="shared" si="910"/>
        <v>#REF!</v>
      </c>
      <c r="BI1085" s="224" t="str">
        <f t="shared" si="911"/>
        <v>#REF!</v>
      </c>
      <c r="BJ1085" s="224" t="str">
        <f t="shared" si="912"/>
        <v>#REF!</v>
      </c>
      <c r="BK1085" s="224" t="str">
        <f t="shared" si="913"/>
        <v>#REF!</v>
      </c>
      <c r="BL1085" s="49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</row>
    <row r="1086" ht="14.25" customHeight="1">
      <c r="A1086" s="103" t="s">
        <v>84</v>
      </c>
      <c r="B1086" s="103" t="s">
        <v>3073</v>
      </c>
      <c r="C1086" s="103" t="s">
        <v>120</v>
      </c>
      <c r="D1086" s="103" t="s">
        <v>1886</v>
      </c>
      <c r="E1086" s="105" t="s">
        <v>1887</v>
      </c>
      <c r="F1086" s="105" t="s">
        <v>1887</v>
      </c>
      <c r="G1086" s="110"/>
      <c r="H1086" s="110"/>
      <c r="I1086" s="478"/>
      <c r="J1086" s="479" t="s">
        <v>3783</v>
      </c>
      <c r="K1086" s="108"/>
      <c r="L1086" s="104" t="s">
        <v>3784</v>
      </c>
      <c r="M1086" s="104" t="s">
        <v>3785</v>
      </c>
      <c r="N1086" s="110"/>
      <c r="O1086" s="109" t="s">
        <v>147</v>
      </c>
      <c r="P1086" s="106"/>
      <c r="Q1086" s="105" t="s">
        <v>3081</v>
      </c>
      <c r="R1086" s="110" t="s">
        <v>3740</v>
      </c>
      <c r="S1086" s="106"/>
      <c r="T1086" s="110"/>
      <c r="U1086" s="106">
        <v>9.403208E9</v>
      </c>
      <c r="V1086" s="112">
        <v>0.0</v>
      </c>
      <c r="W1086" s="106">
        <v>45.0</v>
      </c>
      <c r="X1086" s="106">
        <v>45.0</v>
      </c>
      <c r="Y1086" s="113">
        <v>55.0</v>
      </c>
      <c r="Z1086" s="106" t="s">
        <v>99</v>
      </c>
      <c r="AA1086" s="114" t="str">
        <f t="shared" si="891"/>
        <v>#REF!</v>
      </c>
      <c r="AB1086" s="115"/>
      <c r="AC1086" s="212" t="str">
        <f t="shared" si="892"/>
        <v>#REF!</v>
      </c>
      <c r="AD1086" s="213" t="str">
        <f t="shared" si="799"/>
        <v>#REF!</v>
      </c>
      <c r="AE1086" s="212"/>
      <c r="AF1086" s="212" t="str">
        <f t="shared" si="94"/>
        <v>#REF!</v>
      </c>
      <c r="AG1086" s="210" t="str">
        <f t="shared" si="95"/>
        <v>#REF!</v>
      </c>
      <c r="AH1086" s="120" t="str">
        <f t="shared" si="96"/>
        <v>#REF!</v>
      </c>
      <c r="AI1086" s="121">
        <f t="shared" si="893"/>
        <v>0.05</v>
      </c>
      <c r="AJ1086" s="121">
        <v>0.05</v>
      </c>
      <c r="AK1086" s="418">
        <v>0.37</v>
      </c>
      <c r="AL1086" s="123" t="str">
        <f t="shared" si="11"/>
        <v>#REF!</v>
      </c>
      <c r="AM1086" s="401" t="s">
        <v>10</v>
      </c>
      <c r="AN1086" s="125" t="str">
        <f t="shared" si="894"/>
        <v>#REF!</v>
      </c>
      <c r="AO1086" s="402" t="str">
        <f t="shared" si="895"/>
        <v>#REF!</v>
      </c>
      <c r="AP1086" s="127"/>
      <c r="AQ1086" s="403" t="str">
        <f t="shared" ref="AQ1086:AR1086" si="943">BC1086/(1-AI1086)</f>
        <v>#REF!</v>
      </c>
      <c r="AR1086" s="404" t="str">
        <f t="shared" si="943"/>
        <v>#REF!</v>
      </c>
      <c r="AS1086" s="405" t="str">
        <f t="shared" si="898"/>
        <v>#REF!</v>
      </c>
      <c r="AT1086" s="405" t="str">
        <f t="shared" si="899"/>
        <v>#REF!</v>
      </c>
      <c r="AU1086" s="129"/>
      <c r="AV1086" s="225" t="s">
        <v>3024</v>
      </c>
      <c r="AW1086" s="416"/>
      <c r="AX1086" s="416"/>
      <c r="AY1086" s="361"/>
      <c r="AZ1086" s="214"/>
      <c r="BA1086" s="214"/>
      <c r="BB1086" s="227"/>
      <c r="BC1086" s="412" t="str">
        <f t="shared" si="927"/>
        <v>#REF!</v>
      </c>
      <c r="BD1086" s="132" t="str">
        <f t="shared" si="905"/>
        <v>#REF!</v>
      </c>
      <c r="BE1086" s="19"/>
      <c r="BF1086" s="8"/>
      <c r="BG1086" s="1"/>
      <c r="BH1086" s="224" t="str">
        <f t="shared" si="910"/>
        <v>#REF!</v>
      </c>
      <c r="BI1086" s="224" t="str">
        <f t="shared" si="911"/>
        <v>#REF!</v>
      </c>
      <c r="BJ1086" s="224" t="str">
        <f t="shared" si="912"/>
        <v>#REF!</v>
      </c>
      <c r="BK1086" s="224" t="str">
        <f t="shared" si="913"/>
        <v>#REF!</v>
      </c>
      <c r="BL1086" s="49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</row>
    <row r="1087" ht="14.25" customHeight="1">
      <c r="A1087" s="103" t="s">
        <v>84</v>
      </c>
      <c r="B1087" s="103" t="s">
        <v>3073</v>
      </c>
      <c r="C1087" s="103" t="s">
        <v>120</v>
      </c>
      <c r="D1087" s="103" t="s">
        <v>1886</v>
      </c>
      <c r="E1087" s="105" t="s">
        <v>1887</v>
      </c>
      <c r="F1087" s="105" t="s">
        <v>1887</v>
      </c>
      <c r="G1087" s="110"/>
      <c r="H1087" s="110"/>
      <c r="I1087" s="478"/>
      <c r="J1087" s="479" t="s">
        <v>3786</v>
      </c>
      <c r="K1087" s="108"/>
      <c r="L1087" s="104" t="s">
        <v>3787</v>
      </c>
      <c r="M1087" s="104" t="s">
        <v>3788</v>
      </c>
      <c r="N1087" s="110"/>
      <c r="O1087" s="109" t="s">
        <v>147</v>
      </c>
      <c r="P1087" s="106"/>
      <c r="Q1087" s="105" t="s">
        <v>3081</v>
      </c>
      <c r="R1087" s="110" t="s">
        <v>3740</v>
      </c>
      <c r="S1087" s="106"/>
      <c r="T1087" s="110"/>
      <c r="U1087" s="106">
        <v>9.403208E9</v>
      </c>
      <c r="V1087" s="112">
        <v>0.0</v>
      </c>
      <c r="W1087" s="106">
        <v>45.0</v>
      </c>
      <c r="X1087" s="106">
        <v>45.0</v>
      </c>
      <c r="Y1087" s="113">
        <v>55.0</v>
      </c>
      <c r="Z1087" s="106" t="s">
        <v>99</v>
      </c>
      <c r="AA1087" s="114" t="str">
        <f t="shared" si="891"/>
        <v>#REF!</v>
      </c>
      <c r="AB1087" s="115"/>
      <c r="AC1087" s="212" t="str">
        <f t="shared" si="892"/>
        <v>#REF!</v>
      </c>
      <c r="AD1087" s="213" t="str">
        <f t="shared" si="799"/>
        <v>#REF!</v>
      </c>
      <c r="AE1087" s="212"/>
      <c r="AF1087" s="212" t="str">
        <f t="shared" si="94"/>
        <v>#REF!</v>
      </c>
      <c r="AG1087" s="210" t="str">
        <f t="shared" si="95"/>
        <v>#REF!</v>
      </c>
      <c r="AH1087" s="120" t="str">
        <f t="shared" si="96"/>
        <v>#REF!</v>
      </c>
      <c r="AI1087" s="121">
        <f t="shared" si="893"/>
        <v>0.05</v>
      </c>
      <c r="AJ1087" s="121">
        <v>0.05</v>
      </c>
      <c r="AK1087" s="418">
        <v>0.37</v>
      </c>
      <c r="AL1087" s="123" t="str">
        <f t="shared" si="11"/>
        <v>#REF!</v>
      </c>
      <c r="AM1087" s="401" t="s">
        <v>10</v>
      </c>
      <c r="AN1087" s="125" t="str">
        <f t="shared" si="894"/>
        <v>#REF!</v>
      </c>
      <c r="AO1087" s="402" t="str">
        <f t="shared" si="895"/>
        <v>#REF!</v>
      </c>
      <c r="AP1087" s="127"/>
      <c r="AQ1087" s="403" t="str">
        <f t="shared" ref="AQ1087:AR1087" si="944">BC1087/(1-AI1087)</f>
        <v>#REF!</v>
      </c>
      <c r="AR1087" s="404" t="str">
        <f t="shared" si="944"/>
        <v>#REF!</v>
      </c>
      <c r="AS1087" s="405" t="str">
        <f t="shared" si="898"/>
        <v>#REF!</v>
      </c>
      <c r="AT1087" s="405" t="str">
        <f t="shared" si="899"/>
        <v>#REF!</v>
      </c>
      <c r="AU1087" s="129"/>
      <c r="AV1087" s="225" t="s">
        <v>3024</v>
      </c>
      <c r="AW1087" s="416"/>
      <c r="AX1087" s="416"/>
      <c r="AY1087" s="361"/>
      <c r="AZ1087" s="214"/>
      <c r="BA1087" s="214"/>
      <c r="BB1087" s="227"/>
      <c r="BC1087" s="412" t="str">
        <f t="shared" si="927"/>
        <v>#REF!</v>
      </c>
      <c r="BD1087" s="132" t="str">
        <f t="shared" si="905"/>
        <v>#REF!</v>
      </c>
      <c r="BE1087" s="19"/>
      <c r="BF1087" s="8"/>
      <c r="BG1087" s="1"/>
      <c r="BH1087" s="224" t="str">
        <f t="shared" si="910"/>
        <v>#REF!</v>
      </c>
      <c r="BI1087" s="224" t="str">
        <f t="shared" si="911"/>
        <v>#REF!</v>
      </c>
      <c r="BJ1087" s="224" t="str">
        <f t="shared" si="912"/>
        <v>#REF!</v>
      </c>
      <c r="BK1087" s="224" t="str">
        <f t="shared" si="913"/>
        <v>#REF!</v>
      </c>
      <c r="BL1087" s="49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</row>
    <row r="1088" ht="14.25" customHeight="1">
      <c r="A1088" s="103" t="s">
        <v>84</v>
      </c>
      <c r="B1088" s="103" t="s">
        <v>3073</v>
      </c>
      <c r="C1088" s="103" t="s">
        <v>120</v>
      </c>
      <c r="D1088" s="103" t="s">
        <v>1886</v>
      </c>
      <c r="E1088" s="109" t="s">
        <v>3686</v>
      </c>
      <c r="F1088" s="105" t="s">
        <v>3687</v>
      </c>
      <c r="G1088" s="110"/>
      <c r="H1088" s="110" t="s">
        <v>3076</v>
      </c>
      <c r="I1088" s="478"/>
      <c r="J1088" s="479" t="s">
        <v>3789</v>
      </c>
      <c r="K1088" s="108"/>
      <c r="L1088" s="104" t="s">
        <v>3790</v>
      </c>
      <c r="M1088" s="104" t="s">
        <v>3791</v>
      </c>
      <c r="N1088" s="110"/>
      <c r="O1088" s="109" t="s">
        <v>147</v>
      </c>
      <c r="P1088" s="106"/>
      <c r="Q1088" s="105" t="s">
        <v>3081</v>
      </c>
      <c r="R1088" s="106"/>
      <c r="S1088" s="106"/>
      <c r="T1088" s="110"/>
      <c r="U1088" s="106">
        <v>9.403208E9</v>
      </c>
      <c r="V1088" s="112">
        <v>0.0</v>
      </c>
      <c r="W1088" s="106">
        <v>45.0</v>
      </c>
      <c r="X1088" s="106">
        <v>45.0</v>
      </c>
      <c r="Y1088" s="106"/>
      <c r="Z1088" s="106" t="s">
        <v>99</v>
      </c>
      <c r="AA1088" s="114" t="str">
        <f t="shared" si="891"/>
        <v>#REF!</v>
      </c>
      <c r="AB1088" s="115"/>
      <c r="AC1088" s="212" t="str">
        <f t="shared" si="892"/>
        <v>#REF!</v>
      </c>
      <c r="AD1088" s="213" t="str">
        <f t="shared" si="799"/>
        <v>#REF!</v>
      </c>
      <c r="AE1088" s="212"/>
      <c r="AF1088" s="212" t="str">
        <f t="shared" si="94"/>
        <v>#REF!</v>
      </c>
      <c r="AG1088" s="210" t="str">
        <f t="shared" si="95"/>
        <v>#REF!</v>
      </c>
      <c r="AH1088" s="120" t="str">
        <f t="shared" si="96"/>
        <v>#REF!</v>
      </c>
      <c r="AI1088" s="121">
        <f t="shared" si="893"/>
        <v>0.05</v>
      </c>
      <c r="AJ1088" s="121">
        <v>0.05</v>
      </c>
      <c r="AK1088" s="418">
        <v>0.37</v>
      </c>
      <c r="AL1088" s="123" t="str">
        <f t="shared" si="11"/>
        <v>#REF!</v>
      </c>
      <c r="AM1088" s="401" t="s">
        <v>10</v>
      </c>
      <c r="AN1088" s="125" t="str">
        <f t="shared" si="894"/>
        <v>#REF!</v>
      </c>
      <c r="AO1088" s="402" t="str">
        <f t="shared" si="895"/>
        <v>#REF!</v>
      </c>
      <c r="AP1088" s="127"/>
      <c r="AQ1088" s="403" t="str">
        <f t="shared" ref="AQ1088:AR1088" si="945">BC1088/(1-AI1088)</f>
        <v>#REF!</v>
      </c>
      <c r="AR1088" s="404" t="str">
        <f t="shared" si="945"/>
        <v>#REF!</v>
      </c>
      <c r="AS1088" s="405" t="str">
        <f t="shared" si="898"/>
        <v>#REF!</v>
      </c>
      <c r="AT1088" s="405" t="str">
        <f t="shared" si="899"/>
        <v>#REF!</v>
      </c>
      <c r="AU1088" s="129"/>
      <c r="AV1088" s="225" t="s">
        <v>3024</v>
      </c>
      <c r="AW1088" s="416"/>
      <c r="AX1088" s="416"/>
      <c r="AY1088" s="361"/>
      <c r="AZ1088" s="214"/>
      <c r="BA1088" s="214"/>
      <c r="BB1088" s="227"/>
      <c r="BC1088" s="412" t="str">
        <f t="shared" si="927"/>
        <v>#REF!</v>
      </c>
      <c r="BD1088" s="132" t="str">
        <f t="shared" si="905"/>
        <v>#REF!</v>
      </c>
      <c r="BE1088" s="19"/>
      <c r="BF1088" s="8"/>
      <c r="BG1088" s="1"/>
      <c r="BH1088" s="224" t="str">
        <f t="shared" si="910"/>
        <v>#REF!</v>
      </c>
      <c r="BI1088" s="224" t="str">
        <f t="shared" si="911"/>
        <v>#REF!</v>
      </c>
      <c r="BJ1088" s="224" t="str">
        <f t="shared" si="912"/>
        <v>#REF!</v>
      </c>
      <c r="BK1088" s="224" t="str">
        <f t="shared" si="913"/>
        <v>#REF!</v>
      </c>
      <c r="BL1088" s="49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</row>
    <row r="1089" ht="14.25" customHeight="1">
      <c r="A1089" s="103" t="s">
        <v>84</v>
      </c>
      <c r="B1089" s="103" t="s">
        <v>3073</v>
      </c>
      <c r="C1089" s="103" t="s">
        <v>120</v>
      </c>
      <c r="D1089" s="103" t="s">
        <v>1886</v>
      </c>
      <c r="E1089" s="109" t="s">
        <v>3686</v>
      </c>
      <c r="F1089" s="105" t="s">
        <v>3687</v>
      </c>
      <c r="G1089" s="110"/>
      <c r="H1089" s="110" t="s">
        <v>3101</v>
      </c>
      <c r="I1089" s="478"/>
      <c r="J1089" s="479" t="s">
        <v>3792</v>
      </c>
      <c r="K1089" s="108"/>
      <c r="L1089" s="104" t="s">
        <v>3793</v>
      </c>
      <c r="M1089" s="104" t="s">
        <v>3794</v>
      </c>
      <c r="N1089" s="110"/>
      <c r="O1089" s="109" t="s">
        <v>147</v>
      </c>
      <c r="P1089" s="106"/>
      <c r="Q1089" s="105" t="s">
        <v>3081</v>
      </c>
      <c r="R1089" s="106"/>
      <c r="S1089" s="106"/>
      <c r="T1089" s="110"/>
      <c r="U1089" s="106">
        <v>9.403208E9</v>
      </c>
      <c r="V1089" s="112">
        <v>0.0</v>
      </c>
      <c r="W1089" s="106">
        <v>45.0</v>
      </c>
      <c r="X1089" s="106">
        <v>45.0</v>
      </c>
      <c r="Y1089" s="106"/>
      <c r="Z1089" s="106" t="s">
        <v>99</v>
      </c>
      <c r="AA1089" s="114" t="str">
        <f t="shared" si="891"/>
        <v>#REF!</v>
      </c>
      <c r="AB1089" s="115"/>
      <c r="AC1089" s="212" t="str">
        <f t="shared" si="892"/>
        <v>#REF!</v>
      </c>
      <c r="AD1089" s="213" t="str">
        <f t="shared" si="799"/>
        <v>#REF!</v>
      </c>
      <c r="AE1089" s="212"/>
      <c r="AF1089" s="212" t="str">
        <f t="shared" si="94"/>
        <v>#REF!</v>
      </c>
      <c r="AG1089" s="210" t="str">
        <f t="shared" si="95"/>
        <v>#REF!</v>
      </c>
      <c r="AH1089" s="120" t="str">
        <f t="shared" si="96"/>
        <v>#REF!</v>
      </c>
      <c r="AI1089" s="121">
        <f t="shared" si="893"/>
        <v>0.05</v>
      </c>
      <c r="AJ1089" s="121">
        <v>0.05</v>
      </c>
      <c r="AK1089" s="418">
        <v>0.37</v>
      </c>
      <c r="AL1089" s="123" t="str">
        <f t="shared" si="11"/>
        <v>#REF!</v>
      </c>
      <c r="AM1089" s="401" t="s">
        <v>10</v>
      </c>
      <c r="AN1089" s="125" t="str">
        <f t="shared" si="894"/>
        <v>#REF!</v>
      </c>
      <c r="AO1089" s="402" t="str">
        <f t="shared" si="895"/>
        <v>#REF!</v>
      </c>
      <c r="AP1089" s="127"/>
      <c r="AQ1089" s="403" t="str">
        <f t="shared" ref="AQ1089:AR1089" si="946">BC1089/(1-AI1089)</f>
        <v>#REF!</v>
      </c>
      <c r="AR1089" s="404" t="str">
        <f t="shared" si="946"/>
        <v>#REF!</v>
      </c>
      <c r="AS1089" s="405" t="str">
        <f t="shared" si="898"/>
        <v>#REF!</v>
      </c>
      <c r="AT1089" s="405" t="str">
        <f t="shared" si="899"/>
        <v>#REF!</v>
      </c>
      <c r="AU1089" s="129"/>
      <c r="AV1089" s="225" t="s">
        <v>3024</v>
      </c>
      <c r="AW1089" s="416"/>
      <c r="AX1089" s="416"/>
      <c r="AY1089" s="361"/>
      <c r="AZ1089" s="214"/>
      <c r="BA1089" s="214"/>
      <c r="BB1089" s="227"/>
      <c r="BC1089" s="412" t="str">
        <f t="shared" si="927"/>
        <v>#REF!</v>
      </c>
      <c r="BD1089" s="132" t="str">
        <f t="shared" si="905"/>
        <v>#REF!</v>
      </c>
      <c r="BE1089" s="19"/>
      <c r="BF1089" s="8"/>
      <c r="BG1089" s="1"/>
      <c r="BH1089" s="224" t="str">
        <f t="shared" si="910"/>
        <v>#REF!</v>
      </c>
      <c r="BI1089" s="224" t="str">
        <f t="shared" si="911"/>
        <v>#REF!</v>
      </c>
      <c r="BJ1089" s="224" t="str">
        <f t="shared" si="912"/>
        <v>#REF!</v>
      </c>
      <c r="BK1089" s="224" t="str">
        <f t="shared" si="913"/>
        <v>#REF!</v>
      </c>
      <c r="BL1089" s="49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</row>
    <row r="1090" ht="14.25" customHeight="1">
      <c r="A1090" s="103" t="s">
        <v>84</v>
      </c>
      <c r="B1090" s="103" t="s">
        <v>3073</v>
      </c>
      <c r="C1090" s="103" t="s">
        <v>120</v>
      </c>
      <c r="D1090" s="103" t="s">
        <v>1886</v>
      </c>
      <c r="E1090" s="109" t="s">
        <v>3686</v>
      </c>
      <c r="F1090" s="105" t="s">
        <v>3687</v>
      </c>
      <c r="G1090" s="110"/>
      <c r="H1090" s="110" t="s">
        <v>3124</v>
      </c>
      <c r="I1090" s="478"/>
      <c r="J1090" s="479" t="s">
        <v>3795</v>
      </c>
      <c r="K1090" s="108"/>
      <c r="L1090" s="104" t="s">
        <v>3796</v>
      </c>
      <c r="M1090" s="104" t="s">
        <v>3797</v>
      </c>
      <c r="N1090" s="110"/>
      <c r="O1090" s="109" t="s">
        <v>147</v>
      </c>
      <c r="P1090" s="106"/>
      <c r="Q1090" s="105" t="s">
        <v>3081</v>
      </c>
      <c r="R1090" s="106"/>
      <c r="S1090" s="106"/>
      <c r="T1090" s="110"/>
      <c r="U1090" s="106">
        <v>9.403208E9</v>
      </c>
      <c r="V1090" s="112">
        <v>0.0</v>
      </c>
      <c r="W1090" s="106">
        <v>45.0</v>
      </c>
      <c r="X1090" s="106">
        <v>45.0</v>
      </c>
      <c r="Y1090" s="106"/>
      <c r="Z1090" s="106" t="s">
        <v>99</v>
      </c>
      <c r="AA1090" s="114" t="str">
        <f t="shared" si="891"/>
        <v>#REF!</v>
      </c>
      <c r="AB1090" s="115"/>
      <c r="AC1090" s="212" t="str">
        <f t="shared" si="892"/>
        <v>#REF!</v>
      </c>
      <c r="AD1090" s="213" t="str">
        <f t="shared" si="799"/>
        <v>#REF!</v>
      </c>
      <c r="AE1090" s="212"/>
      <c r="AF1090" s="212" t="str">
        <f t="shared" si="94"/>
        <v>#REF!</v>
      </c>
      <c r="AG1090" s="210" t="str">
        <f t="shared" si="95"/>
        <v>#REF!</v>
      </c>
      <c r="AH1090" s="120" t="str">
        <f t="shared" si="96"/>
        <v>#REF!</v>
      </c>
      <c r="AI1090" s="121">
        <f t="shared" si="893"/>
        <v>0.05</v>
      </c>
      <c r="AJ1090" s="121">
        <v>0.05</v>
      </c>
      <c r="AK1090" s="418">
        <v>0.37</v>
      </c>
      <c r="AL1090" s="123" t="str">
        <f t="shared" si="11"/>
        <v>#REF!</v>
      </c>
      <c r="AM1090" s="401" t="s">
        <v>10</v>
      </c>
      <c r="AN1090" s="125" t="str">
        <f t="shared" si="894"/>
        <v>#REF!</v>
      </c>
      <c r="AO1090" s="402" t="str">
        <f t="shared" si="895"/>
        <v>#REF!</v>
      </c>
      <c r="AP1090" s="127"/>
      <c r="AQ1090" s="403" t="str">
        <f t="shared" ref="AQ1090:AR1090" si="947">BC1090/(1-AI1090)</f>
        <v>#REF!</v>
      </c>
      <c r="AR1090" s="404" t="str">
        <f t="shared" si="947"/>
        <v>#REF!</v>
      </c>
      <c r="AS1090" s="405" t="str">
        <f t="shared" si="898"/>
        <v>#REF!</v>
      </c>
      <c r="AT1090" s="405" t="str">
        <f t="shared" si="899"/>
        <v>#REF!</v>
      </c>
      <c r="AU1090" s="129"/>
      <c r="AV1090" s="225" t="s">
        <v>3024</v>
      </c>
      <c r="AW1090" s="416"/>
      <c r="AX1090" s="416"/>
      <c r="AY1090" s="361"/>
      <c r="AZ1090" s="214"/>
      <c r="BA1090" s="214"/>
      <c r="BB1090" s="227"/>
      <c r="BC1090" s="412" t="str">
        <f t="shared" si="927"/>
        <v>#REF!</v>
      </c>
      <c r="BD1090" s="132" t="str">
        <f t="shared" si="905"/>
        <v>#REF!</v>
      </c>
      <c r="BE1090" s="19"/>
      <c r="BF1090" s="8"/>
      <c r="BG1090" s="1"/>
      <c r="BH1090" s="224" t="str">
        <f t="shared" si="910"/>
        <v>#REF!</v>
      </c>
      <c r="BI1090" s="224" t="str">
        <f t="shared" si="911"/>
        <v>#REF!</v>
      </c>
      <c r="BJ1090" s="224" t="str">
        <f t="shared" si="912"/>
        <v>#REF!</v>
      </c>
      <c r="BK1090" s="224" t="str">
        <f t="shared" si="913"/>
        <v>#REF!</v>
      </c>
      <c r="BL1090" s="49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</row>
    <row r="1091" ht="14.25" customHeight="1">
      <c r="A1091" s="103" t="s">
        <v>84</v>
      </c>
      <c r="B1091" s="103" t="s">
        <v>3073</v>
      </c>
      <c r="C1091" s="103" t="s">
        <v>120</v>
      </c>
      <c r="D1091" s="103" t="s">
        <v>1886</v>
      </c>
      <c r="E1091" s="109" t="s">
        <v>3686</v>
      </c>
      <c r="F1091" s="105" t="s">
        <v>3687</v>
      </c>
      <c r="G1091" s="110"/>
      <c r="H1091" s="110" t="s">
        <v>3134</v>
      </c>
      <c r="I1091" s="478"/>
      <c r="J1091" s="479" t="s">
        <v>3798</v>
      </c>
      <c r="K1091" s="108"/>
      <c r="L1091" s="104" t="s">
        <v>3799</v>
      </c>
      <c r="M1091" s="104" t="s">
        <v>3800</v>
      </c>
      <c r="N1091" s="110"/>
      <c r="O1091" s="109" t="s">
        <v>147</v>
      </c>
      <c r="P1091" s="106"/>
      <c r="Q1091" s="105" t="s">
        <v>3081</v>
      </c>
      <c r="R1091" s="106"/>
      <c r="S1091" s="106"/>
      <c r="T1091" s="110"/>
      <c r="U1091" s="106">
        <v>9.403208E9</v>
      </c>
      <c r="V1091" s="112">
        <v>0.0</v>
      </c>
      <c r="W1091" s="106">
        <v>45.0</v>
      </c>
      <c r="X1091" s="106">
        <v>45.0</v>
      </c>
      <c r="Y1091" s="106"/>
      <c r="Z1091" s="106" t="s">
        <v>99</v>
      </c>
      <c r="AA1091" s="114" t="str">
        <f t="shared" si="891"/>
        <v>#REF!</v>
      </c>
      <c r="AB1091" s="115"/>
      <c r="AC1091" s="212" t="str">
        <f t="shared" si="892"/>
        <v>#REF!</v>
      </c>
      <c r="AD1091" s="213" t="str">
        <f t="shared" si="799"/>
        <v>#REF!</v>
      </c>
      <c r="AE1091" s="212"/>
      <c r="AF1091" s="212" t="str">
        <f t="shared" si="94"/>
        <v>#REF!</v>
      </c>
      <c r="AG1091" s="210" t="str">
        <f t="shared" si="95"/>
        <v>#REF!</v>
      </c>
      <c r="AH1091" s="120" t="str">
        <f t="shared" si="96"/>
        <v>#REF!</v>
      </c>
      <c r="AI1091" s="121">
        <f t="shared" si="893"/>
        <v>0.05</v>
      </c>
      <c r="AJ1091" s="121">
        <v>0.05</v>
      </c>
      <c r="AK1091" s="418">
        <v>0.37</v>
      </c>
      <c r="AL1091" s="123" t="str">
        <f t="shared" si="11"/>
        <v>#REF!</v>
      </c>
      <c r="AM1091" s="401" t="s">
        <v>10</v>
      </c>
      <c r="AN1091" s="125" t="str">
        <f t="shared" si="894"/>
        <v>#REF!</v>
      </c>
      <c r="AO1091" s="402" t="str">
        <f t="shared" si="895"/>
        <v>#REF!</v>
      </c>
      <c r="AP1091" s="127"/>
      <c r="AQ1091" s="403" t="str">
        <f t="shared" ref="AQ1091:AR1091" si="948">BC1091/(1-AI1091)</f>
        <v>#REF!</v>
      </c>
      <c r="AR1091" s="404" t="str">
        <f t="shared" si="948"/>
        <v>#REF!</v>
      </c>
      <c r="AS1091" s="405" t="str">
        <f t="shared" si="898"/>
        <v>#REF!</v>
      </c>
      <c r="AT1091" s="405" t="str">
        <f t="shared" si="899"/>
        <v>#REF!</v>
      </c>
      <c r="AU1091" s="129"/>
      <c r="AV1091" s="225" t="s">
        <v>3024</v>
      </c>
      <c r="AW1091" s="416"/>
      <c r="AX1091" s="416"/>
      <c r="AY1091" s="361"/>
      <c r="AZ1091" s="214"/>
      <c r="BA1091" s="214"/>
      <c r="BB1091" s="227"/>
      <c r="BC1091" s="412" t="str">
        <f t="shared" si="927"/>
        <v>#REF!</v>
      </c>
      <c r="BD1091" s="132" t="str">
        <f t="shared" si="905"/>
        <v>#REF!</v>
      </c>
      <c r="BE1091" s="19"/>
      <c r="BF1091" s="8"/>
      <c r="BG1091" s="1"/>
      <c r="BH1091" s="224" t="str">
        <f t="shared" si="910"/>
        <v>#REF!</v>
      </c>
      <c r="BI1091" s="224" t="str">
        <f t="shared" si="911"/>
        <v>#REF!</v>
      </c>
      <c r="BJ1091" s="224" t="str">
        <f t="shared" si="912"/>
        <v>#REF!</v>
      </c>
      <c r="BK1091" s="224" t="str">
        <f t="shared" si="913"/>
        <v>#REF!</v>
      </c>
      <c r="BL1091" s="49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</row>
    <row r="1092" ht="14.25" customHeight="1">
      <c r="A1092" s="103" t="s">
        <v>84</v>
      </c>
      <c r="B1092" s="103" t="s">
        <v>3073</v>
      </c>
      <c r="C1092" s="103" t="s">
        <v>120</v>
      </c>
      <c r="D1092" s="103" t="s">
        <v>1886</v>
      </c>
      <c r="E1092" s="109" t="s">
        <v>3686</v>
      </c>
      <c r="F1092" s="105" t="s">
        <v>3687</v>
      </c>
      <c r="G1092" s="110"/>
      <c r="H1092" s="110" t="s">
        <v>3120</v>
      </c>
      <c r="I1092" s="478"/>
      <c r="J1092" s="479" t="s">
        <v>3801</v>
      </c>
      <c r="K1092" s="108"/>
      <c r="L1092" s="104" t="s">
        <v>3802</v>
      </c>
      <c r="M1092" s="104" t="s">
        <v>3803</v>
      </c>
      <c r="N1092" s="110"/>
      <c r="O1092" s="109" t="s">
        <v>147</v>
      </c>
      <c r="P1092" s="106"/>
      <c r="Q1092" s="105" t="s">
        <v>3081</v>
      </c>
      <c r="R1092" s="106"/>
      <c r="S1092" s="106"/>
      <c r="T1092" s="110"/>
      <c r="U1092" s="106">
        <v>9.403208E9</v>
      </c>
      <c r="V1092" s="112">
        <v>0.0</v>
      </c>
      <c r="W1092" s="106">
        <v>45.0</v>
      </c>
      <c r="X1092" s="106">
        <v>45.0</v>
      </c>
      <c r="Y1092" s="106"/>
      <c r="Z1092" s="106" t="s">
        <v>99</v>
      </c>
      <c r="AA1092" s="114" t="str">
        <f t="shared" si="891"/>
        <v>#REF!</v>
      </c>
      <c r="AB1092" s="115"/>
      <c r="AC1092" s="212" t="str">
        <f t="shared" si="892"/>
        <v>#REF!</v>
      </c>
      <c r="AD1092" s="213" t="str">
        <f t="shared" si="799"/>
        <v>#REF!</v>
      </c>
      <c r="AE1092" s="212"/>
      <c r="AF1092" s="212" t="str">
        <f t="shared" si="94"/>
        <v>#REF!</v>
      </c>
      <c r="AG1092" s="210" t="str">
        <f t="shared" si="95"/>
        <v>#REF!</v>
      </c>
      <c r="AH1092" s="120" t="str">
        <f t="shared" si="96"/>
        <v>#REF!</v>
      </c>
      <c r="AI1092" s="121">
        <f t="shared" si="893"/>
        <v>0.05</v>
      </c>
      <c r="AJ1092" s="121">
        <v>0.05</v>
      </c>
      <c r="AK1092" s="418">
        <v>0.37</v>
      </c>
      <c r="AL1092" s="123" t="str">
        <f t="shared" si="11"/>
        <v>#REF!</v>
      </c>
      <c r="AM1092" s="401" t="s">
        <v>10</v>
      </c>
      <c r="AN1092" s="125" t="str">
        <f t="shared" si="894"/>
        <v>#REF!</v>
      </c>
      <c r="AO1092" s="402" t="str">
        <f t="shared" si="895"/>
        <v>#REF!</v>
      </c>
      <c r="AP1092" s="127"/>
      <c r="AQ1092" s="403" t="str">
        <f t="shared" ref="AQ1092:AR1092" si="949">BC1092/(1-AI1092)</f>
        <v>#REF!</v>
      </c>
      <c r="AR1092" s="404" t="str">
        <f t="shared" si="949"/>
        <v>#REF!</v>
      </c>
      <c r="AS1092" s="405" t="str">
        <f t="shared" si="898"/>
        <v>#REF!</v>
      </c>
      <c r="AT1092" s="405" t="str">
        <f t="shared" si="899"/>
        <v>#REF!</v>
      </c>
      <c r="AU1092" s="129"/>
      <c r="AV1092" s="225" t="s">
        <v>3024</v>
      </c>
      <c r="AW1092" s="416"/>
      <c r="AX1092" s="416"/>
      <c r="AY1092" s="361"/>
      <c r="AZ1092" s="214"/>
      <c r="BA1092" s="214"/>
      <c r="BB1092" s="227"/>
      <c r="BC1092" s="412" t="str">
        <f t="shared" si="927"/>
        <v>#REF!</v>
      </c>
      <c r="BD1092" s="132" t="str">
        <f t="shared" si="905"/>
        <v>#REF!</v>
      </c>
      <c r="BE1092" s="19"/>
      <c r="BF1092" s="8"/>
      <c r="BG1092" s="1"/>
      <c r="BH1092" s="224" t="str">
        <f t="shared" si="910"/>
        <v>#REF!</v>
      </c>
      <c r="BI1092" s="224" t="str">
        <f t="shared" si="911"/>
        <v>#REF!</v>
      </c>
      <c r="BJ1092" s="224" t="str">
        <f t="shared" si="912"/>
        <v>#REF!</v>
      </c>
      <c r="BK1092" s="224" t="str">
        <f t="shared" si="913"/>
        <v>#REF!</v>
      </c>
      <c r="BL1092" s="49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</row>
    <row r="1093" ht="14.25" customHeight="1">
      <c r="A1093" s="103" t="s">
        <v>84</v>
      </c>
      <c r="B1093" s="103" t="s">
        <v>3073</v>
      </c>
      <c r="C1093" s="103" t="s">
        <v>120</v>
      </c>
      <c r="D1093" s="103" t="s">
        <v>1886</v>
      </c>
      <c r="E1093" s="109" t="s">
        <v>3686</v>
      </c>
      <c r="F1093" s="105" t="s">
        <v>3687</v>
      </c>
      <c r="G1093" s="110"/>
      <c r="H1093" s="110" t="s">
        <v>3159</v>
      </c>
      <c r="I1093" s="478"/>
      <c r="J1093" s="479" t="s">
        <v>3804</v>
      </c>
      <c r="K1093" s="108"/>
      <c r="L1093" s="104" t="s">
        <v>3805</v>
      </c>
      <c r="M1093" s="104" t="s">
        <v>3806</v>
      </c>
      <c r="N1093" s="110"/>
      <c r="O1093" s="109" t="s">
        <v>147</v>
      </c>
      <c r="P1093" s="106"/>
      <c r="Q1093" s="105" t="s">
        <v>3081</v>
      </c>
      <c r="R1093" s="106"/>
      <c r="S1093" s="106"/>
      <c r="T1093" s="110"/>
      <c r="U1093" s="106">
        <v>9.403208E9</v>
      </c>
      <c r="V1093" s="112">
        <v>0.0</v>
      </c>
      <c r="W1093" s="106">
        <v>45.0</v>
      </c>
      <c r="X1093" s="106">
        <v>45.0</v>
      </c>
      <c r="Y1093" s="106"/>
      <c r="Z1093" s="106" t="s">
        <v>99</v>
      </c>
      <c r="AA1093" s="114" t="str">
        <f t="shared" si="891"/>
        <v>#REF!</v>
      </c>
      <c r="AB1093" s="115"/>
      <c r="AC1093" s="212" t="str">
        <f t="shared" si="892"/>
        <v>#REF!</v>
      </c>
      <c r="AD1093" s="213" t="str">
        <f t="shared" si="799"/>
        <v>#REF!</v>
      </c>
      <c r="AE1093" s="212"/>
      <c r="AF1093" s="212" t="str">
        <f t="shared" si="94"/>
        <v>#REF!</v>
      </c>
      <c r="AG1093" s="210" t="str">
        <f t="shared" si="95"/>
        <v>#REF!</v>
      </c>
      <c r="AH1093" s="120" t="str">
        <f t="shared" si="96"/>
        <v>#REF!</v>
      </c>
      <c r="AI1093" s="121">
        <f t="shared" si="893"/>
        <v>0.05</v>
      </c>
      <c r="AJ1093" s="121">
        <v>0.05</v>
      </c>
      <c r="AK1093" s="418">
        <v>0.37</v>
      </c>
      <c r="AL1093" s="123" t="str">
        <f t="shared" si="11"/>
        <v>#REF!</v>
      </c>
      <c r="AM1093" s="401" t="s">
        <v>10</v>
      </c>
      <c r="AN1093" s="125" t="str">
        <f t="shared" si="894"/>
        <v>#REF!</v>
      </c>
      <c r="AO1093" s="402" t="str">
        <f t="shared" si="895"/>
        <v>#REF!</v>
      </c>
      <c r="AP1093" s="127"/>
      <c r="AQ1093" s="403" t="str">
        <f t="shared" ref="AQ1093:AR1093" si="950">BC1093/(1-AI1093)</f>
        <v>#REF!</v>
      </c>
      <c r="AR1093" s="404" t="str">
        <f t="shared" si="950"/>
        <v>#REF!</v>
      </c>
      <c r="AS1093" s="405" t="str">
        <f t="shared" si="898"/>
        <v>#REF!</v>
      </c>
      <c r="AT1093" s="405" t="str">
        <f t="shared" si="899"/>
        <v>#REF!</v>
      </c>
      <c r="AU1093" s="129"/>
      <c r="AV1093" s="225" t="s">
        <v>3024</v>
      </c>
      <c r="AW1093" s="416"/>
      <c r="AX1093" s="416"/>
      <c r="AY1093" s="361"/>
      <c r="AZ1093" s="214"/>
      <c r="BA1093" s="214"/>
      <c r="BB1093" s="227"/>
      <c r="BC1093" s="412" t="str">
        <f t="shared" si="927"/>
        <v>#REF!</v>
      </c>
      <c r="BD1093" s="132" t="str">
        <f t="shared" si="905"/>
        <v>#REF!</v>
      </c>
      <c r="BE1093" s="19"/>
      <c r="BF1093" s="8"/>
      <c r="BG1093" s="1"/>
      <c r="BH1093" s="224" t="str">
        <f t="shared" si="910"/>
        <v>#REF!</v>
      </c>
      <c r="BI1093" s="224" t="str">
        <f t="shared" si="911"/>
        <v>#REF!</v>
      </c>
      <c r="BJ1093" s="224" t="str">
        <f t="shared" si="912"/>
        <v>#REF!</v>
      </c>
      <c r="BK1093" s="224" t="str">
        <f t="shared" si="913"/>
        <v>#REF!</v>
      </c>
      <c r="BL1093" s="49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</row>
    <row r="1094" ht="14.25" customHeight="1">
      <c r="A1094" s="103" t="s">
        <v>84</v>
      </c>
      <c r="B1094" s="103" t="s">
        <v>3073</v>
      </c>
      <c r="C1094" s="103" t="s">
        <v>120</v>
      </c>
      <c r="D1094" s="103" t="s">
        <v>1886</v>
      </c>
      <c r="E1094" s="109" t="s">
        <v>3686</v>
      </c>
      <c r="F1094" s="105" t="s">
        <v>3687</v>
      </c>
      <c r="G1094" s="110"/>
      <c r="H1094" s="110" t="s">
        <v>3240</v>
      </c>
      <c r="I1094" s="478"/>
      <c r="J1094" s="479" t="s">
        <v>3807</v>
      </c>
      <c r="K1094" s="108"/>
      <c r="L1094" s="104" t="s">
        <v>3808</v>
      </c>
      <c r="M1094" s="104" t="s">
        <v>3809</v>
      </c>
      <c r="N1094" s="110"/>
      <c r="O1094" s="109" t="s">
        <v>147</v>
      </c>
      <c r="P1094" s="106"/>
      <c r="Q1094" s="105" t="s">
        <v>3081</v>
      </c>
      <c r="R1094" s="106"/>
      <c r="S1094" s="106"/>
      <c r="T1094" s="110"/>
      <c r="U1094" s="106">
        <v>9.403208E9</v>
      </c>
      <c r="V1094" s="112">
        <v>0.0</v>
      </c>
      <c r="W1094" s="106">
        <v>45.0</v>
      </c>
      <c r="X1094" s="106">
        <v>45.0</v>
      </c>
      <c r="Y1094" s="106"/>
      <c r="Z1094" s="106" t="s">
        <v>99</v>
      </c>
      <c r="AA1094" s="114" t="str">
        <f t="shared" si="891"/>
        <v>#REF!</v>
      </c>
      <c r="AB1094" s="115"/>
      <c r="AC1094" s="212" t="str">
        <f t="shared" si="892"/>
        <v>#REF!</v>
      </c>
      <c r="AD1094" s="213" t="str">
        <f t="shared" si="799"/>
        <v>#REF!</v>
      </c>
      <c r="AE1094" s="212"/>
      <c r="AF1094" s="212" t="str">
        <f t="shared" si="94"/>
        <v>#REF!</v>
      </c>
      <c r="AG1094" s="210" t="str">
        <f t="shared" si="95"/>
        <v>#REF!</v>
      </c>
      <c r="AH1094" s="120" t="str">
        <f t="shared" si="96"/>
        <v>#REF!</v>
      </c>
      <c r="AI1094" s="121">
        <f t="shared" si="893"/>
        <v>0.05</v>
      </c>
      <c r="AJ1094" s="121">
        <v>0.05</v>
      </c>
      <c r="AK1094" s="418">
        <v>0.37</v>
      </c>
      <c r="AL1094" s="123" t="str">
        <f t="shared" si="11"/>
        <v>#REF!</v>
      </c>
      <c r="AM1094" s="401" t="s">
        <v>10</v>
      </c>
      <c r="AN1094" s="125" t="str">
        <f t="shared" si="894"/>
        <v>#REF!</v>
      </c>
      <c r="AO1094" s="402" t="str">
        <f t="shared" si="895"/>
        <v>#REF!</v>
      </c>
      <c r="AP1094" s="127"/>
      <c r="AQ1094" s="403" t="str">
        <f t="shared" ref="AQ1094:AR1094" si="951">BC1094/(1-AI1094)</f>
        <v>#REF!</v>
      </c>
      <c r="AR1094" s="404" t="str">
        <f t="shared" si="951"/>
        <v>#REF!</v>
      </c>
      <c r="AS1094" s="405" t="str">
        <f t="shared" si="898"/>
        <v>#REF!</v>
      </c>
      <c r="AT1094" s="405" t="str">
        <f t="shared" si="899"/>
        <v>#REF!</v>
      </c>
      <c r="AU1094" s="129"/>
      <c r="AV1094" s="225" t="s">
        <v>3024</v>
      </c>
      <c r="AW1094" s="416"/>
      <c r="AX1094" s="416"/>
      <c r="AY1094" s="361"/>
      <c r="AZ1094" s="214"/>
      <c r="BA1094" s="214"/>
      <c r="BB1094" s="227"/>
      <c r="BC1094" s="412" t="str">
        <f t="shared" si="927"/>
        <v>#REF!</v>
      </c>
      <c r="BD1094" s="132" t="str">
        <f t="shared" si="905"/>
        <v>#REF!</v>
      </c>
      <c r="BE1094" s="19"/>
      <c r="BF1094" s="8"/>
      <c r="BG1094" s="1"/>
      <c r="BH1094" s="224" t="str">
        <f t="shared" si="910"/>
        <v>#REF!</v>
      </c>
      <c r="BI1094" s="224" t="str">
        <f t="shared" si="911"/>
        <v>#REF!</v>
      </c>
      <c r="BJ1094" s="224" t="str">
        <f t="shared" si="912"/>
        <v>#REF!</v>
      </c>
      <c r="BK1094" s="224" t="str">
        <f t="shared" si="913"/>
        <v>#REF!</v>
      </c>
      <c r="BL1094" s="49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</row>
    <row r="1095" ht="14.25" customHeight="1">
      <c r="A1095" s="103" t="s">
        <v>84</v>
      </c>
      <c r="B1095" s="103" t="s">
        <v>3073</v>
      </c>
      <c r="C1095" s="103" t="s">
        <v>120</v>
      </c>
      <c r="D1095" s="103" t="s">
        <v>1886</v>
      </c>
      <c r="E1095" s="109" t="s">
        <v>3686</v>
      </c>
      <c r="F1095" s="105" t="s">
        <v>3687</v>
      </c>
      <c r="G1095" s="110"/>
      <c r="H1095" s="110"/>
      <c r="I1095" s="478"/>
      <c r="J1095" s="479" t="s">
        <v>3810</v>
      </c>
      <c r="K1095" s="108" t="s">
        <v>3811</v>
      </c>
      <c r="L1095" s="104" t="s">
        <v>3812</v>
      </c>
      <c r="M1095" s="104" t="s">
        <v>3813</v>
      </c>
      <c r="N1095" s="250"/>
      <c r="O1095" s="109" t="s">
        <v>147</v>
      </c>
      <c r="P1095" s="106"/>
      <c r="Q1095" s="105" t="s">
        <v>3081</v>
      </c>
      <c r="R1095" s="106"/>
      <c r="S1095" s="106"/>
      <c r="T1095" s="110"/>
      <c r="U1095" s="106" t="s">
        <v>3814</v>
      </c>
      <c r="V1095" s="112">
        <v>0.0</v>
      </c>
      <c r="W1095" s="106">
        <v>45.0</v>
      </c>
      <c r="X1095" s="106">
        <v>45.0</v>
      </c>
      <c r="Y1095" s="106"/>
      <c r="Z1095" s="106" t="s">
        <v>99</v>
      </c>
      <c r="AA1095" s="480" t="str">
        <f t="shared" si="891"/>
        <v>#REF!</v>
      </c>
      <c r="AB1095" s="481"/>
      <c r="AC1095" s="482" t="str">
        <f t="shared" si="892"/>
        <v>#REF!</v>
      </c>
      <c r="AD1095" s="483" t="str">
        <f t="shared" si="799"/>
        <v>#REF!</v>
      </c>
      <c r="AE1095" s="482"/>
      <c r="AF1095" s="482" t="str">
        <f t="shared" si="94"/>
        <v>#REF!</v>
      </c>
      <c r="AG1095" s="484" t="str">
        <f t="shared" si="95"/>
        <v>#REF!</v>
      </c>
      <c r="AH1095" s="120" t="str">
        <f t="shared" si="96"/>
        <v>#REF!</v>
      </c>
      <c r="AI1095" s="485">
        <f t="shared" si="893"/>
        <v>0.05</v>
      </c>
      <c r="AJ1095" s="485">
        <v>0.05</v>
      </c>
      <c r="AK1095" s="486">
        <v>0.37</v>
      </c>
      <c r="AL1095" s="123" t="str">
        <f t="shared" si="11"/>
        <v>#REF!</v>
      </c>
      <c r="AM1095" s="487" t="s">
        <v>10</v>
      </c>
      <c r="AN1095" s="147" t="str">
        <f t="shared" si="894"/>
        <v>#REF!</v>
      </c>
      <c r="AO1095" s="488" t="str">
        <f t="shared" si="895"/>
        <v>#REF!</v>
      </c>
      <c r="AP1095" s="127"/>
      <c r="AQ1095" s="489" t="str">
        <f t="shared" ref="AQ1095:AR1095" si="952">BC1095/(1-AI1095)</f>
        <v>#REF!</v>
      </c>
      <c r="AR1095" s="490" t="str">
        <f t="shared" si="952"/>
        <v>#REF!</v>
      </c>
      <c r="AS1095" s="491" t="str">
        <f t="shared" si="898"/>
        <v>#REF!</v>
      </c>
      <c r="AT1095" s="491" t="str">
        <f t="shared" si="899"/>
        <v>#REF!</v>
      </c>
      <c r="AU1095" s="129"/>
      <c r="AV1095" s="225" t="s">
        <v>3024</v>
      </c>
      <c r="AW1095" s="492"/>
      <c r="AX1095" s="492"/>
      <c r="AY1095" s="493"/>
      <c r="AZ1095" s="494"/>
      <c r="BA1095" s="494"/>
      <c r="BB1095" s="495"/>
      <c r="BC1095" s="412" t="str">
        <f t="shared" si="927"/>
        <v>#REF!</v>
      </c>
      <c r="BD1095" s="496" t="str">
        <f t="shared" si="905"/>
        <v>#REF!</v>
      </c>
      <c r="BE1095" s="19"/>
      <c r="BF1095" s="8"/>
      <c r="BG1095" s="1"/>
      <c r="BH1095" s="224" t="str">
        <f t="shared" si="910"/>
        <v>#REF!</v>
      </c>
      <c r="BI1095" s="224" t="str">
        <f t="shared" si="911"/>
        <v>#REF!</v>
      </c>
      <c r="BJ1095" s="224" t="str">
        <f t="shared" si="912"/>
        <v>#REF!</v>
      </c>
      <c r="BK1095" s="224" t="str">
        <f t="shared" si="913"/>
        <v>#REF!</v>
      </c>
      <c r="BL1095" s="49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</row>
    <row r="1096" ht="14.25" customHeight="1">
      <c r="A1096" s="103" t="s">
        <v>84</v>
      </c>
      <c r="B1096" s="103" t="s">
        <v>3073</v>
      </c>
      <c r="C1096" s="103" t="s">
        <v>120</v>
      </c>
      <c r="D1096" s="103" t="s">
        <v>1886</v>
      </c>
      <c r="E1096" s="109" t="s">
        <v>3686</v>
      </c>
      <c r="F1096" s="105" t="s">
        <v>3687</v>
      </c>
      <c r="G1096" s="110"/>
      <c r="H1096" s="110"/>
      <c r="I1096" s="478"/>
      <c r="J1096" s="479" t="s">
        <v>3815</v>
      </c>
      <c r="K1096" s="108"/>
      <c r="L1096" s="104" t="s">
        <v>3816</v>
      </c>
      <c r="M1096" s="104" t="s">
        <v>3817</v>
      </c>
      <c r="N1096" s="134"/>
      <c r="O1096" s="109" t="s">
        <v>147</v>
      </c>
      <c r="P1096" s="106"/>
      <c r="Q1096" s="105" t="s">
        <v>3081</v>
      </c>
      <c r="R1096" s="106"/>
      <c r="S1096" s="106"/>
      <c r="T1096" s="110"/>
      <c r="U1096" s="106" t="s">
        <v>3814</v>
      </c>
      <c r="V1096" s="112">
        <v>0.0</v>
      </c>
      <c r="W1096" s="106">
        <v>45.0</v>
      </c>
      <c r="X1096" s="106">
        <v>45.0</v>
      </c>
      <c r="Y1096" s="106"/>
      <c r="Z1096" s="106" t="s">
        <v>99</v>
      </c>
      <c r="AA1096" s="497" t="str">
        <f t="shared" si="891"/>
        <v>#REF!</v>
      </c>
      <c r="AB1096" s="128"/>
      <c r="AC1096" s="498" t="str">
        <f t="shared" si="892"/>
        <v>#REF!</v>
      </c>
      <c r="AD1096" s="499" t="str">
        <f t="shared" si="799"/>
        <v>#REF!</v>
      </c>
      <c r="AE1096" s="498"/>
      <c r="AF1096" s="498" t="str">
        <f t="shared" si="94"/>
        <v>#REF!</v>
      </c>
      <c r="AG1096" s="500" t="str">
        <f t="shared" si="95"/>
        <v>#REF!</v>
      </c>
      <c r="AH1096" s="120" t="str">
        <f t="shared" si="96"/>
        <v>#REF!</v>
      </c>
      <c r="AI1096" s="501">
        <f t="shared" si="893"/>
        <v>0.05</v>
      </c>
      <c r="AJ1096" s="501">
        <v>0.05</v>
      </c>
      <c r="AK1096" s="502">
        <v>0.37</v>
      </c>
      <c r="AL1096" s="123" t="str">
        <f t="shared" si="11"/>
        <v>#REF!</v>
      </c>
      <c r="AM1096" s="503" t="s">
        <v>10</v>
      </c>
      <c r="AN1096" s="125" t="str">
        <f t="shared" si="894"/>
        <v>#REF!</v>
      </c>
      <c r="AO1096" s="405" t="str">
        <f t="shared" si="895"/>
        <v>#REF!</v>
      </c>
      <c r="AP1096" s="127"/>
      <c r="AQ1096" s="403" t="str">
        <f t="shared" ref="AQ1096:AR1096" si="953">BC1096/(1-AI1096)</f>
        <v>#REF!</v>
      </c>
      <c r="AR1096" s="404" t="str">
        <f t="shared" si="953"/>
        <v>#REF!</v>
      </c>
      <c r="AS1096" s="405" t="str">
        <f t="shared" si="898"/>
        <v>#REF!</v>
      </c>
      <c r="AT1096" s="405" t="str">
        <f t="shared" si="899"/>
        <v>#REF!</v>
      </c>
      <c r="AU1096" s="129"/>
      <c r="AV1096" s="361" t="s">
        <v>3024</v>
      </c>
      <c r="AW1096" s="416"/>
      <c r="AX1096" s="416"/>
      <c r="AY1096" s="361"/>
      <c r="AZ1096" s="214"/>
      <c r="BA1096" s="214"/>
      <c r="BB1096" s="227"/>
      <c r="BC1096" s="412" t="str">
        <f t="shared" si="927"/>
        <v>#REF!</v>
      </c>
      <c r="BD1096" s="132" t="str">
        <f t="shared" si="905"/>
        <v>#REF!</v>
      </c>
      <c r="BE1096" s="19"/>
      <c r="BF1096" s="8"/>
      <c r="BG1096" s="1"/>
      <c r="BH1096" s="224" t="str">
        <f t="shared" si="910"/>
        <v>#REF!</v>
      </c>
      <c r="BI1096" s="224" t="str">
        <f t="shared" si="911"/>
        <v>#REF!</v>
      </c>
      <c r="BJ1096" s="224" t="str">
        <f t="shared" si="912"/>
        <v>#REF!</v>
      </c>
      <c r="BK1096" s="224" t="str">
        <f t="shared" si="913"/>
        <v>#REF!</v>
      </c>
      <c r="BL1096" s="49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</row>
    <row r="1097" ht="14.25" customHeight="1">
      <c r="A1097" s="103" t="s">
        <v>84</v>
      </c>
      <c r="B1097" s="103" t="s">
        <v>120</v>
      </c>
      <c r="C1097" s="103" t="s">
        <v>120</v>
      </c>
      <c r="D1097" s="103" t="s">
        <v>1886</v>
      </c>
      <c r="E1097" s="103" t="s">
        <v>1887</v>
      </c>
      <c r="F1097" s="104" t="s">
        <v>1887</v>
      </c>
      <c r="G1097" s="110"/>
      <c r="H1097" s="110"/>
      <c r="I1097" s="107"/>
      <c r="J1097" s="108" t="s">
        <v>3818</v>
      </c>
      <c r="K1097" s="108" t="s">
        <v>3819</v>
      </c>
      <c r="L1097" s="103" t="s">
        <v>3820</v>
      </c>
      <c r="M1097" s="103" t="s">
        <v>3821</v>
      </c>
      <c r="N1097" s="110"/>
      <c r="O1097" s="104" t="s">
        <v>147</v>
      </c>
      <c r="P1097" s="110"/>
      <c r="Q1097" s="104" t="s">
        <v>554</v>
      </c>
      <c r="R1097" s="110" t="s">
        <v>787</v>
      </c>
      <c r="S1097" s="110"/>
      <c r="T1097" s="250"/>
      <c r="U1097" s="504" t="s">
        <v>1920</v>
      </c>
      <c r="V1097" s="112">
        <v>0.0</v>
      </c>
      <c r="W1097" s="113">
        <v>45.0</v>
      </c>
      <c r="X1097" s="110">
        <v>45.0</v>
      </c>
      <c r="Y1097" s="113">
        <v>14.0</v>
      </c>
      <c r="Z1097" s="113" t="s">
        <v>99</v>
      </c>
      <c r="AA1097" s="114"/>
      <c r="AB1097" s="115"/>
      <c r="AC1097" s="212"/>
      <c r="AD1097" s="213">
        <f t="shared" si="799"/>
        <v>0</v>
      </c>
      <c r="AE1097" s="212"/>
      <c r="AF1097" s="212" t="str">
        <f t="shared" si="94"/>
        <v>#REF!</v>
      </c>
      <c r="AG1097" s="210" t="str">
        <f t="shared" si="95"/>
        <v>#REF!</v>
      </c>
      <c r="AH1097" s="120" t="str">
        <f t="shared" si="96"/>
        <v>#REF!</v>
      </c>
      <c r="AI1097" s="121"/>
      <c r="AJ1097" s="121"/>
      <c r="AK1097" s="122"/>
      <c r="AL1097" s="123">
        <f t="shared" si="11"/>
        <v>0</v>
      </c>
      <c r="AM1097" s="122"/>
      <c r="AN1097" s="125"/>
      <c r="AO1097" s="112"/>
      <c r="AP1097" s="127"/>
      <c r="AQ1097" s="128"/>
      <c r="AR1097" s="139"/>
      <c r="AS1097" s="126"/>
      <c r="AT1097" s="126"/>
      <c r="AU1097" s="129"/>
      <c r="AV1097" s="39" t="s">
        <v>3024</v>
      </c>
      <c r="AW1097" s="214"/>
      <c r="AX1097" s="140"/>
      <c r="AY1097" s="140"/>
      <c r="AZ1097" s="214"/>
      <c r="BA1097" s="130"/>
      <c r="BB1097" s="130"/>
      <c r="BC1097" s="131"/>
      <c r="BD1097" s="132"/>
      <c r="BE1097" s="133"/>
      <c r="BF1097" s="134"/>
      <c r="BG1097" s="49"/>
      <c r="BH1097" s="212"/>
      <c r="BI1097" s="212"/>
      <c r="BJ1097" s="212"/>
      <c r="BK1097" s="212"/>
      <c r="BL1097" s="49"/>
      <c r="BM1097" s="49"/>
      <c r="BN1097" s="49"/>
      <c r="BO1097" s="49"/>
      <c r="BP1097" s="49"/>
      <c r="BQ1097" s="49"/>
      <c r="BR1097" s="49"/>
      <c r="BS1097" s="49"/>
      <c r="BT1097" s="49"/>
      <c r="BU1097" s="49"/>
      <c r="BV1097" s="49"/>
      <c r="BW1097" s="49"/>
      <c r="BX1097" s="49"/>
      <c r="BY1097" s="49"/>
      <c r="BZ1097" s="49"/>
      <c r="CA1097" s="49"/>
      <c r="CB1097" s="49"/>
      <c r="CC1097" s="49"/>
      <c r="CD1097" s="49"/>
      <c r="CE1097" s="49"/>
      <c r="CF1097" s="49"/>
    </row>
    <row r="1098" ht="14.25" customHeight="1">
      <c r="A1098" s="103" t="s">
        <v>84</v>
      </c>
      <c r="B1098" s="103" t="s">
        <v>120</v>
      </c>
      <c r="C1098" s="103" t="s">
        <v>120</v>
      </c>
      <c r="D1098" s="103" t="s">
        <v>1886</v>
      </c>
      <c r="E1098" s="103" t="s">
        <v>1887</v>
      </c>
      <c r="F1098" s="104" t="s">
        <v>1887</v>
      </c>
      <c r="G1098" s="110"/>
      <c r="H1098" s="110"/>
      <c r="I1098" s="107"/>
      <c r="J1098" s="108" t="s">
        <v>3822</v>
      </c>
      <c r="K1098" s="108" t="s">
        <v>3823</v>
      </c>
      <c r="L1098" s="103" t="s">
        <v>3824</v>
      </c>
      <c r="M1098" s="103" t="s">
        <v>3825</v>
      </c>
      <c r="N1098" s="110"/>
      <c r="O1098" s="104" t="s">
        <v>147</v>
      </c>
      <c r="P1098" s="110"/>
      <c r="Q1098" s="104" t="s">
        <v>554</v>
      </c>
      <c r="R1098" s="110" t="s">
        <v>787</v>
      </c>
      <c r="S1098" s="251"/>
      <c r="T1098" s="134"/>
      <c r="U1098" s="505" t="s">
        <v>1920</v>
      </c>
      <c r="V1098" s="112">
        <v>0.0</v>
      </c>
      <c r="W1098" s="113">
        <v>45.0</v>
      </c>
      <c r="X1098" s="110">
        <v>45.0</v>
      </c>
      <c r="Y1098" s="113">
        <v>14.0</v>
      </c>
      <c r="Z1098" s="113" t="s">
        <v>99</v>
      </c>
      <c r="AA1098" s="114"/>
      <c r="AB1098" s="115"/>
      <c r="AC1098" s="212"/>
      <c r="AD1098" s="213">
        <f t="shared" si="799"/>
        <v>0</v>
      </c>
      <c r="AE1098" s="212"/>
      <c r="AF1098" s="212" t="str">
        <f t="shared" si="94"/>
        <v>#REF!</v>
      </c>
      <c r="AG1098" s="210" t="str">
        <f t="shared" si="95"/>
        <v>#REF!</v>
      </c>
      <c r="AH1098" s="120" t="str">
        <f t="shared" si="96"/>
        <v>#REF!</v>
      </c>
      <c r="AI1098" s="121"/>
      <c r="AJ1098" s="121"/>
      <c r="AK1098" s="122"/>
      <c r="AL1098" s="123">
        <f t="shared" si="11"/>
        <v>0</v>
      </c>
      <c r="AM1098" s="122"/>
      <c r="AN1098" s="125"/>
      <c r="AO1098" s="112"/>
      <c r="AP1098" s="127"/>
      <c r="AQ1098" s="128"/>
      <c r="AR1098" s="139"/>
      <c r="AS1098" s="126"/>
      <c r="AT1098" s="126"/>
      <c r="AU1098" s="129"/>
      <c r="AV1098" s="39" t="s">
        <v>3024</v>
      </c>
      <c r="AW1098" s="214"/>
      <c r="AX1098" s="140"/>
      <c r="AY1098" s="140"/>
      <c r="AZ1098" s="214"/>
      <c r="BA1098" s="130"/>
      <c r="BB1098" s="130"/>
      <c r="BC1098" s="131"/>
      <c r="BD1098" s="132"/>
      <c r="BE1098" s="133"/>
      <c r="BF1098" s="134"/>
      <c r="BG1098" s="49"/>
      <c r="BH1098" s="212"/>
      <c r="BI1098" s="212"/>
      <c r="BJ1098" s="212"/>
      <c r="BK1098" s="212"/>
      <c r="BL1098" s="49"/>
      <c r="BM1098" s="49"/>
      <c r="BN1098" s="49"/>
      <c r="BO1098" s="49"/>
      <c r="BP1098" s="49"/>
      <c r="BQ1098" s="49"/>
      <c r="BR1098" s="49"/>
      <c r="BS1098" s="49"/>
      <c r="BT1098" s="49"/>
      <c r="BU1098" s="49"/>
      <c r="BV1098" s="49"/>
      <c r="BW1098" s="49"/>
      <c r="BX1098" s="49"/>
      <c r="BY1098" s="49"/>
      <c r="BZ1098" s="49"/>
      <c r="CA1098" s="49"/>
      <c r="CB1098" s="49"/>
      <c r="CC1098" s="49"/>
      <c r="CD1098" s="49"/>
      <c r="CE1098" s="49"/>
      <c r="CF1098" s="49"/>
    </row>
    <row r="1099" ht="14.25" customHeight="1">
      <c r="A1099" s="103" t="s">
        <v>84</v>
      </c>
      <c r="B1099" s="103" t="s">
        <v>120</v>
      </c>
      <c r="C1099" s="103" t="s">
        <v>120</v>
      </c>
      <c r="D1099" s="103" t="s">
        <v>1886</v>
      </c>
      <c r="E1099" s="103" t="s">
        <v>1887</v>
      </c>
      <c r="F1099" s="104" t="s">
        <v>1887</v>
      </c>
      <c r="G1099" s="110"/>
      <c r="H1099" s="110"/>
      <c r="I1099" s="107"/>
      <c r="J1099" s="108" t="s">
        <v>3826</v>
      </c>
      <c r="K1099" s="108" t="s">
        <v>3827</v>
      </c>
      <c r="L1099" s="103" t="s">
        <v>3828</v>
      </c>
      <c r="M1099" s="103" t="s">
        <v>3829</v>
      </c>
      <c r="N1099" s="110"/>
      <c r="O1099" s="104" t="s">
        <v>147</v>
      </c>
      <c r="P1099" s="110"/>
      <c r="Q1099" s="104" t="s">
        <v>554</v>
      </c>
      <c r="R1099" s="110" t="s">
        <v>787</v>
      </c>
      <c r="S1099" s="251"/>
      <c r="T1099" s="134"/>
      <c r="U1099" s="505" t="s">
        <v>1920</v>
      </c>
      <c r="V1099" s="112">
        <v>0.0</v>
      </c>
      <c r="W1099" s="113">
        <v>45.0</v>
      </c>
      <c r="X1099" s="110">
        <v>45.0</v>
      </c>
      <c r="Y1099" s="113">
        <v>14.0</v>
      </c>
      <c r="Z1099" s="113" t="s">
        <v>99</v>
      </c>
      <c r="AA1099" s="114"/>
      <c r="AB1099" s="115"/>
      <c r="AC1099" s="212"/>
      <c r="AD1099" s="213">
        <f t="shared" si="799"/>
        <v>0</v>
      </c>
      <c r="AE1099" s="212"/>
      <c r="AF1099" s="212" t="str">
        <f t="shared" si="94"/>
        <v>#REF!</v>
      </c>
      <c r="AG1099" s="210" t="str">
        <f t="shared" si="95"/>
        <v>#REF!</v>
      </c>
      <c r="AH1099" s="120" t="str">
        <f t="shared" si="96"/>
        <v>#REF!</v>
      </c>
      <c r="AI1099" s="121"/>
      <c r="AJ1099" s="121"/>
      <c r="AK1099" s="122"/>
      <c r="AL1099" s="123">
        <f t="shared" si="11"/>
        <v>0</v>
      </c>
      <c r="AM1099" s="122"/>
      <c r="AN1099" s="125"/>
      <c r="AO1099" s="112"/>
      <c r="AP1099" s="127"/>
      <c r="AQ1099" s="128"/>
      <c r="AR1099" s="139"/>
      <c r="AS1099" s="126"/>
      <c r="AT1099" s="126"/>
      <c r="AU1099" s="129"/>
      <c r="AV1099" s="39" t="s">
        <v>3024</v>
      </c>
      <c r="AW1099" s="214"/>
      <c r="AX1099" s="140"/>
      <c r="AY1099" s="140"/>
      <c r="AZ1099" s="214"/>
      <c r="BA1099" s="130"/>
      <c r="BB1099" s="130"/>
      <c r="BC1099" s="131"/>
      <c r="BD1099" s="132"/>
      <c r="BE1099" s="133"/>
      <c r="BF1099" s="134"/>
      <c r="BG1099" s="49"/>
      <c r="BH1099" s="212"/>
      <c r="BI1099" s="212"/>
      <c r="BJ1099" s="212"/>
      <c r="BK1099" s="212"/>
      <c r="BL1099" s="49"/>
      <c r="BM1099" s="49"/>
      <c r="BN1099" s="49"/>
      <c r="BO1099" s="49"/>
      <c r="BP1099" s="49"/>
      <c r="BQ1099" s="49"/>
      <c r="BR1099" s="49"/>
      <c r="BS1099" s="49"/>
      <c r="BT1099" s="49"/>
      <c r="BU1099" s="49"/>
      <c r="BV1099" s="49"/>
      <c r="BW1099" s="49"/>
      <c r="BX1099" s="49"/>
      <c r="BY1099" s="49"/>
      <c r="BZ1099" s="49"/>
      <c r="CA1099" s="49"/>
      <c r="CB1099" s="49"/>
      <c r="CC1099" s="49"/>
      <c r="CD1099" s="49"/>
      <c r="CE1099" s="49"/>
      <c r="CF1099" s="49"/>
    </row>
    <row r="1100" ht="14.25" customHeight="1">
      <c r="A1100" s="103" t="s">
        <v>84</v>
      </c>
      <c r="B1100" s="103" t="s">
        <v>120</v>
      </c>
      <c r="C1100" s="103" t="s">
        <v>120</v>
      </c>
      <c r="D1100" s="103" t="s">
        <v>1886</v>
      </c>
      <c r="E1100" s="103" t="s">
        <v>1887</v>
      </c>
      <c r="F1100" s="104" t="s">
        <v>1887</v>
      </c>
      <c r="G1100" s="110"/>
      <c r="H1100" s="110"/>
      <c r="I1100" s="107"/>
      <c r="J1100" s="108" t="s">
        <v>3830</v>
      </c>
      <c r="K1100" s="108" t="s">
        <v>3831</v>
      </c>
      <c r="L1100" s="103" t="s">
        <v>3832</v>
      </c>
      <c r="M1100" s="103" t="s">
        <v>3833</v>
      </c>
      <c r="N1100" s="110"/>
      <c r="O1100" s="104" t="s">
        <v>147</v>
      </c>
      <c r="P1100" s="110"/>
      <c r="Q1100" s="104" t="s">
        <v>554</v>
      </c>
      <c r="R1100" s="110" t="s">
        <v>787</v>
      </c>
      <c r="S1100" s="251"/>
      <c r="T1100" s="134"/>
      <c r="U1100" s="505" t="s">
        <v>1920</v>
      </c>
      <c r="V1100" s="112">
        <v>0.0</v>
      </c>
      <c r="W1100" s="113">
        <v>45.0</v>
      </c>
      <c r="X1100" s="110">
        <v>45.0</v>
      </c>
      <c r="Y1100" s="113">
        <v>14.0</v>
      </c>
      <c r="Z1100" s="113" t="s">
        <v>99</v>
      </c>
      <c r="AA1100" s="114"/>
      <c r="AB1100" s="115"/>
      <c r="AC1100" s="212"/>
      <c r="AD1100" s="213">
        <f t="shared" si="799"/>
        <v>0</v>
      </c>
      <c r="AE1100" s="212"/>
      <c r="AF1100" s="212" t="str">
        <f t="shared" si="94"/>
        <v>#REF!</v>
      </c>
      <c r="AG1100" s="210" t="str">
        <f t="shared" si="95"/>
        <v>#REF!</v>
      </c>
      <c r="AH1100" s="120" t="str">
        <f t="shared" si="96"/>
        <v>#REF!</v>
      </c>
      <c r="AI1100" s="121"/>
      <c r="AJ1100" s="121"/>
      <c r="AK1100" s="122"/>
      <c r="AL1100" s="123">
        <f t="shared" si="11"/>
        <v>0</v>
      </c>
      <c r="AM1100" s="122"/>
      <c r="AN1100" s="125"/>
      <c r="AO1100" s="112"/>
      <c r="AP1100" s="127"/>
      <c r="AQ1100" s="128"/>
      <c r="AR1100" s="139"/>
      <c r="AS1100" s="126"/>
      <c r="AT1100" s="126"/>
      <c r="AU1100" s="129"/>
      <c r="AV1100" s="39" t="s">
        <v>3024</v>
      </c>
      <c r="AW1100" s="214"/>
      <c r="AX1100" s="140"/>
      <c r="AY1100" s="140"/>
      <c r="AZ1100" s="214"/>
      <c r="BA1100" s="130"/>
      <c r="BB1100" s="130"/>
      <c r="BC1100" s="131"/>
      <c r="BD1100" s="132"/>
      <c r="BE1100" s="133"/>
      <c r="BF1100" s="134"/>
      <c r="BG1100" s="49"/>
      <c r="BH1100" s="212"/>
      <c r="BI1100" s="212"/>
      <c r="BJ1100" s="212"/>
      <c r="BK1100" s="212"/>
      <c r="BL1100" s="49"/>
      <c r="BM1100" s="49"/>
      <c r="BN1100" s="49"/>
      <c r="BO1100" s="49"/>
      <c r="BP1100" s="49"/>
      <c r="BQ1100" s="49"/>
      <c r="BR1100" s="49"/>
      <c r="BS1100" s="49"/>
      <c r="BT1100" s="49"/>
      <c r="BU1100" s="49"/>
      <c r="BV1100" s="49"/>
      <c r="BW1100" s="49"/>
      <c r="BX1100" s="49"/>
      <c r="BY1100" s="49"/>
      <c r="BZ1100" s="49"/>
      <c r="CA1100" s="49"/>
      <c r="CB1100" s="49"/>
      <c r="CC1100" s="49"/>
      <c r="CD1100" s="49"/>
      <c r="CE1100" s="49"/>
      <c r="CF1100" s="49"/>
    </row>
    <row r="1101" ht="14.25" customHeight="1">
      <c r="A1101" s="103" t="s">
        <v>84</v>
      </c>
      <c r="B1101" s="103" t="s">
        <v>120</v>
      </c>
      <c r="C1101" s="103" t="s">
        <v>120</v>
      </c>
      <c r="D1101" s="103" t="s">
        <v>1886</v>
      </c>
      <c r="E1101" s="103" t="s">
        <v>1887</v>
      </c>
      <c r="F1101" s="104" t="s">
        <v>1887</v>
      </c>
      <c r="G1101" s="110"/>
      <c r="H1101" s="110"/>
      <c r="I1101" s="107"/>
      <c r="J1101" s="108" t="s">
        <v>3834</v>
      </c>
      <c r="K1101" s="108" t="s">
        <v>3835</v>
      </c>
      <c r="L1101" s="103" t="s">
        <v>3836</v>
      </c>
      <c r="M1101" s="103" t="s">
        <v>3837</v>
      </c>
      <c r="N1101" s="110"/>
      <c r="O1101" s="104" t="s">
        <v>147</v>
      </c>
      <c r="P1101" s="110"/>
      <c r="Q1101" s="104"/>
      <c r="R1101" s="110" t="s">
        <v>787</v>
      </c>
      <c r="S1101" s="110"/>
      <c r="T1101" s="313"/>
      <c r="U1101" s="504" t="s">
        <v>3838</v>
      </c>
      <c r="V1101" s="112">
        <v>0.0</v>
      </c>
      <c r="W1101" s="113">
        <v>45.0</v>
      </c>
      <c r="X1101" s="110">
        <v>45.0</v>
      </c>
      <c r="Y1101" s="110"/>
      <c r="Z1101" s="113" t="s">
        <v>99</v>
      </c>
      <c r="AA1101" s="114"/>
      <c r="AB1101" s="115"/>
      <c r="AC1101" s="212"/>
      <c r="AD1101" s="213">
        <f t="shared" si="799"/>
        <v>0</v>
      </c>
      <c r="AE1101" s="212"/>
      <c r="AF1101" s="212" t="str">
        <f t="shared" si="94"/>
        <v>#REF!</v>
      </c>
      <c r="AG1101" s="210" t="str">
        <f t="shared" si="95"/>
        <v>#REF!</v>
      </c>
      <c r="AH1101" s="120" t="str">
        <f t="shared" si="96"/>
        <v>#REF!</v>
      </c>
      <c r="AI1101" s="121"/>
      <c r="AJ1101" s="121"/>
      <c r="AK1101" s="122"/>
      <c r="AL1101" s="123">
        <f t="shared" si="11"/>
        <v>0</v>
      </c>
      <c r="AM1101" s="122"/>
      <c r="AN1101" s="125"/>
      <c r="AO1101" s="112"/>
      <c r="AP1101" s="127"/>
      <c r="AQ1101" s="128"/>
      <c r="AR1101" s="139"/>
      <c r="AS1101" s="126"/>
      <c r="AT1101" s="126"/>
      <c r="AU1101" s="129"/>
      <c r="AV1101" s="39" t="s">
        <v>3024</v>
      </c>
      <c r="AW1101" s="214"/>
      <c r="AX1101" s="140"/>
      <c r="AY1101" s="140"/>
      <c r="AZ1101" s="214"/>
      <c r="BA1101" s="130"/>
      <c r="BB1101" s="130"/>
      <c r="BC1101" s="131"/>
      <c r="BD1101" s="132"/>
      <c r="BE1101" s="133"/>
      <c r="BF1101" s="134"/>
      <c r="BG1101" s="49"/>
      <c r="BH1101" s="212"/>
      <c r="BI1101" s="212"/>
      <c r="BJ1101" s="212"/>
      <c r="BK1101" s="212"/>
      <c r="BL1101" s="49"/>
      <c r="BM1101" s="49"/>
      <c r="BN1101" s="49"/>
      <c r="BO1101" s="49"/>
      <c r="BP1101" s="49"/>
      <c r="BQ1101" s="49"/>
      <c r="BR1101" s="49"/>
      <c r="BS1101" s="49"/>
      <c r="BT1101" s="49"/>
      <c r="BU1101" s="49"/>
      <c r="BV1101" s="49"/>
      <c r="BW1101" s="49"/>
      <c r="BX1101" s="49"/>
      <c r="BY1101" s="49"/>
      <c r="BZ1101" s="49"/>
      <c r="CA1101" s="49"/>
      <c r="CB1101" s="49"/>
      <c r="CC1101" s="49"/>
      <c r="CD1101" s="49"/>
      <c r="CE1101" s="49"/>
      <c r="CF1101" s="49"/>
    </row>
    <row r="1102" ht="14.25" customHeight="1">
      <c r="A1102" s="103" t="s">
        <v>84</v>
      </c>
      <c r="B1102" s="103" t="s">
        <v>120</v>
      </c>
      <c r="C1102" s="103" t="s">
        <v>120</v>
      </c>
      <c r="D1102" s="103" t="s">
        <v>1886</v>
      </c>
      <c r="E1102" s="103" t="s">
        <v>1887</v>
      </c>
      <c r="F1102" s="104" t="s">
        <v>1887</v>
      </c>
      <c r="G1102" s="110"/>
      <c r="H1102" s="110"/>
      <c r="I1102" s="107"/>
      <c r="J1102" s="108" t="s">
        <v>3839</v>
      </c>
      <c r="K1102" s="108" t="s">
        <v>3840</v>
      </c>
      <c r="L1102" s="103" t="s">
        <v>3841</v>
      </c>
      <c r="M1102" s="103" t="s">
        <v>3842</v>
      </c>
      <c r="N1102" s="110"/>
      <c r="O1102" s="104" t="s">
        <v>147</v>
      </c>
      <c r="P1102" s="110"/>
      <c r="Q1102" s="104"/>
      <c r="R1102" s="110" t="s">
        <v>787</v>
      </c>
      <c r="S1102" s="110"/>
      <c r="T1102" s="110"/>
      <c r="U1102" s="504" t="s">
        <v>509</v>
      </c>
      <c r="V1102" s="112">
        <v>0.0</v>
      </c>
      <c r="W1102" s="113">
        <v>45.0</v>
      </c>
      <c r="X1102" s="110">
        <v>45.0</v>
      </c>
      <c r="Y1102" s="110"/>
      <c r="Z1102" s="113" t="s">
        <v>99</v>
      </c>
      <c r="AA1102" s="114"/>
      <c r="AB1102" s="115"/>
      <c r="AC1102" s="212"/>
      <c r="AD1102" s="213">
        <f t="shared" si="799"/>
        <v>0</v>
      </c>
      <c r="AE1102" s="212"/>
      <c r="AF1102" s="212" t="str">
        <f t="shared" si="94"/>
        <v>#REF!</v>
      </c>
      <c r="AG1102" s="210" t="str">
        <f t="shared" si="95"/>
        <v>#REF!</v>
      </c>
      <c r="AH1102" s="120" t="str">
        <f t="shared" si="96"/>
        <v>#REF!</v>
      </c>
      <c r="AI1102" s="121"/>
      <c r="AJ1102" s="121"/>
      <c r="AK1102" s="122"/>
      <c r="AL1102" s="123">
        <f t="shared" si="11"/>
        <v>0</v>
      </c>
      <c r="AM1102" s="122"/>
      <c r="AN1102" s="125"/>
      <c r="AO1102" s="112"/>
      <c r="AP1102" s="127"/>
      <c r="AQ1102" s="128"/>
      <c r="AR1102" s="139"/>
      <c r="AS1102" s="126"/>
      <c r="AT1102" s="126"/>
      <c r="AU1102" s="129"/>
      <c r="AV1102" s="39" t="s">
        <v>3024</v>
      </c>
      <c r="AW1102" s="214"/>
      <c r="AX1102" s="140"/>
      <c r="AY1102" s="140"/>
      <c r="AZ1102" s="214"/>
      <c r="BA1102" s="130"/>
      <c r="BB1102" s="130"/>
      <c r="BC1102" s="131"/>
      <c r="BD1102" s="132"/>
      <c r="BE1102" s="133"/>
      <c r="BF1102" s="134"/>
      <c r="BG1102" s="49"/>
      <c r="BH1102" s="212"/>
      <c r="BI1102" s="212"/>
      <c r="BJ1102" s="212"/>
      <c r="BK1102" s="212"/>
      <c r="BL1102" s="49"/>
      <c r="BM1102" s="49"/>
      <c r="BN1102" s="49"/>
      <c r="BO1102" s="49"/>
      <c r="BP1102" s="49"/>
      <c r="BQ1102" s="49"/>
      <c r="BR1102" s="49"/>
      <c r="BS1102" s="49"/>
      <c r="BT1102" s="49"/>
      <c r="BU1102" s="49"/>
      <c r="BV1102" s="49"/>
      <c r="BW1102" s="49"/>
      <c r="BX1102" s="49"/>
      <c r="BY1102" s="49"/>
      <c r="BZ1102" s="49"/>
      <c r="CA1102" s="49"/>
      <c r="CB1102" s="49"/>
      <c r="CC1102" s="49"/>
      <c r="CD1102" s="49"/>
      <c r="CE1102" s="49"/>
      <c r="CF1102" s="49"/>
    </row>
    <row r="1103" ht="14.25" customHeight="1">
      <c r="A1103" s="103" t="s">
        <v>84</v>
      </c>
      <c r="B1103" s="103" t="s">
        <v>85</v>
      </c>
      <c r="C1103" s="103" t="s">
        <v>85</v>
      </c>
      <c r="D1103" s="103" t="s">
        <v>86</v>
      </c>
      <c r="E1103" s="104" t="s">
        <v>87</v>
      </c>
      <c r="F1103" s="105" t="s">
        <v>207</v>
      </c>
      <c r="G1103" s="106" t="s">
        <v>246</v>
      </c>
      <c r="H1103" s="106">
        <v>23.0</v>
      </c>
      <c r="I1103" s="107" t="s">
        <v>3843</v>
      </c>
      <c r="J1103" s="108" t="s">
        <v>3844</v>
      </c>
      <c r="K1103" s="108" t="s">
        <v>3845</v>
      </c>
      <c r="L1103" s="105" t="s">
        <v>3846</v>
      </c>
      <c r="M1103" s="105" t="s">
        <v>3847</v>
      </c>
      <c r="N1103" s="106" t="s">
        <v>162</v>
      </c>
      <c r="O1103" s="109" t="s">
        <v>95</v>
      </c>
      <c r="P1103" s="110">
        <v>17.8</v>
      </c>
      <c r="Q1103" s="103" t="s">
        <v>96</v>
      </c>
      <c r="R1103" s="110" t="s">
        <v>97</v>
      </c>
      <c r="S1103" s="110">
        <v>9.0</v>
      </c>
      <c r="T1103" s="111"/>
      <c r="U1103" s="106" t="s">
        <v>98</v>
      </c>
      <c r="V1103" s="112">
        <v>0.0</v>
      </c>
      <c r="W1103" s="113">
        <v>45.0</v>
      </c>
      <c r="X1103" s="113">
        <v>45.0</v>
      </c>
      <c r="Y1103" s="113">
        <v>55.0</v>
      </c>
      <c r="Z1103" s="113" t="s">
        <v>99</v>
      </c>
      <c r="AA1103" s="114">
        <f>BC1103/(1-(AK1103+2%))</f>
        <v>0</v>
      </c>
      <c r="AB1103" s="115" t="str">
        <f>VLOOKUP(J1103,'[2]PO &amp; SC Sept 2025'!$I$14:$BK$660,55,FALSE)+(($F$3/1000)-1.5)*P1103</f>
        <v>#REF!</v>
      </c>
      <c r="AC1103" s="116">
        <f t="shared" ref="AC1103:AC1107" si="955">BD1103/(1-AK1103)</f>
        <v>14.43001443</v>
      </c>
      <c r="AD1103" s="117">
        <f>AC1103/0.95</f>
        <v>15.18948887</v>
      </c>
      <c r="AE1103" s="118" t="str">
        <f>VLOOKUP(J1103,'[2]PO &amp; SC Sept 2025'!$I$14:$BE$660,49,FALSE)+(P1103*(($F$4/1000)-1.5))</f>
        <v>#REF!</v>
      </c>
      <c r="AF1103" s="118" t="str">
        <f t="shared" si="94"/>
        <v>#REF!</v>
      </c>
      <c r="AG1103" s="119" t="str">
        <f t="shared" si="95"/>
        <v>#REF!</v>
      </c>
      <c r="AH1103" s="120" t="str">
        <f t="shared" si="96"/>
        <v>#REF!</v>
      </c>
      <c r="AI1103" s="121">
        <v>0.09</v>
      </c>
      <c r="AJ1103" s="121">
        <v>0.09</v>
      </c>
      <c r="AK1103" s="122">
        <v>0.22999999999999998</v>
      </c>
      <c r="AL1103" s="123">
        <f t="shared" si="11"/>
        <v>3.318903319</v>
      </c>
      <c r="AM1103" s="124" t="s">
        <v>10</v>
      </c>
      <c r="AN1103" s="125">
        <f t="shared" ref="AN1103:AN1107" si="956">AC1103</f>
        <v>14.43001443</v>
      </c>
      <c r="AO1103" s="126">
        <f t="shared" ref="AO1103:AO1107" si="957">1-(BD1103/AN1103)</f>
        <v>0.23</v>
      </c>
      <c r="AP1103" s="127"/>
      <c r="AQ1103" s="128">
        <f t="shared" ref="AQ1103:AR1103" si="954">BC1103/(1-AI1103)</f>
        <v>0</v>
      </c>
      <c r="AR1103" s="125">
        <f t="shared" si="954"/>
        <v>12.21001221</v>
      </c>
      <c r="AS1103" s="126" t="str">
        <f t="shared" ref="AS1103:AS1107" si="959">1-(AQ1103/AA1103)</f>
        <v>#DIV/0!</v>
      </c>
      <c r="AT1103" s="126">
        <f t="shared" ref="AT1103:AT1107" si="960">1-(AR1103/AC1103)</f>
        <v>0.1538461538</v>
      </c>
      <c r="AU1103" s="129"/>
      <c r="AV1103" s="39" t="s">
        <v>126</v>
      </c>
      <c r="AW1103" s="130"/>
      <c r="AX1103" s="130"/>
      <c r="AY1103" s="130"/>
      <c r="AZ1103" s="130"/>
      <c r="BA1103" s="130">
        <f>($F$2-70000)/1000*AW1103+AX1103</f>
        <v>0</v>
      </c>
      <c r="BB1103" s="130">
        <f t="shared" ref="BB1103:BB1107" si="961">AZ1103+BA1103</f>
        <v>0</v>
      </c>
      <c r="BC1103" s="131">
        <f t="shared" ref="BC1103:BC1107" si="962">(AZ1103+BA1103)/$F$5</f>
        <v>0</v>
      </c>
      <c r="BD1103" s="132">
        <f t="shared" ref="BD1103:BD1107" si="963">(BC1103/$F$6)+(($F$9+$G$9)/40/S1103)+BC1103*V1103</f>
        <v>11.11111111</v>
      </c>
      <c r="BE1103" s="133"/>
      <c r="BF1103" s="134" t="s">
        <v>101</v>
      </c>
      <c r="BG1103" s="49"/>
      <c r="BH1103" s="116">
        <f t="shared" ref="BH1103:BH1107" si="964">AC1103/0.3</f>
        <v>48.1000481</v>
      </c>
      <c r="BI1103" s="116">
        <f t="shared" ref="BI1103:BI1107" si="965">BH1103*0.6</f>
        <v>28.86002886</v>
      </c>
      <c r="BJ1103" s="116">
        <f t="shared" ref="BJ1103:BJ1107" si="966">BH1103*0.5</f>
        <v>24.05002405</v>
      </c>
      <c r="BK1103" s="116">
        <f t="shared" ref="BK1103:BK1107" si="967">BH1103*0.4</f>
        <v>19.24001924</v>
      </c>
      <c r="BL1103" s="49"/>
      <c r="BM1103" s="49"/>
      <c r="BN1103" s="49"/>
      <c r="BO1103" s="49"/>
      <c r="BP1103" s="49"/>
      <c r="BQ1103" s="49"/>
      <c r="BR1103" s="49"/>
      <c r="BS1103" s="49"/>
      <c r="BT1103" s="49"/>
      <c r="BU1103" s="49"/>
      <c r="BV1103" s="49"/>
      <c r="BW1103" s="49"/>
      <c r="BX1103" s="49"/>
      <c r="BY1103" s="49"/>
      <c r="BZ1103" s="49"/>
      <c r="CA1103" s="49"/>
      <c r="CB1103" s="49"/>
      <c r="CC1103" s="49"/>
      <c r="CD1103" s="49"/>
      <c r="CE1103" s="49"/>
      <c r="CF1103" s="49"/>
    </row>
    <row r="1104" ht="14.25" customHeight="1">
      <c r="A1104" s="103" t="s">
        <v>84</v>
      </c>
      <c r="B1104" s="103" t="s">
        <v>120</v>
      </c>
      <c r="C1104" s="103" t="s">
        <v>120</v>
      </c>
      <c r="D1104" s="103" t="s">
        <v>1266</v>
      </c>
      <c r="E1104" s="103" t="s">
        <v>1267</v>
      </c>
      <c r="F1104" s="104" t="s">
        <v>1267</v>
      </c>
      <c r="G1104" s="110" t="s">
        <v>1268</v>
      </c>
      <c r="H1104" s="110"/>
      <c r="I1104" s="391"/>
      <c r="J1104" s="220" t="s">
        <v>3848</v>
      </c>
      <c r="K1104" s="220" t="s">
        <v>3849</v>
      </c>
      <c r="L1104" s="103" t="s">
        <v>3850</v>
      </c>
      <c r="M1104" s="103" t="s">
        <v>3851</v>
      </c>
      <c r="N1104" s="110"/>
      <c r="O1104" s="104" t="s">
        <v>95</v>
      </c>
      <c r="P1104" s="110"/>
      <c r="Q1104" s="104" t="s">
        <v>1272</v>
      </c>
      <c r="R1104" s="110" t="s">
        <v>555</v>
      </c>
      <c r="S1104" s="110">
        <v>51840.0</v>
      </c>
      <c r="T1104" s="251"/>
      <c r="U1104" s="134" t="s">
        <v>1274</v>
      </c>
      <c r="V1104" s="279">
        <v>0.03</v>
      </c>
      <c r="W1104" s="113">
        <v>30.0</v>
      </c>
      <c r="X1104" s="110">
        <v>45.0</v>
      </c>
      <c r="Y1104" s="110">
        <v>55.0</v>
      </c>
      <c r="Z1104" s="110" t="s">
        <v>99</v>
      </c>
      <c r="AA1104" s="114">
        <f t="shared" ref="AA1104:AA1107" si="968">AQ1104/(1-(AK1104+2%))</f>
        <v>0.497642419</v>
      </c>
      <c r="AB1104" s="115"/>
      <c r="AC1104" s="212">
        <f t="shared" si="955"/>
        <v>0.3937480175</v>
      </c>
      <c r="AD1104" s="213">
        <f t="shared" ref="AD1104:AD1107" si="969">AC1104/0.93</f>
        <v>0.423384965</v>
      </c>
      <c r="AE1104" s="212"/>
      <c r="AF1104" s="212" t="str">
        <f t="shared" si="94"/>
        <v>#REF!</v>
      </c>
      <c r="AG1104" s="210" t="str">
        <f t="shared" si="95"/>
        <v>#REF!</v>
      </c>
      <c r="AH1104" s="120" t="str">
        <f t="shared" si="96"/>
        <v>#REF!</v>
      </c>
      <c r="AI1104" s="121">
        <f t="shared" ref="AI1104:AI1107" si="970">AJ1104</f>
        <v>0.1</v>
      </c>
      <c r="AJ1104" s="121">
        <v>0.1</v>
      </c>
      <c r="AK1104" s="122">
        <v>0.33</v>
      </c>
      <c r="AL1104" s="123">
        <f t="shared" si="11"/>
        <v>0.1299368458</v>
      </c>
      <c r="AM1104" s="122" t="s">
        <v>10</v>
      </c>
      <c r="AN1104" s="125">
        <f t="shared" si="956"/>
        <v>0.3937480175</v>
      </c>
      <c r="AO1104" s="112">
        <f t="shared" si="957"/>
        <v>0.33</v>
      </c>
      <c r="AP1104" s="127"/>
      <c r="AQ1104" s="128">
        <f t="shared" ref="AQ1104:AR1104" si="958">BC1104/(1-AI1104)</f>
        <v>0.3234675724</v>
      </c>
      <c r="AR1104" s="139">
        <f t="shared" si="958"/>
        <v>0.2931235241</v>
      </c>
      <c r="AS1104" s="126">
        <f t="shared" si="959"/>
        <v>0.35</v>
      </c>
      <c r="AT1104" s="126">
        <f t="shared" si="960"/>
        <v>0.2555555556</v>
      </c>
      <c r="AU1104" s="129"/>
      <c r="AV1104" s="39" t="s">
        <v>1275</v>
      </c>
      <c r="AW1104" s="140"/>
      <c r="AX1104" s="140"/>
      <c r="AY1104" s="140"/>
      <c r="AZ1104" s="140"/>
      <c r="BA1104" s="130">
        <v>2.0</v>
      </c>
      <c r="BB1104" s="130">
        <f t="shared" si="961"/>
        <v>2</v>
      </c>
      <c r="BC1104" s="131">
        <f t="shared" si="962"/>
        <v>0.2911208151</v>
      </c>
      <c r="BD1104" s="132">
        <f t="shared" si="963"/>
        <v>0.2638111717</v>
      </c>
      <c r="BE1104" s="39"/>
      <c r="BF1104" s="264">
        <v>8.5367E9</v>
      </c>
      <c r="BG1104" s="49"/>
      <c r="BH1104" s="212">
        <f t="shared" si="964"/>
        <v>1.312493392</v>
      </c>
      <c r="BI1104" s="212">
        <f t="shared" si="965"/>
        <v>0.7874960349</v>
      </c>
      <c r="BJ1104" s="212">
        <f t="shared" si="966"/>
        <v>0.6562466958</v>
      </c>
      <c r="BK1104" s="212">
        <f t="shared" si="967"/>
        <v>0.5249973566</v>
      </c>
      <c r="BL1104" s="49"/>
      <c r="BM1104" s="49"/>
      <c r="BN1104" s="49"/>
      <c r="BO1104" s="49"/>
      <c r="BP1104" s="49"/>
      <c r="BQ1104" s="49"/>
      <c r="BR1104" s="49"/>
      <c r="BS1104" s="49"/>
      <c r="BT1104" s="49"/>
      <c r="BU1104" s="49"/>
      <c r="BV1104" s="49"/>
      <c r="BW1104" s="49"/>
      <c r="BX1104" s="49"/>
      <c r="BY1104" s="49"/>
      <c r="BZ1104" s="49"/>
      <c r="CA1104" s="49"/>
      <c r="CB1104" s="49"/>
      <c r="CC1104" s="49"/>
      <c r="CD1104" s="49"/>
      <c r="CE1104" s="49"/>
      <c r="CF1104" s="49"/>
    </row>
    <row r="1105" ht="14.25" customHeight="1">
      <c r="A1105" s="103" t="s">
        <v>84</v>
      </c>
      <c r="B1105" s="103" t="s">
        <v>120</v>
      </c>
      <c r="C1105" s="103" t="s">
        <v>120</v>
      </c>
      <c r="D1105" s="103" t="s">
        <v>1266</v>
      </c>
      <c r="E1105" s="103" t="s">
        <v>1267</v>
      </c>
      <c r="F1105" s="104" t="s">
        <v>1267</v>
      </c>
      <c r="G1105" s="110" t="s">
        <v>1268</v>
      </c>
      <c r="H1105" s="110"/>
      <c r="I1105" s="391"/>
      <c r="J1105" s="220" t="s">
        <v>3852</v>
      </c>
      <c r="K1105" s="220" t="s">
        <v>3853</v>
      </c>
      <c r="L1105" s="103" t="s">
        <v>3854</v>
      </c>
      <c r="M1105" s="103" t="s">
        <v>3855</v>
      </c>
      <c r="N1105" s="110"/>
      <c r="O1105" s="104" t="s">
        <v>95</v>
      </c>
      <c r="P1105" s="110"/>
      <c r="Q1105" s="104" t="s">
        <v>1272</v>
      </c>
      <c r="R1105" s="110" t="s">
        <v>555</v>
      </c>
      <c r="S1105" s="110">
        <v>51840.0</v>
      </c>
      <c r="T1105" s="251"/>
      <c r="U1105" s="134" t="s">
        <v>1274</v>
      </c>
      <c r="V1105" s="279">
        <v>0.03</v>
      </c>
      <c r="W1105" s="113">
        <v>30.0</v>
      </c>
      <c r="X1105" s="110">
        <v>45.0</v>
      </c>
      <c r="Y1105" s="110">
        <v>55.0</v>
      </c>
      <c r="Z1105" s="110" t="s">
        <v>99</v>
      </c>
      <c r="AA1105" s="114">
        <f t="shared" si="968"/>
        <v>0.497642419</v>
      </c>
      <c r="AB1105" s="115"/>
      <c r="AC1105" s="212">
        <f t="shared" si="955"/>
        <v>0.3937480175</v>
      </c>
      <c r="AD1105" s="213">
        <f t="shared" si="969"/>
        <v>0.423384965</v>
      </c>
      <c r="AE1105" s="212"/>
      <c r="AF1105" s="212" t="str">
        <f t="shared" si="94"/>
        <v>#REF!</v>
      </c>
      <c r="AG1105" s="210" t="str">
        <f t="shared" si="95"/>
        <v>#REF!</v>
      </c>
      <c r="AH1105" s="120" t="str">
        <f t="shared" si="96"/>
        <v>#REF!</v>
      </c>
      <c r="AI1105" s="121">
        <f t="shared" si="970"/>
        <v>0.1</v>
      </c>
      <c r="AJ1105" s="121">
        <v>0.1</v>
      </c>
      <c r="AK1105" s="122">
        <v>0.33</v>
      </c>
      <c r="AL1105" s="123">
        <f t="shared" si="11"/>
        <v>0.1299368458</v>
      </c>
      <c r="AM1105" s="122" t="s">
        <v>10</v>
      </c>
      <c r="AN1105" s="125">
        <f t="shared" si="956"/>
        <v>0.3937480175</v>
      </c>
      <c r="AO1105" s="112">
        <f t="shared" si="957"/>
        <v>0.33</v>
      </c>
      <c r="AP1105" s="127"/>
      <c r="AQ1105" s="128">
        <f t="shared" ref="AQ1105:AR1105" si="971">BC1105/(1-AI1105)</f>
        <v>0.3234675724</v>
      </c>
      <c r="AR1105" s="139">
        <f t="shared" si="971"/>
        <v>0.2931235241</v>
      </c>
      <c r="AS1105" s="126">
        <f t="shared" si="959"/>
        <v>0.35</v>
      </c>
      <c r="AT1105" s="126">
        <f t="shared" si="960"/>
        <v>0.2555555556</v>
      </c>
      <c r="AU1105" s="129"/>
      <c r="AV1105" s="39" t="s">
        <v>1275</v>
      </c>
      <c r="AW1105" s="140"/>
      <c r="AX1105" s="140"/>
      <c r="AY1105" s="140"/>
      <c r="AZ1105" s="140"/>
      <c r="BA1105" s="130">
        <v>2.0</v>
      </c>
      <c r="BB1105" s="130">
        <f t="shared" si="961"/>
        <v>2</v>
      </c>
      <c r="BC1105" s="131">
        <f t="shared" si="962"/>
        <v>0.2911208151</v>
      </c>
      <c r="BD1105" s="132">
        <f t="shared" si="963"/>
        <v>0.2638111717</v>
      </c>
      <c r="BE1105" s="39"/>
      <c r="BF1105" s="264">
        <v>8.5367E9</v>
      </c>
      <c r="BG1105" s="49"/>
      <c r="BH1105" s="212">
        <f t="shared" si="964"/>
        <v>1.312493392</v>
      </c>
      <c r="BI1105" s="212">
        <f t="shared" si="965"/>
        <v>0.7874960349</v>
      </c>
      <c r="BJ1105" s="212">
        <f t="shared" si="966"/>
        <v>0.6562466958</v>
      </c>
      <c r="BK1105" s="212">
        <f t="shared" si="967"/>
        <v>0.5249973566</v>
      </c>
      <c r="BL1105" s="49"/>
      <c r="BM1105" s="49"/>
      <c r="BN1105" s="49"/>
      <c r="BO1105" s="49"/>
      <c r="BP1105" s="49"/>
      <c r="BQ1105" s="49"/>
      <c r="BR1105" s="49"/>
      <c r="BS1105" s="49"/>
      <c r="BT1105" s="49"/>
      <c r="BU1105" s="49"/>
      <c r="BV1105" s="49"/>
      <c r="BW1105" s="49"/>
      <c r="BX1105" s="49"/>
      <c r="BY1105" s="49"/>
      <c r="BZ1105" s="49"/>
      <c r="CA1105" s="49"/>
      <c r="CB1105" s="49"/>
      <c r="CC1105" s="49"/>
      <c r="CD1105" s="49"/>
      <c r="CE1105" s="49"/>
      <c r="CF1105" s="49"/>
    </row>
    <row r="1106" ht="14.25" customHeight="1">
      <c r="A1106" s="103" t="s">
        <v>84</v>
      </c>
      <c r="B1106" s="103" t="s">
        <v>120</v>
      </c>
      <c r="C1106" s="103" t="s">
        <v>120</v>
      </c>
      <c r="D1106" s="103" t="s">
        <v>1266</v>
      </c>
      <c r="E1106" s="103" t="s">
        <v>1267</v>
      </c>
      <c r="F1106" s="104" t="s">
        <v>1267</v>
      </c>
      <c r="G1106" s="110" t="s">
        <v>1288</v>
      </c>
      <c r="H1106" s="110"/>
      <c r="I1106" s="391"/>
      <c r="J1106" s="220" t="s">
        <v>3856</v>
      </c>
      <c r="K1106" s="220" t="s">
        <v>3857</v>
      </c>
      <c r="L1106" s="103" t="s">
        <v>3858</v>
      </c>
      <c r="M1106" s="103" t="s">
        <v>3859</v>
      </c>
      <c r="N1106" s="110"/>
      <c r="O1106" s="104" t="s">
        <v>95</v>
      </c>
      <c r="P1106" s="110"/>
      <c r="Q1106" s="104" t="s">
        <v>1287</v>
      </c>
      <c r="R1106" s="110" t="s">
        <v>555</v>
      </c>
      <c r="S1106" s="110">
        <v>25920.0</v>
      </c>
      <c r="T1106" s="251"/>
      <c r="U1106" s="134" t="s">
        <v>1274</v>
      </c>
      <c r="V1106" s="279">
        <v>0.03</v>
      </c>
      <c r="W1106" s="113">
        <v>30.0</v>
      </c>
      <c r="X1106" s="110">
        <v>45.0</v>
      </c>
      <c r="Y1106" s="110">
        <v>55.0</v>
      </c>
      <c r="Z1106" s="110" t="s">
        <v>99</v>
      </c>
      <c r="AA1106" s="114">
        <f t="shared" si="968"/>
        <v>0.3732318143</v>
      </c>
      <c r="AB1106" s="115"/>
      <c r="AC1106" s="212">
        <f t="shared" si="955"/>
        <v>0.2989099167</v>
      </c>
      <c r="AD1106" s="213">
        <f t="shared" si="969"/>
        <v>0.3214085126</v>
      </c>
      <c r="AE1106" s="212"/>
      <c r="AF1106" s="212" t="str">
        <f t="shared" si="94"/>
        <v>#REF!</v>
      </c>
      <c r="AG1106" s="210" t="str">
        <f t="shared" si="95"/>
        <v>#REF!</v>
      </c>
      <c r="AH1106" s="120" t="str">
        <f t="shared" si="96"/>
        <v>#REF!</v>
      </c>
      <c r="AI1106" s="121">
        <f t="shared" si="970"/>
        <v>0.1</v>
      </c>
      <c r="AJ1106" s="121">
        <v>0.1</v>
      </c>
      <c r="AK1106" s="122">
        <v>0.33</v>
      </c>
      <c r="AL1106" s="123">
        <f t="shared" si="11"/>
        <v>0.09864027252</v>
      </c>
      <c r="AM1106" s="122" t="s">
        <v>10</v>
      </c>
      <c r="AN1106" s="125">
        <f t="shared" si="956"/>
        <v>0.2989099167</v>
      </c>
      <c r="AO1106" s="112">
        <f t="shared" si="957"/>
        <v>0.33</v>
      </c>
      <c r="AP1106" s="127"/>
      <c r="AQ1106" s="128">
        <f t="shared" ref="AQ1106:AR1106" si="972">BC1106/(1-AI1106)</f>
        <v>0.2426006793</v>
      </c>
      <c r="AR1106" s="139">
        <f t="shared" si="972"/>
        <v>0.2225218269</v>
      </c>
      <c r="AS1106" s="126">
        <f t="shared" si="959"/>
        <v>0.35</v>
      </c>
      <c r="AT1106" s="126">
        <f t="shared" si="960"/>
        <v>0.2555555556</v>
      </c>
      <c r="AU1106" s="129"/>
      <c r="AV1106" s="39" t="s">
        <v>1275</v>
      </c>
      <c r="AW1106" s="140"/>
      <c r="AX1106" s="140"/>
      <c r="AY1106" s="140"/>
      <c r="AZ1106" s="140"/>
      <c r="BA1106" s="130">
        <v>1.5</v>
      </c>
      <c r="BB1106" s="130">
        <f t="shared" si="961"/>
        <v>1.5</v>
      </c>
      <c r="BC1106" s="131">
        <f t="shared" si="962"/>
        <v>0.2183406114</v>
      </c>
      <c r="BD1106" s="132">
        <f t="shared" si="963"/>
        <v>0.2002696442</v>
      </c>
      <c r="BE1106" s="39"/>
      <c r="BF1106" s="264">
        <v>8.5367E9</v>
      </c>
      <c r="BG1106" s="49"/>
      <c r="BH1106" s="212">
        <f t="shared" si="964"/>
        <v>0.9963663891</v>
      </c>
      <c r="BI1106" s="212">
        <f t="shared" si="965"/>
        <v>0.5978198335</v>
      </c>
      <c r="BJ1106" s="212">
        <f t="shared" si="966"/>
        <v>0.4981831946</v>
      </c>
      <c r="BK1106" s="212">
        <f t="shared" si="967"/>
        <v>0.3985465556</v>
      </c>
      <c r="BL1106" s="49"/>
      <c r="BM1106" s="49"/>
      <c r="BN1106" s="49"/>
      <c r="BO1106" s="49"/>
      <c r="BP1106" s="49"/>
      <c r="BQ1106" s="49"/>
      <c r="BR1106" s="49"/>
      <c r="BS1106" s="49"/>
      <c r="BT1106" s="49"/>
      <c r="BU1106" s="49"/>
      <c r="BV1106" s="49"/>
      <c r="BW1106" s="49"/>
      <c r="BX1106" s="49"/>
      <c r="BY1106" s="49"/>
      <c r="BZ1106" s="49"/>
      <c r="CA1106" s="49"/>
      <c r="CB1106" s="49"/>
      <c r="CC1106" s="49"/>
      <c r="CD1106" s="49"/>
      <c r="CE1106" s="49"/>
      <c r="CF1106" s="49"/>
    </row>
    <row r="1107" ht="14.25" customHeight="1">
      <c r="A1107" s="103" t="s">
        <v>84</v>
      </c>
      <c r="B1107" s="103" t="s">
        <v>120</v>
      </c>
      <c r="C1107" s="103" t="s">
        <v>120</v>
      </c>
      <c r="D1107" s="103" t="s">
        <v>1266</v>
      </c>
      <c r="E1107" s="103" t="s">
        <v>1267</v>
      </c>
      <c r="F1107" s="104" t="s">
        <v>1267</v>
      </c>
      <c r="G1107" s="110" t="s">
        <v>1288</v>
      </c>
      <c r="H1107" s="110"/>
      <c r="I1107" s="391"/>
      <c r="J1107" s="220" t="s">
        <v>3860</v>
      </c>
      <c r="K1107" s="220" t="s">
        <v>3861</v>
      </c>
      <c r="L1107" s="103" t="s">
        <v>3862</v>
      </c>
      <c r="M1107" s="103" t="s">
        <v>3863</v>
      </c>
      <c r="N1107" s="110"/>
      <c r="O1107" s="104" t="s">
        <v>95</v>
      </c>
      <c r="P1107" s="110"/>
      <c r="Q1107" s="104" t="s">
        <v>1287</v>
      </c>
      <c r="R1107" s="110" t="s">
        <v>555</v>
      </c>
      <c r="S1107" s="110">
        <v>25920.0</v>
      </c>
      <c r="T1107" s="251"/>
      <c r="U1107" s="134" t="s">
        <v>1274</v>
      </c>
      <c r="V1107" s="279">
        <v>0.03</v>
      </c>
      <c r="W1107" s="113">
        <v>30.0</v>
      </c>
      <c r="X1107" s="110">
        <v>45.0</v>
      </c>
      <c r="Y1107" s="110">
        <v>55.0</v>
      </c>
      <c r="Z1107" s="110" t="s">
        <v>99</v>
      </c>
      <c r="AA1107" s="114">
        <f t="shared" si="968"/>
        <v>0.3732318143</v>
      </c>
      <c r="AB1107" s="115"/>
      <c r="AC1107" s="212">
        <f t="shared" si="955"/>
        <v>0.2989099167</v>
      </c>
      <c r="AD1107" s="213">
        <f t="shared" si="969"/>
        <v>0.3214085126</v>
      </c>
      <c r="AE1107" s="212"/>
      <c r="AF1107" s="212" t="str">
        <f t="shared" si="94"/>
        <v>#REF!</v>
      </c>
      <c r="AG1107" s="210" t="str">
        <f t="shared" si="95"/>
        <v>#REF!</v>
      </c>
      <c r="AH1107" s="120" t="str">
        <f t="shared" si="96"/>
        <v>#REF!</v>
      </c>
      <c r="AI1107" s="121">
        <f t="shared" si="970"/>
        <v>0.1</v>
      </c>
      <c r="AJ1107" s="121">
        <v>0.1</v>
      </c>
      <c r="AK1107" s="122">
        <v>0.33</v>
      </c>
      <c r="AL1107" s="123">
        <f t="shared" si="11"/>
        <v>0.09864027252</v>
      </c>
      <c r="AM1107" s="122" t="s">
        <v>10</v>
      </c>
      <c r="AN1107" s="125">
        <f t="shared" si="956"/>
        <v>0.2989099167</v>
      </c>
      <c r="AO1107" s="112">
        <f t="shared" si="957"/>
        <v>0.33</v>
      </c>
      <c r="AP1107" s="127"/>
      <c r="AQ1107" s="128">
        <f t="shared" ref="AQ1107:AR1107" si="973">BC1107/(1-AI1107)</f>
        <v>0.2426006793</v>
      </c>
      <c r="AR1107" s="139">
        <f t="shared" si="973"/>
        <v>0.2225218269</v>
      </c>
      <c r="AS1107" s="126">
        <f t="shared" si="959"/>
        <v>0.35</v>
      </c>
      <c r="AT1107" s="126">
        <f t="shared" si="960"/>
        <v>0.2555555556</v>
      </c>
      <c r="AU1107" s="129"/>
      <c r="AV1107" s="39" t="s">
        <v>1275</v>
      </c>
      <c r="AW1107" s="140"/>
      <c r="AX1107" s="140"/>
      <c r="AY1107" s="140"/>
      <c r="AZ1107" s="140"/>
      <c r="BA1107" s="130">
        <v>1.5</v>
      </c>
      <c r="BB1107" s="130">
        <f t="shared" si="961"/>
        <v>1.5</v>
      </c>
      <c r="BC1107" s="131">
        <f t="shared" si="962"/>
        <v>0.2183406114</v>
      </c>
      <c r="BD1107" s="132">
        <f t="shared" si="963"/>
        <v>0.2002696442</v>
      </c>
      <c r="BE1107" s="39"/>
      <c r="BF1107" s="264">
        <v>8.5367E9</v>
      </c>
      <c r="BG1107" s="49"/>
      <c r="BH1107" s="212">
        <f t="shared" si="964"/>
        <v>0.9963663891</v>
      </c>
      <c r="BI1107" s="212">
        <f t="shared" si="965"/>
        <v>0.5978198335</v>
      </c>
      <c r="BJ1107" s="212">
        <f t="shared" si="966"/>
        <v>0.4981831946</v>
      </c>
      <c r="BK1107" s="212">
        <f t="shared" si="967"/>
        <v>0.3985465556</v>
      </c>
      <c r="BL1107" s="49"/>
      <c r="BM1107" s="49"/>
      <c r="BN1107" s="49"/>
      <c r="BO1107" s="49"/>
      <c r="BP1107" s="49"/>
      <c r="BQ1107" s="49"/>
      <c r="BR1107" s="49"/>
      <c r="BS1107" s="49"/>
      <c r="BT1107" s="49"/>
      <c r="BU1107" s="49"/>
      <c r="BV1107" s="49"/>
      <c r="BW1107" s="49"/>
      <c r="BX1107" s="49"/>
      <c r="BY1107" s="49"/>
      <c r="BZ1107" s="49"/>
      <c r="CA1107" s="49"/>
      <c r="CB1107" s="49"/>
      <c r="CC1107" s="49"/>
      <c r="CD1107" s="49"/>
      <c r="CE1107" s="49"/>
      <c r="CF1107" s="49"/>
    </row>
    <row r="1108" ht="14.25" customHeight="1">
      <c r="A1108" s="49"/>
      <c r="B1108" s="49"/>
      <c r="C1108" s="49"/>
      <c r="D1108" s="49"/>
      <c r="E1108" s="49"/>
      <c r="F1108" s="173"/>
      <c r="G1108" s="48"/>
      <c r="H1108" s="39"/>
      <c r="I1108" s="39"/>
      <c r="J1108" s="2"/>
      <c r="K1108" s="2"/>
      <c r="L1108" s="49"/>
      <c r="M1108" s="49"/>
      <c r="N1108" s="48"/>
      <c r="O1108" s="173"/>
      <c r="P1108" s="48"/>
      <c r="Q1108" s="173"/>
      <c r="R1108" s="48"/>
      <c r="S1108" s="48"/>
      <c r="T1108" s="48"/>
      <c r="U1108" s="48"/>
      <c r="V1108" s="506"/>
      <c r="W1108" s="507"/>
      <c r="X1108" s="48"/>
      <c r="Y1108" s="48"/>
      <c r="Z1108" s="48"/>
      <c r="AA1108" s="508"/>
      <c r="AB1108" s="508"/>
      <c r="AC1108" s="509"/>
      <c r="AD1108" s="509"/>
      <c r="AE1108" s="509"/>
      <c r="AF1108" s="509"/>
      <c r="AG1108" s="509"/>
      <c r="AH1108" s="510"/>
      <c r="AI1108" s="506"/>
      <c r="AJ1108" s="506"/>
      <c r="AK1108" s="511"/>
      <c r="AL1108" s="511"/>
      <c r="AM1108" s="507"/>
      <c r="AN1108" s="512"/>
      <c r="AO1108" s="506"/>
      <c r="AP1108" s="127"/>
      <c r="AQ1108" s="508"/>
      <c r="AR1108" s="129"/>
      <c r="AS1108" s="506"/>
      <c r="AT1108" s="506"/>
      <c r="AU1108" s="513"/>
      <c r="AV1108" s="39"/>
      <c r="AW1108" s="315"/>
      <c r="AX1108" s="315"/>
      <c r="AY1108" s="315"/>
      <c r="AZ1108" s="315"/>
      <c r="BA1108" s="514"/>
      <c r="BB1108" s="514"/>
      <c r="BC1108" s="515"/>
      <c r="BD1108" s="509"/>
      <c r="BE1108" s="39"/>
      <c r="BF1108" s="39"/>
      <c r="BG1108" s="49"/>
      <c r="BH1108" s="516"/>
      <c r="BI1108" s="516"/>
      <c r="BJ1108" s="516"/>
      <c r="BK1108" s="516"/>
      <c r="BL1108" s="49"/>
      <c r="BM1108" s="49"/>
      <c r="BN1108" s="49"/>
      <c r="BO1108" s="49"/>
      <c r="BP1108" s="49"/>
      <c r="BQ1108" s="49"/>
      <c r="BR1108" s="49"/>
      <c r="BS1108" s="49"/>
      <c r="BT1108" s="49"/>
      <c r="BU1108" s="49"/>
      <c r="BV1108" s="49"/>
      <c r="BW1108" s="49"/>
      <c r="BX1108" s="49"/>
      <c r="BY1108" s="49"/>
      <c r="BZ1108" s="49"/>
      <c r="CA1108" s="49"/>
      <c r="CB1108" s="49"/>
      <c r="CC1108" s="49"/>
      <c r="CD1108" s="49"/>
      <c r="CE1108" s="49"/>
      <c r="CF1108" s="49"/>
    </row>
    <row r="1109" ht="14.25" customHeight="1">
      <c r="A1109" s="1"/>
      <c r="B1109" s="1"/>
      <c r="C1109" s="1"/>
      <c r="D1109" s="1"/>
      <c r="E1109" s="1"/>
      <c r="F1109" s="13"/>
      <c r="G1109" s="8"/>
      <c r="H1109" s="68"/>
      <c r="I1109" s="68"/>
      <c r="J1109" s="517" t="s">
        <v>3864</v>
      </c>
      <c r="K1109" s="5"/>
      <c r="L1109" s="13"/>
      <c r="M1109" s="13"/>
      <c r="N1109" s="8"/>
      <c r="O1109" s="432"/>
      <c r="P1109" s="225"/>
      <c r="Q1109" s="135"/>
      <c r="R1109" s="225"/>
      <c r="S1109" s="225"/>
      <c r="T1109" s="48"/>
      <c r="U1109" s="225"/>
      <c r="V1109" s="506"/>
      <c r="W1109" s="225"/>
      <c r="X1109" s="225"/>
      <c r="Y1109" s="225"/>
      <c r="Z1109" s="225"/>
      <c r="AA1109" s="508"/>
      <c r="AB1109" s="508"/>
      <c r="AC1109" s="509"/>
      <c r="AD1109" s="509"/>
      <c r="AE1109" s="509"/>
      <c r="AF1109" s="509"/>
      <c r="AG1109" s="509"/>
      <c r="AH1109" s="510"/>
      <c r="AI1109" s="506"/>
      <c r="AJ1109" s="506"/>
      <c r="AK1109" s="511"/>
      <c r="AL1109" s="511"/>
      <c r="AM1109" s="507"/>
      <c r="AN1109" s="512"/>
      <c r="AO1109" s="518"/>
      <c r="AP1109" s="127"/>
      <c r="AQ1109" s="519"/>
      <c r="AR1109" s="520"/>
      <c r="AS1109" s="518"/>
      <c r="AT1109" s="518"/>
      <c r="AU1109" s="49"/>
      <c r="AV1109" s="225"/>
      <c r="AW1109" s="521"/>
      <c r="AX1109" s="521"/>
      <c r="AY1109" s="225"/>
      <c r="AZ1109" s="522"/>
      <c r="BA1109" s="522"/>
      <c r="BB1109" s="523"/>
      <c r="BC1109" s="422"/>
      <c r="BD1109" s="509"/>
      <c r="BE1109" s="19"/>
      <c r="BF1109" s="8"/>
      <c r="BG1109" s="1"/>
      <c r="BH1109" s="8"/>
      <c r="BI1109" s="8"/>
      <c r="BJ1109" s="8"/>
      <c r="BK1109" s="8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</row>
    <row r="1110" ht="14.25" customHeight="1">
      <c r="A1110" s="1"/>
      <c r="B1110" s="1"/>
      <c r="C1110" s="1"/>
      <c r="D1110" s="1"/>
      <c r="E1110" s="1"/>
      <c r="F1110" s="13"/>
      <c r="G1110" s="8"/>
      <c r="H1110" s="68"/>
      <c r="I1110" s="68"/>
      <c r="J1110" s="5"/>
      <c r="K1110" s="5"/>
      <c r="L1110" s="13"/>
      <c r="M1110" s="13"/>
      <c r="N1110" s="8"/>
      <c r="O1110" s="432"/>
      <c r="P1110" s="225"/>
      <c r="Q1110" s="135"/>
      <c r="R1110" s="225"/>
      <c r="S1110" s="225"/>
      <c r="T1110" s="48"/>
      <c r="U1110" s="225"/>
      <c r="V1110" s="506"/>
      <c r="W1110" s="225"/>
      <c r="X1110" s="225"/>
      <c r="Y1110" s="225"/>
      <c r="Z1110" s="225"/>
      <c r="AA1110" s="508"/>
      <c r="AB1110" s="508"/>
      <c r="AC1110" s="509"/>
      <c r="AD1110" s="509"/>
      <c r="AE1110" s="509"/>
      <c r="AF1110" s="509"/>
      <c r="AG1110" s="509"/>
      <c r="AH1110" s="510"/>
      <c r="AI1110" s="506"/>
      <c r="AJ1110" s="506"/>
      <c r="AK1110" s="511"/>
      <c r="AL1110" s="511"/>
      <c r="AM1110" s="507"/>
      <c r="AN1110" s="512"/>
      <c r="AO1110" s="518"/>
      <c r="AP1110" s="127"/>
      <c r="AQ1110" s="519"/>
      <c r="AR1110" s="520"/>
      <c r="AS1110" s="518"/>
      <c r="AT1110" s="518"/>
      <c r="AU1110" s="49"/>
      <c r="AV1110" s="225"/>
      <c r="AW1110" s="521"/>
      <c r="AX1110" s="521"/>
      <c r="AY1110" s="225"/>
      <c r="AZ1110" s="522"/>
      <c r="BA1110" s="522"/>
      <c r="BB1110" s="523"/>
      <c r="BC1110" s="422"/>
      <c r="BD1110" s="509"/>
      <c r="BE1110" s="19"/>
      <c r="BF1110" s="8"/>
      <c r="BG1110" s="1"/>
      <c r="BH1110" s="8"/>
      <c r="BI1110" s="8"/>
      <c r="BJ1110" s="8"/>
      <c r="BK1110" s="8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</row>
    <row r="1111" ht="14.25" customHeight="1">
      <c r="A1111" s="1"/>
      <c r="B1111" s="1"/>
      <c r="C1111" s="1"/>
      <c r="D1111" s="1"/>
      <c r="E1111" s="1"/>
      <c r="F1111" s="13"/>
      <c r="G1111" s="8"/>
      <c r="H1111" s="68"/>
      <c r="I1111" s="68"/>
      <c r="J1111" s="5"/>
      <c r="K1111" s="5"/>
      <c r="L1111" s="13"/>
      <c r="M1111" s="13"/>
      <c r="N1111" s="8"/>
      <c r="O1111" s="432"/>
      <c r="P1111" s="225"/>
      <c r="Q1111" s="135"/>
      <c r="R1111" s="225"/>
      <c r="S1111" s="225"/>
      <c r="T1111" s="48"/>
      <c r="U1111" s="225"/>
      <c r="V1111" s="506"/>
      <c r="W1111" s="225"/>
      <c r="X1111" s="225"/>
      <c r="Y1111" s="225"/>
      <c r="Z1111" s="225"/>
      <c r="AA1111" s="508"/>
      <c r="AB1111" s="508"/>
      <c r="AC1111" s="509"/>
      <c r="AD1111" s="509"/>
      <c r="AE1111" s="509"/>
      <c r="AF1111" s="509"/>
      <c r="AG1111" s="509"/>
      <c r="AH1111" s="510"/>
      <c r="AI1111" s="506"/>
      <c r="AJ1111" s="506"/>
      <c r="AK1111" s="511"/>
      <c r="AL1111" s="511"/>
      <c r="AM1111" s="507"/>
      <c r="AN1111" s="512"/>
      <c r="AO1111" s="518"/>
      <c r="AP1111" s="127"/>
      <c r="AQ1111" s="519"/>
      <c r="AR1111" s="520"/>
      <c r="AS1111" s="518"/>
      <c r="AT1111" s="518"/>
      <c r="AU1111" s="49"/>
      <c r="AV1111" s="225"/>
      <c r="AW1111" s="521"/>
      <c r="AX1111" s="521"/>
      <c r="AY1111" s="225"/>
      <c r="AZ1111" s="522"/>
      <c r="BA1111" s="522"/>
      <c r="BB1111" s="523"/>
      <c r="BC1111" s="422"/>
      <c r="BD1111" s="509"/>
      <c r="BE1111" s="19"/>
      <c r="BF1111" s="8"/>
      <c r="BG1111" s="1"/>
      <c r="BH1111" s="8"/>
      <c r="BI1111" s="8"/>
      <c r="BJ1111" s="8"/>
      <c r="BK1111" s="8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</row>
    <row r="1112" ht="14.25" customHeight="1">
      <c r="A1112" s="1"/>
      <c r="B1112" s="1"/>
      <c r="C1112" s="1"/>
      <c r="D1112" s="1"/>
      <c r="E1112" s="1"/>
      <c r="F1112" s="13"/>
      <c r="G1112" s="8"/>
      <c r="H1112" s="68"/>
      <c r="I1112" s="68"/>
      <c r="J1112" s="5"/>
      <c r="K1112" s="5"/>
      <c r="L1112" s="13"/>
      <c r="M1112" s="13"/>
      <c r="N1112" s="8"/>
      <c r="O1112" s="432"/>
      <c r="P1112" s="225"/>
      <c r="Q1112" s="135"/>
      <c r="R1112" s="225"/>
      <c r="S1112" s="225"/>
      <c r="T1112" s="48"/>
      <c r="U1112" s="225"/>
      <c r="V1112" s="506"/>
      <c r="W1112" s="225"/>
      <c r="X1112" s="225"/>
      <c r="Y1112" s="225"/>
      <c r="Z1112" s="225"/>
      <c r="AA1112" s="508"/>
      <c r="AB1112" s="508"/>
      <c r="AC1112" s="509"/>
      <c r="AD1112" s="509"/>
      <c r="AE1112" s="509"/>
      <c r="AF1112" s="509"/>
      <c r="AG1112" s="509"/>
      <c r="AH1112" s="510"/>
      <c r="AI1112" s="506"/>
      <c r="AJ1112" s="506"/>
      <c r="AK1112" s="511"/>
      <c r="AL1112" s="511"/>
      <c r="AM1112" s="507"/>
      <c r="AN1112" s="512"/>
      <c r="AO1112" s="518"/>
      <c r="AP1112" s="127"/>
      <c r="AQ1112" s="519"/>
      <c r="AR1112" s="520"/>
      <c r="AS1112" s="518"/>
      <c r="AT1112" s="518"/>
      <c r="AU1112" s="49"/>
      <c r="AV1112" s="225"/>
      <c r="AW1112" s="521"/>
      <c r="AX1112" s="521"/>
      <c r="AY1112" s="225"/>
      <c r="AZ1112" s="522"/>
      <c r="BA1112" s="522"/>
      <c r="BB1112" s="523"/>
      <c r="BC1112" s="422"/>
      <c r="BD1112" s="509"/>
      <c r="BE1112" s="19"/>
      <c r="BF1112" s="8"/>
      <c r="BG1112" s="1"/>
      <c r="BH1112" s="8"/>
      <c r="BI1112" s="8"/>
      <c r="BJ1112" s="8"/>
      <c r="BK1112" s="8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</row>
    <row r="1113" ht="14.25" customHeight="1">
      <c r="A1113" s="1"/>
      <c r="B1113" s="1"/>
      <c r="C1113" s="1"/>
      <c r="D1113" s="1"/>
      <c r="E1113" s="1"/>
      <c r="F1113" s="13"/>
      <c r="G1113" s="8"/>
      <c r="H1113" s="68"/>
      <c r="I1113" s="68"/>
      <c r="J1113" s="5"/>
      <c r="K1113" s="5"/>
      <c r="L1113" s="13"/>
      <c r="M1113" s="13"/>
      <c r="N1113" s="8"/>
      <c r="O1113" s="432"/>
      <c r="P1113" s="225"/>
      <c r="Q1113" s="135"/>
      <c r="R1113" s="225"/>
      <c r="S1113" s="225"/>
      <c r="T1113" s="48"/>
      <c r="U1113" s="225"/>
      <c r="V1113" s="506"/>
      <c r="W1113" s="225"/>
      <c r="X1113" s="225"/>
      <c r="Y1113" s="225"/>
      <c r="Z1113" s="225"/>
      <c r="AA1113" s="508"/>
      <c r="AB1113" s="508"/>
      <c r="AC1113" s="509"/>
      <c r="AD1113" s="509"/>
      <c r="AE1113" s="509"/>
      <c r="AF1113" s="509"/>
      <c r="AG1113" s="509"/>
      <c r="AH1113" s="510"/>
      <c r="AI1113" s="506"/>
      <c r="AJ1113" s="506"/>
      <c r="AK1113" s="511"/>
      <c r="AL1113" s="511"/>
      <c r="AM1113" s="507"/>
      <c r="AN1113" s="512"/>
      <c r="AO1113" s="518"/>
      <c r="AP1113" s="127"/>
      <c r="AQ1113" s="519"/>
      <c r="AR1113" s="520"/>
      <c r="AS1113" s="518"/>
      <c r="AT1113" s="518"/>
      <c r="AU1113" s="49"/>
      <c r="AV1113" s="225"/>
      <c r="AW1113" s="521"/>
      <c r="AX1113" s="521"/>
      <c r="AY1113" s="225"/>
      <c r="AZ1113" s="522"/>
      <c r="BA1113" s="522"/>
      <c r="BB1113" s="523"/>
      <c r="BC1113" s="422"/>
      <c r="BD1113" s="509"/>
      <c r="BE1113" s="19"/>
      <c r="BF1113" s="8"/>
      <c r="BG1113" s="1"/>
      <c r="BH1113" s="8"/>
      <c r="BI1113" s="8"/>
      <c r="BJ1113" s="8"/>
      <c r="BK1113" s="8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</row>
    <row r="1114" ht="14.25" customHeight="1">
      <c r="A1114" s="1"/>
      <c r="B1114" s="1"/>
      <c r="C1114" s="1"/>
      <c r="D1114" s="1"/>
      <c r="E1114" s="1"/>
      <c r="F1114" s="13"/>
      <c r="G1114" s="8"/>
      <c r="H1114" s="68"/>
      <c r="I1114" s="68"/>
      <c r="J1114" s="5"/>
      <c r="K1114" s="5"/>
      <c r="L1114" s="13"/>
      <c r="M1114" s="13"/>
      <c r="N1114" s="8"/>
      <c r="O1114" s="432"/>
      <c r="P1114" s="225"/>
      <c r="Q1114" s="135"/>
      <c r="R1114" s="225"/>
      <c r="S1114" s="225"/>
      <c r="T1114" s="48"/>
      <c r="U1114" s="225"/>
      <c r="V1114" s="506"/>
      <c r="W1114" s="225"/>
      <c r="X1114" s="225"/>
      <c r="Y1114" s="225"/>
      <c r="Z1114" s="225"/>
      <c r="AA1114" s="508"/>
      <c r="AB1114" s="508"/>
      <c r="AC1114" s="509"/>
      <c r="AD1114" s="509"/>
      <c r="AE1114" s="509"/>
      <c r="AF1114" s="509"/>
      <c r="AG1114" s="509"/>
      <c r="AH1114" s="510"/>
      <c r="AI1114" s="506"/>
      <c r="AJ1114" s="506"/>
      <c r="AK1114" s="511"/>
      <c r="AL1114" s="511"/>
      <c r="AM1114" s="507"/>
      <c r="AN1114" s="512"/>
      <c r="AO1114" s="518"/>
      <c r="AP1114" s="127"/>
      <c r="AQ1114" s="519"/>
      <c r="AR1114" s="520"/>
      <c r="AS1114" s="518"/>
      <c r="AT1114" s="518"/>
      <c r="AU1114" s="49"/>
      <c r="AV1114" s="225"/>
      <c r="AW1114" s="521"/>
      <c r="AX1114" s="521"/>
      <c r="AY1114" s="225"/>
      <c r="AZ1114" s="522"/>
      <c r="BA1114" s="522"/>
      <c r="BB1114" s="523"/>
      <c r="BC1114" s="422"/>
      <c r="BD1114" s="509"/>
      <c r="BE1114" s="19"/>
      <c r="BF1114" s="8"/>
      <c r="BG1114" s="1"/>
      <c r="BH1114" s="8"/>
      <c r="BI1114" s="8"/>
      <c r="BJ1114" s="8"/>
      <c r="BK1114" s="8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</row>
    <row r="1115" ht="14.25" customHeight="1">
      <c r="A1115" s="1"/>
      <c r="B1115" s="1"/>
      <c r="C1115" s="1"/>
      <c r="D1115" s="1"/>
      <c r="E1115" s="1"/>
      <c r="F1115" s="13"/>
      <c r="G1115" s="8"/>
      <c r="H1115" s="68"/>
      <c r="I1115" s="68"/>
      <c r="J1115" s="5"/>
      <c r="K1115" s="5"/>
      <c r="L1115" s="13"/>
      <c r="M1115" s="13"/>
      <c r="N1115" s="8"/>
      <c r="O1115" s="432"/>
      <c r="P1115" s="225"/>
      <c r="Q1115" s="135"/>
      <c r="R1115" s="225"/>
      <c r="S1115" s="225"/>
      <c r="T1115" s="48"/>
      <c r="U1115" s="225"/>
      <c r="V1115" s="506"/>
      <c r="W1115" s="225"/>
      <c r="X1115" s="225"/>
      <c r="Y1115" s="225"/>
      <c r="Z1115" s="225"/>
      <c r="AA1115" s="508"/>
      <c r="AB1115" s="508"/>
      <c r="AC1115" s="509"/>
      <c r="AD1115" s="509"/>
      <c r="AE1115" s="509"/>
      <c r="AF1115" s="509"/>
      <c r="AG1115" s="509"/>
      <c r="AH1115" s="510"/>
      <c r="AI1115" s="506"/>
      <c r="AJ1115" s="506"/>
      <c r="AK1115" s="511"/>
      <c r="AL1115" s="511"/>
      <c r="AM1115" s="507"/>
      <c r="AN1115" s="512"/>
      <c r="AO1115" s="518"/>
      <c r="AP1115" s="127"/>
      <c r="AQ1115" s="519"/>
      <c r="AR1115" s="520"/>
      <c r="AS1115" s="518"/>
      <c r="AT1115" s="518"/>
      <c r="AU1115" s="49"/>
      <c r="AV1115" s="225"/>
      <c r="AW1115" s="521"/>
      <c r="AX1115" s="521"/>
      <c r="AY1115" s="225"/>
      <c r="AZ1115" s="522"/>
      <c r="BA1115" s="522"/>
      <c r="BB1115" s="523"/>
      <c r="BC1115" s="422"/>
      <c r="BD1115" s="509"/>
      <c r="BE1115" s="19"/>
      <c r="BF1115" s="8"/>
      <c r="BG1115" s="1"/>
      <c r="BH1115" s="8"/>
      <c r="BI1115" s="8"/>
      <c r="BJ1115" s="8"/>
      <c r="BK1115" s="8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</row>
    <row r="1116" ht="14.25" customHeight="1">
      <c r="A1116" s="1"/>
      <c r="B1116" s="1"/>
      <c r="C1116" s="1"/>
      <c r="D1116" s="1"/>
      <c r="E1116" s="1"/>
      <c r="F1116" s="13"/>
      <c r="G1116" s="8"/>
      <c r="H1116" s="68"/>
      <c r="I1116" s="68"/>
      <c r="J1116" s="5"/>
      <c r="K1116" s="5"/>
      <c r="L1116" s="13"/>
      <c r="M1116" s="13"/>
      <c r="N1116" s="8"/>
      <c r="O1116" s="432"/>
      <c r="P1116" s="225"/>
      <c r="Q1116" s="135"/>
      <c r="R1116" s="225"/>
      <c r="S1116" s="225"/>
      <c r="T1116" s="48"/>
      <c r="U1116" s="225"/>
      <c r="V1116" s="506"/>
      <c r="W1116" s="225"/>
      <c r="X1116" s="225"/>
      <c r="Y1116" s="225"/>
      <c r="Z1116" s="225"/>
      <c r="AA1116" s="508"/>
      <c r="AB1116" s="508"/>
      <c r="AC1116" s="509"/>
      <c r="AD1116" s="509"/>
      <c r="AE1116" s="509"/>
      <c r="AF1116" s="509"/>
      <c r="AG1116" s="509"/>
      <c r="AH1116" s="510"/>
      <c r="AI1116" s="506"/>
      <c r="AJ1116" s="506"/>
      <c r="AK1116" s="511"/>
      <c r="AL1116" s="511"/>
      <c r="AM1116" s="507"/>
      <c r="AN1116" s="512"/>
      <c r="AO1116" s="518"/>
      <c r="AP1116" s="127"/>
      <c r="AQ1116" s="519"/>
      <c r="AR1116" s="520"/>
      <c r="AS1116" s="518"/>
      <c r="AT1116" s="518"/>
      <c r="AU1116" s="49"/>
      <c r="AV1116" s="225"/>
      <c r="AW1116" s="521"/>
      <c r="AX1116" s="521"/>
      <c r="AY1116" s="225"/>
      <c r="AZ1116" s="522"/>
      <c r="BA1116" s="522"/>
      <c r="BB1116" s="523"/>
      <c r="BC1116" s="422"/>
      <c r="BD1116" s="509"/>
      <c r="BE1116" s="19"/>
      <c r="BF1116" s="8"/>
      <c r="BG1116" s="1"/>
      <c r="BH1116" s="8"/>
      <c r="BI1116" s="8"/>
      <c r="BJ1116" s="8"/>
      <c r="BK1116" s="8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</row>
    <row r="1117" ht="14.25" customHeight="1">
      <c r="A1117" s="1"/>
      <c r="B1117" s="1"/>
      <c r="C1117" s="1"/>
      <c r="D1117" s="1"/>
      <c r="E1117" s="1"/>
      <c r="F1117" s="13"/>
      <c r="G1117" s="8"/>
      <c r="H1117" s="68"/>
      <c r="I1117" s="68"/>
      <c r="J1117" s="5"/>
      <c r="K1117" s="5"/>
      <c r="L1117" s="13"/>
      <c r="M1117" s="13"/>
      <c r="N1117" s="8"/>
      <c r="O1117" s="432"/>
      <c r="P1117" s="225"/>
      <c r="Q1117" s="135"/>
      <c r="R1117" s="225"/>
      <c r="S1117" s="225"/>
      <c r="T1117" s="48"/>
      <c r="U1117" s="225"/>
      <c r="V1117" s="506"/>
      <c r="W1117" s="225"/>
      <c r="X1117" s="225"/>
      <c r="Y1117" s="225"/>
      <c r="Z1117" s="225"/>
      <c r="AA1117" s="508"/>
      <c r="AB1117" s="508"/>
      <c r="AC1117" s="509"/>
      <c r="AD1117" s="509"/>
      <c r="AE1117" s="509"/>
      <c r="AF1117" s="509"/>
      <c r="AG1117" s="509"/>
      <c r="AH1117" s="510"/>
      <c r="AI1117" s="506"/>
      <c r="AJ1117" s="506"/>
      <c r="AK1117" s="511"/>
      <c r="AL1117" s="511"/>
      <c r="AM1117" s="507"/>
      <c r="AN1117" s="512"/>
      <c r="AO1117" s="518"/>
      <c r="AP1117" s="127"/>
      <c r="AQ1117" s="519"/>
      <c r="AR1117" s="520"/>
      <c r="AS1117" s="518"/>
      <c r="AT1117" s="518"/>
      <c r="AU1117" s="49"/>
      <c r="AV1117" s="225"/>
      <c r="AW1117" s="521"/>
      <c r="AX1117" s="521"/>
      <c r="AY1117" s="225"/>
      <c r="AZ1117" s="522"/>
      <c r="BA1117" s="522"/>
      <c r="BB1117" s="523"/>
      <c r="BC1117" s="422"/>
      <c r="BD1117" s="509"/>
      <c r="BE1117" s="19"/>
      <c r="BF1117" s="8"/>
      <c r="BG1117" s="1"/>
      <c r="BH1117" s="8"/>
      <c r="BI1117" s="8"/>
      <c r="BJ1117" s="8"/>
      <c r="BK1117" s="8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</row>
    <row r="1118" ht="14.25" customHeight="1">
      <c r="A1118" s="1"/>
      <c r="B1118" s="1"/>
      <c r="C1118" s="1"/>
      <c r="D1118" s="1"/>
      <c r="E1118" s="1"/>
      <c r="F1118" s="13"/>
      <c r="G1118" s="8"/>
      <c r="H1118" s="68"/>
      <c r="I1118" s="68"/>
      <c r="J1118" s="5"/>
      <c r="K1118" s="5"/>
      <c r="L1118" s="13"/>
      <c r="M1118" s="13"/>
      <c r="N1118" s="8"/>
      <c r="O1118" s="432"/>
      <c r="P1118" s="225"/>
      <c r="Q1118" s="135"/>
      <c r="R1118" s="225"/>
      <c r="S1118" s="225"/>
      <c r="T1118" s="48"/>
      <c r="U1118" s="225"/>
      <c r="V1118" s="506"/>
      <c r="W1118" s="225"/>
      <c r="X1118" s="225"/>
      <c r="Y1118" s="225"/>
      <c r="Z1118" s="225"/>
      <c r="AA1118" s="508"/>
      <c r="AB1118" s="508"/>
      <c r="AC1118" s="509"/>
      <c r="AD1118" s="509"/>
      <c r="AE1118" s="509"/>
      <c r="AF1118" s="509"/>
      <c r="AG1118" s="509"/>
      <c r="AH1118" s="510"/>
      <c r="AI1118" s="506"/>
      <c r="AJ1118" s="506"/>
      <c r="AK1118" s="511"/>
      <c r="AL1118" s="511"/>
      <c r="AM1118" s="507"/>
      <c r="AN1118" s="512"/>
      <c r="AO1118" s="518"/>
      <c r="AP1118" s="127"/>
      <c r="AQ1118" s="519"/>
      <c r="AR1118" s="520"/>
      <c r="AS1118" s="518"/>
      <c r="AT1118" s="518"/>
      <c r="AU1118" s="49"/>
      <c r="AV1118" s="225"/>
      <c r="AW1118" s="521"/>
      <c r="AX1118" s="521"/>
      <c r="AY1118" s="225"/>
      <c r="AZ1118" s="522"/>
      <c r="BA1118" s="522"/>
      <c r="BB1118" s="523"/>
      <c r="BC1118" s="422"/>
      <c r="BD1118" s="509"/>
      <c r="BE1118" s="19"/>
      <c r="BF1118" s="8"/>
      <c r="BG1118" s="1"/>
      <c r="BH1118" s="8"/>
      <c r="BI1118" s="8"/>
      <c r="BJ1118" s="8"/>
      <c r="BK1118" s="8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</row>
    <row r="1119" ht="14.25" customHeight="1">
      <c r="A1119" s="1"/>
      <c r="B1119" s="1"/>
      <c r="C1119" s="1"/>
      <c r="D1119" s="1"/>
      <c r="E1119" s="1"/>
      <c r="F1119" s="13"/>
      <c r="G1119" s="8"/>
      <c r="H1119" s="68"/>
      <c r="I1119" s="68"/>
      <c r="J1119" s="5"/>
      <c r="K1119" s="5"/>
      <c r="L1119" s="13"/>
      <c r="M1119" s="13"/>
      <c r="N1119" s="8"/>
      <c r="O1119" s="432"/>
      <c r="P1119" s="225"/>
      <c r="Q1119" s="135"/>
      <c r="R1119" s="225"/>
      <c r="S1119" s="225"/>
      <c r="T1119" s="48"/>
      <c r="U1119" s="225"/>
      <c r="V1119" s="506"/>
      <c r="W1119" s="225"/>
      <c r="X1119" s="225"/>
      <c r="Y1119" s="225"/>
      <c r="Z1119" s="225"/>
      <c r="AA1119" s="508"/>
      <c r="AB1119" s="508"/>
      <c r="AC1119" s="509"/>
      <c r="AD1119" s="509"/>
      <c r="AE1119" s="509"/>
      <c r="AF1119" s="509"/>
      <c r="AG1119" s="509"/>
      <c r="AH1119" s="510"/>
      <c r="AI1119" s="506"/>
      <c r="AJ1119" s="506"/>
      <c r="AK1119" s="511"/>
      <c r="AL1119" s="511"/>
      <c r="AM1119" s="507"/>
      <c r="AN1119" s="512"/>
      <c r="AO1119" s="518"/>
      <c r="AP1119" s="127"/>
      <c r="AQ1119" s="519"/>
      <c r="AR1119" s="520"/>
      <c r="AS1119" s="518"/>
      <c r="AT1119" s="518"/>
      <c r="AU1119" s="49"/>
      <c r="AV1119" s="225"/>
      <c r="AW1119" s="521"/>
      <c r="AX1119" s="521"/>
      <c r="AY1119" s="225"/>
      <c r="AZ1119" s="522"/>
      <c r="BA1119" s="522"/>
      <c r="BB1119" s="523"/>
      <c r="BC1119" s="422"/>
      <c r="BD1119" s="509"/>
      <c r="BE1119" s="19"/>
      <c r="BF1119" s="8"/>
      <c r="BG1119" s="1"/>
      <c r="BH1119" s="8"/>
      <c r="BI1119" s="8"/>
      <c r="BJ1119" s="8"/>
      <c r="BK1119" s="8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</row>
    <row r="1120" ht="14.25" customHeight="1">
      <c r="A1120" s="1"/>
      <c r="B1120" s="1"/>
      <c r="C1120" s="1"/>
      <c r="D1120" s="1"/>
      <c r="E1120" s="1"/>
      <c r="F1120" s="13"/>
      <c r="G1120" s="8"/>
      <c r="H1120" s="68"/>
      <c r="I1120" s="68"/>
      <c r="J1120" s="5"/>
      <c r="K1120" s="5"/>
      <c r="L1120" s="13"/>
      <c r="M1120" s="13"/>
      <c r="N1120" s="8"/>
      <c r="O1120" s="432"/>
      <c r="P1120" s="225"/>
      <c r="Q1120" s="135"/>
      <c r="R1120" s="225"/>
      <c r="S1120" s="225"/>
      <c r="T1120" s="48"/>
      <c r="U1120" s="225"/>
      <c r="V1120" s="506"/>
      <c r="W1120" s="225"/>
      <c r="X1120" s="225"/>
      <c r="Y1120" s="225"/>
      <c r="Z1120" s="225"/>
      <c r="AA1120" s="508"/>
      <c r="AB1120" s="508"/>
      <c r="AC1120" s="509"/>
      <c r="AD1120" s="509"/>
      <c r="AE1120" s="509"/>
      <c r="AF1120" s="509"/>
      <c r="AG1120" s="509"/>
      <c r="AH1120" s="510"/>
      <c r="AI1120" s="506"/>
      <c r="AJ1120" s="506"/>
      <c r="AK1120" s="511"/>
      <c r="AL1120" s="511"/>
      <c r="AM1120" s="507"/>
      <c r="AN1120" s="512"/>
      <c r="AO1120" s="518"/>
      <c r="AP1120" s="127"/>
      <c r="AQ1120" s="519"/>
      <c r="AR1120" s="520"/>
      <c r="AS1120" s="518"/>
      <c r="AT1120" s="518"/>
      <c r="AU1120" s="49"/>
      <c r="AV1120" s="225"/>
      <c r="AW1120" s="521"/>
      <c r="AX1120" s="521"/>
      <c r="AY1120" s="225"/>
      <c r="AZ1120" s="522"/>
      <c r="BA1120" s="522"/>
      <c r="BB1120" s="523"/>
      <c r="BC1120" s="422"/>
      <c r="BD1120" s="509"/>
      <c r="BE1120" s="19"/>
      <c r="BF1120" s="8"/>
      <c r="BG1120" s="1"/>
      <c r="BH1120" s="8"/>
      <c r="BI1120" s="8"/>
      <c r="BJ1120" s="8"/>
      <c r="BK1120" s="8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</row>
    <row r="1121" ht="14.25" customHeight="1">
      <c r="A1121" s="1"/>
      <c r="B1121" s="1"/>
      <c r="C1121" s="1"/>
      <c r="D1121" s="1"/>
      <c r="E1121" s="1"/>
      <c r="F1121" s="13"/>
      <c r="G1121" s="8"/>
      <c r="H1121" s="68"/>
      <c r="I1121" s="68"/>
      <c r="J1121" s="5"/>
      <c r="K1121" s="5"/>
      <c r="L1121" s="13"/>
      <c r="M1121" s="13"/>
      <c r="N1121" s="8"/>
      <c r="O1121" s="432"/>
      <c r="P1121" s="225"/>
      <c r="Q1121" s="135"/>
      <c r="R1121" s="225"/>
      <c r="S1121" s="225"/>
      <c r="T1121" s="48"/>
      <c r="U1121" s="225"/>
      <c r="V1121" s="506"/>
      <c r="W1121" s="225"/>
      <c r="X1121" s="225"/>
      <c r="Y1121" s="225"/>
      <c r="Z1121" s="225"/>
      <c r="AA1121" s="508"/>
      <c r="AB1121" s="508"/>
      <c r="AC1121" s="509"/>
      <c r="AD1121" s="509"/>
      <c r="AE1121" s="509"/>
      <c r="AF1121" s="509"/>
      <c r="AG1121" s="509"/>
      <c r="AH1121" s="510"/>
      <c r="AI1121" s="506"/>
      <c r="AJ1121" s="506"/>
      <c r="AK1121" s="511"/>
      <c r="AL1121" s="511"/>
      <c r="AM1121" s="507"/>
      <c r="AN1121" s="512"/>
      <c r="AO1121" s="518"/>
      <c r="AP1121" s="127"/>
      <c r="AQ1121" s="519"/>
      <c r="AR1121" s="520"/>
      <c r="AS1121" s="518"/>
      <c r="AT1121" s="518"/>
      <c r="AU1121" s="49"/>
      <c r="AV1121" s="225"/>
      <c r="AW1121" s="521"/>
      <c r="AX1121" s="521"/>
      <c r="AY1121" s="225"/>
      <c r="AZ1121" s="522"/>
      <c r="BA1121" s="522"/>
      <c r="BB1121" s="523"/>
      <c r="BC1121" s="422"/>
      <c r="BD1121" s="509"/>
      <c r="BE1121" s="19"/>
      <c r="BF1121" s="8"/>
      <c r="BG1121" s="1"/>
      <c r="BH1121" s="8"/>
      <c r="BI1121" s="8"/>
      <c r="BJ1121" s="8"/>
      <c r="BK1121" s="8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</row>
    <row r="1122" ht="14.25" customHeight="1">
      <c r="A1122" s="1"/>
      <c r="B1122" s="1"/>
      <c r="C1122" s="1"/>
      <c r="D1122" s="1"/>
      <c r="E1122" s="1"/>
      <c r="F1122" s="13"/>
      <c r="G1122" s="8"/>
      <c r="H1122" s="68"/>
      <c r="I1122" s="68"/>
      <c r="J1122" s="5"/>
      <c r="K1122" s="5"/>
      <c r="L1122" s="13"/>
      <c r="M1122" s="13"/>
      <c r="N1122" s="8"/>
      <c r="O1122" s="432"/>
      <c r="P1122" s="225"/>
      <c r="Q1122" s="135"/>
      <c r="R1122" s="225"/>
      <c r="S1122" s="225"/>
      <c r="T1122" s="48"/>
      <c r="U1122" s="225"/>
      <c r="V1122" s="506"/>
      <c r="W1122" s="225"/>
      <c r="X1122" s="225"/>
      <c r="Y1122" s="225"/>
      <c r="Z1122" s="225"/>
      <c r="AA1122" s="508"/>
      <c r="AB1122" s="508"/>
      <c r="AC1122" s="509"/>
      <c r="AD1122" s="509"/>
      <c r="AE1122" s="509"/>
      <c r="AF1122" s="509"/>
      <c r="AG1122" s="509"/>
      <c r="AH1122" s="510"/>
      <c r="AI1122" s="506"/>
      <c r="AJ1122" s="506"/>
      <c r="AK1122" s="511"/>
      <c r="AL1122" s="511"/>
      <c r="AM1122" s="507"/>
      <c r="AN1122" s="512"/>
      <c r="AO1122" s="518"/>
      <c r="AP1122" s="127"/>
      <c r="AQ1122" s="519"/>
      <c r="AR1122" s="520"/>
      <c r="AS1122" s="518"/>
      <c r="AT1122" s="518"/>
      <c r="AU1122" s="49"/>
      <c r="AV1122" s="225"/>
      <c r="AW1122" s="521"/>
      <c r="AX1122" s="521"/>
      <c r="AY1122" s="225"/>
      <c r="AZ1122" s="522"/>
      <c r="BA1122" s="522"/>
      <c r="BB1122" s="523"/>
      <c r="BC1122" s="422"/>
      <c r="BD1122" s="509"/>
      <c r="BE1122" s="19"/>
      <c r="BF1122" s="8"/>
      <c r="BG1122" s="1"/>
      <c r="BH1122" s="8"/>
      <c r="BI1122" s="8"/>
      <c r="BJ1122" s="8"/>
      <c r="BK1122" s="8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</row>
    <row r="1123" ht="14.25" customHeight="1">
      <c r="A1123" s="1"/>
      <c r="B1123" s="1"/>
      <c r="C1123" s="1"/>
      <c r="D1123" s="1"/>
      <c r="E1123" s="1"/>
      <c r="F1123" s="13"/>
      <c r="G1123" s="8"/>
      <c r="H1123" s="68"/>
      <c r="I1123" s="68"/>
      <c r="J1123" s="5"/>
      <c r="K1123" s="5"/>
      <c r="L1123" s="13"/>
      <c r="M1123" s="13"/>
      <c r="N1123" s="8"/>
      <c r="O1123" s="432"/>
      <c r="P1123" s="225"/>
      <c r="Q1123" s="135"/>
      <c r="R1123" s="225"/>
      <c r="S1123" s="225"/>
      <c r="T1123" s="48"/>
      <c r="U1123" s="225"/>
      <c r="V1123" s="506"/>
      <c r="W1123" s="225"/>
      <c r="X1123" s="225"/>
      <c r="Y1123" s="225"/>
      <c r="Z1123" s="225"/>
      <c r="AA1123" s="508"/>
      <c r="AB1123" s="508"/>
      <c r="AC1123" s="509"/>
      <c r="AD1123" s="509"/>
      <c r="AE1123" s="509"/>
      <c r="AF1123" s="509"/>
      <c r="AG1123" s="509"/>
      <c r="AH1123" s="510"/>
      <c r="AI1123" s="506"/>
      <c r="AJ1123" s="506"/>
      <c r="AK1123" s="511"/>
      <c r="AL1123" s="511"/>
      <c r="AM1123" s="507"/>
      <c r="AN1123" s="512"/>
      <c r="AO1123" s="518"/>
      <c r="AP1123" s="127"/>
      <c r="AQ1123" s="519"/>
      <c r="AR1123" s="520"/>
      <c r="AS1123" s="518"/>
      <c r="AT1123" s="518"/>
      <c r="AU1123" s="49"/>
      <c r="AV1123" s="225"/>
      <c r="AW1123" s="521"/>
      <c r="AX1123" s="521"/>
      <c r="AY1123" s="225"/>
      <c r="AZ1123" s="522"/>
      <c r="BA1123" s="522"/>
      <c r="BB1123" s="523"/>
      <c r="BC1123" s="422"/>
      <c r="BD1123" s="509"/>
      <c r="BE1123" s="19"/>
      <c r="BF1123" s="8"/>
      <c r="BG1123" s="1"/>
      <c r="BH1123" s="8"/>
      <c r="BI1123" s="8"/>
      <c r="BJ1123" s="8"/>
      <c r="BK1123" s="8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</row>
    <row r="1124" ht="14.25" customHeight="1">
      <c r="A1124" s="1"/>
      <c r="B1124" s="1"/>
      <c r="C1124" s="1"/>
      <c r="D1124" s="1"/>
      <c r="E1124" s="1"/>
      <c r="F1124" s="13"/>
      <c r="G1124" s="8"/>
      <c r="H1124" s="68"/>
      <c r="I1124" s="68"/>
      <c r="J1124" s="5"/>
      <c r="K1124" s="5"/>
      <c r="L1124" s="13"/>
      <c r="M1124" s="13"/>
      <c r="N1124" s="8"/>
      <c r="O1124" s="432"/>
      <c r="P1124" s="225"/>
      <c r="Q1124" s="135"/>
      <c r="R1124" s="225"/>
      <c r="S1124" s="225"/>
      <c r="T1124" s="48"/>
      <c r="U1124" s="225"/>
      <c r="V1124" s="506"/>
      <c r="W1124" s="225"/>
      <c r="X1124" s="225"/>
      <c r="Y1124" s="225"/>
      <c r="Z1124" s="225"/>
      <c r="AA1124" s="508"/>
      <c r="AB1124" s="508"/>
      <c r="AC1124" s="509"/>
      <c r="AD1124" s="509"/>
      <c r="AE1124" s="509"/>
      <c r="AF1124" s="509"/>
      <c r="AG1124" s="509"/>
      <c r="AH1124" s="510"/>
      <c r="AI1124" s="506"/>
      <c r="AJ1124" s="506"/>
      <c r="AK1124" s="511"/>
      <c r="AL1124" s="511"/>
      <c r="AM1124" s="507"/>
      <c r="AN1124" s="512"/>
      <c r="AO1124" s="518"/>
      <c r="AP1124" s="127"/>
      <c r="AQ1124" s="519"/>
      <c r="AR1124" s="520"/>
      <c r="AS1124" s="518"/>
      <c r="AT1124" s="518"/>
      <c r="AU1124" s="49"/>
      <c r="AV1124" s="225"/>
      <c r="AW1124" s="521"/>
      <c r="AX1124" s="521"/>
      <c r="AY1124" s="225"/>
      <c r="AZ1124" s="522"/>
      <c r="BA1124" s="522"/>
      <c r="BB1124" s="523"/>
      <c r="BC1124" s="422"/>
      <c r="BD1124" s="509"/>
      <c r="BE1124" s="19"/>
      <c r="BF1124" s="8"/>
      <c r="BG1124" s="1"/>
      <c r="BH1124" s="8"/>
      <c r="BI1124" s="8"/>
      <c r="BJ1124" s="8"/>
      <c r="BK1124" s="8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</row>
    <row r="1125" ht="14.25" customHeight="1">
      <c r="A1125" s="1"/>
      <c r="B1125" s="1"/>
      <c r="C1125" s="1"/>
      <c r="D1125" s="1"/>
      <c r="E1125" s="1"/>
      <c r="F1125" s="13"/>
      <c r="G1125" s="8"/>
      <c r="H1125" s="68"/>
      <c r="I1125" s="68"/>
      <c r="J1125" s="5"/>
      <c r="K1125" s="5"/>
      <c r="L1125" s="13"/>
      <c r="M1125" s="13"/>
      <c r="N1125" s="8"/>
      <c r="O1125" s="432"/>
      <c r="P1125" s="225"/>
      <c r="Q1125" s="135"/>
      <c r="R1125" s="225"/>
      <c r="S1125" s="225"/>
      <c r="T1125" s="48"/>
      <c r="U1125" s="225"/>
      <c r="V1125" s="506"/>
      <c r="W1125" s="225"/>
      <c r="X1125" s="225"/>
      <c r="Y1125" s="225"/>
      <c r="Z1125" s="225"/>
      <c r="AA1125" s="508"/>
      <c r="AB1125" s="508"/>
      <c r="AC1125" s="509"/>
      <c r="AD1125" s="509"/>
      <c r="AE1125" s="509"/>
      <c r="AF1125" s="509"/>
      <c r="AG1125" s="509"/>
      <c r="AH1125" s="510"/>
      <c r="AI1125" s="506"/>
      <c r="AJ1125" s="506"/>
      <c r="AK1125" s="511"/>
      <c r="AL1125" s="511"/>
      <c r="AM1125" s="507"/>
      <c r="AN1125" s="512"/>
      <c r="AO1125" s="518"/>
      <c r="AP1125" s="127"/>
      <c r="AQ1125" s="519"/>
      <c r="AR1125" s="520"/>
      <c r="AS1125" s="518"/>
      <c r="AT1125" s="518"/>
      <c r="AU1125" s="49"/>
      <c r="AV1125" s="225"/>
      <c r="AW1125" s="521"/>
      <c r="AX1125" s="521"/>
      <c r="AY1125" s="225"/>
      <c r="AZ1125" s="522"/>
      <c r="BA1125" s="522"/>
      <c r="BB1125" s="523"/>
      <c r="BC1125" s="422"/>
      <c r="BD1125" s="509"/>
      <c r="BE1125" s="19"/>
      <c r="BF1125" s="8"/>
      <c r="BG1125" s="1"/>
      <c r="BH1125" s="8"/>
      <c r="BI1125" s="8"/>
      <c r="BJ1125" s="8"/>
      <c r="BK1125" s="8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</row>
    <row r="1126" ht="14.25" customHeight="1">
      <c r="A1126" s="1"/>
      <c r="B1126" s="1"/>
      <c r="C1126" s="1"/>
      <c r="D1126" s="1"/>
      <c r="E1126" s="1"/>
      <c r="F1126" s="13"/>
      <c r="G1126" s="8"/>
      <c r="H1126" s="68"/>
      <c r="I1126" s="68"/>
      <c r="J1126" s="5"/>
      <c r="K1126" s="5"/>
      <c r="L1126" s="13"/>
      <c r="M1126" s="13"/>
      <c r="N1126" s="8"/>
      <c r="O1126" s="432"/>
      <c r="P1126" s="225"/>
      <c r="Q1126" s="135"/>
      <c r="R1126" s="225"/>
      <c r="S1126" s="225"/>
      <c r="T1126" s="48"/>
      <c r="U1126" s="225"/>
      <c r="V1126" s="506"/>
      <c r="W1126" s="225"/>
      <c r="X1126" s="225"/>
      <c r="Y1126" s="225"/>
      <c r="Z1126" s="225"/>
      <c r="AA1126" s="508"/>
      <c r="AB1126" s="508"/>
      <c r="AC1126" s="509"/>
      <c r="AD1126" s="509"/>
      <c r="AE1126" s="509"/>
      <c r="AF1126" s="509"/>
      <c r="AG1126" s="509"/>
      <c r="AH1126" s="510"/>
      <c r="AI1126" s="506"/>
      <c r="AJ1126" s="506"/>
      <c r="AK1126" s="511"/>
      <c r="AL1126" s="511"/>
      <c r="AM1126" s="507"/>
      <c r="AN1126" s="512"/>
      <c r="AO1126" s="518"/>
      <c r="AP1126" s="127"/>
      <c r="AQ1126" s="519"/>
      <c r="AR1126" s="520"/>
      <c r="AS1126" s="518"/>
      <c r="AT1126" s="518"/>
      <c r="AU1126" s="49"/>
      <c r="AV1126" s="225"/>
      <c r="AW1126" s="521"/>
      <c r="AX1126" s="521"/>
      <c r="AY1126" s="225"/>
      <c r="AZ1126" s="522"/>
      <c r="BA1126" s="522"/>
      <c r="BB1126" s="523"/>
      <c r="BC1126" s="422"/>
      <c r="BD1126" s="509"/>
      <c r="BE1126" s="19"/>
      <c r="BF1126" s="8"/>
      <c r="BG1126" s="1"/>
      <c r="BH1126" s="8"/>
      <c r="BI1126" s="8"/>
      <c r="BJ1126" s="8"/>
      <c r="BK1126" s="8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</row>
    <row r="1127" ht="14.25" customHeight="1">
      <c r="A1127" s="1"/>
      <c r="B1127" s="1"/>
      <c r="C1127" s="1"/>
      <c r="D1127" s="1"/>
      <c r="E1127" s="1"/>
      <c r="F1127" s="13"/>
      <c r="G1127" s="8"/>
      <c r="H1127" s="68"/>
      <c r="I1127" s="68"/>
      <c r="J1127" s="5"/>
      <c r="K1127" s="5"/>
      <c r="L1127" s="13"/>
      <c r="M1127" s="13"/>
      <c r="N1127" s="8"/>
      <c r="O1127" s="432"/>
      <c r="P1127" s="225"/>
      <c r="Q1127" s="135"/>
      <c r="R1127" s="225"/>
      <c r="S1127" s="225"/>
      <c r="T1127" s="48"/>
      <c r="U1127" s="225"/>
      <c r="V1127" s="506"/>
      <c r="W1127" s="225"/>
      <c r="X1127" s="225"/>
      <c r="Y1127" s="225"/>
      <c r="Z1127" s="225"/>
      <c r="AA1127" s="508"/>
      <c r="AB1127" s="508"/>
      <c r="AC1127" s="509"/>
      <c r="AD1127" s="509"/>
      <c r="AE1127" s="509"/>
      <c r="AF1127" s="509"/>
      <c r="AG1127" s="509"/>
      <c r="AH1127" s="510"/>
      <c r="AI1127" s="506"/>
      <c r="AJ1127" s="506"/>
      <c r="AK1127" s="511"/>
      <c r="AL1127" s="511"/>
      <c r="AM1127" s="507"/>
      <c r="AN1127" s="512"/>
      <c r="AO1127" s="518"/>
      <c r="AP1127" s="127"/>
      <c r="AQ1127" s="519"/>
      <c r="AR1127" s="520"/>
      <c r="AS1127" s="518"/>
      <c r="AT1127" s="518"/>
      <c r="AU1127" s="49"/>
      <c r="AV1127" s="225"/>
      <c r="AW1127" s="521"/>
      <c r="AX1127" s="521"/>
      <c r="AY1127" s="225"/>
      <c r="AZ1127" s="522"/>
      <c r="BA1127" s="522"/>
      <c r="BB1127" s="523"/>
      <c r="BC1127" s="422"/>
      <c r="BD1127" s="509"/>
      <c r="BE1127" s="19"/>
      <c r="BF1127" s="8"/>
      <c r="BG1127" s="1"/>
      <c r="BH1127" s="8"/>
      <c r="BI1127" s="8"/>
      <c r="BJ1127" s="8"/>
      <c r="BK1127" s="8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</row>
    <row r="1128" ht="14.25" customHeight="1">
      <c r="A1128" s="1"/>
      <c r="B1128" s="1"/>
      <c r="C1128" s="1"/>
      <c r="D1128" s="1"/>
      <c r="E1128" s="1"/>
      <c r="F1128" s="13"/>
      <c r="G1128" s="8"/>
      <c r="H1128" s="68"/>
      <c r="I1128" s="68"/>
      <c r="J1128" s="5"/>
      <c r="K1128" s="5"/>
      <c r="L1128" s="13"/>
      <c r="M1128" s="13"/>
      <c r="N1128" s="8"/>
      <c r="O1128" s="432"/>
      <c r="P1128" s="225"/>
      <c r="Q1128" s="135"/>
      <c r="R1128" s="225"/>
      <c r="S1128" s="225"/>
      <c r="T1128" s="48"/>
      <c r="U1128" s="225"/>
      <c r="V1128" s="506"/>
      <c r="W1128" s="225"/>
      <c r="X1128" s="225"/>
      <c r="Y1128" s="225"/>
      <c r="Z1128" s="225"/>
      <c r="AA1128" s="508"/>
      <c r="AB1128" s="508"/>
      <c r="AC1128" s="509"/>
      <c r="AD1128" s="509"/>
      <c r="AE1128" s="509"/>
      <c r="AF1128" s="509"/>
      <c r="AG1128" s="509"/>
      <c r="AH1128" s="510"/>
      <c r="AI1128" s="506"/>
      <c r="AJ1128" s="506"/>
      <c r="AK1128" s="511"/>
      <c r="AL1128" s="511"/>
      <c r="AM1128" s="507"/>
      <c r="AN1128" s="512"/>
      <c r="AO1128" s="518"/>
      <c r="AP1128" s="127"/>
      <c r="AQ1128" s="519"/>
      <c r="AR1128" s="520"/>
      <c r="AS1128" s="518"/>
      <c r="AT1128" s="518"/>
      <c r="AU1128" s="49"/>
      <c r="AV1128" s="225"/>
      <c r="AW1128" s="521"/>
      <c r="AX1128" s="521"/>
      <c r="AY1128" s="225"/>
      <c r="AZ1128" s="522"/>
      <c r="BA1128" s="522"/>
      <c r="BB1128" s="523"/>
      <c r="BC1128" s="422"/>
      <c r="BD1128" s="509"/>
      <c r="BE1128" s="19"/>
      <c r="BF1128" s="8"/>
      <c r="BG1128" s="1"/>
      <c r="BH1128" s="8"/>
      <c r="BI1128" s="8"/>
      <c r="BJ1128" s="8"/>
      <c r="BK1128" s="8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</row>
    <row r="1129" ht="14.25" customHeight="1">
      <c r="A1129" s="1"/>
      <c r="B1129" s="1"/>
      <c r="C1129" s="1"/>
      <c r="D1129" s="1"/>
      <c r="E1129" s="1"/>
      <c r="F1129" s="13"/>
      <c r="G1129" s="8"/>
      <c r="H1129" s="68"/>
      <c r="I1129" s="68"/>
      <c r="J1129" s="5"/>
      <c r="K1129" s="5"/>
      <c r="L1129" s="13"/>
      <c r="M1129" s="13"/>
      <c r="N1129" s="8"/>
      <c r="O1129" s="432"/>
      <c r="P1129" s="225"/>
      <c r="Q1129" s="135"/>
      <c r="R1129" s="225"/>
      <c r="S1129" s="225"/>
      <c r="T1129" s="48"/>
      <c r="U1129" s="225"/>
      <c r="V1129" s="506"/>
      <c r="W1129" s="225"/>
      <c r="X1129" s="225"/>
      <c r="Y1129" s="225"/>
      <c r="Z1129" s="225"/>
      <c r="AA1129" s="508"/>
      <c r="AB1129" s="508"/>
      <c r="AC1129" s="509"/>
      <c r="AD1129" s="509"/>
      <c r="AE1129" s="509"/>
      <c r="AF1129" s="509"/>
      <c r="AG1129" s="509"/>
      <c r="AH1129" s="510"/>
      <c r="AI1129" s="506"/>
      <c r="AJ1129" s="506"/>
      <c r="AK1129" s="511"/>
      <c r="AL1129" s="511"/>
      <c r="AM1129" s="507"/>
      <c r="AN1129" s="512"/>
      <c r="AO1129" s="518"/>
      <c r="AP1129" s="127"/>
      <c r="AQ1129" s="519"/>
      <c r="AR1129" s="520"/>
      <c r="AS1129" s="518"/>
      <c r="AT1129" s="518"/>
      <c r="AU1129" s="49"/>
      <c r="AV1129" s="225"/>
      <c r="AW1129" s="521"/>
      <c r="AX1129" s="521"/>
      <c r="AY1129" s="225"/>
      <c r="AZ1129" s="522"/>
      <c r="BA1129" s="522"/>
      <c r="BB1129" s="523"/>
      <c r="BC1129" s="422"/>
      <c r="BD1129" s="509"/>
      <c r="BE1129" s="19"/>
      <c r="BF1129" s="8"/>
      <c r="BG1129" s="1"/>
      <c r="BH1129" s="8"/>
      <c r="BI1129" s="8"/>
      <c r="BJ1129" s="8"/>
      <c r="BK1129" s="8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</row>
    <row r="1130" ht="14.25" customHeight="1">
      <c r="A1130" s="1"/>
      <c r="B1130" s="1"/>
      <c r="C1130" s="1"/>
      <c r="D1130" s="1"/>
      <c r="E1130" s="1"/>
      <c r="F1130" s="13"/>
      <c r="G1130" s="8"/>
      <c r="H1130" s="68"/>
      <c r="I1130" s="68"/>
      <c r="J1130" s="5"/>
      <c r="K1130" s="5"/>
      <c r="L1130" s="13"/>
      <c r="M1130" s="13"/>
      <c r="N1130" s="8"/>
      <c r="O1130" s="432"/>
      <c r="P1130" s="225"/>
      <c r="Q1130" s="135"/>
      <c r="R1130" s="225"/>
      <c r="S1130" s="225"/>
      <c r="T1130" s="48"/>
      <c r="U1130" s="225"/>
      <c r="V1130" s="506"/>
      <c r="W1130" s="225"/>
      <c r="X1130" s="225"/>
      <c r="Y1130" s="225"/>
      <c r="Z1130" s="225"/>
      <c r="AA1130" s="508"/>
      <c r="AB1130" s="508"/>
      <c r="AC1130" s="509"/>
      <c r="AD1130" s="509"/>
      <c r="AE1130" s="509"/>
      <c r="AF1130" s="509"/>
      <c r="AG1130" s="509"/>
      <c r="AH1130" s="510"/>
      <c r="AI1130" s="506"/>
      <c r="AJ1130" s="506"/>
      <c r="AK1130" s="511"/>
      <c r="AL1130" s="511"/>
      <c r="AM1130" s="507"/>
      <c r="AN1130" s="512"/>
      <c r="AO1130" s="518"/>
      <c r="AP1130" s="127"/>
      <c r="AQ1130" s="519"/>
      <c r="AR1130" s="520"/>
      <c r="AS1130" s="518"/>
      <c r="AT1130" s="518"/>
      <c r="AU1130" s="49"/>
      <c r="AV1130" s="225"/>
      <c r="AW1130" s="521"/>
      <c r="AX1130" s="521"/>
      <c r="AY1130" s="225"/>
      <c r="AZ1130" s="522"/>
      <c r="BA1130" s="522"/>
      <c r="BB1130" s="523"/>
      <c r="BC1130" s="422"/>
      <c r="BD1130" s="509"/>
      <c r="BE1130" s="19"/>
      <c r="BF1130" s="8"/>
      <c r="BG1130" s="1"/>
      <c r="BH1130" s="8"/>
      <c r="BI1130" s="8"/>
      <c r="BJ1130" s="8"/>
      <c r="BK1130" s="8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</row>
    <row r="1131" ht="14.25" customHeight="1">
      <c r="A1131" s="1"/>
      <c r="B1131" s="1"/>
      <c r="C1131" s="1"/>
      <c r="D1131" s="1"/>
      <c r="E1131" s="1"/>
      <c r="F1131" s="13"/>
      <c r="G1131" s="8"/>
      <c r="H1131" s="68"/>
      <c r="I1131" s="68"/>
      <c r="J1131" s="5"/>
      <c r="K1131" s="5"/>
      <c r="L1131" s="13"/>
      <c r="M1131" s="13"/>
      <c r="N1131" s="8"/>
      <c r="O1131" s="432"/>
      <c r="P1131" s="225"/>
      <c r="Q1131" s="135"/>
      <c r="R1131" s="225"/>
      <c r="S1131" s="225"/>
      <c r="T1131" s="48"/>
      <c r="U1131" s="225"/>
      <c r="V1131" s="506"/>
      <c r="W1131" s="225"/>
      <c r="X1131" s="225"/>
      <c r="Y1131" s="225"/>
      <c r="Z1131" s="225"/>
      <c r="AA1131" s="508"/>
      <c r="AB1131" s="508"/>
      <c r="AC1131" s="509"/>
      <c r="AD1131" s="509"/>
      <c r="AE1131" s="509"/>
      <c r="AF1131" s="509"/>
      <c r="AG1131" s="509"/>
      <c r="AH1131" s="510"/>
      <c r="AI1131" s="506"/>
      <c r="AJ1131" s="506"/>
      <c r="AK1131" s="511"/>
      <c r="AL1131" s="511"/>
      <c r="AM1131" s="507"/>
      <c r="AN1131" s="512"/>
      <c r="AO1131" s="518"/>
      <c r="AP1131" s="127"/>
      <c r="AQ1131" s="519"/>
      <c r="AR1131" s="520"/>
      <c r="AS1131" s="518"/>
      <c r="AT1131" s="518"/>
      <c r="AU1131" s="49"/>
      <c r="AV1131" s="225"/>
      <c r="AW1131" s="521"/>
      <c r="AX1131" s="521"/>
      <c r="AY1131" s="225"/>
      <c r="AZ1131" s="522"/>
      <c r="BA1131" s="522"/>
      <c r="BB1131" s="523"/>
      <c r="BC1131" s="422"/>
      <c r="BD1131" s="509"/>
      <c r="BE1131" s="19"/>
      <c r="BF1131" s="8"/>
      <c r="BG1131" s="1"/>
      <c r="BH1131" s="8"/>
      <c r="BI1131" s="8"/>
      <c r="BJ1131" s="8"/>
      <c r="BK1131" s="8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</row>
    <row r="1132" ht="14.25" customHeight="1">
      <c r="A1132" s="1"/>
      <c r="B1132" s="1"/>
      <c r="C1132" s="1"/>
      <c r="D1132" s="1"/>
      <c r="E1132" s="1"/>
      <c r="F1132" s="13"/>
      <c r="G1132" s="8"/>
      <c r="H1132" s="68"/>
      <c r="I1132" s="68"/>
      <c r="J1132" s="5"/>
      <c r="K1132" s="5"/>
      <c r="L1132" s="13"/>
      <c r="M1132" s="13"/>
      <c r="N1132" s="8"/>
      <c r="O1132" s="432"/>
      <c r="P1132" s="225"/>
      <c r="Q1132" s="135"/>
      <c r="R1132" s="225"/>
      <c r="S1132" s="225"/>
      <c r="T1132" s="48"/>
      <c r="U1132" s="225"/>
      <c r="V1132" s="506"/>
      <c r="W1132" s="225"/>
      <c r="X1132" s="225"/>
      <c r="Y1132" s="225"/>
      <c r="Z1132" s="225"/>
      <c r="AA1132" s="508"/>
      <c r="AB1132" s="508"/>
      <c r="AC1132" s="509"/>
      <c r="AD1132" s="509"/>
      <c r="AE1132" s="509"/>
      <c r="AF1132" s="509"/>
      <c r="AG1132" s="509"/>
      <c r="AH1132" s="510"/>
      <c r="AI1132" s="506"/>
      <c r="AJ1132" s="506"/>
      <c r="AK1132" s="511"/>
      <c r="AL1132" s="511"/>
      <c r="AM1132" s="507"/>
      <c r="AN1132" s="512"/>
      <c r="AO1132" s="518"/>
      <c r="AP1132" s="127"/>
      <c r="AQ1132" s="519"/>
      <c r="AR1132" s="520"/>
      <c r="AS1132" s="518"/>
      <c r="AT1132" s="518"/>
      <c r="AU1132" s="49"/>
      <c r="AV1132" s="225"/>
      <c r="AW1132" s="521"/>
      <c r="AX1132" s="521"/>
      <c r="AY1132" s="225"/>
      <c r="AZ1132" s="522"/>
      <c r="BA1132" s="522"/>
      <c r="BB1132" s="523"/>
      <c r="BC1132" s="422"/>
      <c r="BD1132" s="509"/>
      <c r="BE1132" s="19"/>
      <c r="BF1132" s="8"/>
      <c r="BG1132" s="1"/>
      <c r="BH1132" s="8"/>
      <c r="BI1132" s="8"/>
      <c r="BJ1132" s="8"/>
      <c r="BK1132" s="8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</row>
    <row r="1133" ht="14.25" customHeight="1">
      <c r="A1133" s="1"/>
      <c r="B1133" s="1"/>
      <c r="C1133" s="1"/>
      <c r="D1133" s="1"/>
      <c r="E1133" s="1"/>
      <c r="F1133" s="13"/>
      <c r="G1133" s="8"/>
      <c r="H1133" s="68"/>
      <c r="I1133" s="68"/>
      <c r="J1133" s="5"/>
      <c r="K1133" s="5"/>
      <c r="L1133" s="13"/>
      <c r="M1133" s="13"/>
      <c r="N1133" s="8"/>
      <c r="O1133" s="432"/>
      <c r="P1133" s="225"/>
      <c r="Q1133" s="135"/>
      <c r="R1133" s="225"/>
      <c r="S1133" s="225"/>
      <c r="T1133" s="48"/>
      <c r="U1133" s="225"/>
      <c r="V1133" s="506"/>
      <c r="W1133" s="225"/>
      <c r="X1133" s="225"/>
      <c r="Y1133" s="225"/>
      <c r="Z1133" s="225"/>
      <c r="AA1133" s="508"/>
      <c r="AB1133" s="508"/>
      <c r="AC1133" s="509"/>
      <c r="AD1133" s="509"/>
      <c r="AE1133" s="509"/>
      <c r="AF1133" s="509"/>
      <c r="AG1133" s="509"/>
      <c r="AH1133" s="510"/>
      <c r="AI1133" s="506"/>
      <c r="AJ1133" s="506"/>
      <c r="AK1133" s="511"/>
      <c r="AL1133" s="511"/>
      <c r="AM1133" s="507"/>
      <c r="AN1133" s="512"/>
      <c r="AO1133" s="518"/>
      <c r="AP1133" s="127"/>
      <c r="AQ1133" s="519"/>
      <c r="AR1133" s="520"/>
      <c r="AS1133" s="518"/>
      <c r="AT1133" s="518"/>
      <c r="AU1133" s="49"/>
      <c r="AV1133" s="225"/>
      <c r="AW1133" s="521"/>
      <c r="AX1133" s="521"/>
      <c r="AY1133" s="225"/>
      <c r="AZ1133" s="522"/>
      <c r="BA1133" s="522"/>
      <c r="BB1133" s="523"/>
      <c r="BC1133" s="422"/>
      <c r="BD1133" s="509"/>
      <c r="BE1133" s="19"/>
      <c r="BF1133" s="8"/>
      <c r="BG1133" s="1"/>
      <c r="BH1133" s="8"/>
      <c r="BI1133" s="8"/>
      <c r="BJ1133" s="8"/>
      <c r="BK1133" s="8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</row>
    <row r="1134" ht="14.25" customHeight="1">
      <c r="A1134" s="1"/>
      <c r="B1134" s="1"/>
      <c r="C1134" s="1"/>
      <c r="D1134" s="1"/>
      <c r="E1134" s="1"/>
      <c r="F1134" s="13"/>
      <c r="G1134" s="8"/>
      <c r="H1134" s="68"/>
      <c r="I1134" s="68"/>
      <c r="J1134" s="5"/>
      <c r="K1134" s="5"/>
      <c r="L1134" s="13"/>
      <c r="M1134" s="13"/>
      <c r="N1134" s="8"/>
      <c r="O1134" s="432"/>
      <c r="P1134" s="225"/>
      <c r="Q1134" s="135"/>
      <c r="R1134" s="225"/>
      <c r="S1134" s="225"/>
      <c r="T1134" s="48"/>
      <c r="U1134" s="225"/>
      <c r="V1134" s="506"/>
      <c r="W1134" s="225"/>
      <c r="X1134" s="225"/>
      <c r="Y1134" s="225"/>
      <c r="Z1134" s="225"/>
      <c r="AA1134" s="508"/>
      <c r="AB1134" s="508"/>
      <c r="AC1134" s="509"/>
      <c r="AD1134" s="509"/>
      <c r="AE1134" s="509"/>
      <c r="AF1134" s="509"/>
      <c r="AG1134" s="509"/>
      <c r="AH1134" s="510"/>
      <c r="AI1134" s="506"/>
      <c r="AJ1134" s="506"/>
      <c r="AK1134" s="511"/>
      <c r="AL1134" s="511"/>
      <c r="AM1134" s="507"/>
      <c r="AN1134" s="512"/>
      <c r="AO1134" s="518"/>
      <c r="AP1134" s="127"/>
      <c r="AQ1134" s="519"/>
      <c r="AR1134" s="520"/>
      <c r="AS1134" s="518"/>
      <c r="AT1134" s="518"/>
      <c r="AU1134" s="49"/>
      <c r="AV1134" s="225"/>
      <c r="AW1134" s="521"/>
      <c r="AX1134" s="521"/>
      <c r="AY1134" s="225"/>
      <c r="AZ1134" s="522"/>
      <c r="BA1134" s="522"/>
      <c r="BB1134" s="523"/>
      <c r="BC1134" s="422"/>
      <c r="BD1134" s="509"/>
      <c r="BE1134" s="19"/>
      <c r="BF1134" s="8"/>
      <c r="BG1134" s="1"/>
      <c r="BH1134" s="8"/>
      <c r="BI1134" s="8"/>
      <c r="BJ1134" s="8"/>
      <c r="BK1134" s="8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</row>
    <row r="1135" ht="14.25" customHeight="1">
      <c r="A1135" s="1"/>
      <c r="B1135" s="1"/>
      <c r="C1135" s="1"/>
      <c r="D1135" s="1"/>
      <c r="E1135" s="1"/>
      <c r="F1135" s="13"/>
      <c r="G1135" s="8"/>
      <c r="H1135" s="68"/>
      <c r="I1135" s="68"/>
      <c r="J1135" s="5"/>
      <c r="K1135" s="5"/>
      <c r="L1135" s="13"/>
      <c r="M1135" s="13"/>
      <c r="N1135" s="8"/>
      <c r="O1135" s="432"/>
      <c r="P1135" s="225"/>
      <c r="Q1135" s="135"/>
      <c r="R1135" s="225"/>
      <c r="S1135" s="225"/>
      <c r="T1135" s="48"/>
      <c r="U1135" s="225"/>
      <c r="V1135" s="506"/>
      <c r="W1135" s="225"/>
      <c r="X1135" s="225"/>
      <c r="Y1135" s="225"/>
      <c r="Z1135" s="225"/>
      <c r="AA1135" s="508"/>
      <c r="AB1135" s="508"/>
      <c r="AC1135" s="509"/>
      <c r="AD1135" s="509"/>
      <c r="AE1135" s="509"/>
      <c r="AF1135" s="509"/>
      <c r="AG1135" s="509"/>
      <c r="AH1135" s="510"/>
      <c r="AI1135" s="506"/>
      <c r="AJ1135" s="506"/>
      <c r="AK1135" s="511"/>
      <c r="AL1135" s="511"/>
      <c r="AM1135" s="507"/>
      <c r="AN1135" s="512"/>
      <c r="AO1135" s="518"/>
      <c r="AP1135" s="127"/>
      <c r="AQ1135" s="519"/>
      <c r="AR1135" s="520"/>
      <c r="AS1135" s="518"/>
      <c r="AT1135" s="518"/>
      <c r="AU1135" s="49"/>
      <c r="AV1135" s="225"/>
      <c r="AW1135" s="521"/>
      <c r="AX1135" s="521"/>
      <c r="AY1135" s="225"/>
      <c r="AZ1135" s="522"/>
      <c r="BA1135" s="522"/>
      <c r="BB1135" s="523"/>
      <c r="BC1135" s="422"/>
      <c r="BD1135" s="509"/>
      <c r="BE1135" s="19"/>
      <c r="BF1135" s="8"/>
      <c r="BG1135" s="1"/>
      <c r="BH1135" s="8"/>
      <c r="BI1135" s="8"/>
      <c r="BJ1135" s="8"/>
      <c r="BK1135" s="8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</row>
    <row r="1136" ht="14.25" customHeight="1">
      <c r="A1136" s="1"/>
      <c r="B1136" s="1"/>
      <c r="C1136" s="1"/>
      <c r="D1136" s="1"/>
      <c r="E1136" s="1"/>
      <c r="F1136" s="13"/>
      <c r="G1136" s="8"/>
      <c r="H1136" s="68"/>
      <c r="I1136" s="68"/>
      <c r="J1136" s="5"/>
      <c r="K1136" s="5"/>
      <c r="L1136" s="13"/>
      <c r="M1136" s="13"/>
      <c r="N1136" s="8"/>
      <c r="O1136" s="432"/>
      <c r="P1136" s="225"/>
      <c r="Q1136" s="135"/>
      <c r="R1136" s="225"/>
      <c r="S1136" s="225"/>
      <c r="T1136" s="48"/>
      <c r="U1136" s="225"/>
      <c r="V1136" s="506"/>
      <c r="W1136" s="225"/>
      <c r="X1136" s="225"/>
      <c r="Y1136" s="225"/>
      <c r="Z1136" s="225"/>
      <c r="AA1136" s="508"/>
      <c r="AB1136" s="508"/>
      <c r="AC1136" s="509"/>
      <c r="AD1136" s="509"/>
      <c r="AE1136" s="509"/>
      <c r="AF1136" s="509"/>
      <c r="AG1136" s="509"/>
      <c r="AH1136" s="510"/>
      <c r="AI1136" s="506"/>
      <c r="AJ1136" s="506"/>
      <c r="AK1136" s="511"/>
      <c r="AL1136" s="511"/>
      <c r="AM1136" s="507"/>
      <c r="AN1136" s="512"/>
      <c r="AO1136" s="518"/>
      <c r="AP1136" s="127"/>
      <c r="AQ1136" s="519"/>
      <c r="AR1136" s="520"/>
      <c r="AS1136" s="518"/>
      <c r="AT1136" s="518"/>
      <c r="AU1136" s="49"/>
      <c r="AV1136" s="225"/>
      <c r="AW1136" s="521"/>
      <c r="AX1136" s="521"/>
      <c r="AY1136" s="225"/>
      <c r="AZ1136" s="522"/>
      <c r="BA1136" s="522"/>
      <c r="BB1136" s="523"/>
      <c r="BC1136" s="422"/>
      <c r="BD1136" s="509"/>
      <c r="BE1136" s="19"/>
      <c r="BF1136" s="8"/>
      <c r="BG1136" s="1"/>
      <c r="BH1136" s="8"/>
      <c r="BI1136" s="8"/>
      <c r="BJ1136" s="8"/>
      <c r="BK1136" s="8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</row>
    <row r="1137" ht="14.25" customHeight="1">
      <c r="A1137" s="1"/>
      <c r="B1137" s="1"/>
      <c r="C1137" s="1"/>
      <c r="D1137" s="1"/>
      <c r="E1137" s="1"/>
      <c r="F1137" s="13"/>
      <c r="G1137" s="8"/>
      <c r="H1137" s="68"/>
      <c r="I1137" s="68"/>
      <c r="J1137" s="5"/>
      <c r="K1137" s="5"/>
      <c r="L1137" s="13"/>
      <c r="M1137" s="13"/>
      <c r="N1137" s="8"/>
      <c r="O1137" s="432"/>
      <c r="P1137" s="225"/>
      <c r="Q1137" s="135"/>
      <c r="R1137" s="225"/>
      <c r="S1137" s="225"/>
      <c r="T1137" s="48"/>
      <c r="U1137" s="225"/>
      <c r="V1137" s="506"/>
      <c r="W1137" s="225"/>
      <c r="X1137" s="225"/>
      <c r="Y1137" s="225"/>
      <c r="Z1137" s="225"/>
      <c r="AA1137" s="508"/>
      <c r="AB1137" s="508"/>
      <c r="AC1137" s="509"/>
      <c r="AD1137" s="509"/>
      <c r="AE1137" s="509"/>
      <c r="AF1137" s="509"/>
      <c r="AG1137" s="509"/>
      <c r="AH1137" s="510"/>
      <c r="AI1137" s="506"/>
      <c r="AJ1137" s="506"/>
      <c r="AK1137" s="511"/>
      <c r="AL1137" s="511"/>
      <c r="AM1137" s="507"/>
      <c r="AN1137" s="512"/>
      <c r="AO1137" s="518"/>
      <c r="AP1137" s="127"/>
      <c r="AQ1137" s="519"/>
      <c r="AR1137" s="520"/>
      <c r="AS1137" s="518"/>
      <c r="AT1137" s="518"/>
      <c r="AU1137" s="49"/>
      <c r="AV1137" s="225"/>
      <c r="AW1137" s="521"/>
      <c r="AX1137" s="521"/>
      <c r="AY1137" s="225"/>
      <c r="AZ1137" s="522"/>
      <c r="BA1137" s="522"/>
      <c r="BB1137" s="523"/>
      <c r="BC1137" s="422"/>
      <c r="BD1137" s="509"/>
      <c r="BE1137" s="19"/>
      <c r="BF1137" s="8"/>
      <c r="BG1137" s="1"/>
      <c r="BH1137" s="8"/>
      <c r="BI1137" s="8"/>
      <c r="BJ1137" s="8"/>
      <c r="BK1137" s="8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</row>
    <row r="1138" ht="14.25" customHeight="1">
      <c r="A1138" s="1"/>
      <c r="B1138" s="1"/>
      <c r="C1138" s="1"/>
      <c r="D1138" s="1"/>
      <c r="E1138" s="1"/>
      <c r="F1138" s="13"/>
      <c r="G1138" s="8"/>
      <c r="H1138" s="68"/>
      <c r="I1138" s="68"/>
      <c r="J1138" s="5"/>
      <c r="K1138" s="5"/>
      <c r="L1138" s="13"/>
      <c r="M1138" s="13"/>
      <c r="N1138" s="8"/>
      <c r="O1138" s="432"/>
      <c r="P1138" s="225"/>
      <c r="Q1138" s="135"/>
      <c r="R1138" s="225"/>
      <c r="S1138" s="225"/>
      <c r="T1138" s="48"/>
      <c r="U1138" s="225"/>
      <c r="V1138" s="506"/>
      <c r="W1138" s="225"/>
      <c r="X1138" s="225"/>
      <c r="Y1138" s="225"/>
      <c r="Z1138" s="225"/>
      <c r="AA1138" s="508"/>
      <c r="AB1138" s="508"/>
      <c r="AC1138" s="509"/>
      <c r="AD1138" s="509"/>
      <c r="AE1138" s="509"/>
      <c r="AF1138" s="509"/>
      <c r="AG1138" s="509"/>
      <c r="AH1138" s="510"/>
      <c r="AI1138" s="506"/>
      <c r="AJ1138" s="506"/>
      <c r="AK1138" s="511"/>
      <c r="AL1138" s="511"/>
      <c r="AM1138" s="507"/>
      <c r="AN1138" s="512"/>
      <c r="AO1138" s="518"/>
      <c r="AP1138" s="127"/>
      <c r="AQ1138" s="519"/>
      <c r="AR1138" s="520"/>
      <c r="AS1138" s="518"/>
      <c r="AT1138" s="518"/>
      <c r="AU1138" s="49"/>
      <c r="AV1138" s="225"/>
      <c r="AW1138" s="521"/>
      <c r="AX1138" s="521"/>
      <c r="AY1138" s="225"/>
      <c r="AZ1138" s="522"/>
      <c r="BA1138" s="522"/>
      <c r="BB1138" s="523"/>
      <c r="BC1138" s="422"/>
      <c r="BD1138" s="509"/>
      <c r="BE1138" s="19"/>
      <c r="BF1138" s="8"/>
      <c r="BG1138" s="1"/>
      <c r="BH1138" s="8"/>
      <c r="BI1138" s="8"/>
      <c r="BJ1138" s="8"/>
      <c r="BK1138" s="8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</row>
    <row r="1139" ht="14.25" customHeight="1">
      <c r="A1139" s="1"/>
      <c r="B1139" s="1"/>
      <c r="C1139" s="1"/>
      <c r="D1139" s="1"/>
      <c r="E1139" s="1"/>
      <c r="F1139" s="13"/>
      <c r="G1139" s="8"/>
      <c r="H1139" s="68"/>
      <c r="I1139" s="68"/>
      <c r="J1139" s="5"/>
      <c r="K1139" s="5"/>
      <c r="L1139" s="13"/>
      <c r="M1139" s="13"/>
      <c r="N1139" s="8"/>
      <c r="O1139" s="432"/>
      <c r="P1139" s="225"/>
      <c r="Q1139" s="135"/>
      <c r="R1139" s="225"/>
      <c r="S1139" s="225"/>
      <c r="T1139" s="48"/>
      <c r="U1139" s="225"/>
      <c r="V1139" s="506"/>
      <c r="W1139" s="225"/>
      <c r="X1139" s="225"/>
      <c r="Y1139" s="225"/>
      <c r="Z1139" s="225"/>
      <c r="AA1139" s="508"/>
      <c r="AB1139" s="508"/>
      <c r="AC1139" s="509"/>
      <c r="AD1139" s="509"/>
      <c r="AE1139" s="509"/>
      <c r="AF1139" s="509"/>
      <c r="AG1139" s="509"/>
      <c r="AH1139" s="510"/>
      <c r="AI1139" s="506"/>
      <c r="AJ1139" s="506"/>
      <c r="AK1139" s="511"/>
      <c r="AL1139" s="511"/>
      <c r="AM1139" s="507"/>
      <c r="AN1139" s="512"/>
      <c r="AO1139" s="518"/>
      <c r="AP1139" s="127"/>
      <c r="AQ1139" s="519"/>
      <c r="AR1139" s="520"/>
      <c r="AS1139" s="518"/>
      <c r="AT1139" s="518"/>
      <c r="AU1139" s="49"/>
      <c r="AV1139" s="225"/>
      <c r="AW1139" s="521"/>
      <c r="AX1139" s="521"/>
      <c r="AY1139" s="225"/>
      <c r="AZ1139" s="522"/>
      <c r="BA1139" s="522"/>
      <c r="BB1139" s="523"/>
      <c r="BC1139" s="422"/>
      <c r="BD1139" s="509"/>
      <c r="BE1139" s="19"/>
      <c r="BF1139" s="8"/>
      <c r="BG1139" s="1"/>
      <c r="BH1139" s="8"/>
      <c r="BI1139" s="8"/>
      <c r="BJ1139" s="8"/>
      <c r="BK1139" s="8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</row>
    <row r="1140" ht="14.25" customHeight="1">
      <c r="A1140" s="1"/>
      <c r="B1140" s="1"/>
      <c r="C1140" s="1"/>
      <c r="D1140" s="1"/>
      <c r="E1140" s="1"/>
      <c r="F1140" s="13"/>
      <c r="G1140" s="8"/>
      <c r="H1140" s="68"/>
      <c r="I1140" s="68"/>
      <c r="J1140" s="5"/>
      <c r="K1140" s="5"/>
      <c r="L1140" s="13"/>
      <c r="M1140" s="13"/>
      <c r="N1140" s="8"/>
      <c r="O1140" s="432"/>
      <c r="P1140" s="225"/>
      <c r="Q1140" s="135"/>
      <c r="R1140" s="225"/>
      <c r="S1140" s="225"/>
      <c r="T1140" s="48"/>
      <c r="U1140" s="225"/>
      <c r="V1140" s="506"/>
      <c r="W1140" s="225"/>
      <c r="X1140" s="225"/>
      <c r="Y1140" s="225"/>
      <c r="Z1140" s="225"/>
      <c r="AA1140" s="508"/>
      <c r="AB1140" s="508"/>
      <c r="AC1140" s="509"/>
      <c r="AD1140" s="509"/>
      <c r="AE1140" s="509"/>
      <c r="AF1140" s="509"/>
      <c r="AG1140" s="509"/>
      <c r="AH1140" s="510"/>
      <c r="AI1140" s="506"/>
      <c r="AJ1140" s="506"/>
      <c r="AK1140" s="511"/>
      <c r="AL1140" s="511"/>
      <c r="AM1140" s="507"/>
      <c r="AN1140" s="512"/>
      <c r="AO1140" s="518"/>
      <c r="AP1140" s="127"/>
      <c r="AQ1140" s="519"/>
      <c r="AR1140" s="520"/>
      <c r="AS1140" s="518"/>
      <c r="AT1140" s="518"/>
      <c r="AU1140" s="49"/>
      <c r="AV1140" s="225"/>
      <c r="AW1140" s="521"/>
      <c r="AX1140" s="521"/>
      <c r="AY1140" s="225"/>
      <c r="AZ1140" s="522"/>
      <c r="BA1140" s="522"/>
      <c r="BB1140" s="523"/>
      <c r="BC1140" s="422"/>
      <c r="BD1140" s="509"/>
      <c r="BE1140" s="19"/>
      <c r="BF1140" s="8"/>
      <c r="BG1140" s="1"/>
      <c r="BH1140" s="8"/>
      <c r="BI1140" s="8"/>
      <c r="BJ1140" s="8"/>
      <c r="BK1140" s="8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</row>
    <row r="1141" ht="14.25" customHeight="1">
      <c r="A1141" s="1"/>
      <c r="B1141" s="1"/>
      <c r="C1141" s="1"/>
      <c r="D1141" s="1"/>
      <c r="E1141" s="1"/>
      <c r="F1141" s="13"/>
      <c r="G1141" s="8"/>
      <c r="H1141" s="68"/>
      <c r="I1141" s="68"/>
      <c r="J1141" s="5"/>
      <c r="K1141" s="5"/>
      <c r="L1141" s="13"/>
      <c r="M1141" s="13"/>
      <c r="N1141" s="8"/>
      <c r="O1141" s="432"/>
      <c r="P1141" s="225"/>
      <c r="Q1141" s="135"/>
      <c r="R1141" s="225"/>
      <c r="S1141" s="225"/>
      <c r="T1141" s="48"/>
      <c r="U1141" s="225"/>
      <c r="V1141" s="506"/>
      <c r="W1141" s="225"/>
      <c r="X1141" s="225"/>
      <c r="Y1141" s="225"/>
      <c r="Z1141" s="225"/>
      <c r="AA1141" s="508"/>
      <c r="AB1141" s="508"/>
      <c r="AC1141" s="509"/>
      <c r="AD1141" s="509"/>
      <c r="AE1141" s="509"/>
      <c r="AF1141" s="509"/>
      <c r="AG1141" s="509"/>
      <c r="AH1141" s="510"/>
      <c r="AI1141" s="506"/>
      <c r="AJ1141" s="506"/>
      <c r="AK1141" s="511"/>
      <c r="AL1141" s="511"/>
      <c r="AM1141" s="507"/>
      <c r="AN1141" s="512"/>
      <c r="AO1141" s="518"/>
      <c r="AP1141" s="127"/>
      <c r="AQ1141" s="519"/>
      <c r="AR1141" s="520"/>
      <c r="AS1141" s="518"/>
      <c r="AT1141" s="518"/>
      <c r="AU1141" s="49"/>
      <c r="AV1141" s="225"/>
      <c r="AW1141" s="521"/>
      <c r="AX1141" s="521"/>
      <c r="AY1141" s="225"/>
      <c r="AZ1141" s="522"/>
      <c r="BA1141" s="522"/>
      <c r="BB1141" s="523"/>
      <c r="BC1141" s="422"/>
      <c r="BD1141" s="509"/>
      <c r="BE1141" s="19"/>
      <c r="BF1141" s="8"/>
      <c r="BG1141" s="1"/>
      <c r="BH1141" s="8"/>
      <c r="BI1141" s="8"/>
      <c r="BJ1141" s="8"/>
      <c r="BK1141" s="8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</row>
    <row r="1142" ht="14.25" customHeight="1">
      <c r="A1142" s="1"/>
      <c r="B1142" s="1"/>
      <c r="C1142" s="1"/>
      <c r="D1142" s="1"/>
      <c r="E1142" s="1"/>
      <c r="F1142" s="13"/>
      <c r="G1142" s="8"/>
      <c r="H1142" s="68"/>
      <c r="I1142" s="68"/>
      <c r="J1142" s="5"/>
      <c r="K1142" s="5"/>
      <c r="L1142" s="13"/>
      <c r="M1142" s="13"/>
      <c r="N1142" s="8"/>
      <c r="O1142" s="432"/>
      <c r="P1142" s="225"/>
      <c r="Q1142" s="135"/>
      <c r="R1142" s="225"/>
      <c r="S1142" s="225"/>
      <c r="T1142" s="48"/>
      <c r="U1142" s="225"/>
      <c r="V1142" s="506"/>
      <c r="W1142" s="225"/>
      <c r="X1142" s="225"/>
      <c r="Y1142" s="225"/>
      <c r="Z1142" s="225"/>
      <c r="AA1142" s="508"/>
      <c r="AB1142" s="508"/>
      <c r="AC1142" s="509"/>
      <c r="AD1142" s="509"/>
      <c r="AE1142" s="509"/>
      <c r="AF1142" s="509"/>
      <c r="AG1142" s="509"/>
      <c r="AH1142" s="510"/>
      <c r="AI1142" s="506"/>
      <c r="AJ1142" s="506"/>
      <c r="AK1142" s="511"/>
      <c r="AL1142" s="511"/>
      <c r="AM1142" s="507"/>
      <c r="AN1142" s="512"/>
      <c r="AO1142" s="518"/>
      <c r="AP1142" s="127"/>
      <c r="AQ1142" s="519"/>
      <c r="AR1142" s="520"/>
      <c r="AS1142" s="518"/>
      <c r="AT1142" s="518"/>
      <c r="AU1142" s="49"/>
      <c r="AV1142" s="225"/>
      <c r="AW1142" s="521"/>
      <c r="AX1142" s="521"/>
      <c r="AY1142" s="225"/>
      <c r="AZ1142" s="522"/>
      <c r="BA1142" s="522"/>
      <c r="BB1142" s="523"/>
      <c r="BC1142" s="422"/>
      <c r="BD1142" s="509"/>
      <c r="BE1142" s="19"/>
      <c r="BF1142" s="8"/>
      <c r="BG1142" s="1"/>
      <c r="BH1142" s="8"/>
      <c r="BI1142" s="8"/>
      <c r="BJ1142" s="8"/>
      <c r="BK1142" s="8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</row>
    <row r="1143" ht="14.25" customHeight="1">
      <c r="A1143" s="1"/>
      <c r="B1143" s="1"/>
      <c r="C1143" s="1"/>
      <c r="D1143" s="1"/>
      <c r="E1143" s="1"/>
      <c r="F1143" s="13"/>
      <c r="G1143" s="8"/>
      <c r="H1143" s="68"/>
      <c r="I1143" s="68"/>
      <c r="J1143" s="5"/>
      <c r="K1143" s="5"/>
      <c r="L1143" s="13"/>
      <c r="M1143" s="13"/>
      <c r="N1143" s="8"/>
      <c r="O1143" s="432"/>
      <c r="P1143" s="225"/>
      <c r="Q1143" s="135"/>
      <c r="R1143" s="225"/>
      <c r="S1143" s="225"/>
      <c r="T1143" s="48"/>
      <c r="U1143" s="225"/>
      <c r="V1143" s="506"/>
      <c r="W1143" s="225"/>
      <c r="X1143" s="225"/>
      <c r="Y1143" s="225"/>
      <c r="Z1143" s="225"/>
      <c r="AA1143" s="508"/>
      <c r="AB1143" s="508"/>
      <c r="AC1143" s="509"/>
      <c r="AD1143" s="509"/>
      <c r="AE1143" s="509"/>
      <c r="AF1143" s="509"/>
      <c r="AG1143" s="509"/>
      <c r="AH1143" s="510"/>
      <c r="AI1143" s="506"/>
      <c r="AJ1143" s="506"/>
      <c r="AK1143" s="511"/>
      <c r="AL1143" s="511"/>
      <c r="AM1143" s="507"/>
      <c r="AN1143" s="512"/>
      <c r="AO1143" s="518"/>
      <c r="AP1143" s="127"/>
      <c r="AQ1143" s="519"/>
      <c r="AR1143" s="520"/>
      <c r="AS1143" s="518"/>
      <c r="AT1143" s="518"/>
      <c r="AU1143" s="49"/>
      <c r="AV1143" s="225"/>
      <c r="AW1143" s="521"/>
      <c r="AX1143" s="521"/>
      <c r="AY1143" s="225"/>
      <c r="AZ1143" s="522"/>
      <c r="BA1143" s="522"/>
      <c r="BB1143" s="523"/>
      <c r="BC1143" s="422"/>
      <c r="BD1143" s="509"/>
      <c r="BE1143" s="19"/>
      <c r="BF1143" s="8"/>
      <c r="BG1143" s="1"/>
      <c r="BH1143" s="8"/>
      <c r="BI1143" s="8"/>
      <c r="BJ1143" s="8"/>
      <c r="BK1143" s="8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</row>
    <row r="1144" ht="14.25" customHeight="1">
      <c r="A1144" s="1"/>
      <c r="B1144" s="1"/>
      <c r="C1144" s="1"/>
      <c r="D1144" s="1"/>
      <c r="E1144" s="1"/>
      <c r="F1144" s="13"/>
      <c r="G1144" s="8"/>
      <c r="H1144" s="68"/>
      <c r="I1144" s="68"/>
      <c r="J1144" s="5"/>
      <c r="K1144" s="5"/>
      <c r="L1144" s="13"/>
      <c r="M1144" s="13"/>
      <c r="N1144" s="8"/>
      <c r="O1144" s="432"/>
      <c r="P1144" s="225"/>
      <c r="Q1144" s="135"/>
      <c r="R1144" s="225"/>
      <c r="S1144" s="225"/>
      <c r="T1144" s="48"/>
      <c r="U1144" s="225"/>
      <c r="V1144" s="506"/>
      <c r="W1144" s="225"/>
      <c r="X1144" s="225"/>
      <c r="Y1144" s="225"/>
      <c r="Z1144" s="225"/>
      <c r="AA1144" s="508"/>
      <c r="AB1144" s="508"/>
      <c r="AC1144" s="509"/>
      <c r="AD1144" s="509"/>
      <c r="AE1144" s="509"/>
      <c r="AF1144" s="509"/>
      <c r="AG1144" s="509"/>
      <c r="AH1144" s="510"/>
      <c r="AI1144" s="506"/>
      <c r="AJ1144" s="506"/>
      <c r="AK1144" s="511"/>
      <c r="AL1144" s="511"/>
      <c r="AM1144" s="507"/>
      <c r="AN1144" s="512"/>
      <c r="AO1144" s="518"/>
      <c r="AP1144" s="127"/>
      <c r="AQ1144" s="519"/>
      <c r="AR1144" s="520"/>
      <c r="AS1144" s="518"/>
      <c r="AT1144" s="518"/>
      <c r="AU1144" s="49"/>
      <c r="AV1144" s="225"/>
      <c r="AW1144" s="521"/>
      <c r="AX1144" s="521"/>
      <c r="AY1144" s="225"/>
      <c r="AZ1144" s="522"/>
      <c r="BA1144" s="522"/>
      <c r="BB1144" s="523"/>
      <c r="BC1144" s="422"/>
      <c r="BD1144" s="509"/>
      <c r="BE1144" s="19"/>
      <c r="BF1144" s="8"/>
      <c r="BG1144" s="1"/>
      <c r="BH1144" s="8"/>
      <c r="BI1144" s="8"/>
      <c r="BJ1144" s="8"/>
      <c r="BK1144" s="8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</row>
    <row r="1145" ht="14.25" customHeight="1">
      <c r="A1145" s="1"/>
      <c r="B1145" s="1"/>
      <c r="C1145" s="1"/>
      <c r="D1145" s="1"/>
      <c r="E1145" s="1"/>
      <c r="F1145" s="13"/>
      <c r="G1145" s="8"/>
      <c r="H1145" s="68"/>
      <c r="I1145" s="68"/>
      <c r="J1145" s="5"/>
      <c r="K1145" s="5"/>
      <c r="L1145" s="13"/>
      <c r="M1145" s="13"/>
      <c r="N1145" s="8"/>
      <c r="O1145" s="432"/>
      <c r="P1145" s="225"/>
      <c r="Q1145" s="135"/>
      <c r="R1145" s="225"/>
      <c r="S1145" s="225"/>
      <c r="T1145" s="48"/>
      <c r="U1145" s="225"/>
      <c r="V1145" s="506"/>
      <c r="W1145" s="225"/>
      <c r="X1145" s="225"/>
      <c r="Y1145" s="225"/>
      <c r="Z1145" s="225"/>
      <c r="AA1145" s="508"/>
      <c r="AB1145" s="508"/>
      <c r="AC1145" s="509"/>
      <c r="AD1145" s="509"/>
      <c r="AE1145" s="509"/>
      <c r="AF1145" s="509"/>
      <c r="AG1145" s="509"/>
      <c r="AH1145" s="510"/>
      <c r="AI1145" s="506"/>
      <c r="AJ1145" s="506"/>
      <c r="AK1145" s="511"/>
      <c r="AL1145" s="511"/>
      <c r="AM1145" s="507"/>
      <c r="AN1145" s="512"/>
      <c r="AO1145" s="518"/>
      <c r="AP1145" s="127"/>
      <c r="AQ1145" s="519"/>
      <c r="AR1145" s="520"/>
      <c r="AS1145" s="518"/>
      <c r="AT1145" s="518"/>
      <c r="AU1145" s="49"/>
      <c r="AV1145" s="225"/>
      <c r="AW1145" s="521"/>
      <c r="AX1145" s="521"/>
      <c r="AY1145" s="225"/>
      <c r="AZ1145" s="522"/>
      <c r="BA1145" s="522"/>
      <c r="BB1145" s="523"/>
      <c r="BC1145" s="422"/>
      <c r="BD1145" s="509"/>
      <c r="BE1145" s="19"/>
      <c r="BF1145" s="8"/>
      <c r="BG1145" s="1"/>
      <c r="BH1145" s="8"/>
      <c r="BI1145" s="8"/>
      <c r="BJ1145" s="8"/>
      <c r="BK1145" s="8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</row>
    <row r="1146" ht="14.25" customHeight="1">
      <c r="A1146" s="1"/>
      <c r="B1146" s="1"/>
      <c r="C1146" s="1"/>
      <c r="D1146" s="1"/>
      <c r="E1146" s="1"/>
      <c r="F1146" s="13"/>
      <c r="G1146" s="8"/>
      <c r="H1146" s="68"/>
      <c r="I1146" s="68"/>
      <c r="J1146" s="5"/>
      <c r="K1146" s="5"/>
      <c r="L1146" s="13"/>
      <c r="M1146" s="13"/>
      <c r="N1146" s="8"/>
      <c r="O1146" s="432"/>
      <c r="P1146" s="225"/>
      <c r="Q1146" s="135"/>
      <c r="R1146" s="225"/>
      <c r="S1146" s="225"/>
      <c r="T1146" s="48"/>
      <c r="U1146" s="225"/>
      <c r="V1146" s="506"/>
      <c r="W1146" s="225"/>
      <c r="X1146" s="225"/>
      <c r="Y1146" s="225"/>
      <c r="Z1146" s="225"/>
      <c r="AA1146" s="508"/>
      <c r="AB1146" s="508"/>
      <c r="AC1146" s="509"/>
      <c r="AD1146" s="509"/>
      <c r="AE1146" s="509"/>
      <c r="AF1146" s="509"/>
      <c r="AG1146" s="509"/>
      <c r="AH1146" s="510"/>
      <c r="AI1146" s="506"/>
      <c r="AJ1146" s="506"/>
      <c r="AK1146" s="511"/>
      <c r="AL1146" s="511"/>
      <c r="AM1146" s="507"/>
      <c r="AN1146" s="512"/>
      <c r="AO1146" s="518"/>
      <c r="AP1146" s="127"/>
      <c r="AQ1146" s="519"/>
      <c r="AR1146" s="520"/>
      <c r="AS1146" s="518"/>
      <c r="AT1146" s="518"/>
      <c r="AU1146" s="49"/>
      <c r="AV1146" s="225"/>
      <c r="AW1146" s="521"/>
      <c r="AX1146" s="521"/>
      <c r="AY1146" s="225"/>
      <c r="AZ1146" s="522"/>
      <c r="BA1146" s="522"/>
      <c r="BB1146" s="523"/>
      <c r="BC1146" s="422"/>
      <c r="BD1146" s="509"/>
      <c r="BE1146" s="19"/>
      <c r="BF1146" s="8"/>
      <c r="BG1146" s="1"/>
      <c r="BH1146" s="8"/>
      <c r="BI1146" s="8"/>
      <c r="BJ1146" s="8"/>
      <c r="BK1146" s="8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</row>
    <row r="1147" ht="14.25" customHeight="1">
      <c r="A1147" s="1"/>
      <c r="B1147" s="1"/>
      <c r="C1147" s="1"/>
      <c r="D1147" s="1"/>
      <c r="E1147" s="1"/>
      <c r="F1147" s="13"/>
      <c r="G1147" s="8"/>
      <c r="H1147" s="68"/>
      <c r="I1147" s="68"/>
      <c r="J1147" s="5"/>
      <c r="K1147" s="5"/>
      <c r="L1147" s="13"/>
      <c r="M1147" s="13"/>
      <c r="N1147" s="8"/>
      <c r="O1147" s="432"/>
      <c r="P1147" s="225"/>
      <c r="Q1147" s="135"/>
      <c r="R1147" s="225"/>
      <c r="S1147" s="225"/>
      <c r="T1147" s="48"/>
      <c r="U1147" s="225"/>
      <c r="V1147" s="506"/>
      <c r="W1147" s="225"/>
      <c r="X1147" s="225"/>
      <c r="Y1147" s="225"/>
      <c r="Z1147" s="225"/>
      <c r="AA1147" s="508"/>
      <c r="AB1147" s="508"/>
      <c r="AC1147" s="509"/>
      <c r="AD1147" s="509"/>
      <c r="AE1147" s="509"/>
      <c r="AF1147" s="509"/>
      <c r="AG1147" s="509"/>
      <c r="AH1147" s="510"/>
      <c r="AI1147" s="506"/>
      <c r="AJ1147" s="506"/>
      <c r="AK1147" s="511"/>
      <c r="AL1147" s="511"/>
      <c r="AM1147" s="507"/>
      <c r="AN1147" s="512"/>
      <c r="AO1147" s="518"/>
      <c r="AP1147" s="127"/>
      <c r="AQ1147" s="519"/>
      <c r="AR1147" s="520"/>
      <c r="AS1147" s="518"/>
      <c r="AT1147" s="518"/>
      <c r="AU1147" s="49"/>
      <c r="AV1147" s="225"/>
      <c r="AW1147" s="521"/>
      <c r="AX1147" s="521"/>
      <c r="AY1147" s="225"/>
      <c r="AZ1147" s="522"/>
      <c r="BA1147" s="522"/>
      <c r="BB1147" s="523"/>
      <c r="BC1147" s="422"/>
      <c r="BD1147" s="509"/>
      <c r="BE1147" s="19"/>
      <c r="BF1147" s="8"/>
      <c r="BG1147" s="1"/>
      <c r="BH1147" s="8"/>
      <c r="BI1147" s="8"/>
      <c r="BJ1147" s="8"/>
      <c r="BK1147" s="8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</row>
    <row r="1148" ht="14.25" customHeight="1">
      <c r="A1148" s="1"/>
      <c r="B1148" s="1"/>
      <c r="C1148" s="1"/>
      <c r="D1148" s="1"/>
      <c r="E1148" s="1"/>
      <c r="F1148" s="13"/>
      <c r="G1148" s="8"/>
      <c r="H1148" s="68"/>
      <c r="I1148" s="68"/>
      <c r="J1148" s="5"/>
      <c r="K1148" s="5"/>
      <c r="L1148" s="13"/>
      <c r="M1148" s="13"/>
      <c r="N1148" s="8"/>
      <c r="O1148" s="432"/>
      <c r="P1148" s="225"/>
      <c r="Q1148" s="135"/>
      <c r="R1148" s="225"/>
      <c r="S1148" s="225"/>
      <c r="T1148" s="48"/>
      <c r="U1148" s="225"/>
      <c r="V1148" s="506"/>
      <c r="W1148" s="225"/>
      <c r="X1148" s="225"/>
      <c r="Y1148" s="225"/>
      <c r="Z1148" s="225"/>
      <c r="AA1148" s="508"/>
      <c r="AB1148" s="508"/>
      <c r="AC1148" s="509"/>
      <c r="AD1148" s="509"/>
      <c r="AE1148" s="509"/>
      <c r="AF1148" s="509"/>
      <c r="AG1148" s="509"/>
      <c r="AH1148" s="510"/>
      <c r="AI1148" s="506"/>
      <c r="AJ1148" s="506"/>
      <c r="AK1148" s="511"/>
      <c r="AL1148" s="511"/>
      <c r="AM1148" s="507"/>
      <c r="AN1148" s="512"/>
      <c r="AO1148" s="518"/>
      <c r="AP1148" s="127"/>
      <c r="AQ1148" s="519"/>
      <c r="AR1148" s="520"/>
      <c r="AS1148" s="518"/>
      <c r="AT1148" s="518"/>
      <c r="AU1148" s="49"/>
      <c r="AV1148" s="225"/>
      <c r="AW1148" s="521"/>
      <c r="AX1148" s="521"/>
      <c r="AY1148" s="225"/>
      <c r="AZ1148" s="522"/>
      <c r="BA1148" s="522"/>
      <c r="BB1148" s="523"/>
      <c r="BC1148" s="422"/>
      <c r="BD1148" s="509"/>
      <c r="BE1148" s="19"/>
      <c r="BF1148" s="8"/>
      <c r="BG1148" s="1"/>
      <c r="BH1148" s="8"/>
      <c r="BI1148" s="8"/>
      <c r="BJ1148" s="8"/>
      <c r="BK1148" s="8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</row>
    <row r="1149" ht="14.25" customHeight="1">
      <c r="A1149" s="1"/>
      <c r="B1149" s="1"/>
      <c r="C1149" s="1"/>
      <c r="D1149" s="1"/>
      <c r="E1149" s="1"/>
      <c r="F1149" s="13"/>
      <c r="G1149" s="8"/>
      <c r="H1149" s="68"/>
      <c r="I1149" s="68"/>
      <c r="J1149" s="5"/>
      <c r="K1149" s="5"/>
      <c r="L1149" s="13"/>
      <c r="M1149" s="13"/>
      <c r="N1149" s="8"/>
      <c r="O1149" s="432"/>
      <c r="P1149" s="225"/>
      <c r="Q1149" s="135"/>
      <c r="R1149" s="225"/>
      <c r="S1149" s="225"/>
      <c r="T1149" s="48"/>
      <c r="U1149" s="225"/>
      <c r="V1149" s="506"/>
      <c r="W1149" s="225"/>
      <c r="X1149" s="225"/>
      <c r="Y1149" s="225"/>
      <c r="Z1149" s="225"/>
      <c r="AA1149" s="508"/>
      <c r="AB1149" s="508"/>
      <c r="AC1149" s="509"/>
      <c r="AD1149" s="509"/>
      <c r="AE1149" s="509"/>
      <c r="AF1149" s="509"/>
      <c r="AG1149" s="509"/>
      <c r="AH1149" s="510"/>
      <c r="AI1149" s="506"/>
      <c r="AJ1149" s="506"/>
      <c r="AK1149" s="511"/>
      <c r="AL1149" s="511"/>
      <c r="AM1149" s="507"/>
      <c r="AN1149" s="512"/>
      <c r="AO1149" s="518"/>
      <c r="AP1149" s="127"/>
      <c r="AQ1149" s="519"/>
      <c r="AR1149" s="520"/>
      <c r="AS1149" s="518"/>
      <c r="AT1149" s="518"/>
      <c r="AU1149" s="49"/>
      <c r="AV1149" s="225"/>
      <c r="AW1149" s="521"/>
      <c r="AX1149" s="521"/>
      <c r="AY1149" s="225"/>
      <c r="AZ1149" s="522"/>
      <c r="BA1149" s="522"/>
      <c r="BB1149" s="523"/>
      <c r="BC1149" s="422"/>
      <c r="BD1149" s="509"/>
      <c r="BE1149" s="19"/>
      <c r="BF1149" s="8"/>
      <c r="BG1149" s="1"/>
      <c r="BH1149" s="8"/>
      <c r="BI1149" s="8"/>
      <c r="BJ1149" s="8"/>
      <c r="BK1149" s="8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</row>
    <row r="1150" ht="14.25" customHeight="1">
      <c r="A1150" s="1"/>
      <c r="B1150" s="1"/>
      <c r="C1150" s="1"/>
      <c r="D1150" s="1"/>
      <c r="E1150" s="1"/>
      <c r="F1150" s="13"/>
      <c r="G1150" s="8"/>
      <c r="H1150" s="68"/>
      <c r="I1150" s="68"/>
      <c r="J1150" s="5"/>
      <c r="K1150" s="5"/>
      <c r="L1150" s="13"/>
      <c r="M1150" s="13"/>
      <c r="N1150" s="8"/>
      <c r="O1150" s="432"/>
      <c r="P1150" s="225"/>
      <c r="Q1150" s="135"/>
      <c r="R1150" s="225"/>
      <c r="S1150" s="225"/>
      <c r="T1150" s="48"/>
      <c r="U1150" s="225"/>
      <c r="V1150" s="506"/>
      <c r="W1150" s="225"/>
      <c r="X1150" s="225"/>
      <c r="Y1150" s="225"/>
      <c r="Z1150" s="225"/>
      <c r="AA1150" s="508"/>
      <c r="AB1150" s="508"/>
      <c r="AC1150" s="509"/>
      <c r="AD1150" s="509"/>
      <c r="AE1150" s="509"/>
      <c r="AF1150" s="509"/>
      <c r="AG1150" s="509"/>
      <c r="AH1150" s="510"/>
      <c r="AI1150" s="506"/>
      <c r="AJ1150" s="506"/>
      <c r="AK1150" s="511"/>
      <c r="AL1150" s="511"/>
      <c r="AM1150" s="507"/>
      <c r="AN1150" s="512"/>
      <c r="AO1150" s="518"/>
      <c r="AP1150" s="127"/>
      <c r="AQ1150" s="519"/>
      <c r="AR1150" s="520"/>
      <c r="AS1150" s="518"/>
      <c r="AT1150" s="518"/>
      <c r="AU1150" s="49"/>
      <c r="AV1150" s="225"/>
      <c r="AW1150" s="521"/>
      <c r="AX1150" s="521"/>
      <c r="AY1150" s="225"/>
      <c r="AZ1150" s="522"/>
      <c r="BA1150" s="522"/>
      <c r="BB1150" s="523"/>
      <c r="BC1150" s="422"/>
      <c r="BD1150" s="509"/>
      <c r="BE1150" s="19"/>
      <c r="BF1150" s="8"/>
      <c r="BG1150" s="1"/>
      <c r="BH1150" s="8"/>
      <c r="BI1150" s="8"/>
      <c r="BJ1150" s="8"/>
      <c r="BK1150" s="8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</row>
    <row r="1151" ht="14.25" customHeight="1">
      <c r="A1151" s="1"/>
      <c r="B1151" s="1"/>
      <c r="C1151" s="1"/>
      <c r="D1151" s="1"/>
      <c r="E1151" s="1"/>
      <c r="F1151" s="13"/>
      <c r="G1151" s="8"/>
      <c r="H1151" s="68"/>
      <c r="I1151" s="68"/>
      <c r="J1151" s="5"/>
      <c r="K1151" s="5"/>
      <c r="L1151" s="13"/>
      <c r="M1151" s="13"/>
      <c r="N1151" s="8"/>
      <c r="O1151" s="432"/>
      <c r="P1151" s="225"/>
      <c r="Q1151" s="135"/>
      <c r="R1151" s="225"/>
      <c r="S1151" s="225"/>
      <c r="T1151" s="48"/>
      <c r="U1151" s="225"/>
      <c r="V1151" s="506"/>
      <c r="W1151" s="225"/>
      <c r="X1151" s="225"/>
      <c r="Y1151" s="225"/>
      <c r="Z1151" s="225"/>
      <c r="AA1151" s="508"/>
      <c r="AB1151" s="508"/>
      <c r="AC1151" s="509"/>
      <c r="AD1151" s="509"/>
      <c r="AE1151" s="509"/>
      <c r="AF1151" s="509"/>
      <c r="AG1151" s="509"/>
      <c r="AH1151" s="510"/>
      <c r="AI1151" s="506"/>
      <c r="AJ1151" s="506"/>
      <c r="AK1151" s="511"/>
      <c r="AL1151" s="511"/>
      <c r="AM1151" s="507"/>
      <c r="AN1151" s="512"/>
      <c r="AO1151" s="518"/>
      <c r="AP1151" s="127"/>
      <c r="AQ1151" s="519"/>
      <c r="AR1151" s="520"/>
      <c r="AS1151" s="518"/>
      <c r="AT1151" s="518"/>
      <c r="AU1151" s="49"/>
      <c r="AV1151" s="225"/>
      <c r="AW1151" s="521"/>
      <c r="AX1151" s="521"/>
      <c r="AY1151" s="225"/>
      <c r="AZ1151" s="522"/>
      <c r="BA1151" s="522"/>
      <c r="BB1151" s="523"/>
      <c r="BC1151" s="422"/>
      <c r="BD1151" s="509"/>
      <c r="BE1151" s="19"/>
      <c r="BF1151" s="8"/>
      <c r="BG1151" s="1"/>
      <c r="BH1151" s="8"/>
      <c r="BI1151" s="8"/>
      <c r="BJ1151" s="8"/>
      <c r="BK1151" s="8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</row>
    <row r="1152" ht="14.25" customHeight="1">
      <c r="A1152" s="1"/>
      <c r="B1152" s="1"/>
      <c r="C1152" s="1"/>
      <c r="D1152" s="1"/>
      <c r="E1152" s="1"/>
      <c r="F1152" s="13"/>
      <c r="G1152" s="8"/>
      <c r="H1152" s="68"/>
      <c r="I1152" s="68"/>
      <c r="J1152" s="5"/>
      <c r="K1152" s="5"/>
      <c r="L1152" s="13"/>
      <c r="M1152" s="13"/>
      <c r="N1152" s="8"/>
      <c r="O1152" s="432"/>
      <c r="P1152" s="225"/>
      <c r="Q1152" s="135"/>
      <c r="R1152" s="225"/>
      <c r="S1152" s="225"/>
      <c r="T1152" s="48"/>
      <c r="U1152" s="225"/>
      <c r="V1152" s="506"/>
      <c r="W1152" s="225"/>
      <c r="X1152" s="225"/>
      <c r="Y1152" s="225"/>
      <c r="Z1152" s="225"/>
      <c r="AA1152" s="508"/>
      <c r="AB1152" s="508"/>
      <c r="AC1152" s="509"/>
      <c r="AD1152" s="509"/>
      <c r="AE1152" s="509"/>
      <c r="AF1152" s="509"/>
      <c r="AG1152" s="509"/>
      <c r="AH1152" s="510"/>
      <c r="AI1152" s="506"/>
      <c r="AJ1152" s="506"/>
      <c r="AK1152" s="511"/>
      <c r="AL1152" s="511"/>
      <c r="AM1152" s="507"/>
      <c r="AN1152" s="512"/>
      <c r="AO1152" s="518"/>
      <c r="AP1152" s="127"/>
      <c r="AQ1152" s="519"/>
      <c r="AR1152" s="520"/>
      <c r="AS1152" s="518"/>
      <c r="AT1152" s="518"/>
      <c r="AU1152" s="49"/>
      <c r="AV1152" s="225"/>
      <c r="AW1152" s="521"/>
      <c r="AX1152" s="521"/>
      <c r="AY1152" s="225"/>
      <c r="AZ1152" s="522"/>
      <c r="BA1152" s="522"/>
      <c r="BB1152" s="523"/>
      <c r="BC1152" s="422"/>
      <c r="BD1152" s="509"/>
      <c r="BE1152" s="19"/>
      <c r="BF1152" s="8"/>
      <c r="BG1152" s="1"/>
      <c r="BH1152" s="8"/>
      <c r="BI1152" s="8"/>
      <c r="BJ1152" s="8"/>
      <c r="BK1152" s="8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</row>
    <row r="1153" ht="14.25" customHeight="1">
      <c r="A1153" s="1"/>
      <c r="B1153" s="1"/>
      <c r="C1153" s="1"/>
      <c r="D1153" s="1"/>
      <c r="E1153" s="1"/>
      <c r="F1153" s="13"/>
      <c r="G1153" s="8"/>
      <c r="H1153" s="68"/>
      <c r="I1153" s="68"/>
      <c r="J1153" s="5"/>
      <c r="K1153" s="5"/>
      <c r="L1153" s="13"/>
      <c r="M1153" s="13"/>
      <c r="N1153" s="8"/>
      <c r="O1153" s="432"/>
      <c r="P1153" s="225"/>
      <c r="Q1153" s="135"/>
      <c r="R1153" s="225"/>
      <c r="S1153" s="225"/>
      <c r="T1153" s="48"/>
      <c r="U1153" s="225"/>
      <c r="V1153" s="506"/>
      <c r="W1153" s="225"/>
      <c r="X1153" s="225"/>
      <c r="Y1153" s="225"/>
      <c r="Z1153" s="225"/>
      <c r="AA1153" s="508"/>
      <c r="AB1153" s="508"/>
      <c r="AC1153" s="509"/>
      <c r="AD1153" s="509"/>
      <c r="AE1153" s="509"/>
      <c r="AF1153" s="509"/>
      <c r="AG1153" s="509"/>
      <c r="AH1153" s="510"/>
      <c r="AI1153" s="506"/>
      <c r="AJ1153" s="506"/>
      <c r="AK1153" s="511"/>
      <c r="AL1153" s="511"/>
      <c r="AM1153" s="507"/>
      <c r="AN1153" s="512"/>
      <c r="AO1153" s="518"/>
      <c r="AP1153" s="127"/>
      <c r="AQ1153" s="519"/>
      <c r="AR1153" s="520"/>
      <c r="AS1153" s="518"/>
      <c r="AT1153" s="518"/>
      <c r="AU1153" s="49"/>
      <c r="AV1153" s="225"/>
      <c r="AW1153" s="521"/>
      <c r="AX1153" s="521"/>
      <c r="AY1153" s="225"/>
      <c r="AZ1153" s="522"/>
      <c r="BA1153" s="522"/>
      <c r="BB1153" s="523"/>
      <c r="BC1153" s="422"/>
      <c r="BD1153" s="509"/>
      <c r="BE1153" s="19"/>
      <c r="BF1153" s="8"/>
      <c r="BG1153" s="1"/>
      <c r="BH1153" s="8"/>
      <c r="BI1153" s="8"/>
      <c r="BJ1153" s="8"/>
      <c r="BK1153" s="8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</row>
    <row r="1154" ht="14.25" customHeight="1">
      <c r="A1154" s="1"/>
      <c r="B1154" s="1"/>
      <c r="C1154" s="1"/>
      <c r="D1154" s="1"/>
      <c r="E1154" s="1"/>
      <c r="F1154" s="13"/>
      <c r="G1154" s="8"/>
      <c r="H1154" s="68"/>
      <c r="I1154" s="68"/>
      <c r="J1154" s="5"/>
      <c r="K1154" s="5"/>
      <c r="L1154" s="13"/>
      <c r="M1154" s="13"/>
      <c r="N1154" s="8"/>
      <c r="O1154" s="432"/>
      <c r="P1154" s="225"/>
      <c r="Q1154" s="135"/>
      <c r="R1154" s="225"/>
      <c r="S1154" s="225"/>
      <c r="T1154" s="48"/>
      <c r="U1154" s="225"/>
      <c r="V1154" s="506"/>
      <c r="W1154" s="225"/>
      <c r="X1154" s="225"/>
      <c r="Y1154" s="225"/>
      <c r="Z1154" s="225"/>
      <c r="AA1154" s="508"/>
      <c r="AB1154" s="508"/>
      <c r="AC1154" s="509"/>
      <c r="AD1154" s="509"/>
      <c r="AE1154" s="509"/>
      <c r="AF1154" s="509"/>
      <c r="AG1154" s="509"/>
      <c r="AH1154" s="510"/>
      <c r="AI1154" s="506"/>
      <c r="AJ1154" s="506"/>
      <c r="AK1154" s="511"/>
      <c r="AL1154" s="511"/>
      <c r="AM1154" s="507"/>
      <c r="AN1154" s="512"/>
      <c r="AO1154" s="518"/>
      <c r="AP1154" s="127"/>
      <c r="AQ1154" s="519"/>
      <c r="AR1154" s="520"/>
      <c r="AS1154" s="518"/>
      <c r="AT1154" s="518"/>
      <c r="AU1154" s="49"/>
      <c r="AV1154" s="225"/>
      <c r="AW1154" s="521"/>
      <c r="AX1154" s="521"/>
      <c r="AY1154" s="225"/>
      <c r="AZ1154" s="522"/>
      <c r="BA1154" s="522"/>
      <c r="BB1154" s="523"/>
      <c r="BC1154" s="422"/>
      <c r="BD1154" s="509"/>
      <c r="BE1154" s="19"/>
      <c r="BF1154" s="8"/>
      <c r="BG1154" s="1"/>
      <c r="BH1154" s="8"/>
      <c r="BI1154" s="8"/>
      <c r="BJ1154" s="8"/>
      <c r="BK1154" s="8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</row>
    <row r="1155" ht="14.25" customHeight="1">
      <c r="A1155" s="1"/>
      <c r="B1155" s="1"/>
      <c r="C1155" s="1"/>
      <c r="D1155" s="1"/>
      <c r="E1155" s="1"/>
      <c r="F1155" s="13"/>
      <c r="G1155" s="8"/>
      <c r="H1155" s="68"/>
      <c r="I1155" s="68"/>
      <c r="J1155" s="5"/>
      <c r="K1155" s="5"/>
      <c r="L1155" s="13"/>
      <c r="M1155" s="13"/>
      <c r="N1155" s="8"/>
      <c r="O1155" s="432"/>
      <c r="P1155" s="225"/>
      <c r="Q1155" s="135"/>
      <c r="R1155" s="225"/>
      <c r="S1155" s="225"/>
      <c r="T1155" s="48"/>
      <c r="U1155" s="225"/>
      <c r="V1155" s="506"/>
      <c r="W1155" s="225"/>
      <c r="X1155" s="225"/>
      <c r="Y1155" s="225"/>
      <c r="Z1155" s="225"/>
      <c r="AA1155" s="508"/>
      <c r="AB1155" s="508"/>
      <c r="AC1155" s="509"/>
      <c r="AD1155" s="509"/>
      <c r="AE1155" s="509"/>
      <c r="AF1155" s="509"/>
      <c r="AG1155" s="509"/>
      <c r="AH1155" s="510"/>
      <c r="AI1155" s="506"/>
      <c r="AJ1155" s="506"/>
      <c r="AK1155" s="511"/>
      <c r="AL1155" s="511"/>
      <c r="AM1155" s="507"/>
      <c r="AN1155" s="512"/>
      <c r="AO1155" s="518"/>
      <c r="AP1155" s="127"/>
      <c r="AQ1155" s="519"/>
      <c r="AR1155" s="520"/>
      <c r="AS1155" s="518"/>
      <c r="AT1155" s="518"/>
      <c r="AU1155" s="49"/>
      <c r="AV1155" s="225"/>
      <c r="AW1155" s="521"/>
      <c r="AX1155" s="521"/>
      <c r="AY1155" s="225"/>
      <c r="AZ1155" s="522"/>
      <c r="BA1155" s="522"/>
      <c r="BB1155" s="523"/>
      <c r="BC1155" s="422"/>
      <c r="BD1155" s="509"/>
      <c r="BE1155" s="19"/>
      <c r="BF1155" s="8"/>
      <c r="BG1155" s="1"/>
      <c r="BH1155" s="8"/>
      <c r="BI1155" s="8"/>
      <c r="BJ1155" s="8"/>
      <c r="BK1155" s="8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</row>
    <row r="1156" ht="14.25" customHeight="1">
      <c r="A1156" s="1"/>
      <c r="B1156" s="1"/>
      <c r="C1156" s="1"/>
      <c r="D1156" s="1"/>
      <c r="E1156" s="1"/>
      <c r="F1156" s="13"/>
      <c r="G1156" s="8"/>
      <c r="H1156" s="68"/>
      <c r="I1156" s="68"/>
      <c r="J1156" s="5"/>
      <c r="K1156" s="5"/>
      <c r="L1156" s="13"/>
      <c r="M1156" s="13"/>
      <c r="N1156" s="8"/>
      <c r="O1156" s="432"/>
      <c r="P1156" s="225"/>
      <c r="Q1156" s="135"/>
      <c r="R1156" s="225"/>
      <c r="S1156" s="225"/>
      <c r="T1156" s="48"/>
      <c r="U1156" s="225"/>
      <c r="V1156" s="506"/>
      <c r="W1156" s="225"/>
      <c r="X1156" s="225"/>
      <c r="Y1156" s="225"/>
      <c r="Z1156" s="225"/>
      <c r="AA1156" s="508"/>
      <c r="AB1156" s="508"/>
      <c r="AC1156" s="509"/>
      <c r="AD1156" s="509"/>
      <c r="AE1156" s="509"/>
      <c r="AF1156" s="509"/>
      <c r="AG1156" s="509"/>
      <c r="AH1156" s="510"/>
      <c r="AI1156" s="506"/>
      <c r="AJ1156" s="506"/>
      <c r="AK1156" s="511"/>
      <c r="AL1156" s="511"/>
      <c r="AM1156" s="507"/>
      <c r="AN1156" s="512"/>
      <c r="AO1156" s="518"/>
      <c r="AP1156" s="127"/>
      <c r="AQ1156" s="519"/>
      <c r="AR1156" s="520"/>
      <c r="AS1156" s="518"/>
      <c r="AT1156" s="518"/>
      <c r="AU1156" s="49"/>
      <c r="AV1156" s="225"/>
      <c r="AW1156" s="521"/>
      <c r="AX1156" s="521"/>
      <c r="AY1156" s="225"/>
      <c r="AZ1156" s="522"/>
      <c r="BA1156" s="522"/>
      <c r="BB1156" s="523"/>
      <c r="BC1156" s="422"/>
      <c r="BD1156" s="509"/>
      <c r="BE1156" s="19"/>
      <c r="BF1156" s="8"/>
      <c r="BG1156" s="1"/>
      <c r="BH1156" s="8"/>
      <c r="BI1156" s="8"/>
      <c r="BJ1156" s="8"/>
      <c r="BK1156" s="8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</row>
    <row r="1157" ht="14.25" customHeight="1">
      <c r="A1157" s="1"/>
      <c r="B1157" s="1"/>
      <c r="C1157" s="1"/>
      <c r="D1157" s="1"/>
      <c r="E1157" s="1"/>
      <c r="F1157" s="13"/>
      <c r="G1157" s="8"/>
      <c r="H1157" s="68"/>
      <c r="I1157" s="68"/>
      <c r="J1157" s="5"/>
      <c r="K1157" s="5"/>
      <c r="L1157" s="13"/>
      <c r="M1157" s="13"/>
      <c r="N1157" s="8"/>
      <c r="O1157" s="432"/>
      <c r="P1157" s="225"/>
      <c r="Q1157" s="135"/>
      <c r="R1157" s="225"/>
      <c r="S1157" s="225"/>
      <c r="T1157" s="48"/>
      <c r="U1157" s="225"/>
      <c r="V1157" s="506"/>
      <c r="W1157" s="225"/>
      <c r="X1157" s="225"/>
      <c r="Y1157" s="225"/>
      <c r="Z1157" s="225"/>
      <c r="AA1157" s="508"/>
      <c r="AB1157" s="508"/>
      <c r="AC1157" s="509"/>
      <c r="AD1157" s="509"/>
      <c r="AE1157" s="509"/>
      <c r="AF1157" s="509"/>
      <c r="AG1157" s="509"/>
      <c r="AH1157" s="510"/>
      <c r="AI1157" s="506"/>
      <c r="AJ1157" s="506"/>
      <c r="AK1157" s="511"/>
      <c r="AL1157" s="511"/>
      <c r="AM1157" s="507"/>
      <c r="AN1157" s="512"/>
      <c r="AO1157" s="518"/>
      <c r="AP1157" s="127"/>
      <c r="AQ1157" s="519"/>
      <c r="AR1157" s="520"/>
      <c r="AS1157" s="518"/>
      <c r="AT1157" s="518"/>
      <c r="AU1157" s="49"/>
      <c r="AV1157" s="225"/>
      <c r="AW1157" s="521"/>
      <c r="AX1157" s="521"/>
      <c r="AY1157" s="225"/>
      <c r="AZ1157" s="522"/>
      <c r="BA1157" s="522"/>
      <c r="BB1157" s="523"/>
      <c r="BC1157" s="422"/>
      <c r="BD1157" s="509"/>
      <c r="BE1157" s="19"/>
      <c r="BF1157" s="8"/>
      <c r="BG1157" s="1"/>
      <c r="BH1157" s="8"/>
      <c r="BI1157" s="8"/>
      <c r="BJ1157" s="8"/>
      <c r="BK1157" s="8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</row>
    <row r="1158" ht="14.25" customHeight="1">
      <c r="A1158" s="1"/>
      <c r="B1158" s="1"/>
      <c r="C1158" s="1"/>
      <c r="D1158" s="1"/>
      <c r="E1158" s="1"/>
      <c r="F1158" s="13"/>
      <c r="G1158" s="8"/>
      <c r="H1158" s="68"/>
      <c r="I1158" s="68"/>
      <c r="J1158" s="5"/>
      <c r="K1158" s="5"/>
      <c r="L1158" s="13"/>
      <c r="M1158" s="13"/>
      <c r="N1158" s="8"/>
      <c r="O1158" s="432"/>
      <c r="P1158" s="225"/>
      <c r="Q1158" s="135"/>
      <c r="R1158" s="225"/>
      <c r="S1158" s="225"/>
      <c r="T1158" s="48"/>
      <c r="U1158" s="225"/>
      <c r="V1158" s="506"/>
      <c r="W1158" s="225"/>
      <c r="X1158" s="225"/>
      <c r="Y1158" s="225"/>
      <c r="Z1158" s="225"/>
      <c r="AA1158" s="508"/>
      <c r="AB1158" s="508"/>
      <c r="AC1158" s="509"/>
      <c r="AD1158" s="509"/>
      <c r="AE1158" s="509"/>
      <c r="AF1158" s="509"/>
      <c r="AG1158" s="509"/>
      <c r="AH1158" s="510"/>
      <c r="AI1158" s="506"/>
      <c r="AJ1158" s="506"/>
      <c r="AK1158" s="511"/>
      <c r="AL1158" s="511"/>
      <c r="AM1158" s="507"/>
      <c r="AN1158" s="512"/>
      <c r="AO1158" s="518"/>
      <c r="AP1158" s="127"/>
      <c r="AQ1158" s="519"/>
      <c r="AR1158" s="520"/>
      <c r="AS1158" s="518"/>
      <c r="AT1158" s="518"/>
      <c r="AU1158" s="49"/>
      <c r="AV1158" s="225"/>
      <c r="AW1158" s="521"/>
      <c r="AX1158" s="521"/>
      <c r="AY1158" s="225"/>
      <c r="AZ1158" s="522"/>
      <c r="BA1158" s="522"/>
      <c r="BB1158" s="523"/>
      <c r="BC1158" s="422"/>
      <c r="BD1158" s="509"/>
      <c r="BE1158" s="19"/>
      <c r="BF1158" s="8"/>
      <c r="BG1158" s="1"/>
      <c r="BH1158" s="8"/>
      <c r="BI1158" s="8"/>
      <c r="BJ1158" s="8"/>
      <c r="BK1158" s="8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</row>
    <row r="1159" ht="14.25" customHeight="1">
      <c r="A1159" s="1"/>
      <c r="B1159" s="1"/>
      <c r="C1159" s="1"/>
      <c r="D1159" s="1"/>
      <c r="E1159" s="1"/>
      <c r="F1159" s="13"/>
      <c r="G1159" s="8"/>
      <c r="H1159" s="68"/>
      <c r="I1159" s="68"/>
      <c r="J1159" s="5"/>
      <c r="K1159" s="5"/>
      <c r="L1159" s="13"/>
      <c r="M1159" s="13"/>
      <c r="N1159" s="8"/>
      <c r="O1159" s="432"/>
      <c r="P1159" s="225"/>
      <c r="Q1159" s="135"/>
      <c r="R1159" s="225"/>
      <c r="S1159" s="225"/>
      <c r="T1159" s="48"/>
      <c r="U1159" s="225"/>
      <c r="V1159" s="506"/>
      <c r="W1159" s="225"/>
      <c r="X1159" s="225"/>
      <c r="Y1159" s="225"/>
      <c r="Z1159" s="225"/>
      <c r="AA1159" s="508"/>
      <c r="AB1159" s="508"/>
      <c r="AC1159" s="509"/>
      <c r="AD1159" s="509"/>
      <c r="AE1159" s="509"/>
      <c r="AF1159" s="509"/>
      <c r="AG1159" s="509"/>
      <c r="AH1159" s="510"/>
      <c r="AI1159" s="506"/>
      <c r="AJ1159" s="506"/>
      <c r="AK1159" s="511"/>
      <c r="AL1159" s="511"/>
      <c r="AM1159" s="507"/>
      <c r="AN1159" s="512"/>
      <c r="AO1159" s="518"/>
      <c r="AP1159" s="127"/>
      <c r="AQ1159" s="519"/>
      <c r="AR1159" s="520"/>
      <c r="AS1159" s="518"/>
      <c r="AT1159" s="518"/>
      <c r="AU1159" s="49"/>
      <c r="AV1159" s="225"/>
      <c r="AW1159" s="521"/>
      <c r="AX1159" s="521"/>
      <c r="AY1159" s="225"/>
      <c r="AZ1159" s="522"/>
      <c r="BA1159" s="522"/>
      <c r="BB1159" s="523"/>
      <c r="BC1159" s="422"/>
      <c r="BD1159" s="509"/>
      <c r="BE1159" s="19"/>
      <c r="BF1159" s="8"/>
      <c r="BG1159" s="1"/>
      <c r="BH1159" s="8"/>
      <c r="BI1159" s="8"/>
      <c r="BJ1159" s="8"/>
      <c r="BK1159" s="8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</row>
    <row r="1160" ht="14.25" customHeight="1">
      <c r="A1160" s="1"/>
      <c r="B1160" s="1"/>
      <c r="C1160" s="1"/>
      <c r="D1160" s="1"/>
      <c r="E1160" s="1"/>
      <c r="F1160" s="13"/>
      <c r="G1160" s="8"/>
      <c r="H1160" s="68"/>
      <c r="I1160" s="68"/>
      <c r="J1160" s="5"/>
      <c r="K1160" s="5"/>
      <c r="L1160" s="13"/>
      <c r="M1160" s="13"/>
      <c r="N1160" s="8"/>
      <c r="O1160" s="432"/>
      <c r="P1160" s="225"/>
      <c r="Q1160" s="135"/>
      <c r="R1160" s="225"/>
      <c r="S1160" s="225"/>
      <c r="T1160" s="48"/>
      <c r="U1160" s="225"/>
      <c r="V1160" s="506"/>
      <c r="W1160" s="225"/>
      <c r="X1160" s="225"/>
      <c r="Y1160" s="225"/>
      <c r="Z1160" s="225"/>
      <c r="AA1160" s="508"/>
      <c r="AB1160" s="508"/>
      <c r="AC1160" s="509"/>
      <c r="AD1160" s="509"/>
      <c r="AE1160" s="509"/>
      <c r="AF1160" s="509"/>
      <c r="AG1160" s="509"/>
      <c r="AH1160" s="510"/>
      <c r="AI1160" s="506"/>
      <c r="AJ1160" s="506"/>
      <c r="AK1160" s="511"/>
      <c r="AL1160" s="511"/>
      <c r="AM1160" s="507"/>
      <c r="AN1160" s="512"/>
      <c r="AO1160" s="518"/>
      <c r="AP1160" s="127"/>
      <c r="AQ1160" s="519"/>
      <c r="AR1160" s="520"/>
      <c r="AS1160" s="518"/>
      <c r="AT1160" s="518"/>
      <c r="AU1160" s="49"/>
      <c r="AV1160" s="225"/>
      <c r="AW1160" s="521"/>
      <c r="AX1160" s="521"/>
      <c r="AY1160" s="225"/>
      <c r="AZ1160" s="522"/>
      <c r="BA1160" s="522"/>
      <c r="BB1160" s="523"/>
      <c r="BC1160" s="422"/>
      <c r="BD1160" s="509"/>
      <c r="BE1160" s="19"/>
      <c r="BF1160" s="8"/>
      <c r="BG1160" s="1"/>
      <c r="BH1160" s="8"/>
      <c r="BI1160" s="8"/>
      <c r="BJ1160" s="8"/>
      <c r="BK1160" s="8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</row>
    <row r="1161" ht="14.25" customHeight="1">
      <c r="A1161" s="1"/>
      <c r="B1161" s="1"/>
      <c r="C1161" s="1"/>
      <c r="D1161" s="1"/>
      <c r="E1161" s="1"/>
      <c r="F1161" s="13"/>
      <c r="G1161" s="8"/>
      <c r="H1161" s="68"/>
      <c r="I1161" s="68"/>
      <c r="J1161" s="5"/>
      <c r="K1161" s="5"/>
      <c r="L1161" s="13"/>
      <c r="M1161" s="13"/>
      <c r="N1161" s="8"/>
      <c r="O1161" s="432"/>
      <c r="P1161" s="225"/>
      <c r="Q1161" s="135"/>
      <c r="R1161" s="225"/>
      <c r="S1161" s="225"/>
      <c r="T1161" s="48"/>
      <c r="U1161" s="225"/>
      <c r="V1161" s="506"/>
      <c r="W1161" s="225"/>
      <c r="X1161" s="225"/>
      <c r="Y1161" s="225"/>
      <c r="Z1161" s="225"/>
      <c r="AA1161" s="508"/>
      <c r="AB1161" s="508"/>
      <c r="AC1161" s="509"/>
      <c r="AD1161" s="509"/>
      <c r="AE1161" s="509"/>
      <c r="AF1161" s="509"/>
      <c r="AG1161" s="509"/>
      <c r="AH1161" s="510"/>
      <c r="AI1161" s="506"/>
      <c r="AJ1161" s="506"/>
      <c r="AK1161" s="511"/>
      <c r="AL1161" s="511"/>
      <c r="AM1161" s="507"/>
      <c r="AN1161" s="512"/>
      <c r="AO1161" s="518"/>
      <c r="AP1161" s="127"/>
      <c r="AQ1161" s="519"/>
      <c r="AR1161" s="520"/>
      <c r="AS1161" s="518"/>
      <c r="AT1161" s="518"/>
      <c r="AU1161" s="49"/>
      <c r="AV1161" s="225"/>
      <c r="AW1161" s="521"/>
      <c r="AX1161" s="521"/>
      <c r="AY1161" s="225"/>
      <c r="AZ1161" s="522"/>
      <c r="BA1161" s="522"/>
      <c r="BB1161" s="523"/>
      <c r="BC1161" s="422"/>
      <c r="BD1161" s="509"/>
      <c r="BE1161" s="19"/>
      <c r="BF1161" s="8"/>
      <c r="BG1161" s="1"/>
      <c r="BH1161" s="8"/>
      <c r="BI1161" s="8"/>
      <c r="BJ1161" s="8"/>
      <c r="BK1161" s="8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</row>
    <row r="1162" ht="14.25" customHeight="1">
      <c r="A1162" s="1"/>
      <c r="B1162" s="1"/>
      <c r="C1162" s="1"/>
      <c r="D1162" s="1"/>
      <c r="E1162" s="1"/>
      <c r="F1162" s="13"/>
      <c r="G1162" s="8"/>
      <c r="H1162" s="68"/>
      <c r="I1162" s="68"/>
      <c r="J1162" s="5"/>
      <c r="K1162" s="5"/>
      <c r="L1162" s="13"/>
      <c r="M1162" s="13"/>
      <c r="N1162" s="8"/>
      <c r="O1162" s="432"/>
      <c r="P1162" s="225"/>
      <c r="Q1162" s="135"/>
      <c r="R1162" s="225"/>
      <c r="S1162" s="225"/>
      <c r="T1162" s="48"/>
      <c r="U1162" s="225"/>
      <c r="V1162" s="506"/>
      <c r="W1162" s="225"/>
      <c r="X1162" s="225"/>
      <c r="Y1162" s="225"/>
      <c r="Z1162" s="225"/>
      <c r="AA1162" s="508"/>
      <c r="AB1162" s="508"/>
      <c r="AC1162" s="509"/>
      <c r="AD1162" s="509"/>
      <c r="AE1162" s="509"/>
      <c r="AF1162" s="509"/>
      <c r="AG1162" s="509"/>
      <c r="AH1162" s="510"/>
      <c r="AI1162" s="506"/>
      <c r="AJ1162" s="506"/>
      <c r="AK1162" s="511"/>
      <c r="AL1162" s="511"/>
      <c r="AM1162" s="507"/>
      <c r="AN1162" s="512"/>
      <c r="AO1162" s="518"/>
      <c r="AP1162" s="127"/>
      <c r="AQ1162" s="519"/>
      <c r="AR1162" s="520"/>
      <c r="AS1162" s="518"/>
      <c r="AT1162" s="518"/>
      <c r="AU1162" s="49"/>
      <c r="AV1162" s="225"/>
      <c r="AW1162" s="521"/>
      <c r="AX1162" s="521"/>
      <c r="AY1162" s="225"/>
      <c r="AZ1162" s="522"/>
      <c r="BA1162" s="522"/>
      <c r="BB1162" s="523"/>
      <c r="BC1162" s="422"/>
      <c r="BD1162" s="509"/>
      <c r="BE1162" s="19"/>
      <c r="BF1162" s="8"/>
      <c r="BG1162" s="1"/>
      <c r="BH1162" s="8"/>
      <c r="BI1162" s="8"/>
      <c r="BJ1162" s="8"/>
      <c r="BK1162" s="8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</row>
    <row r="1163" ht="14.25" customHeight="1">
      <c r="A1163" s="1"/>
      <c r="B1163" s="1"/>
      <c r="C1163" s="1"/>
      <c r="D1163" s="1"/>
      <c r="E1163" s="1"/>
      <c r="F1163" s="13"/>
      <c r="G1163" s="8"/>
      <c r="H1163" s="68"/>
      <c r="I1163" s="68"/>
      <c r="J1163" s="5"/>
      <c r="K1163" s="5"/>
      <c r="L1163" s="13"/>
      <c r="M1163" s="13"/>
      <c r="N1163" s="8"/>
      <c r="O1163" s="432"/>
      <c r="P1163" s="225"/>
      <c r="Q1163" s="135"/>
      <c r="R1163" s="225"/>
      <c r="S1163" s="225"/>
      <c r="T1163" s="48"/>
      <c r="U1163" s="225"/>
      <c r="V1163" s="506"/>
      <c r="W1163" s="225"/>
      <c r="X1163" s="225"/>
      <c r="Y1163" s="225"/>
      <c r="Z1163" s="225"/>
      <c r="AA1163" s="508"/>
      <c r="AB1163" s="508"/>
      <c r="AC1163" s="509"/>
      <c r="AD1163" s="509"/>
      <c r="AE1163" s="509"/>
      <c r="AF1163" s="509"/>
      <c r="AG1163" s="509"/>
      <c r="AH1163" s="510"/>
      <c r="AI1163" s="506"/>
      <c r="AJ1163" s="506"/>
      <c r="AK1163" s="511"/>
      <c r="AL1163" s="511"/>
      <c r="AM1163" s="507"/>
      <c r="AN1163" s="512"/>
      <c r="AO1163" s="518"/>
      <c r="AP1163" s="127"/>
      <c r="AQ1163" s="519"/>
      <c r="AR1163" s="520"/>
      <c r="AS1163" s="518"/>
      <c r="AT1163" s="518"/>
      <c r="AU1163" s="49"/>
      <c r="AV1163" s="225"/>
      <c r="AW1163" s="521"/>
      <c r="AX1163" s="521"/>
      <c r="AY1163" s="225"/>
      <c r="AZ1163" s="522"/>
      <c r="BA1163" s="522"/>
      <c r="BB1163" s="523"/>
      <c r="BC1163" s="422"/>
      <c r="BD1163" s="509"/>
      <c r="BE1163" s="19"/>
      <c r="BF1163" s="8"/>
      <c r="BG1163" s="1"/>
      <c r="BH1163" s="8"/>
      <c r="BI1163" s="8"/>
      <c r="BJ1163" s="8"/>
      <c r="BK1163" s="8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</row>
    <row r="1164" ht="14.25" customHeight="1">
      <c r="A1164" s="1"/>
      <c r="B1164" s="1"/>
      <c r="C1164" s="1"/>
      <c r="D1164" s="1"/>
      <c r="E1164" s="1"/>
      <c r="F1164" s="13"/>
      <c r="G1164" s="8"/>
      <c r="H1164" s="68"/>
      <c r="I1164" s="68"/>
      <c r="J1164" s="5"/>
      <c r="K1164" s="5"/>
      <c r="L1164" s="13"/>
      <c r="M1164" s="13"/>
      <c r="N1164" s="8"/>
      <c r="O1164" s="432"/>
      <c r="P1164" s="225"/>
      <c r="Q1164" s="135"/>
      <c r="R1164" s="225"/>
      <c r="S1164" s="225"/>
      <c r="T1164" s="48"/>
      <c r="U1164" s="225"/>
      <c r="V1164" s="506"/>
      <c r="W1164" s="225"/>
      <c r="X1164" s="225"/>
      <c r="Y1164" s="225"/>
      <c r="Z1164" s="225"/>
      <c r="AA1164" s="508"/>
      <c r="AB1164" s="508"/>
      <c r="AC1164" s="509"/>
      <c r="AD1164" s="509"/>
      <c r="AE1164" s="509"/>
      <c r="AF1164" s="509"/>
      <c r="AG1164" s="509"/>
      <c r="AH1164" s="510"/>
      <c r="AI1164" s="506"/>
      <c r="AJ1164" s="506"/>
      <c r="AK1164" s="511"/>
      <c r="AL1164" s="511"/>
      <c r="AM1164" s="507"/>
      <c r="AN1164" s="512"/>
      <c r="AO1164" s="518"/>
      <c r="AP1164" s="127"/>
      <c r="AQ1164" s="519"/>
      <c r="AR1164" s="520"/>
      <c r="AS1164" s="518"/>
      <c r="AT1164" s="518"/>
      <c r="AU1164" s="49"/>
      <c r="AV1164" s="225"/>
      <c r="AW1164" s="521"/>
      <c r="AX1164" s="521"/>
      <c r="AY1164" s="225"/>
      <c r="AZ1164" s="522"/>
      <c r="BA1164" s="522"/>
      <c r="BB1164" s="523"/>
      <c r="BC1164" s="422"/>
      <c r="BD1164" s="509"/>
      <c r="BE1164" s="19"/>
      <c r="BF1164" s="8"/>
      <c r="BG1164" s="1"/>
      <c r="BH1164" s="8"/>
      <c r="BI1164" s="8"/>
      <c r="BJ1164" s="8"/>
      <c r="BK1164" s="8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</row>
    <row r="1165" ht="14.25" customHeight="1">
      <c r="A1165" s="1"/>
      <c r="B1165" s="1"/>
      <c r="C1165" s="1"/>
      <c r="D1165" s="1"/>
      <c r="E1165" s="1"/>
      <c r="F1165" s="13"/>
      <c r="G1165" s="8"/>
      <c r="H1165" s="68"/>
      <c r="I1165" s="68"/>
      <c r="J1165" s="5"/>
      <c r="K1165" s="5"/>
      <c r="L1165" s="13"/>
      <c r="M1165" s="13"/>
      <c r="N1165" s="8"/>
      <c r="O1165" s="432"/>
      <c r="P1165" s="225"/>
      <c r="Q1165" s="135"/>
      <c r="R1165" s="225"/>
      <c r="S1165" s="225"/>
      <c r="T1165" s="48"/>
      <c r="U1165" s="225"/>
      <c r="V1165" s="506"/>
      <c r="W1165" s="225"/>
      <c r="X1165" s="225"/>
      <c r="Y1165" s="225"/>
      <c r="Z1165" s="225"/>
      <c r="AA1165" s="508"/>
      <c r="AB1165" s="508"/>
      <c r="AC1165" s="509"/>
      <c r="AD1165" s="509"/>
      <c r="AE1165" s="509"/>
      <c r="AF1165" s="509"/>
      <c r="AG1165" s="509"/>
      <c r="AH1165" s="510"/>
      <c r="AI1165" s="506"/>
      <c r="AJ1165" s="506"/>
      <c r="AK1165" s="511"/>
      <c r="AL1165" s="511"/>
      <c r="AM1165" s="507"/>
      <c r="AN1165" s="512"/>
      <c r="AO1165" s="518"/>
      <c r="AP1165" s="127"/>
      <c r="AQ1165" s="519"/>
      <c r="AR1165" s="520"/>
      <c r="AS1165" s="518"/>
      <c r="AT1165" s="518"/>
      <c r="AU1165" s="49"/>
      <c r="AV1165" s="225"/>
      <c r="AW1165" s="521"/>
      <c r="AX1165" s="521"/>
      <c r="AY1165" s="225"/>
      <c r="AZ1165" s="522"/>
      <c r="BA1165" s="522"/>
      <c r="BB1165" s="523"/>
      <c r="BC1165" s="422"/>
      <c r="BD1165" s="509"/>
      <c r="BE1165" s="19"/>
      <c r="BF1165" s="8"/>
      <c r="BG1165" s="1"/>
      <c r="BH1165" s="8"/>
      <c r="BI1165" s="8"/>
      <c r="BJ1165" s="8"/>
      <c r="BK1165" s="8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</row>
    <row r="1166" ht="14.25" customHeight="1">
      <c r="A1166" s="1"/>
      <c r="B1166" s="1"/>
      <c r="C1166" s="1"/>
      <c r="D1166" s="1"/>
      <c r="E1166" s="1"/>
      <c r="F1166" s="13"/>
      <c r="G1166" s="8"/>
      <c r="H1166" s="68"/>
      <c r="I1166" s="68"/>
      <c r="J1166" s="5"/>
      <c r="K1166" s="5"/>
      <c r="L1166" s="13"/>
      <c r="M1166" s="13"/>
      <c r="N1166" s="8"/>
      <c r="O1166" s="432"/>
      <c r="P1166" s="225"/>
      <c r="Q1166" s="135"/>
      <c r="R1166" s="225"/>
      <c r="S1166" s="225"/>
      <c r="T1166" s="48"/>
      <c r="U1166" s="225"/>
      <c r="V1166" s="506"/>
      <c r="W1166" s="225"/>
      <c r="X1166" s="225"/>
      <c r="Y1166" s="225"/>
      <c r="Z1166" s="225"/>
      <c r="AA1166" s="508"/>
      <c r="AB1166" s="508"/>
      <c r="AC1166" s="509"/>
      <c r="AD1166" s="509"/>
      <c r="AE1166" s="509"/>
      <c r="AF1166" s="509"/>
      <c r="AG1166" s="509"/>
      <c r="AH1166" s="510"/>
      <c r="AI1166" s="506"/>
      <c r="AJ1166" s="506"/>
      <c r="AK1166" s="511"/>
      <c r="AL1166" s="511"/>
      <c r="AM1166" s="507"/>
      <c r="AN1166" s="512"/>
      <c r="AO1166" s="518"/>
      <c r="AP1166" s="127"/>
      <c r="AQ1166" s="519"/>
      <c r="AR1166" s="520"/>
      <c r="AS1166" s="518"/>
      <c r="AT1166" s="518"/>
      <c r="AU1166" s="49"/>
      <c r="AV1166" s="225"/>
      <c r="AW1166" s="521"/>
      <c r="AX1166" s="521"/>
      <c r="AY1166" s="225"/>
      <c r="AZ1166" s="522"/>
      <c r="BA1166" s="522"/>
      <c r="BB1166" s="523"/>
      <c r="BC1166" s="422"/>
      <c r="BD1166" s="509"/>
      <c r="BE1166" s="19"/>
      <c r="BF1166" s="8"/>
      <c r="BG1166" s="1"/>
      <c r="BH1166" s="8"/>
      <c r="BI1166" s="8"/>
      <c r="BJ1166" s="8"/>
      <c r="BK1166" s="8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</row>
    <row r="1167" ht="14.25" customHeight="1">
      <c r="A1167" s="1"/>
      <c r="B1167" s="1"/>
      <c r="C1167" s="1"/>
      <c r="D1167" s="1"/>
      <c r="E1167" s="1"/>
      <c r="F1167" s="13"/>
      <c r="G1167" s="8"/>
      <c r="H1167" s="68"/>
      <c r="I1167" s="68"/>
      <c r="J1167" s="5"/>
      <c r="K1167" s="5"/>
      <c r="L1167" s="13"/>
      <c r="M1167" s="13"/>
      <c r="N1167" s="8"/>
      <c r="O1167" s="432"/>
      <c r="P1167" s="225"/>
      <c r="Q1167" s="135"/>
      <c r="R1167" s="225"/>
      <c r="S1167" s="225"/>
      <c r="T1167" s="48"/>
      <c r="U1167" s="225"/>
      <c r="V1167" s="506"/>
      <c r="W1167" s="225"/>
      <c r="X1167" s="225"/>
      <c r="Y1167" s="225"/>
      <c r="Z1167" s="225"/>
      <c r="AA1167" s="508"/>
      <c r="AB1167" s="508"/>
      <c r="AC1167" s="509"/>
      <c r="AD1167" s="509"/>
      <c r="AE1167" s="509"/>
      <c r="AF1167" s="509"/>
      <c r="AG1167" s="509"/>
      <c r="AH1167" s="510"/>
      <c r="AI1167" s="506"/>
      <c r="AJ1167" s="506"/>
      <c r="AK1167" s="511"/>
      <c r="AL1167" s="511"/>
      <c r="AM1167" s="507"/>
      <c r="AN1167" s="512"/>
      <c r="AO1167" s="518"/>
      <c r="AP1167" s="127"/>
      <c r="AQ1167" s="519"/>
      <c r="AR1167" s="520"/>
      <c r="AS1167" s="518"/>
      <c r="AT1167" s="518"/>
      <c r="AU1167" s="49"/>
      <c r="AV1167" s="225"/>
      <c r="AW1167" s="521"/>
      <c r="AX1167" s="521"/>
      <c r="AY1167" s="225"/>
      <c r="AZ1167" s="522"/>
      <c r="BA1167" s="522"/>
      <c r="BB1167" s="523"/>
      <c r="BC1167" s="422"/>
      <c r="BD1167" s="509"/>
      <c r="BE1167" s="19"/>
      <c r="BF1167" s="8"/>
      <c r="BG1167" s="1"/>
      <c r="BH1167" s="8"/>
      <c r="BI1167" s="8"/>
      <c r="BJ1167" s="8"/>
      <c r="BK1167" s="8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</row>
    <row r="1168" ht="14.25" customHeight="1">
      <c r="A1168" s="1"/>
      <c r="B1168" s="1"/>
      <c r="C1168" s="1"/>
      <c r="D1168" s="1"/>
      <c r="E1168" s="1"/>
      <c r="F1168" s="13"/>
      <c r="G1168" s="8"/>
      <c r="H1168" s="68"/>
      <c r="I1168" s="68"/>
      <c r="J1168" s="5"/>
      <c r="K1168" s="5"/>
      <c r="L1168" s="13"/>
      <c r="M1168" s="13"/>
      <c r="N1168" s="8"/>
      <c r="O1168" s="432"/>
      <c r="P1168" s="225"/>
      <c r="Q1168" s="135"/>
      <c r="R1168" s="225"/>
      <c r="S1168" s="225"/>
      <c r="T1168" s="48"/>
      <c r="U1168" s="225"/>
      <c r="V1168" s="506"/>
      <c r="W1168" s="225"/>
      <c r="X1168" s="225"/>
      <c r="Y1168" s="225"/>
      <c r="Z1168" s="225"/>
      <c r="AA1168" s="508"/>
      <c r="AB1168" s="508"/>
      <c r="AC1168" s="509"/>
      <c r="AD1168" s="509"/>
      <c r="AE1168" s="509"/>
      <c r="AF1168" s="509"/>
      <c r="AG1168" s="509"/>
      <c r="AH1168" s="510"/>
      <c r="AI1168" s="506"/>
      <c r="AJ1168" s="506"/>
      <c r="AK1168" s="511"/>
      <c r="AL1168" s="511"/>
      <c r="AM1168" s="507"/>
      <c r="AN1168" s="512"/>
      <c r="AO1168" s="518"/>
      <c r="AP1168" s="127"/>
      <c r="AQ1168" s="519"/>
      <c r="AR1168" s="520"/>
      <c r="AS1168" s="518"/>
      <c r="AT1168" s="518"/>
      <c r="AU1168" s="49"/>
      <c r="AV1168" s="225"/>
      <c r="AW1168" s="521"/>
      <c r="AX1168" s="521"/>
      <c r="AY1168" s="225"/>
      <c r="AZ1168" s="522"/>
      <c r="BA1168" s="522"/>
      <c r="BB1168" s="523"/>
      <c r="BC1168" s="422"/>
      <c r="BD1168" s="509"/>
      <c r="BE1168" s="19"/>
      <c r="BF1168" s="8"/>
      <c r="BG1168" s="1"/>
      <c r="BH1168" s="8"/>
      <c r="BI1168" s="8"/>
      <c r="BJ1168" s="8"/>
      <c r="BK1168" s="8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</row>
    <row r="1169" ht="14.25" customHeight="1">
      <c r="A1169" s="1"/>
      <c r="B1169" s="1"/>
      <c r="C1169" s="1"/>
      <c r="D1169" s="1"/>
      <c r="E1169" s="1"/>
      <c r="F1169" s="13"/>
      <c r="G1169" s="8"/>
      <c r="H1169" s="68"/>
      <c r="I1169" s="68"/>
      <c r="J1169" s="5"/>
      <c r="K1169" s="5"/>
      <c r="L1169" s="13"/>
      <c r="M1169" s="13"/>
      <c r="N1169" s="8"/>
      <c r="O1169" s="432"/>
      <c r="P1169" s="225"/>
      <c r="Q1169" s="135"/>
      <c r="R1169" s="225"/>
      <c r="S1169" s="225"/>
      <c r="T1169" s="48"/>
      <c r="U1169" s="225"/>
      <c r="V1169" s="506"/>
      <c r="W1169" s="225"/>
      <c r="X1169" s="225"/>
      <c r="Y1169" s="225"/>
      <c r="Z1169" s="225"/>
      <c r="AA1169" s="508"/>
      <c r="AB1169" s="508"/>
      <c r="AC1169" s="509"/>
      <c r="AD1169" s="509"/>
      <c r="AE1169" s="509"/>
      <c r="AF1169" s="509"/>
      <c r="AG1169" s="509"/>
      <c r="AH1169" s="510"/>
      <c r="AI1169" s="506"/>
      <c r="AJ1169" s="506"/>
      <c r="AK1169" s="511"/>
      <c r="AL1169" s="511"/>
      <c r="AM1169" s="507"/>
      <c r="AN1169" s="512"/>
      <c r="AO1169" s="518"/>
      <c r="AP1169" s="127"/>
      <c r="AQ1169" s="519"/>
      <c r="AR1169" s="520"/>
      <c r="AS1169" s="518"/>
      <c r="AT1169" s="518"/>
      <c r="AU1169" s="49"/>
      <c r="AV1169" s="225"/>
      <c r="AW1169" s="521"/>
      <c r="AX1169" s="521"/>
      <c r="AY1169" s="225"/>
      <c r="AZ1169" s="522"/>
      <c r="BA1169" s="522"/>
      <c r="BB1169" s="523"/>
      <c r="BC1169" s="422"/>
      <c r="BD1169" s="509"/>
      <c r="BE1169" s="19"/>
      <c r="BF1169" s="8"/>
      <c r="BG1169" s="1"/>
      <c r="BH1169" s="8"/>
      <c r="BI1169" s="8"/>
      <c r="BJ1169" s="8"/>
      <c r="BK1169" s="8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</row>
    <row r="1170" ht="14.25" customHeight="1">
      <c r="A1170" s="1"/>
      <c r="B1170" s="1"/>
      <c r="C1170" s="1"/>
      <c r="D1170" s="1"/>
      <c r="E1170" s="1"/>
      <c r="F1170" s="13"/>
      <c r="G1170" s="8"/>
      <c r="H1170" s="68"/>
      <c r="I1170" s="68"/>
      <c r="J1170" s="5"/>
      <c r="K1170" s="5"/>
      <c r="L1170" s="13"/>
      <c r="M1170" s="13"/>
      <c r="N1170" s="8"/>
      <c r="O1170" s="432"/>
      <c r="P1170" s="225"/>
      <c r="Q1170" s="135"/>
      <c r="R1170" s="225"/>
      <c r="S1170" s="225"/>
      <c r="T1170" s="48"/>
      <c r="U1170" s="225"/>
      <c r="V1170" s="506"/>
      <c r="W1170" s="225"/>
      <c r="X1170" s="225"/>
      <c r="Y1170" s="225"/>
      <c r="Z1170" s="225"/>
      <c r="AA1170" s="508"/>
      <c r="AB1170" s="508"/>
      <c r="AC1170" s="509"/>
      <c r="AD1170" s="509"/>
      <c r="AE1170" s="509"/>
      <c r="AF1170" s="509"/>
      <c r="AG1170" s="509"/>
      <c r="AH1170" s="510"/>
      <c r="AI1170" s="506"/>
      <c r="AJ1170" s="506"/>
      <c r="AK1170" s="511"/>
      <c r="AL1170" s="511"/>
      <c r="AM1170" s="507"/>
      <c r="AN1170" s="512"/>
      <c r="AO1170" s="518"/>
      <c r="AP1170" s="127"/>
      <c r="AQ1170" s="519"/>
      <c r="AR1170" s="520"/>
      <c r="AS1170" s="518"/>
      <c r="AT1170" s="518"/>
      <c r="AU1170" s="49"/>
      <c r="AV1170" s="225"/>
      <c r="AW1170" s="521"/>
      <c r="AX1170" s="521"/>
      <c r="AY1170" s="225"/>
      <c r="AZ1170" s="522"/>
      <c r="BA1170" s="522"/>
      <c r="BB1170" s="523"/>
      <c r="BC1170" s="422"/>
      <c r="BD1170" s="509"/>
      <c r="BE1170" s="19"/>
      <c r="BF1170" s="8"/>
      <c r="BG1170" s="1"/>
      <c r="BH1170" s="8"/>
      <c r="BI1170" s="8"/>
      <c r="BJ1170" s="8"/>
      <c r="BK1170" s="8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</row>
    <row r="1171" ht="14.25" customHeight="1">
      <c r="A1171" s="1"/>
      <c r="B1171" s="1"/>
      <c r="C1171" s="1"/>
      <c r="D1171" s="1"/>
      <c r="E1171" s="1"/>
      <c r="F1171" s="13"/>
      <c r="G1171" s="8"/>
      <c r="H1171" s="68"/>
      <c r="I1171" s="68"/>
      <c r="J1171" s="5"/>
      <c r="K1171" s="5"/>
      <c r="L1171" s="13"/>
      <c r="M1171" s="13"/>
      <c r="N1171" s="8"/>
      <c r="O1171" s="432"/>
      <c r="P1171" s="225"/>
      <c r="Q1171" s="135"/>
      <c r="R1171" s="225"/>
      <c r="S1171" s="225"/>
      <c r="T1171" s="48"/>
      <c r="U1171" s="225"/>
      <c r="V1171" s="506"/>
      <c r="W1171" s="225"/>
      <c r="X1171" s="225"/>
      <c r="Y1171" s="225"/>
      <c r="Z1171" s="225"/>
      <c r="AA1171" s="508"/>
      <c r="AB1171" s="508"/>
      <c r="AC1171" s="509"/>
      <c r="AD1171" s="509"/>
      <c r="AE1171" s="509"/>
      <c r="AF1171" s="509"/>
      <c r="AG1171" s="509"/>
      <c r="AH1171" s="510"/>
      <c r="AI1171" s="506"/>
      <c r="AJ1171" s="506"/>
      <c r="AK1171" s="511"/>
      <c r="AL1171" s="511"/>
      <c r="AM1171" s="507"/>
      <c r="AN1171" s="512"/>
      <c r="AO1171" s="518"/>
      <c r="AP1171" s="127"/>
      <c r="AQ1171" s="519"/>
      <c r="AR1171" s="520"/>
      <c r="AS1171" s="518"/>
      <c r="AT1171" s="518"/>
      <c r="AU1171" s="49"/>
      <c r="AV1171" s="225"/>
      <c r="AW1171" s="521"/>
      <c r="AX1171" s="521"/>
      <c r="AY1171" s="225"/>
      <c r="AZ1171" s="522"/>
      <c r="BA1171" s="522"/>
      <c r="BB1171" s="523"/>
      <c r="BC1171" s="422"/>
      <c r="BD1171" s="509"/>
      <c r="BE1171" s="19"/>
      <c r="BF1171" s="8"/>
      <c r="BG1171" s="1"/>
      <c r="BH1171" s="8"/>
      <c r="BI1171" s="8"/>
      <c r="BJ1171" s="8"/>
      <c r="BK1171" s="8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</row>
    <row r="1172" ht="14.25" customHeight="1">
      <c r="A1172" s="1"/>
      <c r="B1172" s="1"/>
      <c r="C1172" s="1"/>
      <c r="D1172" s="1"/>
      <c r="E1172" s="1"/>
      <c r="F1172" s="13"/>
      <c r="G1172" s="8"/>
      <c r="H1172" s="68"/>
      <c r="I1172" s="68"/>
      <c r="J1172" s="5"/>
      <c r="K1172" s="5"/>
      <c r="L1172" s="13"/>
      <c r="M1172" s="13"/>
      <c r="N1172" s="8"/>
      <c r="O1172" s="432"/>
      <c r="P1172" s="225"/>
      <c r="Q1172" s="135"/>
      <c r="R1172" s="225"/>
      <c r="S1172" s="225"/>
      <c r="T1172" s="48"/>
      <c r="U1172" s="225"/>
      <c r="V1172" s="506"/>
      <c r="W1172" s="225"/>
      <c r="X1172" s="225"/>
      <c r="Y1172" s="225"/>
      <c r="Z1172" s="225"/>
      <c r="AA1172" s="508"/>
      <c r="AB1172" s="508"/>
      <c r="AC1172" s="509"/>
      <c r="AD1172" s="509"/>
      <c r="AE1172" s="509"/>
      <c r="AF1172" s="509"/>
      <c r="AG1172" s="509"/>
      <c r="AH1172" s="510"/>
      <c r="AI1172" s="506"/>
      <c r="AJ1172" s="506"/>
      <c r="AK1172" s="511"/>
      <c r="AL1172" s="511"/>
      <c r="AM1172" s="507"/>
      <c r="AN1172" s="512"/>
      <c r="AO1172" s="518"/>
      <c r="AP1172" s="127"/>
      <c r="AQ1172" s="519"/>
      <c r="AR1172" s="520"/>
      <c r="AS1172" s="518"/>
      <c r="AT1172" s="518"/>
      <c r="AU1172" s="49"/>
      <c r="AV1172" s="225"/>
      <c r="AW1172" s="521"/>
      <c r="AX1172" s="521"/>
      <c r="AY1172" s="225"/>
      <c r="AZ1172" s="522"/>
      <c r="BA1172" s="522"/>
      <c r="BB1172" s="523"/>
      <c r="BC1172" s="422"/>
      <c r="BD1172" s="509"/>
      <c r="BE1172" s="19"/>
      <c r="BF1172" s="8"/>
      <c r="BG1172" s="1"/>
      <c r="BH1172" s="8"/>
      <c r="BI1172" s="8"/>
      <c r="BJ1172" s="8"/>
      <c r="BK1172" s="8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</row>
    <row r="1173" ht="14.25" customHeight="1">
      <c r="A1173" s="1"/>
      <c r="B1173" s="1"/>
      <c r="C1173" s="1"/>
      <c r="D1173" s="1"/>
      <c r="E1173" s="1"/>
      <c r="F1173" s="13"/>
      <c r="G1173" s="8"/>
      <c r="H1173" s="68"/>
      <c r="I1173" s="68"/>
      <c r="J1173" s="5"/>
      <c r="K1173" s="5"/>
      <c r="L1173" s="13"/>
      <c r="M1173" s="13"/>
      <c r="N1173" s="8"/>
      <c r="O1173" s="432"/>
      <c r="P1173" s="225"/>
      <c r="Q1173" s="135"/>
      <c r="R1173" s="225"/>
      <c r="S1173" s="225"/>
      <c r="T1173" s="48"/>
      <c r="U1173" s="225"/>
      <c r="V1173" s="506"/>
      <c r="W1173" s="225"/>
      <c r="X1173" s="225"/>
      <c r="Y1173" s="225"/>
      <c r="Z1173" s="225"/>
      <c r="AA1173" s="508"/>
      <c r="AB1173" s="508"/>
      <c r="AC1173" s="509"/>
      <c r="AD1173" s="509"/>
      <c r="AE1173" s="509"/>
      <c r="AF1173" s="509"/>
      <c r="AG1173" s="509"/>
      <c r="AH1173" s="510"/>
      <c r="AI1173" s="506"/>
      <c r="AJ1173" s="506"/>
      <c r="AK1173" s="511"/>
      <c r="AL1173" s="511"/>
      <c r="AM1173" s="507"/>
      <c r="AN1173" s="512"/>
      <c r="AO1173" s="518"/>
      <c r="AP1173" s="127"/>
      <c r="AQ1173" s="519"/>
      <c r="AR1173" s="520"/>
      <c r="AS1173" s="518"/>
      <c r="AT1173" s="518"/>
      <c r="AU1173" s="49"/>
      <c r="AV1173" s="225"/>
      <c r="AW1173" s="521"/>
      <c r="AX1173" s="521"/>
      <c r="AY1173" s="225"/>
      <c r="AZ1173" s="522"/>
      <c r="BA1173" s="522"/>
      <c r="BB1173" s="523"/>
      <c r="BC1173" s="422"/>
      <c r="BD1173" s="509"/>
      <c r="BE1173" s="19"/>
      <c r="BF1173" s="8"/>
      <c r="BG1173" s="1"/>
      <c r="BH1173" s="8"/>
      <c r="BI1173" s="8"/>
      <c r="BJ1173" s="8"/>
      <c r="BK1173" s="8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</row>
    <row r="1174" ht="14.25" customHeight="1">
      <c r="A1174" s="1"/>
      <c r="B1174" s="1"/>
      <c r="C1174" s="1"/>
      <c r="D1174" s="1"/>
      <c r="E1174" s="1"/>
      <c r="F1174" s="13"/>
      <c r="G1174" s="8"/>
      <c r="H1174" s="68"/>
      <c r="I1174" s="68"/>
      <c r="J1174" s="5"/>
      <c r="K1174" s="5"/>
      <c r="L1174" s="13"/>
      <c r="M1174" s="13"/>
      <c r="N1174" s="8"/>
      <c r="O1174" s="432"/>
      <c r="P1174" s="225"/>
      <c r="Q1174" s="135"/>
      <c r="R1174" s="225"/>
      <c r="S1174" s="225"/>
      <c r="T1174" s="48"/>
      <c r="U1174" s="225"/>
      <c r="V1174" s="506"/>
      <c r="W1174" s="225"/>
      <c r="X1174" s="225"/>
      <c r="Y1174" s="225"/>
      <c r="Z1174" s="225"/>
      <c r="AA1174" s="508"/>
      <c r="AB1174" s="508"/>
      <c r="AC1174" s="509"/>
      <c r="AD1174" s="509"/>
      <c r="AE1174" s="509"/>
      <c r="AF1174" s="509"/>
      <c r="AG1174" s="509"/>
      <c r="AH1174" s="510"/>
      <c r="AI1174" s="506"/>
      <c r="AJ1174" s="506"/>
      <c r="AK1174" s="511"/>
      <c r="AL1174" s="511"/>
      <c r="AM1174" s="507"/>
      <c r="AN1174" s="512"/>
      <c r="AO1174" s="518"/>
      <c r="AP1174" s="127"/>
      <c r="AQ1174" s="519"/>
      <c r="AR1174" s="520"/>
      <c r="AS1174" s="518"/>
      <c r="AT1174" s="518"/>
      <c r="AU1174" s="49"/>
      <c r="AV1174" s="225"/>
      <c r="AW1174" s="521"/>
      <c r="AX1174" s="521"/>
      <c r="AY1174" s="225"/>
      <c r="AZ1174" s="522"/>
      <c r="BA1174" s="522"/>
      <c r="BB1174" s="523"/>
      <c r="BC1174" s="422"/>
      <c r="BD1174" s="509"/>
      <c r="BE1174" s="19"/>
      <c r="BF1174" s="8"/>
      <c r="BG1174" s="1"/>
      <c r="BH1174" s="8"/>
      <c r="BI1174" s="8"/>
      <c r="BJ1174" s="8"/>
      <c r="BK1174" s="8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</row>
    <row r="1175" ht="14.25" customHeight="1">
      <c r="A1175" s="1"/>
      <c r="B1175" s="1"/>
      <c r="C1175" s="1"/>
      <c r="D1175" s="1"/>
      <c r="E1175" s="1"/>
      <c r="F1175" s="13"/>
      <c r="G1175" s="8"/>
      <c r="H1175" s="68"/>
      <c r="I1175" s="68"/>
      <c r="J1175" s="5"/>
      <c r="K1175" s="5"/>
      <c r="L1175" s="13"/>
      <c r="M1175" s="13"/>
      <c r="N1175" s="8"/>
      <c r="O1175" s="432"/>
      <c r="P1175" s="225"/>
      <c r="Q1175" s="135"/>
      <c r="R1175" s="225"/>
      <c r="S1175" s="225"/>
      <c r="T1175" s="48"/>
      <c r="U1175" s="225"/>
      <c r="V1175" s="506"/>
      <c r="W1175" s="225"/>
      <c r="X1175" s="225"/>
      <c r="Y1175" s="225"/>
      <c r="Z1175" s="225"/>
      <c r="AA1175" s="508"/>
      <c r="AB1175" s="508"/>
      <c r="AC1175" s="509"/>
      <c r="AD1175" s="509"/>
      <c r="AE1175" s="509"/>
      <c r="AF1175" s="509"/>
      <c r="AG1175" s="509"/>
      <c r="AH1175" s="510"/>
      <c r="AI1175" s="506"/>
      <c r="AJ1175" s="506"/>
      <c r="AK1175" s="511"/>
      <c r="AL1175" s="511"/>
      <c r="AM1175" s="507"/>
      <c r="AN1175" s="512"/>
      <c r="AO1175" s="518"/>
      <c r="AP1175" s="127"/>
      <c r="AQ1175" s="519"/>
      <c r="AR1175" s="520"/>
      <c r="AS1175" s="518"/>
      <c r="AT1175" s="518"/>
      <c r="AU1175" s="49"/>
      <c r="AV1175" s="225"/>
      <c r="AW1175" s="521"/>
      <c r="AX1175" s="521"/>
      <c r="AY1175" s="225"/>
      <c r="AZ1175" s="522"/>
      <c r="BA1175" s="522"/>
      <c r="BB1175" s="523"/>
      <c r="BC1175" s="422"/>
      <c r="BD1175" s="509"/>
      <c r="BE1175" s="19"/>
      <c r="BF1175" s="8"/>
      <c r="BG1175" s="1"/>
      <c r="BH1175" s="8"/>
      <c r="BI1175" s="8"/>
      <c r="BJ1175" s="8"/>
      <c r="BK1175" s="8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</row>
    <row r="1176" ht="14.25" customHeight="1">
      <c r="A1176" s="1"/>
      <c r="B1176" s="1"/>
      <c r="C1176" s="1"/>
      <c r="D1176" s="1"/>
      <c r="E1176" s="1"/>
      <c r="F1176" s="13"/>
      <c r="G1176" s="8"/>
      <c r="H1176" s="68"/>
      <c r="I1176" s="68"/>
      <c r="J1176" s="5"/>
      <c r="K1176" s="5"/>
      <c r="L1176" s="13"/>
      <c r="M1176" s="13"/>
      <c r="N1176" s="8"/>
      <c r="O1176" s="432"/>
      <c r="P1176" s="225"/>
      <c r="Q1176" s="135"/>
      <c r="R1176" s="225"/>
      <c r="S1176" s="225"/>
      <c r="T1176" s="48"/>
      <c r="U1176" s="225"/>
      <c r="V1176" s="506"/>
      <c r="W1176" s="225"/>
      <c r="X1176" s="225"/>
      <c r="Y1176" s="225"/>
      <c r="Z1176" s="225"/>
      <c r="AA1176" s="508"/>
      <c r="AB1176" s="508"/>
      <c r="AC1176" s="509"/>
      <c r="AD1176" s="509"/>
      <c r="AE1176" s="509"/>
      <c r="AF1176" s="509"/>
      <c r="AG1176" s="509"/>
      <c r="AH1176" s="510"/>
      <c r="AI1176" s="506"/>
      <c r="AJ1176" s="506"/>
      <c r="AK1176" s="511"/>
      <c r="AL1176" s="511"/>
      <c r="AM1176" s="507"/>
      <c r="AN1176" s="512"/>
      <c r="AO1176" s="518"/>
      <c r="AP1176" s="127"/>
      <c r="AQ1176" s="519"/>
      <c r="AR1176" s="520"/>
      <c r="AS1176" s="518"/>
      <c r="AT1176" s="518"/>
      <c r="AU1176" s="49"/>
      <c r="AV1176" s="225"/>
      <c r="AW1176" s="521"/>
      <c r="AX1176" s="521"/>
      <c r="AY1176" s="225"/>
      <c r="AZ1176" s="522"/>
      <c r="BA1176" s="522"/>
      <c r="BB1176" s="523"/>
      <c r="BC1176" s="422"/>
      <c r="BD1176" s="509"/>
      <c r="BE1176" s="19"/>
      <c r="BF1176" s="8"/>
      <c r="BG1176" s="1"/>
      <c r="BH1176" s="8"/>
      <c r="BI1176" s="8"/>
      <c r="BJ1176" s="8"/>
      <c r="BK1176" s="8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</row>
    <row r="1177" ht="14.25" customHeight="1">
      <c r="A1177" s="1"/>
      <c r="B1177" s="1"/>
      <c r="C1177" s="1"/>
      <c r="D1177" s="1"/>
      <c r="E1177" s="1"/>
      <c r="F1177" s="13"/>
      <c r="G1177" s="8"/>
      <c r="H1177" s="68"/>
      <c r="I1177" s="68"/>
      <c r="J1177" s="5"/>
      <c r="K1177" s="5"/>
      <c r="L1177" s="13"/>
      <c r="M1177" s="13"/>
      <c r="N1177" s="8"/>
      <c r="O1177" s="432"/>
      <c r="P1177" s="225"/>
      <c r="Q1177" s="135"/>
      <c r="R1177" s="225"/>
      <c r="S1177" s="225"/>
      <c r="T1177" s="48"/>
      <c r="U1177" s="225"/>
      <c r="V1177" s="506"/>
      <c r="W1177" s="225"/>
      <c r="X1177" s="225"/>
      <c r="Y1177" s="225"/>
      <c r="Z1177" s="225"/>
      <c r="AA1177" s="508"/>
      <c r="AB1177" s="508"/>
      <c r="AC1177" s="509"/>
      <c r="AD1177" s="509"/>
      <c r="AE1177" s="509"/>
      <c r="AF1177" s="509"/>
      <c r="AG1177" s="509"/>
      <c r="AH1177" s="510"/>
      <c r="AI1177" s="506"/>
      <c r="AJ1177" s="506"/>
      <c r="AK1177" s="511"/>
      <c r="AL1177" s="511"/>
      <c r="AM1177" s="507"/>
      <c r="AN1177" s="512"/>
      <c r="AO1177" s="518"/>
      <c r="AP1177" s="127"/>
      <c r="AQ1177" s="519"/>
      <c r="AR1177" s="520"/>
      <c r="AS1177" s="518"/>
      <c r="AT1177" s="518"/>
      <c r="AU1177" s="49"/>
      <c r="AV1177" s="225"/>
      <c r="AW1177" s="521"/>
      <c r="AX1177" s="521"/>
      <c r="AY1177" s="225"/>
      <c r="AZ1177" s="522"/>
      <c r="BA1177" s="522"/>
      <c r="BB1177" s="523"/>
      <c r="BC1177" s="422"/>
      <c r="BD1177" s="509"/>
      <c r="BE1177" s="19"/>
      <c r="BF1177" s="8"/>
      <c r="BG1177" s="1"/>
      <c r="BH1177" s="8"/>
      <c r="BI1177" s="8"/>
      <c r="BJ1177" s="8"/>
      <c r="BK1177" s="8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</row>
    <row r="1178" ht="14.25" customHeight="1">
      <c r="A1178" s="1"/>
      <c r="B1178" s="1"/>
      <c r="C1178" s="1"/>
      <c r="D1178" s="1"/>
      <c r="E1178" s="1"/>
      <c r="F1178" s="13"/>
      <c r="G1178" s="8"/>
      <c r="H1178" s="68"/>
      <c r="I1178" s="68"/>
      <c r="J1178" s="5"/>
      <c r="K1178" s="5"/>
      <c r="L1178" s="13"/>
      <c r="M1178" s="13"/>
      <c r="N1178" s="8"/>
      <c r="O1178" s="432"/>
      <c r="P1178" s="225"/>
      <c r="Q1178" s="135"/>
      <c r="R1178" s="225"/>
      <c r="S1178" s="225"/>
      <c r="T1178" s="48"/>
      <c r="U1178" s="225"/>
      <c r="V1178" s="506"/>
      <c r="W1178" s="225"/>
      <c r="X1178" s="225"/>
      <c r="Y1178" s="225"/>
      <c r="Z1178" s="225"/>
      <c r="AA1178" s="508"/>
      <c r="AB1178" s="508"/>
      <c r="AC1178" s="509"/>
      <c r="AD1178" s="509"/>
      <c r="AE1178" s="509"/>
      <c r="AF1178" s="509"/>
      <c r="AG1178" s="509"/>
      <c r="AH1178" s="510"/>
      <c r="AI1178" s="506"/>
      <c r="AJ1178" s="506"/>
      <c r="AK1178" s="511"/>
      <c r="AL1178" s="511"/>
      <c r="AM1178" s="507"/>
      <c r="AN1178" s="512"/>
      <c r="AO1178" s="518"/>
      <c r="AP1178" s="127"/>
      <c r="AQ1178" s="519"/>
      <c r="AR1178" s="520"/>
      <c r="AS1178" s="518"/>
      <c r="AT1178" s="518"/>
      <c r="AU1178" s="49"/>
      <c r="AV1178" s="225"/>
      <c r="AW1178" s="521"/>
      <c r="AX1178" s="521"/>
      <c r="AY1178" s="225"/>
      <c r="AZ1178" s="522"/>
      <c r="BA1178" s="522"/>
      <c r="BB1178" s="523"/>
      <c r="BC1178" s="422"/>
      <c r="BD1178" s="509"/>
      <c r="BE1178" s="19"/>
      <c r="BF1178" s="8"/>
      <c r="BG1178" s="1"/>
      <c r="BH1178" s="8"/>
      <c r="BI1178" s="8"/>
      <c r="BJ1178" s="8"/>
      <c r="BK1178" s="8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</row>
    <row r="1179" ht="14.25" customHeight="1">
      <c r="A1179" s="1"/>
      <c r="B1179" s="1"/>
      <c r="C1179" s="1"/>
      <c r="D1179" s="1"/>
      <c r="E1179" s="1"/>
      <c r="F1179" s="13"/>
      <c r="G1179" s="8"/>
      <c r="H1179" s="68"/>
      <c r="I1179" s="68"/>
      <c r="J1179" s="5"/>
      <c r="K1179" s="5"/>
      <c r="L1179" s="13"/>
      <c r="M1179" s="13"/>
      <c r="N1179" s="8"/>
      <c r="O1179" s="432"/>
      <c r="P1179" s="225"/>
      <c r="Q1179" s="135"/>
      <c r="R1179" s="225"/>
      <c r="S1179" s="225"/>
      <c r="T1179" s="48"/>
      <c r="U1179" s="225"/>
      <c r="V1179" s="506"/>
      <c r="W1179" s="225"/>
      <c r="X1179" s="225"/>
      <c r="Y1179" s="225"/>
      <c r="Z1179" s="225"/>
      <c r="AA1179" s="508"/>
      <c r="AB1179" s="508"/>
      <c r="AC1179" s="509"/>
      <c r="AD1179" s="509"/>
      <c r="AE1179" s="509"/>
      <c r="AF1179" s="509"/>
      <c r="AG1179" s="509"/>
      <c r="AH1179" s="510"/>
      <c r="AI1179" s="506"/>
      <c r="AJ1179" s="506"/>
      <c r="AK1179" s="511"/>
      <c r="AL1179" s="511"/>
      <c r="AM1179" s="507"/>
      <c r="AN1179" s="512"/>
      <c r="AO1179" s="518"/>
      <c r="AP1179" s="127"/>
      <c r="AQ1179" s="519"/>
      <c r="AR1179" s="520"/>
      <c r="AS1179" s="518"/>
      <c r="AT1179" s="518"/>
      <c r="AU1179" s="49"/>
      <c r="AV1179" s="225"/>
      <c r="AW1179" s="521"/>
      <c r="AX1179" s="521"/>
      <c r="AY1179" s="225"/>
      <c r="AZ1179" s="522"/>
      <c r="BA1179" s="522"/>
      <c r="BB1179" s="523"/>
      <c r="BC1179" s="422"/>
      <c r="BD1179" s="509"/>
      <c r="BE1179" s="19"/>
      <c r="BF1179" s="8"/>
      <c r="BG1179" s="1"/>
      <c r="BH1179" s="8"/>
      <c r="BI1179" s="8"/>
      <c r="BJ1179" s="8"/>
      <c r="BK1179" s="8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</row>
    <row r="1180" ht="14.25" customHeight="1">
      <c r="A1180" s="1"/>
      <c r="B1180" s="1"/>
      <c r="C1180" s="1"/>
      <c r="D1180" s="1"/>
      <c r="E1180" s="1"/>
      <c r="F1180" s="13"/>
      <c r="G1180" s="8"/>
      <c r="H1180" s="68"/>
      <c r="I1180" s="68"/>
      <c r="J1180" s="5"/>
      <c r="K1180" s="5"/>
      <c r="L1180" s="13"/>
      <c r="M1180" s="13"/>
      <c r="N1180" s="8"/>
      <c r="O1180" s="13"/>
      <c r="P1180" s="8"/>
      <c r="Q1180" s="1"/>
      <c r="R1180" s="8"/>
      <c r="S1180" s="8"/>
      <c r="T1180" s="8"/>
      <c r="U1180" s="9"/>
      <c r="V1180" s="10"/>
      <c r="W1180" s="9"/>
      <c r="X1180" s="9"/>
      <c r="Y1180" s="9"/>
      <c r="Z1180" s="9"/>
      <c r="AA1180" s="8"/>
      <c r="AB1180" s="8"/>
      <c r="AC1180" s="8"/>
      <c r="AD1180" s="8"/>
      <c r="AE1180" s="8"/>
      <c r="AF1180" s="8"/>
      <c r="AG1180" s="8"/>
      <c r="AH1180" s="11"/>
      <c r="AI1180" s="8"/>
      <c r="AJ1180" s="8"/>
      <c r="AK1180" s="8"/>
      <c r="AL1180" s="8"/>
      <c r="AM1180" s="8"/>
      <c r="AN1180" s="8"/>
      <c r="AO1180" s="8"/>
      <c r="AP1180" s="12"/>
      <c r="AQ1180" s="8"/>
      <c r="AR1180" s="8"/>
      <c r="AS1180" s="10"/>
      <c r="AT1180" s="10"/>
      <c r="AU1180" s="13"/>
      <c r="AV1180" s="14"/>
      <c r="AW1180" s="15"/>
      <c r="AX1180" s="15"/>
      <c r="AY1180" s="15"/>
      <c r="AZ1180" s="37"/>
      <c r="BA1180" s="15"/>
      <c r="BB1180" s="18"/>
      <c r="BC1180" s="38"/>
      <c r="BD1180" s="16"/>
      <c r="BE1180" s="19"/>
      <c r="BF1180" s="8"/>
      <c r="BG1180" s="1"/>
      <c r="BH1180" s="8"/>
      <c r="BI1180" s="8"/>
      <c r="BJ1180" s="8"/>
      <c r="BK1180" s="8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</row>
    <row r="1181" ht="14.25" customHeight="1">
      <c r="A1181" s="1"/>
      <c r="B1181" s="1"/>
      <c r="C1181" s="1"/>
      <c r="D1181" s="1"/>
      <c r="E1181" s="1"/>
      <c r="F1181" s="13"/>
      <c r="G1181" s="8"/>
      <c r="H1181" s="68"/>
      <c r="I1181" s="68"/>
      <c r="J1181" s="5"/>
      <c r="K1181" s="5"/>
      <c r="L1181" s="13"/>
      <c r="M1181" s="13"/>
      <c r="N1181" s="8"/>
      <c r="O1181" s="13"/>
      <c r="P1181" s="8"/>
      <c r="Q1181" s="1"/>
      <c r="R1181" s="8"/>
      <c r="S1181" s="8"/>
      <c r="T1181" s="8"/>
      <c r="U1181" s="9"/>
      <c r="V1181" s="10"/>
      <c r="W1181" s="9"/>
      <c r="X1181" s="9"/>
      <c r="Y1181" s="9"/>
      <c r="Z1181" s="9"/>
      <c r="AA1181" s="8"/>
      <c r="AB1181" s="8"/>
      <c r="AC1181" s="8"/>
      <c r="AD1181" s="8"/>
      <c r="AE1181" s="8"/>
      <c r="AF1181" s="8"/>
      <c r="AG1181" s="8"/>
      <c r="AH1181" s="11"/>
      <c r="AI1181" s="8"/>
      <c r="AJ1181" s="8"/>
      <c r="AK1181" s="8"/>
      <c r="AL1181" s="8"/>
      <c r="AM1181" s="8"/>
      <c r="AN1181" s="8"/>
      <c r="AO1181" s="8"/>
      <c r="AP1181" s="12"/>
      <c r="AQ1181" s="8"/>
      <c r="AR1181" s="8"/>
      <c r="AS1181" s="10"/>
      <c r="AT1181" s="10"/>
      <c r="AU1181" s="13"/>
      <c r="AV1181" s="14"/>
      <c r="AW1181" s="15"/>
      <c r="AX1181" s="15"/>
      <c r="AY1181" s="15"/>
      <c r="AZ1181" s="37"/>
      <c r="BA1181" s="15"/>
      <c r="BB1181" s="18"/>
      <c r="BC1181" s="38"/>
      <c r="BD1181" s="16"/>
      <c r="BE1181" s="19"/>
      <c r="BF1181" s="8"/>
      <c r="BG1181" s="1"/>
      <c r="BH1181" s="8"/>
      <c r="BI1181" s="8"/>
      <c r="BJ1181" s="8"/>
      <c r="BK1181" s="8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</row>
  </sheetData>
  <autoFilter ref="$A$13:$BK$1107"/>
  <mergeCells count="8">
    <mergeCell ref="AI12:AJ12"/>
    <mergeCell ref="AW12:BD12"/>
    <mergeCell ref="R786:R798"/>
    <mergeCell ref="R799:R815"/>
    <mergeCell ref="R816:R829"/>
    <mergeCell ref="S816:S829"/>
    <mergeCell ref="R851:R864"/>
    <mergeCell ref="S851:S864"/>
  </mergeCells>
  <conditionalFormatting sqref="B1:C432 B451:C1181">
    <cfRule type="containsText" dxfId="0" priority="1" operator="containsText" text="No">
      <formula>NOT(ISERROR(SEARCH(("No"),(B1))))</formula>
    </cfRule>
  </conditionalFormatting>
  <conditionalFormatting sqref="AP14:AP110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480314960629921" footer="0.0" header="0.0" left="0.7086614173228347" right="0.7086614173228347" top="0.7480314960629921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4.86"/>
    <col customWidth="1" min="3" max="3" width="40.86"/>
    <col customWidth="1" min="4" max="4" width="26.86"/>
    <col customWidth="1" min="5" max="5" width="47.0"/>
    <col customWidth="1" min="6" max="26" width="8.14"/>
  </cols>
  <sheetData>
    <row r="1" ht="13.5" customHeight="1">
      <c r="A1" s="524"/>
      <c r="B1" s="525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</row>
    <row r="2" ht="13.5" customHeight="1">
      <c r="A2" s="526"/>
      <c r="B2" s="527" t="s">
        <v>3865</v>
      </c>
      <c r="C2" s="526"/>
      <c r="D2" s="526"/>
      <c r="E2" s="528" t="s">
        <v>3866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</row>
    <row r="3" ht="13.5" customHeight="1">
      <c r="A3" s="524"/>
      <c r="B3" s="525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524"/>
      <c r="W3" s="524"/>
      <c r="X3" s="524"/>
      <c r="Y3" s="524"/>
      <c r="Z3" s="524"/>
    </row>
    <row r="4" ht="13.5" customHeight="1">
      <c r="A4" s="524"/>
      <c r="B4" s="529" t="s">
        <v>3867</v>
      </c>
      <c r="C4" s="524"/>
      <c r="D4" s="524"/>
      <c r="E4" s="529" t="s">
        <v>3868</v>
      </c>
      <c r="F4" s="524"/>
      <c r="G4" s="524"/>
      <c r="H4" s="524"/>
      <c r="I4" s="524"/>
      <c r="J4" s="524"/>
      <c r="K4" s="524"/>
      <c r="L4" s="524"/>
      <c r="M4" s="524"/>
      <c r="N4" s="524"/>
      <c r="O4" s="524"/>
      <c r="P4" s="524"/>
      <c r="Q4" s="524"/>
      <c r="R4" s="524"/>
      <c r="S4" s="524"/>
      <c r="T4" s="524"/>
      <c r="U4" s="524"/>
      <c r="V4" s="524"/>
      <c r="W4" s="524"/>
      <c r="X4" s="524"/>
      <c r="Y4" s="524"/>
      <c r="Z4" s="524"/>
    </row>
    <row r="5" ht="13.5" customHeight="1">
      <c r="A5" s="524"/>
      <c r="B5" s="530" t="s">
        <v>3869</v>
      </c>
      <c r="C5" s="531" t="s">
        <v>3870</v>
      </c>
      <c r="D5" s="524"/>
      <c r="E5" s="524" t="s">
        <v>3871</v>
      </c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</row>
    <row r="6" ht="13.5" customHeight="1">
      <c r="A6" s="524"/>
      <c r="B6" s="532"/>
      <c r="C6" s="531" t="s">
        <v>3872</v>
      </c>
      <c r="D6" s="524"/>
      <c r="E6" s="524" t="s">
        <v>3873</v>
      </c>
      <c r="F6" s="524"/>
      <c r="G6" s="524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4"/>
      <c r="V6" s="524"/>
      <c r="W6" s="524"/>
      <c r="X6" s="524"/>
      <c r="Y6" s="524"/>
      <c r="Z6" s="524"/>
    </row>
    <row r="7" ht="13.5" customHeight="1">
      <c r="A7" s="524"/>
      <c r="B7" s="532" t="s">
        <v>3874</v>
      </c>
      <c r="C7" s="531" t="s">
        <v>3875</v>
      </c>
      <c r="D7" s="524"/>
      <c r="E7" s="524"/>
      <c r="F7" s="524"/>
      <c r="G7" s="524"/>
      <c r="H7" s="524"/>
      <c r="I7" s="524"/>
      <c r="J7" s="524"/>
      <c r="K7" s="524"/>
      <c r="L7" s="524"/>
      <c r="M7" s="524"/>
      <c r="N7" s="524"/>
      <c r="O7" s="524"/>
      <c r="P7" s="524"/>
      <c r="Q7" s="524"/>
      <c r="R7" s="524"/>
      <c r="S7" s="524"/>
      <c r="T7" s="524"/>
      <c r="U7" s="524"/>
      <c r="V7" s="524"/>
      <c r="W7" s="524"/>
      <c r="X7" s="524"/>
      <c r="Y7" s="524"/>
      <c r="Z7" s="524"/>
    </row>
    <row r="8" ht="13.5" customHeight="1">
      <c r="A8" s="524"/>
      <c r="B8" s="525"/>
      <c r="C8" s="531" t="s">
        <v>3876</v>
      </c>
      <c r="D8" s="524"/>
      <c r="E8" s="524"/>
      <c r="F8" s="524"/>
      <c r="G8" s="524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524"/>
      <c r="T8" s="524"/>
      <c r="U8" s="524"/>
      <c r="V8" s="524"/>
      <c r="W8" s="524"/>
      <c r="X8" s="524"/>
      <c r="Y8" s="524"/>
      <c r="Z8" s="524"/>
    </row>
    <row r="9" ht="13.5" customHeight="1">
      <c r="A9" s="524"/>
      <c r="B9" s="525"/>
      <c r="C9" s="524" t="s">
        <v>3877</v>
      </c>
      <c r="D9" s="524"/>
      <c r="E9" s="524"/>
      <c r="F9" s="524"/>
      <c r="G9" s="524"/>
      <c r="H9" s="524"/>
      <c r="I9" s="524"/>
      <c r="J9" s="524"/>
      <c r="K9" s="524"/>
      <c r="L9" s="524"/>
      <c r="M9" s="524"/>
      <c r="N9" s="524"/>
      <c r="O9" s="524"/>
      <c r="P9" s="524"/>
      <c r="Q9" s="524"/>
      <c r="R9" s="524"/>
      <c r="S9" s="524"/>
      <c r="T9" s="524"/>
      <c r="U9" s="524"/>
      <c r="V9" s="524"/>
      <c r="W9" s="524"/>
      <c r="X9" s="524"/>
      <c r="Y9" s="524"/>
      <c r="Z9" s="524"/>
    </row>
    <row r="10" ht="13.5" customHeight="1">
      <c r="A10" s="524"/>
      <c r="B10" s="525"/>
      <c r="C10" s="524"/>
      <c r="D10" s="524"/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4"/>
      <c r="R10" s="524"/>
      <c r="S10" s="524"/>
      <c r="T10" s="524"/>
      <c r="U10" s="524"/>
      <c r="V10" s="524"/>
      <c r="W10" s="524"/>
      <c r="X10" s="524"/>
      <c r="Y10" s="524"/>
      <c r="Z10" s="524"/>
    </row>
    <row r="11" ht="13.5" customHeight="1">
      <c r="A11" s="524"/>
      <c r="B11" s="525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</row>
    <row r="12" ht="13.5" customHeight="1">
      <c r="A12" s="524"/>
      <c r="B12" s="529" t="s">
        <v>3878</v>
      </c>
      <c r="C12" s="531" t="s">
        <v>3879</v>
      </c>
      <c r="D12" s="524"/>
      <c r="E12" s="533" t="s">
        <v>3880</v>
      </c>
      <c r="F12" s="524"/>
      <c r="G12" s="524"/>
      <c r="H12" s="524"/>
      <c r="I12" s="524"/>
      <c r="J12" s="524"/>
      <c r="K12" s="524"/>
      <c r="L12" s="524"/>
      <c r="M12" s="524"/>
      <c r="N12" s="524"/>
      <c r="O12" s="524"/>
      <c r="P12" s="524"/>
      <c r="Q12" s="524"/>
      <c r="R12" s="524"/>
      <c r="S12" s="524"/>
      <c r="T12" s="524"/>
      <c r="U12" s="524"/>
      <c r="V12" s="524"/>
      <c r="W12" s="524"/>
      <c r="X12" s="524"/>
      <c r="Y12" s="524"/>
      <c r="Z12" s="524"/>
    </row>
    <row r="13" ht="13.5" customHeight="1">
      <c r="A13" s="524"/>
      <c r="B13" s="530" t="s">
        <v>3881</v>
      </c>
      <c r="C13" s="531" t="s">
        <v>3882</v>
      </c>
      <c r="D13" s="524"/>
      <c r="E13" s="524" t="s">
        <v>3883</v>
      </c>
      <c r="F13" s="524"/>
      <c r="G13" s="524"/>
      <c r="H13" s="524"/>
      <c r="I13" s="524"/>
      <c r="J13" s="524"/>
      <c r="K13" s="524"/>
      <c r="L13" s="524"/>
      <c r="M13" s="524"/>
      <c r="N13" s="524"/>
      <c r="O13" s="524"/>
      <c r="P13" s="524"/>
      <c r="Q13" s="524"/>
      <c r="R13" s="524"/>
      <c r="S13" s="524"/>
      <c r="T13" s="524"/>
      <c r="U13" s="524"/>
      <c r="V13" s="524"/>
      <c r="W13" s="524"/>
      <c r="X13" s="524"/>
      <c r="Y13" s="524"/>
      <c r="Z13" s="524"/>
    </row>
    <row r="14" ht="13.5" customHeight="1">
      <c r="A14" s="524"/>
      <c r="B14" s="525"/>
      <c r="C14" s="524"/>
      <c r="D14" s="524"/>
      <c r="E14" s="524" t="s">
        <v>3884</v>
      </c>
      <c r="F14" s="524"/>
      <c r="G14" s="524"/>
      <c r="H14" s="524"/>
      <c r="I14" s="524"/>
      <c r="J14" s="524"/>
      <c r="K14" s="524"/>
      <c r="L14" s="524"/>
      <c r="M14" s="524"/>
      <c r="N14" s="524"/>
      <c r="O14" s="524"/>
      <c r="P14" s="524"/>
      <c r="Q14" s="524"/>
      <c r="R14" s="524"/>
      <c r="S14" s="524"/>
      <c r="T14" s="524"/>
      <c r="U14" s="524"/>
      <c r="V14" s="524"/>
      <c r="W14" s="524"/>
      <c r="X14" s="524"/>
      <c r="Y14" s="524"/>
      <c r="Z14" s="524"/>
    </row>
    <row r="15" ht="13.5" customHeight="1">
      <c r="A15" s="524"/>
      <c r="B15" s="525"/>
      <c r="C15" s="524"/>
      <c r="D15" s="524"/>
      <c r="E15" s="524" t="s">
        <v>3885</v>
      </c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</row>
    <row r="16" ht="13.5" customHeight="1">
      <c r="A16" s="524"/>
      <c r="B16" s="525"/>
      <c r="C16" s="524"/>
      <c r="D16" s="524"/>
      <c r="E16" s="524" t="s">
        <v>3886</v>
      </c>
      <c r="F16" s="524"/>
      <c r="G16" s="524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</row>
    <row r="17" ht="13.5" customHeight="1">
      <c r="A17" s="524"/>
      <c r="B17" s="525"/>
      <c r="C17" s="524"/>
      <c r="D17" s="524"/>
      <c r="E17" s="524"/>
      <c r="F17" s="524"/>
      <c r="G17" s="524"/>
      <c r="H17" s="524"/>
      <c r="I17" s="524"/>
      <c r="J17" s="524"/>
      <c r="K17" s="524"/>
      <c r="L17" s="524"/>
      <c r="M17" s="524"/>
      <c r="N17" s="524"/>
      <c r="O17" s="524"/>
      <c r="P17" s="524"/>
      <c r="Q17" s="524"/>
      <c r="R17" s="524"/>
      <c r="S17" s="524"/>
      <c r="T17" s="524"/>
      <c r="U17" s="524"/>
      <c r="V17" s="524"/>
      <c r="W17" s="524"/>
      <c r="X17" s="524"/>
      <c r="Y17" s="524"/>
      <c r="Z17" s="524"/>
    </row>
    <row r="18" ht="13.5" customHeight="1">
      <c r="A18" s="524"/>
      <c r="B18" s="525"/>
      <c r="C18" s="524"/>
      <c r="D18" s="524"/>
      <c r="E18" s="524"/>
      <c r="F18" s="524"/>
      <c r="G18" s="524"/>
      <c r="H18" s="524"/>
      <c r="I18" s="524"/>
      <c r="J18" s="524"/>
      <c r="K18" s="524"/>
      <c r="L18" s="524"/>
      <c r="M18" s="524"/>
      <c r="N18" s="524"/>
      <c r="O18" s="524"/>
      <c r="P18" s="524"/>
      <c r="Q18" s="524"/>
      <c r="R18" s="524"/>
      <c r="S18" s="524"/>
      <c r="T18" s="524"/>
      <c r="U18" s="524"/>
      <c r="V18" s="524"/>
      <c r="W18" s="524"/>
      <c r="X18" s="524"/>
      <c r="Y18" s="524"/>
      <c r="Z18" s="524"/>
    </row>
    <row r="19" ht="13.5" customHeight="1">
      <c r="A19" s="524"/>
      <c r="B19" s="525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</row>
    <row r="20" ht="13.5" customHeight="1">
      <c r="A20" s="524"/>
      <c r="B20" s="525"/>
      <c r="C20" s="524"/>
      <c r="D20" s="524"/>
      <c r="E20" s="524"/>
      <c r="F20" s="524"/>
      <c r="G20" s="524"/>
      <c r="H20" s="524"/>
      <c r="I20" s="524"/>
      <c r="J20" s="524"/>
      <c r="K20" s="524"/>
      <c r="L20" s="524"/>
      <c r="M20" s="524"/>
      <c r="N20" s="524"/>
      <c r="O20" s="524"/>
      <c r="P20" s="524"/>
      <c r="Q20" s="524"/>
      <c r="R20" s="524"/>
      <c r="S20" s="524"/>
      <c r="T20" s="524"/>
      <c r="U20" s="524"/>
      <c r="V20" s="524"/>
      <c r="W20" s="524"/>
      <c r="X20" s="524"/>
      <c r="Y20" s="524"/>
      <c r="Z20" s="524"/>
    </row>
    <row r="21" ht="13.5" customHeight="1">
      <c r="A21" s="524"/>
      <c r="B21" s="525"/>
      <c r="C21" s="524"/>
      <c r="D21" s="524"/>
      <c r="E21" s="524"/>
      <c r="F21" s="524"/>
      <c r="G21" s="524"/>
      <c r="H21" s="524"/>
      <c r="I21" s="524"/>
      <c r="J21" s="524"/>
      <c r="K21" s="524"/>
      <c r="L21" s="524"/>
      <c r="M21" s="524"/>
      <c r="N21" s="524"/>
      <c r="O21" s="524"/>
      <c r="P21" s="524"/>
      <c r="Q21" s="524"/>
      <c r="R21" s="524"/>
      <c r="S21" s="524"/>
      <c r="T21" s="524"/>
      <c r="U21" s="524"/>
      <c r="V21" s="524"/>
      <c r="W21" s="524"/>
      <c r="X21" s="524"/>
      <c r="Y21" s="524"/>
      <c r="Z21" s="524"/>
    </row>
    <row r="22" ht="13.5" customHeight="1">
      <c r="A22" s="524"/>
      <c r="B22" s="525"/>
      <c r="C22" s="524"/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/>
      <c r="P22" s="524"/>
      <c r="Q22" s="524"/>
      <c r="R22" s="524"/>
      <c r="S22" s="524"/>
      <c r="T22" s="524"/>
      <c r="U22" s="524"/>
      <c r="V22" s="524"/>
      <c r="W22" s="524"/>
      <c r="X22" s="524"/>
      <c r="Y22" s="524"/>
      <c r="Z22" s="524"/>
    </row>
    <row r="23" ht="13.5" customHeight="1">
      <c r="A23" s="524"/>
      <c r="B23" s="525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</row>
    <row r="24" ht="13.5" customHeight="1">
      <c r="A24" s="524"/>
      <c r="B24" s="525"/>
      <c r="C24" s="524"/>
      <c r="D24" s="524"/>
      <c r="E24" s="524"/>
      <c r="F24" s="524"/>
      <c r="G24" s="524"/>
      <c r="H24" s="524"/>
      <c r="I24" s="524"/>
      <c r="J24" s="524"/>
      <c r="K24" s="524"/>
      <c r="L24" s="524"/>
      <c r="M24" s="524"/>
      <c r="N24" s="524"/>
      <c r="O24" s="524"/>
      <c r="P24" s="524"/>
      <c r="Q24" s="524"/>
      <c r="R24" s="524"/>
      <c r="S24" s="524"/>
      <c r="T24" s="524"/>
      <c r="U24" s="524"/>
      <c r="V24" s="524"/>
      <c r="W24" s="524"/>
      <c r="X24" s="524"/>
      <c r="Y24" s="524"/>
      <c r="Z24" s="524"/>
    </row>
    <row r="25" ht="13.5" customHeight="1">
      <c r="A25" s="524"/>
      <c r="B25" s="525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</row>
    <row r="26" ht="13.5" customHeight="1">
      <c r="A26" s="524"/>
      <c r="B26" s="525"/>
      <c r="C26" s="524"/>
      <c r="D26" s="524"/>
      <c r="E26" s="524"/>
      <c r="F26" s="524"/>
      <c r="G26" s="524"/>
      <c r="H26" s="524"/>
      <c r="I26" s="524"/>
      <c r="J26" s="524"/>
      <c r="K26" s="524"/>
      <c r="L26" s="524"/>
      <c r="M26" s="524"/>
      <c r="N26" s="524"/>
      <c r="O26" s="524"/>
      <c r="P26" s="524"/>
      <c r="Q26" s="524"/>
      <c r="R26" s="524"/>
      <c r="S26" s="524"/>
      <c r="T26" s="524"/>
      <c r="U26" s="524"/>
      <c r="V26" s="524"/>
      <c r="W26" s="524"/>
      <c r="X26" s="524"/>
      <c r="Y26" s="524"/>
      <c r="Z26" s="524"/>
    </row>
    <row r="27" ht="13.5" customHeight="1">
      <c r="A27" s="524"/>
      <c r="B27" s="525"/>
      <c r="C27" s="524"/>
      <c r="D27" s="524"/>
      <c r="E27" s="524"/>
      <c r="F27" s="524"/>
      <c r="G27" s="524"/>
      <c r="H27" s="524"/>
      <c r="I27" s="524"/>
      <c r="J27" s="524"/>
      <c r="K27" s="524"/>
      <c r="L27" s="524"/>
      <c r="M27" s="524"/>
      <c r="N27" s="524"/>
      <c r="O27" s="524"/>
      <c r="P27" s="524"/>
      <c r="Q27" s="524"/>
      <c r="R27" s="524"/>
      <c r="S27" s="524"/>
      <c r="T27" s="524"/>
      <c r="U27" s="524"/>
      <c r="V27" s="524"/>
      <c r="W27" s="524"/>
      <c r="X27" s="524"/>
      <c r="Y27" s="524"/>
      <c r="Z27" s="524"/>
    </row>
    <row r="28" ht="13.5" customHeight="1">
      <c r="A28" s="524"/>
      <c r="B28" s="525"/>
      <c r="C28" s="524"/>
      <c r="D28" s="524"/>
      <c r="E28" s="524"/>
      <c r="F28" s="524"/>
      <c r="G28" s="524"/>
      <c r="H28" s="524"/>
      <c r="I28" s="524"/>
      <c r="J28" s="524"/>
      <c r="K28" s="524"/>
      <c r="L28" s="524"/>
      <c r="M28" s="524"/>
      <c r="N28" s="524"/>
      <c r="O28" s="524"/>
      <c r="P28" s="524"/>
      <c r="Q28" s="524"/>
      <c r="R28" s="524"/>
      <c r="S28" s="524"/>
      <c r="T28" s="524"/>
      <c r="U28" s="524"/>
      <c r="V28" s="524"/>
      <c r="W28" s="524"/>
      <c r="X28" s="524"/>
      <c r="Y28" s="524"/>
      <c r="Z28" s="524"/>
    </row>
    <row r="29" ht="13.5" customHeight="1">
      <c r="A29" s="524"/>
      <c r="B29" s="525"/>
      <c r="C29" s="524"/>
      <c r="D29" s="524"/>
      <c r="E29" s="524"/>
      <c r="F29" s="524"/>
      <c r="G29" s="524"/>
      <c r="H29" s="524"/>
      <c r="I29" s="524"/>
      <c r="J29" s="524"/>
      <c r="K29" s="524"/>
      <c r="L29" s="524"/>
      <c r="M29" s="524"/>
      <c r="N29" s="524"/>
      <c r="O29" s="524"/>
      <c r="P29" s="524"/>
      <c r="Q29" s="524"/>
      <c r="R29" s="524"/>
      <c r="S29" s="524"/>
      <c r="T29" s="524"/>
      <c r="U29" s="524"/>
      <c r="V29" s="524"/>
      <c r="W29" s="524"/>
      <c r="X29" s="524"/>
      <c r="Y29" s="524"/>
      <c r="Z29" s="524"/>
    </row>
    <row r="30" ht="13.5" customHeight="1">
      <c r="A30" s="524"/>
      <c r="B30" s="525"/>
      <c r="C30" s="524"/>
      <c r="D30" s="524"/>
      <c r="E30" s="524"/>
      <c r="F30" s="524"/>
      <c r="G30" s="524"/>
      <c r="H30" s="524"/>
      <c r="I30" s="524"/>
      <c r="J30" s="524"/>
      <c r="K30" s="524"/>
      <c r="L30" s="524"/>
      <c r="M30" s="524"/>
      <c r="N30" s="524"/>
      <c r="O30" s="524"/>
      <c r="P30" s="524"/>
      <c r="Q30" s="524"/>
      <c r="R30" s="524"/>
      <c r="S30" s="524"/>
      <c r="T30" s="524"/>
      <c r="U30" s="524"/>
      <c r="V30" s="524"/>
      <c r="W30" s="524"/>
      <c r="X30" s="524"/>
      <c r="Y30" s="524"/>
      <c r="Z30" s="524"/>
    </row>
    <row r="31" ht="13.5" customHeight="1">
      <c r="A31" s="524"/>
      <c r="B31" s="533" t="s">
        <v>3887</v>
      </c>
      <c r="C31" s="524"/>
      <c r="D31" s="524"/>
      <c r="E31" s="524"/>
      <c r="F31" s="524"/>
      <c r="G31" s="524"/>
      <c r="H31" s="524"/>
      <c r="I31" s="524"/>
      <c r="J31" s="524"/>
      <c r="K31" s="524"/>
      <c r="L31" s="524"/>
      <c r="M31" s="524"/>
      <c r="N31" s="524"/>
      <c r="O31" s="524"/>
      <c r="P31" s="524"/>
      <c r="Q31" s="524"/>
      <c r="R31" s="524"/>
      <c r="S31" s="524"/>
      <c r="T31" s="524"/>
      <c r="U31" s="524"/>
      <c r="V31" s="524"/>
      <c r="W31" s="524"/>
      <c r="X31" s="524"/>
      <c r="Y31" s="524"/>
      <c r="Z31" s="524"/>
    </row>
    <row r="32" ht="13.5" customHeight="1">
      <c r="A32" s="524"/>
      <c r="B32" s="524" t="s">
        <v>3888</v>
      </c>
      <c r="C32" s="524"/>
      <c r="D32" s="524"/>
      <c r="E32" s="524"/>
      <c r="F32" s="524"/>
      <c r="G32" s="524"/>
      <c r="H32" s="524"/>
      <c r="I32" s="524"/>
      <c r="J32" s="524"/>
      <c r="K32" s="524"/>
      <c r="L32" s="524"/>
      <c r="M32" s="524"/>
      <c r="N32" s="524"/>
      <c r="O32" s="524"/>
      <c r="P32" s="524"/>
      <c r="Q32" s="524"/>
      <c r="R32" s="524"/>
      <c r="S32" s="524"/>
      <c r="T32" s="524"/>
      <c r="U32" s="524"/>
      <c r="V32" s="524"/>
      <c r="W32" s="524"/>
      <c r="X32" s="524"/>
      <c r="Y32" s="524"/>
      <c r="Z32" s="524"/>
    </row>
    <row r="33" ht="13.5" customHeight="1">
      <c r="A33" s="524"/>
      <c r="B33" s="524" t="s">
        <v>3889</v>
      </c>
      <c r="C33" s="534"/>
      <c r="D33" s="534"/>
      <c r="E33" s="524"/>
      <c r="F33" s="524"/>
      <c r="G33" s="524"/>
      <c r="H33" s="524"/>
      <c r="I33" s="524"/>
      <c r="J33" s="524"/>
      <c r="K33" s="524"/>
      <c r="L33" s="524"/>
      <c r="M33" s="524"/>
      <c r="N33" s="524"/>
      <c r="O33" s="524"/>
      <c r="P33" s="524"/>
      <c r="Q33" s="524"/>
      <c r="R33" s="524"/>
      <c r="S33" s="524"/>
      <c r="T33" s="524"/>
      <c r="U33" s="524"/>
      <c r="V33" s="524"/>
      <c r="W33" s="524"/>
      <c r="X33" s="524"/>
      <c r="Y33" s="524"/>
      <c r="Z33" s="524"/>
    </row>
    <row r="34" ht="13.5" customHeight="1">
      <c r="A34" s="524"/>
      <c r="B34" s="524" t="s">
        <v>3890</v>
      </c>
      <c r="C34" s="535"/>
      <c r="D34" s="535"/>
      <c r="E34" s="524"/>
      <c r="F34" s="524"/>
      <c r="G34" s="524"/>
      <c r="H34" s="524"/>
      <c r="I34" s="524"/>
      <c r="J34" s="524"/>
      <c r="K34" s="524"/>
      <c r="L34" s="524"/>
      <c r="M34" s="524"/>
      <c r="N34" s="524"/>
      <c r="O34" s="524"/>
      <c r="P34" s="524"/>
      <c r="Q34" s="524"/>
      <c r="R34" s="524"/>
      <c r="S34" s="524"/>
      <c r="T34" s="524"/>
      <c r="U34" s="524"/>
      <c r="V34" s="524"/>
      <c r="W34" s="524"/>
      <c r="X34" s="524"/>
      <c r="Y34" s="524"/>
      <c r="Z34" s="524"/>
    </row>
    <row r="35" ht="13.5" customHeight="1">
      <c r="A35" s="524"/>
      <c r="B35" s="525"/>
      <c r="C35" s="524"/>
      <c r="D35" s="524"/>
      <c r="E35" s="524"/>
      <c r="F35" s="524"/>
      <c r="G35" s="524"/>
      <c r="H35" s="524"/>
      <c r="I35" s="524"/>
      <c r="J35" s="524"/>
      <c r="K35" s="524"/>
      <c r="L35" s="524"/>
      <c r="M35" s="524"/>
      <c r="N35" s="524"/>
      <c r="O35" s="524"/>
      <c r="P35" s="524"/>
      <c r="Q35" s="524"/>
      <c r="R35" s="524"/>
      <c r="S35" s="524"/>
      <c r="T35" s="524"/>
      <c r="U35" s="524"/>
      <c r="V35" s="524"/>
      <c r="W35" s="524"/>
      <c r="X35" s="524"/>
      <c r="Y35" s="524"/>
      <c r="Z35" s="524"/>
    </row>
    <row r="36" ht="13.5" customHeight="1">
      <c r="A36" s="524"/>
      <c r="B36" s="536" t="s">
        <v>3891</v>
      </c>
      <c r="C36" s="537" t="s">
        <v>3892</v>
      </c>
      <c r="D36" s="537" t="s">
        <v>3893</v>
      </c>
      <c r="E36" s="524"/>
      <c r="F36" s="524"/>
      <c r="G36" s="524"/>
      <c r="H36" s="524"/>
      <c r="I36" s="524"/>
      <c r="J36" s="524"/>
      <c r="K36" s="524"/>
      <c r="L36" s="524"/>
      <c r="M36" s="524"/>
      <c r="N36" s="524"/>
      <c r="O36" s="524"/>
      <c r="P36" s="524"/>
      <c r="Q36" s="524"/>
      <c r="R36" s="524"/>
      <c r="S36" s="524"/>
      <c r="T36" s="524"/>
      <c r="U36" s="524"/>
      <c r="V36" s="524"/>
      <c r="W36" s="524"/>
      <c r="X36" s="524"/>
      <c r="Y36" s="524"/>
      <c r="Z36" s="524"/>
    </row>
    <row r="37" ht="13.5" customHeight="1">
      <c r="A37" s="524"/>
      <c r="B37" s="538" t="s">
        <v>3894</v>
      </c>
      <c r="C37" s="539" t="s">
        <v>3895</v>
      </c>
      <c r="D37" s="538" t="s">
        <v>3896</v>
      </c>
      <c r="E37" s="524"/>
      <c r="F37" s="524"/>
      <c r="G37" s="524"/>
      <c r="H37" s="524"/>
      <c r="I37" s="524"/>
      <c r="J37" s="524"/>
      <c r="K37" s="524"/>
      <c r="L37" s="524"/>
      <c r="M37" s="524"/>
      <c r="N37" s="524"/>
      <c r="O37" s="524"/>
      <c r="P37" s="524"/>
      <c r="Q37" s="524"/>
      <c r="R37" s="524"/>
      <c r="S37" s="524"/>
      <c r="T37" s="524"/>
      <c r="U37" s="524"/>
      <c r="V37" s="524"/>
      <c r="W37" s="524"/>
      <c r="X37" s="524"/>
      <c r="Y37" s="524"/>
      <c r="Z37" s="524"/>
    </row>
    <row r="38" ht="13.5" customHeight="1">
      <c r="A38" s="524"/>
      <c r="B38" s="538" t="s">
        <v>3897</v>
      </c>
      <c r="C38" s="539" t="s">
        <v>3898</v>
      </c>
      <c r="D38" s="538" t="s">
        <v>3896</v>
      </c>
      <c r="E38" s="524"/>
      <c r="F38" s="524"/>
      <c r="G38" s="524"/>
      <c r="H38" s="524"/>
      <c r="I38" s="524"/>
      <c r="J38" s="524"/>
      <c r="K38" s="524"/>
      <c r="L38" s="524"/>
      <c r="M38" s="524"/>
      <c r="N38" s="524"/>
      <c r="O38" s="524"/>
      <c r="P38" s="524"/>
      <c r="Q38" s="524"/>
      <c r="R38" s="524"/>
      <c r="S38" s="524"/>
      <c r="T38" s="524"/>
      <c r="U38" s="524"/>
      <c r="V38" s="524"/>
      <c r="W38" s="524"/>
      <c r="X38" s="524"/>
      <c r="Y38" s="524"/>
      <c r="Z38" s="524"/>
    </row>
    <row r="39" ht="13.5" customHeight="1">
      <c r="A39" s="524"/>
      <c r="B39" s="538" t="s">
        <v>3899</v>
      </c>
      <c r="C39" s="539" t="s">
        <v>3900</v>
      </c>
      <c r="D39" s="539" t="s">
        <v>3900</v>
      </c>
      <c r="E39" s="524"/>
      <c r="F39" s="524"/>
      <c r="G39" s="524"/>
      <c r="H39" s="524"/>
      <c r="I39" s="524"/>
      <c r="J39" s="524"/>
      <c r="K39" s="524"/>
      <c r="L39" s="524"/>
      <c r="M39" s="524"/>
      <c r="N39" s="524"/>
      <c r="O39" s="524"/>
      <c r="P39" s="524"/>
      <c r="Q39" s="524"/>
      <c r="R39" s="524"/>
      <c r="S39" s="524"/>
      <c r="T39" s="524"/>
      <c r="U39" s="524"/>
      <c r="V39" s="524"/>
      <c r="W39" s="524"/>
      <c r="X39" s="524"/>
      <c r="Y39" s="524"/>
      <c r="Z39" s="524"/>
    </row>
    <row r="40" ht="13.5" customHeight="1">
      <c r="A40" s="524"/>
      <c r="B40" s="525"/>
      <c r="C40" s="524"/>
      <c r="D40" s="524"/>
      <c r="E40" s="524"/>
      <c r="F40" s="524"/>
      <c r="G40" s="524"/>
      <c r="H40" s="524"/>
      <c r="I40" s="524"/>
      <c r="J40" s="524"/>
      <c r="K40" s="524"/>
      <c r="L40" s="524"/>
      <c r="M40" s="524"/>
      <c r="N40" s="524"/>
      <c r="O40" s="524"/>
      <c r="P40" s="524"/>
      <c r="Q40" s="524"/>
      <c r="R40" s="524"/>
      <c r="S40" s="524"/>
      <c r="T40" s="524"/>
      <c r="U40" s="524"/>
      <c r="V40" s="524"/>
      <c r="W40" s="524"/>
      <c r="X40" s="524"/>
      <c r="Y40" s="524"/>
      <c r="Z40" s="524"/>
    </row>
    <row r="41" ht="13.5" customHeight="1">
      <c r="A41" s="524"/>
      <c r="B41" s="525"/>
      <c r="C41" s="524"/>
      <c r="D41" s="524"/>
      <c r="E41" s="524"/>
      <c r="F41" s="524"/>
      <c r="G41" s="524"/>
      <c r="H41" s="524"/>
      <c r="I41" s="524"/>
      <c r="J41" s="524"/>
      <c r="K41" s="524"/>
      <c r="L41" s="524"/>
      <c r="M41" s="524"/>
      <c r="N41" s="524"/>
      <c r="O41" s="524"/>
      <c r="P41" s="524"/>
      <c r="Q41" s="524"/>
      <c r="R41" s="524"/>
      <c r="S41" s="524"/>
      <c r="T41" s="524"/>
      <c r="U41" s="524"/>
      <c r="V41" s="524"/>
      <c r="W41" s="524"/>
      <c r="X41" s="524"/>
      <c r="Y41" s="524"/>
      <c r="Z41" s="524"/>
    </row>
    <row r="42" ht="13.5" customHeight="1">
      <c r="A42" s="524"/>
      <c r="B42" s="525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4"/>
      <c r="T42" s="524"/>
      <c r="U42" s="524"/>
      <c r="V42" s="524"/>
      <c r="W42" s="524"/>
      <c r="X42" s="524"/>
      <c r="Y42" s="524"/>
      <c r="Z42" s="524"/>
    </row>
    <row r="43" ht="13.5" customHeight="1">
      <c r="A43" s="524"/>
      <c r="B43" s="525"/>
      <c r="C43" s="524"/>
      <c r="D43" s="524"/>
      <c r="E43" s="524"/>
      <c r="F43" s="524"/>
      <c r="G43" s="524"/>
      <c r="H43" s="524"/>
      <c r="I43" s="524"/>
      <c r="J43" s="524"/>
      <c r="K43" s="524"/>
      <c r="L43" s="524"/>
      <c r="M43" s="524"/>
      <c r="N43" s="524"/>
      <c r="O43" s="524"/>
      <c r="P43" s="524"/>
      <c r="Q43" s="524"/>
      <c r="R43" s="524"/>
      <c r="S43" s="524"/>
      <c r="T43" s="524"/>
      <c r="U43" s="524"/>
      <c r="V43" s="524"/>
      <c r="W43" s="524"/>
      <c r="X43" s="524"/>
      <c r="Y43" s="524"/>
      <c r="Z43" s="524"/>
    </row>
    <row r="44" ht="13.5" customHeight="1">
      <c r="A44" s="524"/>
      <c r="B44" s="525"/>
      <c r="C44" s="524"/>
      <c r="D44" s="524"/>
      <c r="E44" s="524"/>
      <c r="F44" s="524"/>
      <c r="G44" s="524"/>
      <c r="H44" s="524"/>
      <c r="I44" s="524"/>
      <c r="J44" s="524"/>
      <c r="K44" s="524"/>
      <c r="L44" s="524"/>
      <c r="M44" s="524"/>
      <c r="N44" s="524"/>
      <c r="O44" s="524"/>
      <c r="P44" s="524"/>
      <c r="Q44" s="524"/>
      <c r="R44" s="524"/>
      <c r="S44" s="524"/>
      <c r="T44" s="524"/>
      <c r="U44" s="524"/>
      <c r="V44" s="524"/>
      <c r="W44" s="524"/>
      <c r="X44" s="524"/>
      <c r="Y44" s="524"/>
      <c r="Z44" s="524"/>
    </row>
    <row r="45" ht="13.5" customHeight="1">
      <c r="A45" s="524"/>
      <c r="B45" s="525"/>
      <c r="C45" s="524"/>
      <c r="D45" s="524"/>
      <c r="E45" s="524"/>
      <c r="F45" s="524"/>
      <c r="G45" s="524"/>
      <c r="H45" s="524"/>
      <c r="I45" s="524"/>
      <c r="J45" s="524"/>
      <c r="K45" s="524"/>
      <c r="L45" s="524"/>
      <c r="M45" s="524"/>
      <c r="N45" s="524"/>
      <c r="O45" s="524"/>
      <c r="P45" s="524"/>
      <c r="Q45" s="524"/>
      <c r="R45" s="524"/>
      <c r="S45" s="524"/>
      <c r="T45" s="524"/>
      <c r="U45" s="524"/>
      <c r="V45" s="524"/>
      <c r="W45" s="524"/>
      <c r="X45" s="524"/>
      <c r="Y45" s="524"/>
      <c r="Z45" s="524"/>
    </row>
    <row r="46" ht="13.5" customHeight="1">
      <c r="A46" s="524"/>
      <c r="B46" s="525"/>
      <c r="C46" s="524"/>
      <c r="D46" s="524"/>
      <c r="E46" s="524"/>
      <c r="F46" s="524"/>
      <c r="G46" s="524"/>
      <c r="H46" s="524"/>
      <c r="I46" s="524"/>
      <c r="J46" s="524"/>
      <c r="K46" s="524"/>
      <c r="L46" s="524"/>
      <c r="M46" s="524"/>
      <c r="N46" s="524"/>
      <c r="O46" s="524"/>
      <c r="P46" s="524"/>
      <c r="Q46" s="524"/>
      <c r="R46" s="524"/>
      <c r="S46" s="524"/>
      <c r="T46" s="524"/>
      <c r="U46" s="524"/>
      <c r="V46" s="524"/>
      <c r="W46" s="524"/>
      <c r="X46" s="524"/>
      <c r="Y46" s="524"/>
      <c r="Z46" s="524"/>
    </row>
    <row r="47" ht="13.5" customHeight="1">
      <c r="A47" s="524"/>
      <c r="B47" s="525"/>
      <c r="C47" s="524"/>
      <c r="D47" s="524"/>
      <c r="E47" s="524"/>
      <c r="F47" s="524"/>
      <c r="G47" s="524"/>
      <c r="H47" s="524"/>
      <c r="I47" s="524"/>
      <c r="J47" s="524"/>
      <c r="K47" s="524"/>
      <c r="L47" s="524"/>
      <c r="M47" s="524"/>
      <c r="N47" s="524"/>
      <c r="O47" s="524"/>
      <c r="P47" s="524"/>
      <c r="Q47" s="524"/>
      <c r="R47" s="524"/>
      <c r="S47" s="524"/>
      <c r="T47" s="524"/>
      <c r="U47" s="524"/>
      <c r="V47" s="524"/>
      <c r="W47" s="524"/>
      <c r="X47" s="524"/>
      <c r="Y47" s="524"/>
      <c r="Z47" s="524"/>
    </row>
    <row r="48" ht="13.5" customHeight="1">
      <c r="A48" s="524"/>
      <c r="B48" s="525"/>
      <c r="C48" s="524"/>
      <c r="D48" s="524"/>
      <c r="E48" s="524"/>
      <c r="F48" s="524"/>
      <c r="G48" s="524"/>
      <c r="H48" s="524"/>
      <c r="I48" s="524"/>
      <c r="J48" s="524"/>
      <c r="K48" s="524"/>
      <c r="L48" s="524"/>
      <c r="M48" s="524"/>
      <c r="N48" s="524"/>
      <c r="O48" s="524"/>
      <c r="P48" s="524"/>
      <c r="Q48" s="524"/>
      <c r="R48" s="524"/>
      <c r="S48" s="524"/>
      <c r="T48" s="524"/>
      <c r="U48" s="524"/>
      <c r="V48" s="524"/>
      <c r="W48" s="524"/>
      <c r="X48" s="524"/>
      <c r="Y48" s="524"/>
      <c r="Z48" s="524"/>
    </row>
    <row r="49" ht="13.5" customHeight="1">
      <c r="A49" s="524"/>
      <c r="B49" s="525"/>
      <c r="C49" s="524"/>
      <c r="D49" s="524"/>
      <c r="E49" s="524"/>
      <c r="F49" s="524"/>
      <c r="G49" s="524"/>
      <c r="H49" s="524"/>
      <c r="I49" s="524"/>
      <c r="J49" s="524"/>
      <c r="K49" s="524"/>
      <c r="L49" s="524"/>
      <c r="M49" s="524"/>
      <c r="N49" s="524"/>
      <c r="O49" s="524"/>
      <c r="P49" s="524"/>
      <c r="Q49" s="524"/>
      <c r="R49" s="524"/>
      <c r="S49" s="524"/>
      <c r="T49" s="524"/>
      <c r="U49" s="524"/>
      <c r="V49" s="524"/>
      <c r="W49" s="524"/>
      <c r="X49" s="524"/>
      <c r="Y49" s="524"/>
      <c r="Z49" s="524"/>
    </row>
    <row r="50" ht="13.5" customHeight="1">
      <c r="A50" s="524"/>
      <c r="B50" s="525"/>
      <c r="C50" s="524"/>
      <c r="D50" s="524"/>
      <c r="E50" s="524"/>
      <c r="F50" s="524"/>
      <c r="G50" s="524"/>
      <c r="H50" s="524"/>
      <c r="I50" s="524"/>
      <c r="J50" s="524"/>
      <c r="K50" s="524"/>
      <c r="L50" s="524"/>
      <c r="M50" s="524"/>
      <c r="N50" s="524"/>
      <c r="O50" s="524"/>
      <c r="P50" s="524"/>
      <c r="Q50" s="524"/>
      <c r="R50" s="524"/>
      <c r="S50" s="524"/>
      <c r="T50" s="524"/>
      <c r="U50" s="524"/>
      <c r="V50" s="524"/>
      <c r="W50" s="524"/>
      <c r="X50" s="524"/>
      <c r="Y50" s="524"/>
      <c r="Z50" s="524"/>
    </row>
    <row r="51" ht="13.5" customHeight="1">
      <c r="A51" s="524"/>
      <c r="B51" s="525"/>
      <c r="C51" s="524"/>
      <c r="D51" s="524"/>
      <c r="E51" s="524"/>
      <c r="F51" s="524"/>
      <c r="G51" s="524"/>
      <c r="H51" s="524"/>
      <c r="I51" s="524"/>
      <c r="J51" s="524"/>
      <c r="K51" s="524"/>
      <c r="L51" s="524"/>
      <c r="M51" s="524"/>
      <c r="N51" s="524"/>
      <c r="O51" s="524"/>
      <c r="P51" s="524"/>
      <c r="Q51" s="524"/>
      <c r="R51" s="524"/>
      <c r="S51" s="524"/>
      <c r="T51" s="524"/>
      <c r="U51" s="524"/>
      <c r="V51" s="524"/>
      <c r="W51" s="524"/>
      <c r="X51" s="524"/>
      <c r="Y51" s="524"/>
      <c r="Z51" s="524"/>
    </row>
    <row r="52" ht="13.5" customHeight="1">
      <c r="A52" s="524"/>
      <c r="B52" s="525"/>
      <c r="C52" s="524"/>
      <c r="D52" s="524"/>
      <c r="E52" s="524"/>
      <c r="F52" s="524"/>
      <c r="G52" s="524"/>
      <c r="H52" s="524"/>
      <c r="I52" s="524"/>
      <c r="J52" s="524"/>
      <c r="K52" s="524"/>
      <c r="L52" s="524"/>
      <c r="M52" s="524"/>
      <c r="N52" s="524"/>
      <c r="O52" s="524"/>
      <c r="P52" s="524"/>
      <c r="Q52" s="524"/>
      <c r="R52" s="524"/>
      <c r="S52" s="524"/>
      <c r="T52" s="524"/>
      <c r="U52" s="524"/>
      <c r="V52" s="524"/>
      <c r="W52" s="524"/>
      <c r="X52" s="524"/>
      <c r="Y52" s="524"/>
      <c r="Z52" s="524"/>
    </row>
    <row r="53" ht="13.5" customHeight="1">
      <c r="A53" s="524"/>
      <c r="B53" s="525"/>
      <c r="C53" s="524"/>
      <c r="D53" s="524"/>
      <c r="E53" s="524"/>
      <c r="F53" s="524"/>
      <c r="G53" s="524"/>
      <c r="H53" s="524"/>
      <c r="I53" s="524"/>
      <c r="J53" s="524"/>
      <c r="K53" s="524"/>
      <c r="L53" s="524"/>
      <c r="M53" s="524"/>
      <c r="N53" s="524"/>
      <c r="O53" s="524"/>
      <c r="P53" s="524"/>
      <c r="Q53" s="524"/>
      <c r="R53" s="524"/>
      <c r="S53" s="524"/>
      <c r="T53" s="524"/>
      <c r="U53" s="524"/>
      <c r="V53" s="524"/>
      <c r="W53" s="524"/>
      <c r="X53" s="524"/>
      <c r="Y53" s="524"/>
      <c r="Z53" s="524"/>
    </row>
    <row r="54" ht="13.5" customHeight="1">
      <c r="A54" s="524"/>
      <c r="B54" s="525"/>
      <c r="C54" s="524"/>
      <c r="D54" s="524"/>
      <c r="E54" s="524"/>
      <c r="F54" s="524"/>
      <c r="G54" s="524"/>
      <c r="H54" s="524"/>
      <c r="I54" s="524"/>
      <c r="J54" s="524"/>
      <c r="K54" s="524"/>
      <c r="L54" s="524"/>
      <c r="M54" s="524"/>
      <c r="N54" s="524"/>
      <c r="O54" s="524"/>
      <c r="P54" s="524"/>
      <c r="Q54" s="524"/>
      <c r="R54" s="524"/>
      <c r="S54" s="524"/>
      <c r="T54" s="524"/>
      <c r="U54" s="524"/>
      <c r="V54" s="524"/>
      <c r="W54" s="524"/>
      <c r="X54" s="524"/>
      <c r="Y54" s="524"/>
      <c r="Z54" s="524"/>
    </row>
    <row r="55" ht="13.5" customHeight="1">
      <c r="A55" s="524"/>
      <c r="B55" s="525"/>
      <c r="C55" s="524"/>
      <c r="D55" s="524"/>
      <c r="E55" s="524"/>
      <c r="F55" s="524"/>
      <c r="G55" s="524"/>
      <c r="H55" s="524"/>
      <c r="I55" s="524"/>
      <c r="J55" s="524"/>
      <c r="K55" s="524"/>
      <c r="L55" s="524"/>
      <c r="M55" s="524"/>
      <c r="N55" s="524"/>
      <c r="O55" s="524"/>
      <c r="P55" s="524"/>
      <c r="Q55" s="524"/>
      <c r="R55" s="524"/>
      <c r="S55" s="524"/>
      <c r="T55" s="524"/>
      <c r="U55" s="524"/>
      <c r="V55" s="524"/>
      <c r="W55" s="524"/>
      <c r="X55" s="524"/>
      <c r="Y55" s="524"/>
      <c r="Z55" s="524"/>
    </row>
    <row r="56" ht="13.5" customHeight="1">
      <c r="A56" s="524"/>
      <c r="B56" s="525"/>
      <c r="C56" s="524"/>
      <c r="D56" s="524"/>
      <c r="E56" s="524"/>
      <c r="F56" s="524"/>
      <c r="G56" s="524"/>
      <c r="H56" s="524"/>
      <c r="I56" s="524"/>
      <c r="J56" s="524"/>
      <c r="K56" s="524"/>
      <c r="L56" s="524"/>
      <c r="M56" s="524"/>
      <c r="N56" s="524"/>
      <c r="O56" s="524"/>
      <c r="P56" s="524"/>
      <c r="Q56" s="524"/>
      <c r="R56" s="524"/>
      <c r="S56" s="524"/>
      <c r="T56" s="524"/>
      <c r="U56" s="524"/>
      <c r="V56" s="524"/>
      <c r="W56" s="524"/>
      <c r="X56" s="524"/>
      <c r="Y56" s="524"/>
      <c r="Z56" s="524"/>
    </row>
    <row r="57" ht="13.5" customHeight="1">
      <c r="A57" s="524"/>
      <c r="B57" s="525"/>
      <c r="C57" s="524"/>
      <c r="D57" s="524"/>
      <c r="E57" s="524"/>
      <c r="F57" s="524"/>
      <c r="G57" s="524"/>
      <c r="H57" s="524"/>
      <c r="I57" s="524"/>
      <c r="J57" s="524"/>
      <c r="K57" s="524"/>
      <c r="L57" s="524"/>
      <c r="M57" s="524"/>
      <c r="N57" s="524"/>
      <c r="O57" s="524"/>
      <c r="P57" s="524"/>
      <c r="Q57" s="524"/>
      <c r="R57" s="524"/>
      <c r="S57" s="524"/>
      <c r="T57" s="524"/>
      <c r="U57" s="524"/>
      <c r="V57" s="524"/>
      <c r="W57" s="524"/>
      <c r="X57" s="524"/>
      <c r="Y57" s="524"/>
      <c r="Z57" s="524"/>
    </row>
    <row r="58" ht="13.5" customHeight="1">
      <c r="A58" s="524"/>
      <c r="B58" s="525"/>
      <c r="C58" s="524"/>
      <c r="D58" s="524"/>
      <c r="E58" s="524"/>
      <c r="F58" s="524"/>
      <c r="G58" s="524"/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</row>
    <row r="59" ht="13.5" customHeight="1">
      <c r="A59" s="524"/>
      <c r="B59" s="525"/>
      <c r="C59" s="524"/>
      <c r="D59" s="524"/>
      <c r="E59" s="524"/>
      <c r="F59" s="524"/>
      <c r="G59" s="524"/>
      <c r="H59" s="524"/>
      <c r="I59" s="524"/>
      <c r="J59" s="524"/>
      <c r="K59" s="524"/>
      <c r="L59" s="524"/>
      <c r="M59" s="524"/>
      <c r="N59" s="524"/>
      <c r="O59" s="524"/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</row>
    <row r="60" ht="13.5" customHeight="1">
      <c r="A60" s="524"/>
      <c r="B60" s="525"/>
      <c r="C60" s="524"/>
      <c r="D60" s="524"/>
      <c r="E60" s="524"/>
      <c r="F60" s="524"/>
      <c r="G60" s="524"/>
      <c r="H60" s="524"/>
      <c r="I60" s="524"/>
      <c r="J60" s="524"/>
      <c r="K60" s="524"/>
      <c r="L60" s="524"/>
      <c r="M60" s="524"/>
      <c r="N60" s="524"/>
      <c r="O60" s="524"/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</row>
    <row r="61" ht="13.5" customHeight="1">
      <c r="A61" s="524"/>
      <c r="B61" s="525"/>
      <c r="C61" s="524"/>
      <c r="D61" s="524"/>
      <c r="E61" s="524"/>
      <c r="F61" s="524"/>
      <c r="G61" s="524"/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</row>
    <row r="62" ht="13.5" customHeight="1">
      <c r="A62" s="524"/>
      <c r="B62" s="525"/>
      <c r="C62" s="524"/>
      <c r="D62" s="524"/>
      <c r="E62" s="524"/>
      <c r="F62" s="524"/>
      <c r="G62" s="524"/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</row>
    <row r="63" ht="13.5" customHeight="1">
      <c r="A63" s="524"/>
      <c r="B63" s="525"/>
      <c r="C63" s="524"/>
      <c r="D63" s="524"/>
      <c r="E63" s="524"/>
      <c r="F63" s="524"/>
      <c r="G63" s="524"/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</row>
    <row r="64" ht="13.5" customHeight="1">
      <c r="A64" s="524"/>
      <c r="B64" s="525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</row>
    <row r="65" ht="13.5" customHeight="1">
      <c r="A65" s="524"/>
      <c r="B65" s="525"/>
      <c r="C65" s="524"/>
      <c r="D65" s="524"/>
      <c r="E65" s="524"/>
      <c r="F65" s="524"/>
      <c r="G65" s="524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</row>
    <row r="66" ht="13.5" customHeight="1">
      <c r="A66" s="524"/>
      <c r="B66" s="525"/>
      <c r="C66" s="524"/>
      <c r="D66" s="524"/>
      <c r="E66" s="524"/>
      <c r="F66" s="524"/>
      <c r="G66" s="524"/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</row>
    <row r="67" ht="13.5" customHeight="1">
      <c r="A67" s="524"/>
      <c r="B67" s="525"/>
      <c r="C67" s="524"/>
      <c r="D67" s="524"/>
      <c r="E67" s="524"/>
      <c r="F67" s="524"/>
      <c r="G67" s="524"/>
      <c r="H67" s="524"/>
      <c r="I67" s="524"/>
      <c r="J67" s="524"/>
      <c r="K67" s="524"/>
      <c r="L67" s="524"/>
      <c r="M67" s="524"/>
      <c r="N67" s="524"/>
      <c r="O67" s="524"/>
      <c r="P67" s="524"/>
      <c r="Q67" s="524"/>
      <c r="R67" s="524"/>
      <c r="S67" s="524"/>
      <c r="T67" s="524"/>
      <c r="U67" s="524"/>
      <c r="V67" s="524"/>
      <c r="W67" s="524"/>
      <c r="X67" s="524"/>
      <c r="Y67" s="524"/>
      <c r="Z67" s="524"/>
    </row>
    <row r="68" ht="13.5" customHeight="1">
      <c r="A68" s="524"/>
      <c r="B68" s="525"/>
      <c r="C68" s="524"/>
      <c r="D68" s="524"/>
      <c r="E68" s="524"/>
      <c r="F68" s="524"/>
      <c r="G68" s="524"/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</row>
    <row r="69" ht="13.5" customHeight="1">
      <c r="A69" s="524"/>
      <c r="B69" s="525"/>
      <c r="C69" s="524"/>
      <c r="D69" s="524"/>
      <c r="E69" s="524"/>
      <c r="F69" s="524"/>
      <c r="G69" s="524"/>
      <c r="H69" s="524"/>
      <c r="I69" s="524"/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524"/>
      <c r="U69" s="524"/>
      <c r="V69" s="524"/>
      <c r="W69" s="524"/>
      <c r="X69" s="524"/>
      <c r="Y69" s="524"/>
      <c r="Z69" s="524"/>
    </row>
    <row r="70" ht="13.5" customHeight="1">
      <c r="A70" s="524"/>
      <c r="B70" s="525"/>
      <c r="C70" s="524"/>
      <c r="D70" s="524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</row>
    <row r="71" ht="13.5" customHeight="1">
      <c r="A71" s="524"/>
      <c r="B71" s="525"/>
      <c r="C71" s="524"/>
      <c r="D71" s="524"/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4"/>
      <c r="R71" s="524"/>
      <c r="S71" s="524"/>
      <c r="T71" s="524"/>
      <c r="U71" s="524"/>
      <c r="V71" s="524"/>
      <c r="W71" s="524"/>
      <c r="X71" s="524"/>
      <c r="Y71" s="524"/>
      <c r="Z71" s="524"/>
    </row>
    <row r="72" ht="13.5" customHeight="1">
      <c r="A72" s="524"/>
      <c r="B72" s="525"/>
      <c r="C72" s="524"/>
      <c r="D72" s="524"/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</row>
    <row r="73" ht="13.5" customHeight="1">
      <c r="A73" s="524"/>
      <c r="B73" s="525"/>
      <c r="C73" s="524"/>
      <c r="D73" s="524"/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</row>
    <row r="74" ht="13.5" customHeight="1">
      <c r="A74" s="524"/>
      <c r="B74" s="525"/>
      <c r="C74" s="524"/>
      <c r="D74" s="524"/>
      <c r="E74" s="524"/>
      <c r="F74" s="524"/>
      <c r="G74" s="524"/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</row>
    <row r="75" ht="13.5" customHeight="1">
      <c r="A75" s="524"/>
      <c r="B75" s="525"/>
      <c r="C75" s="524"/>
      <c r="D75" s="524"/>
      <c r="E75" s="524"/>
      <c r="F75" s="524"/>
      <c r="G75" s="524"/>
      <c r="H75" s="524"/>
      <c r="I75" s="524"/>
      <c r="J75" s="524"/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</row>
    <row r="76" ht="13.5" customHeight="1">
      <c r="A76" s="524"/>
      <c r="B76" s="525"/>
      <c r="C76" s="524"/>
      <c r="D76" s="524"/>
      <c r="E76" s="524"/>
      <c r="F76" s="524"/>
      <c r="G76" s="524"/>
      <c r="H76" s="524"/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</row>
    <row r="77" ht="13.5" customHeight="1">
      <c r="A77" s="524"/>
      <c r="B77" s="525"/>
      <c r="C77" s="524"/>
      <c r="D77" s="524"/>
      <c r="E77" s="524"/>
      <c r="F77" s="524"/>
      <c r="G77" s="524"/>
      <c r="H77" s="524"/>
      <c r="I77" s="524"/>
      <c r="J77" s="524"/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</row>
    <row r="78" ht="13.5" customHeight="1">
      <c r="A78" s="524"/>
      <c r="B78" s="525"/>
      <c r="C78" s="524"/>
      <c r="D78" s="524"/>
      <c r="E78" s="524"/>
      <c r="F78" s="524"/>
      <c r="G78" s="524"/>
      <c r="H78" s="524"/>
      <c r="I78" s="524"/>
      <c r="J78" s="524"/>
      <c r="K78" s="524"/>
      <c r="L78" s="524"/>
      <c r="M78" s="524"/>
      <c r="N78" s="524"/>
      <c r="O78" s="524"/>
      <c r="P78" s="524"/>
      <c r="Q78" s="524"/>
      <c r="R78" s="524"/>
      <c r="S78" s="524"/>
      <c r="T78" s="524"/>
      <c r="U78" s="524"/>
      <c r="V78" s="524"/>
      <c r="W78" s="524"/>
      <c r="X78" s="524"/>
      <c r="Y78" s="524"/>
      <c r="Z78" s="524"/>
    </row>
    <row r="79" ht="13.5" customHeight="1">
      <c r="A79" s="524"/>
      <c r="B79" s="525"/>
      <c r="C79" s="524"/>
      <c r="D79" s="524"/>
      <c r="E79" s="524"/>
      <c r="F79" s="524"/>
      <c r="G79" s="524"/>
      <c r="H79" s="524"/>
      <c r="I79" s="524"/>
      <c r="J79" s="524"/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4"/>
      <c r="V79" s="524"/>
      <c r="W79" s="524"/>
      <c r="X79" s="524"/>
      <c r="Y79" s="524"/>
      <c r="Z79" s="524"/>
    </row>
    <row r="80" ht="13.5" customHeight="1">
      <c r="A80" s="524"/>
      <c r="B80" s="525"/>
      <c r="C80" s="524"/>
      <c r="D80" s="524"/>
      <c r="E80" s="524"/>
      <c r="F80" s="524"/>
      <c r="G80" s="524"/>
      <c r="H80" s="524"/>
      <c r="I80" s="524"/>
      <c r="J80" s="524"/>
      <c r="K80" s="524"/>
      <c r="L80" s="524"/>
      <c r="M80" s="524"/>
      <c r="N80" s="524"/>
      <c r="O80" s="524"/>
      <c r="P80" s="524"/>
      <c r="Q80" s="524"/>
      <c r="R80" s="524"/>
      <c r="S80" s="524"/>
      <c r="T80" s="524"/>
      <c r="U80" s="524"/>
      <c r="V80" s="524"/>
      <c r="W80" s="524"/>
      <c r="X80" s="524"/>
      <c r="Y80" s="524"/>
      <c r="Z80" s="524"/>
    </row>
    <row r="81" ht="13.5" customHeight="1">
      <c r="A81" s="524"/>
      <c r="B81" s="525"/>
      <c r="C81" s="524"/>
      <c r="D81" s="524"/>
      <c r="E81" s="524"/>
      <c r="F81" s="524"/>
      <c r="G81" s="524"/>
      <c r="H81" s="524"/>
      <c r="I81" s="524"/>
      <c r="J81" s="524"/>
      <c r="K81" s="524"/>
      <c r="L81" s="524"/>
      <c r="M81" s="524"/>
      <c r="N81" s="524"/>
      <c r="O81" s="524"/>
      <c r="P81" s="524"/>
      <c r="Q81" s="524"/>
      <c r="R81" s="524"/>
      <c r="S81" s="524"/>
      <c r="T81" s="524"/>
      <c r="U81" s="524"/>
      <c r="V81" s="524"/>
      <c r="W81" s="524"/>
      <c r="X81" s="524"/>
      <c r="Y81" s="524"/>
      <c r="Z81" s="524"/>
    </row>
    <row r="82" ht="13.5" customHeight="1">
      <c r="A82" s="524"/>
      <c r="B82" s="525"/>
      <c r="C82" s="524"/>
      <c r="D82" s="524"/>
      <c r="E82" s="524"/>
      <c r="F82" s="524"/>
      <c r="G82" s="524"/>
      <c r="H82" s="524"/>
      <c r="I82" s="524"/>
      <c r="J82" s="524"/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U82" s="524"/>
      <c r="V82" s="524"/>
      <c r="W82" s="524"/>
      <c r="X82" s="524"/>
      <c r="Y82" s="524"/>
      <c r="Z82" s="524"/>
    </row>
    <row r="83" ht="13.5" customHeight="1">
      <c r="A83" s="524"/>
      <c r="B83" s="525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</row>
    <row r="84" ht="13.5" customHeight="1">
      <c r="A84" s="524"/>
      <c r="B84" s="525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</row>
    <row r="85" ht="13.5" customHeight="1">
      <c r="A85" s="524"/>
      <c r="B85" s="525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</row>
    <row r="86" ht="13.5" customHeight="1">
      <c r="A86" s="524"/>
      <c r="B86" s="525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</row>
    <row r="87" ht="13.5" customHeight="1">
      <c r="A87" s="524"/>
      <c r="B87" s="525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</row>
    <row r="88" ht="13.5" customHeight="1">
      <c r="A88" s="524"/>
      <c r="B88" s="525"/>
      <c r="C88" s="524"/>
      <c r="D88" s="524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</row>
    <row r="89" ht="13.5" customHeight="1">
      <c r="A89" s="524"/>
      <c r="B89" s="525"/>
      <c r="C89" s="524"/>
      <c r="D89" s="524"/>
      <c r="E89" s="524"/>
      <c r="F89" s="524"/>
      <c r="G89" s="524"/>
      <c r="H89" s="524"/>
      <c r="I89" s="524"/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524"/>
      <c r="U89" s="524"/>
      <c r="V89" s="524"/>
      <c r="W89" s="524"/>
      <c r="X89" s="524"/>
      <c r="Y89" s="524"/>
      <c r="Z89" s="524"/>
    </row>
    <row r="90" ht="13.5" customHeight="1">
      <c r="A90" s="524"/>
      <c r="B90" s="525"/>
      <c r="C90" s="524"/>
      <c r="D90" s="524"/>
      <c r="E90" s="524"/>
      <c r="F90" s="524"/>
      <c r="G90" s="524"/>
      <c r="H90" s="524"/>
      <c r="I90" s="524"/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524"/>
      <c r="U90" s="524"/>
      <c r="V90" s="524"/>
      <c r="W90" s="524"/>
      <c r="X90" s="524"/>
      <c r="Y90" s="524"/>
      <c r="Z90" s="524"/>
    </row>
    <row r="91" ht="13.5" customHeight="1">
      <c r="A91" s="524"/>
      <c r="B91" s="525"/>
      <c r="C91" s="524"/>
      <c r="D91" s="524"/>
      <c r="E91" s="524"/>
      <c r="F91" s="524"/>
      <c r="G91" s="524"/>
      <c r="H91" s="524"/>
      <c r="I91" s="524"/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524"/>
      <c r="U91" s="524"/>
      <c r="V91" s="524"/>
      <c r="W91" s="524"/>
      <c r="X91" s="524"/>
      <c r="Y91" s="524"/>
      <c r="Z91" s="524"/>
    </row>
    <row r="92" ht="13.5" customHeight="1">
      <c r="A92" s="524"/>
      <c r="B92" s="525"/>
      <c r="C92" s="524"/>
      <c r="D92" s="524"/>
      <c r="E92" s="524"/>
      <c r="F92" s="524"/>
      <c r="G92" s="524"/>
      <c r="H92" s="524"/>
      <c r="I92" s="524"/>
      <c r="J92" s="524"/>
      <c r="K92" s="524"/>
      <c r="L92" s="524"/>
      <c r="M92" s="524"/>
      <c r="N92" s="524"/>
      <c r="O92" s="524"/>
      <c r="P92" s="524"/>
      <c r="Q92" s="524"/>
      <c r="R92" s="524"/>
      <c r="S92" s="524"/>
      <c r="T92" s="524"/>
      <c r="U92" s="524"/>
      <c r="V92" s="524"/>
      <c r="W92" s="524"/>
      <c r="X92" s="524"/>
      <c r="Y92" s="524"/>
      <c r="Z92" s="524"/>
    </row>
    <row r="93" ht="13.5" customHeight="1">
      <c r="A93" s="524"/>
      <c r="B93" s="525"/>
      <c r="C93" s="524"/>
      <c r="D93" s="524"/>
      <c r="E93" s="524"/>
      <c r="F93" s="524"/>
      <c r="G93" s="524"/>
      <c r="H93" s="524"/>
      <c r="I93" s="524"/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524"/>
      <c r="U93" s="524"/>
      <c r="V93" s="524"/>
      <c r="W93" s="524"/>
      <c r="X93" s="524"/>
      <c r="Y93" s="524"/>
      <c r="Z93" s="524"/>
    </row>
    <row r="94" ht="13.5" customHeight="1">
      <c r="A94" s="524"/>
      <c r="B94" s="525"/>
      <c r="C94" s="524"/>
      <c r="D94" s="524"/>
      <c r="E94" s="524"/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4"/>
      <c r="R94" s="524"/>
      <c r="S94" s="524"/>
      <c r="T94" s="524"/>
      <c r="U94" s="524"/>
      <c r="V94" s="524"/>
      <c r="W94" s="524"/>
      <c r="X94" s="524"/>
      <c r="Y94" s="524"/>
      <c r="Z94" s="524"/>
    </row>
    <row r="95" ht="13.5" customHeight="1">
      <c r="A95" s="524"/>
      <c r="B95" s="525"/>
      <c r="C95" s="524"/>
      <c r="D95" s="524"/>
      <c r="E95" s="524"/>
      <c r="F95" s="524"/>
      <c r="G95" s="524"/>
      <c r="H95" s="524"/>
      <c r="I95" s="524"/>
      <c r="J95" s="524"/>
      <c r="K95" s="524"/>
      <c r="L95" s="524"/>
      <c r="M95" s="524"/>
      <c r="N95" s="524"/>
      <c r="O95" s="524"/>
      <c r="P95" s="524"/>
      <c r="Q95" s="524"/>
      <c r="R95" s="524"/>
      <c r="S95" s="524"/>
      <c r="T95" s="524"/>
      <c r="U95" s="524"/>
      <c r="V95" s="524"/>
      <c r="W95" s="524"/>
      <c r="X95" s="524"/>
      <c r="Y95" s="524"/>
      <c r="Z95" s="524"/>
    </row>
    <row r="96" ht="13.5" customHeight="1">
      <c r="A96" s="524"/>
      <c r="B96" s="525"/>
      <c r="C96" s="524"/>
      <c r="D96" s="524"/>
      <c r="E96" s="524"/>
      <c r="F96" s="524"/>
      <c r="G96" s="524"/>
      <c r="H96" s="524"/>
      <c r="I96" s="524"/>
      <c r="J96" s="524"/>
      <c r="K96" s="524"/>
      <c r="L96" s="524"/>
      <c r="M96" s="524"/>
      <c r="N96" s="524"/>
      <c r="O96" s="524"/>
      <c r="P96" s="524"/>
      <c r="Q96" s="524"/>
      <c r="R96" s="524"/>
      <c r="S96" s="524"/>
      <c r="T96" s="524"/>
      <c r="U96" s="524"/>
      <c r="V96" s="524"/>
      <c r="W96" s="524"/>
      <c r="X96" s="524"/>
      <c r="Y96" s="524"/>
      <c r="Z96" s="524"/>
    </row>
    <row r="97" ht="13.5" customHeight="1">
      <c r="A97" s="524"/>
      <c r="B97" s="525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524"/>
      <c r="U97" s="524"/>
      <c r="V97" s="524"/>
      <c r="W97" s="524"/>
      <c r="X97" s="524"/>
      <c r="Y97" s="524"/>
      <c r="Z97" s="524"/>
    </row>
    <row r="98" ht="13.5" customHeight="1">
      <c r="A98" s="524"/>
      <c r="B98" s="525"/>
      <c r="C98" s="524"/>
      <c r="D98" s="524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4"/>
      <c r="V98" s="524"/>
      <c r="W98" s="524"/>
      <c r="X98" s="524"/>
      <c r="Y98" s="524"/>
      <c r="Z98" s="524"/>
    </row>
    <row r="99" ht="13.5" customHeight="1">
      <c r="A99" s="524"/>
      <c r="B99" s="525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  <c r="O99" s="524"/>
      <c r="P99" s="524"/>
      <c r="Q99" s="524"/>
      <c r="R99" s="524"/>
      <c r="S99" s="524"/>
      <c r="T99" s="524"/>
      <c r="U99" s="524"/>
      <c r="V99" s="524"/>
      <c r="W99" s="524"/>
      <c r="X99" s="524"/>
      <c r="Y99" s="524"/>
      <c r="Z99" s="524"/>
    </row>
    <row r="100" ht="13.5" customHeight="1">
      <c r="A100" s="524"/>
      <c r="B100" s="525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  <c r="O100" s="524"/>
      <c r="P100" s="524"/>
      <c r="Q100" s="524"/>
      <c r="R100" s="524"/>
      <c r="S100" s="524"/>
      <c r="T100" s="524"/>
      <c r="U100" s="524"/>
      <c r="V100" s="524"/>
      <c r="W100" s="524"/>
      <c r="X100" s="524"/>
      <c r="Y100" s="524"/>
      <c r="Z100" s="524"/>
    </row>
    <row r="101" ht="13.5" customHeight="1">
      <c r="A101" s="524"/>
      <c r="B101" s="525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</row>
    <row r="102" ht="13.5" customHeight="1">
      <c r="A102" s="524"/>
      <c r="B102" s="525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4"/>
      <c r="U102" s="524"/>
      <c r="V102" s="524"/>
      <c r="W102" s="524"/>
      <c r="X102" s="524"/>
      <c r="Y102" s="524"/>
      <c r="Z102" s="524"/>
    </row>
    <row r="103" ht="13.5" customHeight="1">
      <c r="A103" s="524"/>
      <c r="B103" s="525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4"/>
      <c r="U103" s="524"/>
      <c r="V103" s="524"/>
      <c r="W103" s="524"/>
      <c r="X103" s="524"/>
      <c r="Y103" s="524"/>
      <c r="Z103" s="524"/>
    </row>
    <row r="104" ht="13.5" customHeight="1">
      <c r="A104" s="524"/>
      <c r="B104" s="525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4"/>
      <c r="U104" s="524"/>
      <c r="V104" s="524"/>
      <c r="W104" s="524"/>
      <c r="X104" s="524"/>
      <c r="Y104" s="524"/>
      <c r="Z104" s="524"/>
    </row>
    <row r="105" ht="13.5" customHeight="1">
      <c r="A105" s="524"/>
      <c r="B105" s="525"/>
      <c r="C105" s="524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</row>
    <row r="106" ht="13.5" customHeight="1">
      <c r="A106" s="524"/>
      <c r="B106" s="525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4"/>
      <c r="V106" s="524"/>
      <c r="W106" s="524"/>
      <c r="X106" s="524"/>
      <c r="Y106" s="524"/>
      <c r="Z106" s="524"/>
    </row>
    <row r="107" ht="13.5" customHeight="1">
      <c r="A107" s="524"/>
      <c r="B107" s="525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  <c r="O107" s="524"/>
      <c r="P107" s="524"/>
      <c r="Q107" s="524"/>
      <c r="R107" s="524"/>
      <c r="S107" s="524"/>
      <c r="T107" s="524"/>
      <c r="U107" s="524"/>
      <c r="V107" s="524"/>
      <c r="W107" s="524"/>
      <c r="X107" s="524"/>
      <c r="Y107" s="524"/>
      <c r="Z107" s="524"/>
    </row>
    <row r="108" ht="13.5" customHeight="1">
      <c r="A108" s="524"/>
      <c r="B108" s="525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  <c r="O108" s="524"/>
      <c r="P108" s="524"/>
      <c r="Q108" s="524"/>
      <c r="R108" s="524"/>
      <c r="S108" s="524"/>
      <c r="T108" s="524"/>
      <c r="U108" s="524"/>
      <c r="V108" s="524"/>
      <c r="W108" s="524"/>
      <c r="X108" s="524"/>
      <c r="Y108" s="524"/>
      <c r="Z108" s="524"/>
    </row>
    <row r="109" ht="13.5" customHeight="1">
      <c r="A109" s="524"/>
      <c r="B109" s="525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  <c r="O109" s="524"/>
      <c r="P109" s="524"/>
      <c r="Q109" s="524"/>
      <c r="R109" s="524"/>
      <c r="S109" s="524"/>
      <c r="T109" s="524"/>
      <c r="U109" s="524"/>
      <c r="V109" s="524"/>
      <c r="W109" s="524"/>
      <c r="X109" s="524"/>
      <c r="Y109" s="524"/>
      <c r="Z109" s="524"/>
    </row>
    <row r="110" ht="13.5" customHeight="1">
      <c r="A110" s="524"/>
      <c r="B110" s="525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4"/>
      <c r="V110" s="524"/>
      <c r="W110" s="524"/>
      <c r="X110" s="524"/>
      <c r="Y110" s="524"/>
      <c r="Z110" s="524"/>
    </row>
    <row r="111" ht="13.5" customHeight="1">
      <c r="A111" s="524"/>
      <c r="B111" s="525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4"/>
      <c r="V111" s="524"/>
      <c r="W111" s="524"/>
      <c r="X111" s="524"/>
      <c r="Y111" s="524"/>
      <c r="Z111" s="524"/>
    </row>
    <row r="112" ht="13.5" customHeight="1">
      <c r="A112" s="524"/>
      <c r="B112" s="525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4"/>
      <c r="T112" s="524"/>
      <c r="U112" s="524"/>
      <c r="V112" s="524"/>
      <c r="W112" s="524"/>
      <c r="X112" s="524"/>
      <c r="Y112" s="524"/>
      <c r="Z112" s="524"/>
    </row>
    <row r="113" ht="13.5" customHeight="1">
      <c r="A113" s="524"/>
      <c r="B113" s="525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4"/>
      <c r="V113" s="524"/>
      <c r="W113" s="524"/>
      <c r="X113" s="524"/>
      <c r="Y113" s="524"/>
      <c r="Z113" s="524"/>
    </row>
    <row r="114" ht="13.5" customHeight="1">
      <c r="A114" s="524"/>
      <c r="B114" s="525"/>
      <c r="C114" s="524"/>
      <c r="D114" s="524"/>
      <c r="E114" s="524"/>
      <c r="F114" s="524"/>
      <c r="G114" s="524"/>
      <c r="H114" s="524"/>
      <c r="I114" s="524"/>
      <c r="J114" s="524"/>
      <c r="K114" s="524"/>
      <c r="L114" s="524"/>
      <c r="M114" s="524"/>
      <c r="N114" s="524"/>
      <c r="O114" s="524"/>
      <c r="P114" s="524"/>
      <c r="Q114" s="524"/>
      <c r="R114" s="524"/>
      <c r="S114" s="524"/>
      <c r="T114" s="524"/>
      <c r="U114" s="524"/>
      <c r="V114" s="524"/>
      <c r="W114" s="524"/>
      <c r="X114" s="524"/>
      <c r="Y114" s="524"/>
      <c r="Z114" s="524"/>
    </row>
    <row r="115" ht="13.5" customHeight="1">
      <c r="A115" s="524"/>
      <c r="B115" s="525"/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524"/>
      <c r="P115" s="524"/>
      <c r="Q115" s="524"/>
      <c r="R115" s="524"/>
      <c r="S115" s="524"/>
      <c r="T115" s="524"/>
      <c r="U115" s="524"/>
      <c r="V115" s="524"/>
      <c r="W115" s="524"/>
      <c r="X115" s="524"/>
      <c r="Y115" s="524"/>
      <c r="Z115" s="524"/>
    </row>
    <row r="116" ht="13.5" customHeight="1">
      <c r="A116" s="524"/>
      <c r="B116" s="525"/>
      <c r="C116" s="524"/>
      <c r="D116" s="524"/>
      <c r="E116" s="524"/>
      <c r="F116" s="524"/>
      <c r="G116" s="524"/>
      <c r="H116" s="524"/>
      <c r="I116" s="524"/>
      <c r="J116" s="524"/>
      <c r="K116" s="524"/>
      <c r="L116" s="524"/>
      <c r="M116" s="524"/>
      <c r="N116" s="524"/>
      <c r="O116" s="524"/>
      <c r="P116" s="524"/>
      <c r="Q116" s="524"/>
      <c r="R116" s="524"/>
      <c r="S116" s="524"/>
      <c r="T116" s="524"/>
      <c r="U116" s="524"/>
      <c r="V116" s="524"/>
      <c r="W116" s="524"/>
      <c r="X116" s="524"/>
      <c r="Y116" s="524"/>
      <c r="Z116" s="524"/>
    </row>
    <row r="117" ht="13.5" customHeight="1">
      <c r="A117" s="524"/>
      <c r="B117" s="525"/>
      <c r="C117" s="524"/>
      <c r="D117" s="524"/>
      <c r="E117" s="524"/>
      <c r="F117" s="524"/>
      <c r="G117" s="524"/>
      <c r="H117" s="524"/>
      <c r="I117" s="524"/>
      <c r="J117" s="524"/>
      <c r="K117" s="524"/>
      <c r="L117" s="524"/>
      <c r="M117" s="524"/>
      <c r="N117" s="524"/>
      <c r="O117" s="524"/>
      <c r="P117" s="524"/>
      <c r="Q117" s="524"/>
      <c r="R117" s="524"/>
      <c r="S117" s="524"/>
      <c r="T117" s="524"/>
      <c r="U117" s="524"/>
      <c r="V117" s="524"/>
      <c r="W117" s="524"/>
      <c r="X117" s="524"/>
      <c r="Y117" s="524"/>
      <c r="Z117" s="524"/>
    </row>
    <row r="118" ht="13.5" customHeight="1">
      <c r="A118" s="524"/>
      <c r="B118" s="525"/>
      <c r="C118" s="524"/>
      <c r="D118" s="524"/>
      <c r="E118" s="524"/>
      <c r="F118" s="524"/>
      <c r="G118" s="524"/>
      <c r="H118" s="524"/>
      <c r="I118" s="524"/>
      <c r="J118" s="524"/>
      <c r="K118" s="524"/>
      <c r="L118" s="524"/>
      <c r="M118" s="524"/>
      <c r="N118" s="524"/>
      <c r="O118" s="524"/>
      <c r="P118" s="524"/>
      <c r="Q118" s="524"/>
      <c r="R118" s="524"/>
      <c r="S118" s="524"/>
      <c r="T118" s="524"/>
      <c r="U118" s="524"/>
      <c r="V118" s="524"/>
      <c r="W118" s="524"/>
      <c r="X118" s="524"/>
      <c r="Y118" s="524"/>
      <c r="Z118" s="524"/>
    </row>
    <row r="119" ht="13.5" customHeight="1">
      <c r="A119" s="524"/>
      <c r="B119" s="525"/>
      <c r="C119" s="524"/>
      <c r="D119" s="524"/>
      <c r="E119" s="524"/>
      <c r="F119" s="524"/>
      <c r="G119" s="524"/>
      <c r="H119" s="524"/>
      <c r="I119" s="524"/>
      <c r="J119" s="524"/>
      <c r="K119" s="524"/>
      <c r="L119" s="524"/>
      <c r="M119" s="524"/>
      <c r="N119" s="524"/>
      <c r="O119" s="524"/>
      <c r="P119" s="524"/>
      <c r="Q119" s="524"/>
      <c r="R119" s="524"/>
      <c r="S119" s="524"/>
      <c r="T119" s="524"/>
      <c r="U119" s="524"/>
      <c r="V119" s="524"/>
      <c r="W119" s="524"/>
      <c r="X119" s="524"/>
      <c r="Y119" s="524"/>
      <c r="Z119" s="524"/>
    </row>
    <row r="120" ht="13.5" customHeight="1">
      <c r="A120" s="524"/>
      <c r="B120" s="525"/>
      <c r="C120" s="524"/>
      <c r="D120" s="524"/>
      <c r="E120" s="524"/>
      <c r="F120" s="524"/>
      <c r="G120" s="524"/>
      <c r="H120" s="524"/>
      <c r="I120" s="524"/>
      <c r="J120" s="524"/>
      <c r="K120" s="524"/>
      <c r="L120" s="524"/>
      <c r="M120" s="524"/>
      <c r="N120" s="524"/>
      <c r="O120" s="524"/>
      <c r="P120" s="524"/>
      <c r="Q120" s="524"/>
      <c r="R120" s="524"/>
      <c r="S120" s="524"/>
      <c r="T120" s="524"/>
      <c r="U120" s="524"/>
      <c r="V120" s="524"/>
      <c r="W120" s="524"/>
      <c r="X120" s="524"/>
      <c r="Y120" s="524"/>
      <c r="Z120" s="524"/>
    </row>
    <row r="121" ht="13.5" customHeight="1">
      <c r="A121" s="524"/>
      <c r="B121" s="525"/>
      <c r="C121" s="524"/>
      <c r="D121" s="524"/>
      <c r="E121" s="524"/>
      <c r="F121" s="524"/>
      <c r="G121" s="524"/>
      <c r="H121" s="524"/>
      <c r="I121" s="524"/>
      <c r="J121" s="524"/>
      <c r="K121" s="524"/>
      <c r="L121" s="524"/>
      <c r="M121" s="524"/>
      <c r="N121" s="524"/>
      <c r="O121" s="524"/>
      <c r="P121" s="524"/>
      <c r="Q121" s="524"/>
      <c r="R121" s="524"/>
      <c r="S121" s="524"/>
      <c r="T121" s="524"/>
      <c r="U121" s="524"/>
      <c r="V121" s="524"/>
      <c r="W121" s="524"/>
      <c r="X121" s="524"/>
      <c r="Y121" s="524"/>
      <c r="Z121" s="524"/>
    </row>
    <row r="122" ht="13.5" customHeight="1">
      <c r="A122" s="524"/>
      <c r="B122" s="525"/>
      <c r="C122" s="524"/>
      <c r="D122" s="524"/>
      <c r="E122" s="524"/>
      <c r="F122" s="524"/>
      <c r="G122" s="524"/>
      <c r="H122" s="524"/>
      <c r="I122" s="524"/>
      <c r="J122" s="524"/>
      <c r="K122" s="524"/>
      <c r="L122" s="524"/>
      <c r="M122" s="524"/>
      <c r="N122" s="524"/>
      <c r="O122" s="524"/>
      <c r="P122" s="524"/>
      <c r="Q122" s="524"/>
      <c r="R122" s="524"/>
      <c r="S122" s="524"/>
      <c r="T122" s="524"/>
      <c r="U122" s="524"/>
      <c r="V122" s="524"/>
      <c r="W122" s="524"/>
      <c r="X122" s="524"/>
      <c r="Y122" s="524"/>
      <c r="Z122" s="524"/>
    </row>
    <row r="123" ht="13.5" customHeight="1">
      <c r="A123" s="524"/>
      <c r="B123" s="525"/>
      <c r="C123" s="524"/>
      <c r="D123" s="524"/>
      <c r="E123" s="524"/>
      <c r="F123" s="524"/>
      <c r="G123" s="524"/>
      <c r="H123" s="524"/>
      <c r="I123" s="524"/>
      <c r="J123" s="524"/>
      <c r="K123" s="524"/>
      <c r="L123" s="524"/>
      <c r="M123" s="524"/>
      <c r="N123" s="524"/>
      <c r="O123" s="524"/>
      <c r="P123" s="524"/>
      <c r="Q123" s="524"/>
      <c r="R123" s="524"/>
      <c r="S123" s="524"/>
      <c r="T123" s="524"/>
      <c r="U123" s="524"/>
      <c r="V123" s="524"/>
      <c r="W123" s="524"/>
      <c r="X123" s="524"/>
      <c r="Y123" s="524"/>
      <c r="Z123" s="524"/>
    </row>
    <row r="124" ht="13.5" customHeight="1">
      <c r="A124" s="524"/>
      <c r="B124" s="525"/>
      <c r="C124" s="524"/>
      <c r="D124" s="524"/>
      <c r="E124" s="524"/>
      <c r="F124" s="524"/>
      <c r="G124" s="524"/>
      <c r="H124" s="524"/>
      <c r="I124" s="524"/>
      <c r="J124" s="524"/>
      <c r="K124" s="524"/>
      <c r="L124" s="524"/>
      <c r="M124" s="524"/>
      <c r="N124" s="524"/>
      <c r="O124" s="524"/>
      <c r="P124" s="524"/>
      <c r="Q124" s="524"/>
      <c r="R124" s="524"/>
      <c r="S124" s="524"/>
      <c r="T124" s="524"/>
      <c r="U124" s="524"/>
      <c r="V124" s="524"/>
      <c r="W124" s="524"/>
      <c r="X124" s="524"/>
      <c r="Y124" s="524"/>
      <c r="Z124" s="524"/>
    </row>
    <row r="125" ht="13.5" customHeight="1">
      <c r="A125" s="524"/>
      <c r="B125" s="525"/>
      <c r="C125" s="524"/>
      <c r="D125" s="524"/>
      <c r="E125" s="524"/>
      <c r="F125" s="524"/>
      <c r="G125" s="524"/>
      <c r="H125" s="524"/>
      <c r="I125" s="524"/>
      <c r="J125" s="524"/>
      <c r="K125" s="524"/>
      <c r="L125" s="524"/>
      <c r="M125" s="524"/>
      <c r="N125" s="524"/>
      <c r="O125" s="524"/>
      <c r="P125" s="524"/>
      <c r="Q125" s="524"/>
      <c r="R125" s="524"/>
      <c r="S125" s="524"/>
      <c r="T125" s="524"/>
      <c r="U125" s="524"/>
      <c r="V125" s="524"/>
      <c r="W125" s="524"/>
      <c r="X125" s="524"/>
      <c r="Y125" s="524"/>
      <c r="Z125" s="524"/>
    </row>
    <row r="126" ht="13.5" customHeight="1">
      <c r="A126" s="524"/>
      <c r="B126" s="525"/>
      <c r="C126" s="524"/>
      <c r="D126" s="524"/>
      <c r="E126" s="524"/>
      <c r="F126" s="524"/>
      <c r="G126" s="524"/>
      <c r="H126" s="524"/>
      <c r="I126" s="524"/>
      <c r="J126" s="524"/>
      <c r="K126" s="524"/>
      <c r="L126" s="524"/>
      <c r="M126" s="524"/>
      <c r="N126" s="524"/>
      <c r="O126" s="524"/>
      <c r="P126" s="524"/>
      <c r="Q126" s="524"/>
      <c r="R126" s="524"/>
      <c r="S126" s="524"/>
      <c r="T126" s="524"/>
      <c r="U126" s="524"/>
      <c r="V126" s="524"/>
      <c r="W126" s="524"/>
      <c r="X126" s="524"/>
      <c r="Y126" s="524"/>
      <c r="Z126" s="524"/>
    </row>
    <row r="127" ht="13.5" customHeight="1">
      <c r="A127" s="524"/>
      <c r="B127" s="525"/>
      <c r="C127" s="524"/>
      <c r="D127" s="524"/>
      <c r="E127" s="524"/>
      <c r="F127" s="524"/>
      <c r="G127" s="524"/>
      <c r="H127" s="524"/>
      <c r="I127" s="524"/>
      <c r="J127" s="524"/>
      <c r="K127" s="524"/>
      <c r="L127" s="524"/>
      <c r="M127" s="524"/>
      <c r="N127" s="524"/>
      <c r="O127" s="524"/>
      <c r="P127" s="524"/>
      <c r="Q127" s="524"/>
      <c r="R127" s="524"/>
      <c r="S127" s="524"/>
      <c r="T127" s="524"/>
      <c r="U127" s="524"/>
      <c r="V127" s="524"/>
      <c r="W127" s="524"/>
      <c r="X127" s="524"/>
      <c r="Y127" s="524"/>
      <c r="Z127" s="524"/>
    </row>
    <row r="128" ht="13.5" customHeight="1">
      <c r="A128" s="524"/>
      <c r="B128" s="525"/>
      <c r="C128" s="524"/>
      <c r="D128" s="524"/>
      <c r="E128" s="524"/>
      <c r="F128" s="524"/>
      <c r="G128" s="524"/>
      <c r="H128" s="524"/>
      <c r="I128" s="524"/>
      <c r="J128" s="524"/>
      <c r="K128" s="524"/>
      <c r="L128" s="524"/>
      <c r="M128" s="524"/>
      <c r="N128" s="524"/>
      <c r="O128" s="524"/>
      <c r="P128" s="524"/>
      <c r="Q128" s="524"/>
      <c r="R128" s="524"/>
      <c r="S128" s="524"/>
      <c r="T128" s="524"/>
      <c r="U128" s="524"/>
      <c r="V128" s="524"/>
      <c r="W128" s="524"/>
      <c r="X128" s="524"/>
      <c r="Y128" s="524"/>
      <c r="Z128" s="524"/>
    </row>
    <row r="129" ht="13.5" customHeight="1">
      <c r="A129" s="524"/>
      <c r="B129" s="525"/>
      <c r="C129" s="524"/>
      <c r="D129" s="524"/>
      <c r="E129" s="524"/>
      <c r="F129" s="524"/>
      <c r="G129" s="524"/>
      <c r="H129" s="524"/>
      <c r="I129" s="524"/>
      <c r="J129" s="524"/>
      <c r="K129" s="524"/>
      <c r="L129" s="524"/>
      <c r="M129" s="524"/>
      <c r="N129" s="524"/>
      <c r="O129" s="524"/>
      <c r="P129" s="524"/>
      <c r="Q129" s="524"/>
      <c r="R129" s="524"/>
      <c r="S129" s="524"/>
      <c r="T129" s="524"/>
      <c r="U129" s="524"/>
      <c r="V129" s="524"/>
      <c r="W129" s="524"/>
      <c r="X129" s="524"/>
      <c r="Y129" s="524"/>
      <c r="Z129" s="524"/>
    </row>
    <row r="130" ht="13.5" customHeight="1">
      <c r="A130" s="524"/>
      <c r="B130" s="525"/>
      <c r="C130" s="524"/>
      <c r="D130" s="524"/>
      <c r="E130" s="524"/>
      <c r="F130" s="524"/>
      <c r="G130" s="524"/>
      <c r="H130" s="524"/>
      <c r="I130" s="524"/>
      <c r="J130" s="524"/>
      <c r="K130" s="524"/>
      <c r="L130" s="524"/>
      <c r="M130" s="524"/>
      <c r="N130" s="524"/>
      <c r="O130" s="524"/>
      <c r="P130" s="524"/>
      <c r="Q130" s="524"/>
      <c r="R130" s="524"/>
      <c r="S130" s="524"/>
      <c r="T130" s="524"/>
      <c r="U130" s="524"/>
      <c r="V130" s="524"/>
      <c r="W130" s="524"/>
      <c r="X130" s="524"/>
      <c r="Y130" s="524"/>
      <c r="Z130" s="524"/>
    </row>
    <row r="131" ht="13.5" customHeight="1">
      <c r="A131" s="524"/>
      <c r="B131" s="525"/>
      <c r="C131" s="524"/>
      <c r="D131" s="524"/>
      <c r="E131" s="524"/>
      <c r="F131" s="524"/>
      <c r="G131" s="524"/>
      <c r="H131" s="524"/>
      <c r="I131" s="524"/>
      <c r="J131" s="524"/>
      <c r="K131" s="524"/>
      <c r="L131" s="524"/>
      <c r="M131" s="524"/>
      <c r="N131" s="524"/>
      <c r="O131" s="524"/>
      <c r="P131" s="524"/>
      <c r="Q131" s="524"/>
      <c r="R131" s="524"/>
      <c r="S131" s="524"/>
      <c r="T131" s="524"/>
      <c r="U131" s="524"/>
      <c r="V131" s="524"/>
      <c r="W131" s="524"/>
      <c r="X131" s="524"/>
      <c r="Y131" s="524"/>
      <c r="Z131" s="524"/>
    </row>
    <row r="132" ht="13.5" customHeight="1">
      <c r="A132" s="524"/>
      <c r="B132" s="525"/>
      <c r="C132" s="524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4"/>
      <c r="V132" s="524"/>
      <c r="W132" s="524"/>
      <c r="X132" s="524"/>
      <c r="Y132" s="524"/>
      <c r="Z132" s="524"/>
    </row>
    <row r="133" ht="13.5" customHeight="1">
      <c r="A133" s="524"/>
      <c r="B133" s="525"/>
      <c r="C133" s="524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524"/>
      <c r="V133" s="524"/>
      <c r="W133" s="524"/>
      <c r="X133" s="524"/>
      <c r="Y133" s="524"/>
      <c r="Z133" s="524"/>
    </row>
    <row r="134" ht="13.5" customHeight="1">
      <c r="A134" s="524"/>
      <c r="B134" s="525"/>
      <c r="C134" s="524"/>
      <c r="D134" s="524"/>
      <c r="E134" s="524"/>
      <c r="F134" s="524"/>
      <c r="G134" s="524"/>
      <c r="H134" s="524"/>
      <c r="I134" s="524"/>
      <c r="J134" s="524"/>
      <c r="K134" s="524"/>
      <c r="L134" s="524"/>
      <c r="M134" s="524"/>
      <c r="N134" s="524"/>
      <c r="O134" s="524"/>
      <c r="P134" s="524"/>
      <c r="Q134" s="524"/>
      <c r="R134" s="524"/>
      <c r="S134" s="524"/>
      <c r="T134" s="524"/>
      <c r="U134" s="524"/>
      <c r="V134" s="524"/>
      <c r="W134" s="524"/>
      <c r="X134" s="524"/>
      <c r="Y134" s="524"/>
      <c r="Z134" s="524"/>
    </row>
    <row r="135" ht="13.5" customHeight="1">
      <c r="A135" s="524"/>
      <c r="B135" s="525"/>
      <c r="C135" s="524"/>
      <c r="D135" s="524"/>
      <c r="E135" s="524"/>
      <c r="F135" s="524"/>
      <c r="G135" s="524"/>
      <c r="H135" s="524"/>
      <c r="I135" s="524"/>
      <c r="J135" s="524"/>
      <c r="K135" s="524"/>
      <c r="L135" s="524"/>
      <c r="M135" s="524"/>
      <c r="N135" s="524"/>
      <c r="O135" s="524"/>
      <c r="P135" s="524"/>
      <c r="Q135" s="524"/>
      <c r="R135" s="524"/>
      <c r="S135" s="524"/>
      <c r="T135" s="524"/>
      <c r="U135" s="524"/>
      <c r="V135" s="524"/>
      <c r="W135" s="524"/>
      <c r="X135" s="524"/>
      <c r="Y135" s="524"/>
      <c r="Z135" s="524"/>
    </row>
    <row r="136" ht="13.5" customHeight="1">
      <c r="A136" s="524"/>
      <c r="B136" s="525"/>
      <c r="C136" s="524"/>
      <c r="D136" s="524"/>
      <c r="E136" s="524"/>
      <c r="F136" s="524"/>
      <c r="G136" s="524"/>
      <c r="H136" s="524"/>
      <c r="I136" s="524"/>
      <c r="J136" s="524"/>
      <c r="K136" s="524"/>
      <c r="L136" s="524"/>
      <c r="M136" s="524"/>
      <c r="N136" s="524"/>
      <c r="O136" s="524"/>
      <c r="P136" s="524"/>
      <c r="Q136" s="524"/>
      <c r="R136" s="524"/>
      <c r="S136" s="524"/>
      <c r="T136" s="524"/>
      <c r="U136" s="524"/>
      <c r="V136" s="524"/>
      <c r="W136" s="524"/>
      <c r="X136" s="524"/>
      <c r="Y136" s="524"/>
      <c r="Z136" s="524"/>
    </row>
    <row r="137" ht="13.5" customHeight="1">
      <c r="A137" s="524"/>
      <c r="B137" s="525"/>
      <c r="C137" s="524"/>
      <c r="D137" s="524"/>
      <c r="E137" s="524"/>
      <c r="F137" s="524"/>
      <c r="G137" s="524"/>
      <c r="H137" s="524"/>
      <c r="I137" s="524"/>
      <c r="J137" s="524"/>
      <c r="K137" s="524"/>
      <c r="L137" s="524"/>
      <c r="M137" s="524"/>
      <c r="N137" s="524"/>
      <c r="O137" s="524"/>
      <c r="P137" s="524"/>
      <c r="Q137" s="524"/>
      <c r="R137" s="524"/>
      <c r="S137" s="524"/>
      <c r="T137" s="524"/>
      <c r="U137" s="524"/>
      <c r="V137" s="524"/>
      <c r="W137" s="524"/>
      <c r="X137" s="524"/>
      <c r="Y137" s="524"/>
      <c r="Z137" s="524"/>
    </row>
    <row r="138" ht="13.5" customHeight="1">
      <c r="A138" s="524"/>
      <c r="B138" s="525"/>
      <c r="C138" s="524"/>
      <c r="D138" s="524"/>
      <c r="E138" s="524"/>
      <c r="F138" s="524"/>
      <c r="G138" s="524"/>
      <c r="H138" s="524"/>
      <c r="I138" s="524"/>
      <c r="J138" s="524"/>
      <c r="K138" s="524"/>
      <c r="L138" s="524"/>
      <c r="M138" s="524"/>
      <c r="N138" s="524"/>
      <c r="O138" s="524"/>
      <c r="P138" s="524"/>
      <c r="Q138" s="524"/>
      <c r="R138" s="524"/>
      <c r="S138" s="524"/>
      <c r="T138" s="524"/>
      <c r="U138" s="524"/>
      <c r="V138" s="524"/>
      <c r="W138" s="524"/>
      <c r="X138" s="524"/>
      <c r="Y138" s="524"/>
      <c r="Z138" s="524"/>
    </row>
    <row r="139" ht="13.5" customHeight="1">
      <c r="A139" s="524"/>
      <c r="B139" s="525"/>
      <c r="C139" s="524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  <c r="T139" s="524"/>
      <c r="U139" s="524"/>
      <c r="V139" s="524"/>
      <c r="W139" s="524"/>
      <c r="X139" s="524"/>
      <c r="Y139" s="524"/>
      <c r="Z139" s="524"/>
    </row>
    <row r="140" ht="13.5" customHeight="1">
      <c r="A140" s="524"/>
      <c r="B140" s="525"/>
      <c r="C140" s="524"/>
      <c r="D140" s="524"/>
      <c r="E140" s="524"/>
      <c r="F140" s="524"/>
      <c r="G140" s="524"/>
      <c r="H140" s="524"/>
      <c r="I140" s="524"/>
      <c r="J140" s="524"/>
      <c r="K140" s="524"/>
      <c r="L140" s="524"/>
      <c r="M140" s="524"/>
      <c r="N140" s="524"/>
      <c r="O140" s="524"/>
      <c r="P140" s="524"/>
      <c r="Q140" s="524"/>
      <c r="R140" s="524"/>
      <c r="S140" s="524"/>
      <c r="T140" s="524"/>
      <c r="U140" s="524"/>
      <c r="V140" s="524"/>
      <c r="W140" s="524"/>
      <c r="X140" s="524"/>
      <c r="Y140" s="524"/>
      <c r="Z140" s="524"/>
    </row>
    <row r="141" ht="13.5" customHeight="1">
      <c r="A141" s="524"/>
      <c r="B141" s="525"/>
      <c r="C141" s="524"/>
      <c r="D141" s="524"/>
      <c r="E141" s="524"/>
      <c r="F141" s="524"/>
      <c r="G141" s="524"/>
      <c r="H141" s="524"/>
      <c r="I141" s="524"/>
      <c r="J141" s="524"/>
      <c r="K141" s="524"/>
      <c r="L141" s="524"/>
      <c r="M141" s="524"/>
      <c r="N141" s="524"/>
      <c r="O141" s="524"/>
      <c r="P141" s="524"/>
      <c r="Q141" s="524"/>
      <c r="R141" s="524"/>
      <c r="S141" s="524"/>
      <c r="T141" s="524"/>
      <c r="U141" s="524"/>
      <c r="V141" s="524"/>
      <c r="W141" s="524"/>
      <c r="X141" s="524"/>
      <c r="Y141" s="524"/>
      <c r="Z141" s="524"/>
    </row>
    <row r="142" ht="13.5" customHeight="1">
      <c r="A142" s="524"/>
      <c r="B142" s="525"/>
      <c r="C142" s="524"/>
      <c r="D142" s="524"/>
      <c r="E142" s="524"/>
      <c r="F142" s="524"/>
      <c r="G142" s="524"/>
      <c r="H142" s="524"/>
      <c r="I142" s="524"/>
      <c r="J142" s="524"/>
      <c r="K142" s="524"/>
      <c r="L142" s="524"/>
      <c r="M142" s="524"/>
      <c r="N142" s="524"/>
      <c r="O142" s="524"/>
      <c r="P142" s="524"/>
      <c r="Q142" s="524"/>
      <c r="R142" s="524"/>
      <c r="S142" s="524"/>
      <c r="T142" s="524"/>
      <c r="U142" s="524"/>
      <c r="V142" s="524"/>
      <c r="W142" s="524"/>
      <c r="X142" s="524"/>
      <c r="Y142" s="524"/>
      <c r="Z142" s="524"/>
    </row>
    <row r="143" ht="13.5" customHeight="1">
      <c r="A143" s="524"/>
      <c r="B143" s="525"/>
      <c r="C143" s="524"/>
      <c r="D143" s="524"/>
      <c r="E143" s="524"/>
      <c r="F143" s="524"/>
      <c r="G143" s="524"/>
      <c r="H143" s="524"/>
      <c r="I143" s="524"/>
      <c r="J143" s="524"/>
      <c r="K143" s="524"/>
      <c r="L143" s="524"/>
      <c r="M143" s="524"/>
      <c r="N143" s="524"/>
      <c r="O143" s="524"/>
      <c r="P143" s="524"/>
      <c r="Q143" s="524"/>
      <c r="R143" s="524"/>
      <c r="S143" s="524"/>
      <c r="T143" s="524"/>
      <c r="U143" s="524"/>
      <c r="V143" s="524"/>
      <c r="W143" s="524"/>
      <c r="X143" s="524"/>
      <c r="Y143" s="524"/>
      <c r="Z143" s="524"/>
    </row>
    <row r="144" ht="13.5" customHeight="1">
      <c r="A144" s="524"/>
      <c r="B144" s="525"/>
      <c r="C144" s="524"/>
      <c r="D144" s="524"/>
      <c r="E144" s="524"/>
      <c r="F144" s="524"/>
      <c r="G144" s="524"/>
      <c r="H144" s="524"/>
      <c r="I144" s="524"/>
      <c r="J144" s="524"/>
      <c r="K144" s="524"/>
      <c r="L144" s="524"/>
      <c r="M144" s="524"/>
      <c r="N144" s="524"/>
      <c r="O144" s="524"/>
      <c r="P144" s="524"/>
      <c r="Q144" s="524"/>
      <c r="R144" s="524"/>
      <c r="S144" s="524"/>
      <c r="T144" s="524"/>
      <c r="U144" s="524"/>
      <c r="V144" s="524"/>
      <c r="W144" s="524"/>
      <c r="X144" s="524"/>
      <c r="Y144" s="524"/>
      <c r="Z144" s="524"/>
    </row>
    <row r="145" ht="13.5" customHeight="1">
      <c r="A145" s="524"/>
      <c r="B145" s="525"/>
      <c r="C145" s="524"/>
      <c r="D145" s="524"/>
      <c r="E145" s="524"/>
      <c r="F145" s="524"/>
      <c r="G145" s="524"/>
      <c r="H145" s="524"/>
      <c r="I145" s="524"/>
      <c r="J145" s="524"/>
      <c r="K145" s="524"/>
      <c r="L145" s="524"/>
      <c r="M145" s="524"/>
      <c r="N145" s="524"/>
      <c r="O145" s="524"/>
      <c r="P145" s="524"/>
      <c r="Q145" s="524"/>
      <c r="R145" s="524"/>
      <c r="S145" s="524"/>
      <c r="T145" s="524"/>
      <c r="U145" s="524"/>
      <c r="V145" s="524"/>
      <c r="W145" s="524"/>
      <c r="X145" s="524"/>
      <c r="Y145" s="524"/>
      <c r="Z145" s="524"/>
    </row>
    <row r="146" ht="13.5" customHeight="1">
      <c r="A146" s="524"/>
      <c r="B146" s="525"/>
      <c r="C146" s="524"/>
      <c r="D146" s="524"/>
      <c r="E146" s="524"/>
      <c r="F146" s="524"/>
      <c r="G146" s="524"/>
      <c r="H146" s="524"/>
      <c r="I146" s="524"/>
      <c r="J146" s="524"/>
      <c r="K146" s="524"/>
      <c r="L146" s="524"/>
      <c r="M146" s="524"/>
      <c r="N146" s="524"/>
      <c r="O146" s="524"/>
      <c r="P146" s="524"/>
      <c r="Q146" s="524"/>
      <c r="R146" s="524"/>
      <c r="S146" s="524"/>
      <c r="T146" s="524"/>
      <c r="U146" s="524"/>
      <c r="V146" s="524"/>
      <c r="W146" s="524"/>
      <c r="X146" s="524"/>
      <c r="Y146" s="524"/>
      <c r="Z146" s="524"/>
    </row>
    <row r="147" ht="13.5" customHeight="1">
      <c r="A147" s="524"/>
      <c r="B147" s="525"/>
      <c r="C147" s="524"/>
      <c r="D147" s="524"/>
      <c r="E147" s="524"/>
      <c r="F147" s="524"/>
      <c r="G147" s="524"/>
      <c r="H147" s="524"/>
      <c r="I147" s="524"/>
      <c r="J147" s="524"/>
      <c r="K147" s="524"/>
      <c r="L147" s="524"/>
      <c r="M147" s="524"/>
      <c r="N147" s="524"/>
      <c r="O147" s="524"/>
      <c r="P147" s="524"/>
      <c r="Q147" s="524"/>
      <c r="R147" s="524"/>
      <c r="S147" s="524"/>
      <c r="T147" s="524"/>
      <c r="U147" s="524"/>
      <c r="V147" s="524"/>
      <c r="W147" s="524"/>
      <c r="X147" s="524"/>
      <c r="Y147" s="524"/>
      <c r="Z147" s="524"/>
    </row>
    <row r="148" ht="13.5" customHeight="1">
      <c r="A148" s="524"/>
      <c r="B148" s="525"/>
      <c r="C148" s="524"/>
      <c r="D148" s="524"/>
      <c r="E148" s="524"/>
      <c r="F148" s="524"/>
      <c r="G148" s="524"/>
      <c r="H148" s="524"/>
      <c r="I148" s="524"/>
      <c r="J148" s="524"/>
      <c r="K148" s="524"/>
      <c r="L148" s="524"/>
      <c r="M148" s="524"/>
      <c r="N148" s="524"/>
      <c r="O148" s="524"/>
      <c r="P148" s="524"/>
      <c r="Q148" s="524"/>
      <c r="R148" s="524"/>
      <c r="S148" s="524"/>
      <c r="T148" s="524"/>
      <c r="U148" s="524"/>
      <c r="V148" s="524"/>
      <c r="W148" s="524"/>
      <c r="X148" s="524"/>
      <c r="Y148" s="524"/>
      <c r="Z148" s="524"/>
    </row>
    <row r="149" ht="13.5" customHeight="1">
      <c r="A149" s="524"/>
      <c r="B149" s="525"/>
      <c r="C149" s="524"/>
      <c r="D149" s="524"/>
      <c r="E149" s="524"/>
      <c r="F149" s="524"/>
      <c r="G149" s="524"/>
      <c r="H149" s="524"/>
      <c r="I149" s="524"/>
      <c r="J149" s="524"/>
      <c r="K149" s="524"/>
      <c r="L149" s="524"/>
      <c r="M149" s="524"/>
      <c r="N149" s="524"/>
      <c r="O149" s="524"/>
      <c r="P149" s="524"/>
      <c r="Q149" s="524"/>
      <c r="R149" s="524"/>
      <c r="S149" s="524"/>
      <c r="T149" s="524"/>
      <c r="U149" s="524"/>
      <c r="V149" s="524"/>
      <c r="W149" s="524"/>
      <c r="X149" s="524"/>
      <c r="Y149" s="524"/>
      <c r="Z149" s="524"/>
    </row>
    <row r="150" ht="13.5" customHeight="1">
      <c r="A150" s="524"/>
      <c r="B150" s="525"/>
      <c r="C150" s="524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4"/>
      <c r="V150" s="524"/>
      <c r="W150" s="524"/>
      <c r="X150" s="524"/>
      <c r="Y150" s="524"/>
      <c r="Z150" s="524"/>
    </row>
    <row r="151" ht="13.5" customHeight="1">
      <c r="A151" s="524"/>
      <c r="B151" s="525"/>
      <c r="C151" s="524"/>
      <c r="D151" s="524"/>
      <c r="E151" s="524"/>
      <c r="F151" s="524"/>
      <c r="G151" s="524"/>
      <c r="H151" s="524"/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24"/>
      <c r="Y151" s="524"/>
      <c r="Z151" s="524"/>
    </row>
    <row r="152" ht="13.5" customHeight="1">
      <c r="A152" s="524"/>
      <c r="B152" s="525"/>
      <c r="C152" s="524"/>
      <c r="D152" s="524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4"/>
      <c r="V152" s="524"/>
      <c r="W152" s="524"/>
      <c r="X152" s="524"/>
      <c r="Y152" s="524"/>
      <c r="Z152" s="524"/>
    </row>
    <row r="153" ht="13.5" customHeight="1">
      <c r="A153" s="524"/>
      <c r="B153" s="525"/>
      <c r="C153" s="524"/>
      <c r="D153" s="524"/>
      <c r="E153" s="524"/>
      <c r="F153" s="524"/>
      <c r="G153" s="524"/>
      <c r="H153" s="524"/>
      <c r="I153" s="524"/>
      <c r="J153" s="524"/>
      <c r="K153" s="524"/>
      <c r="L153" s="524"/>
      <c r="M153" s="524"/>
      <c r="N153" s="524"/>
      <c r="O153" s="524"/>
      <c r="P153" s="524"/>
      <c r="Q153" s="524"/>
      <c r="R153" s="524"/>
      <c r="S153" s="524"/>
      <c r="T153" s="524"/>
      <c r="U153" s="524"/>
      <c r="V153" s="524"/>
      <c r="W153" s="524"/>
      <c r="X153" s="524"/>
      <c r="Y153" s="524"/>
      <c r="Z153" s="524"/>
    </row>
    <row r="154" ht="13.5" customHeight="1">
      <c r="A154" s="524"/>
      <c r="B154" s="525"/>
      <c r="C154" s="524"/>
      <c r="D154" s="524"/>
      <c r="E154" s="524"/>
      <c r="F154" s="524"/>
      <c r="G154" s="524"/>
      <c r="H154" s="524"/>
      <c r="I154" s="524"/>
      <c r="J154" s="524"/>
      <c r="K154" s="524"/>
      <c r="L154" s="524"/>
      <c r="M154" s="524"/>
      <c r="N154" s="524"/>
      <c r="O154" s="524"/>
      <c r="P154" s="524"/>
      <c r="Q154" s="524"/>
      <c r="R154" s="524"/>
      <c r="S154" s="524"/>
      <c r="T154" s="524"/>
      <c r="U154" s="524"/>
      <c r="V154" s="524"/>
      <c r="W154" s="524"/>
      <c r="X154" s="524"/>
      <c r="Y154" s="524"/>
      <c r="Z154" s="524"/>
    </row>
    <row r="155" ht="13.5" customHeight="1">
      <c r="A155" s="524"/>
      <c r="B155" s="525"/>
      <c r="C155" s="524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4"/>
      <c r="V155" s="524"/>
      <c r="W155" s="524"/>
      <c r="X155" s="524"/>
      <c r="Y155" s="524"/>
      <c r="Z155" s="524"/>
    </row>
    <row r="156" ht="13.5" customHeight="1">
      <c r="A156" s="524"/>
      <c r="B156" s="525"/>
      <c r="C156" s="524"/>
      <c r="D156" s="524"/>
      <c r="E156" s="524"/>
      <c r="F156" s="524"/>
      <c r="G156" s="524"/>
      <c r="H156" s="524"/>
      <c r="I156" s="524"/>
      <c r="J156" s="524"/>
      <c r="K156" s="524"/>
      <c r="L156" s="524"/>
      <c r="M156" s="524"/>
      <c r="N156" s="524"/>
      <c r="O156" s="524"/>
      <c r="P156" s="524"/>
      <c r="Q156" s="524"/>
      <c r="R156" s="524"/>
      <c r="S156" s="524"/>
      <c r="T156" s="524"/>
      <c r="U156" s="524"/>
      <c r="V156" s="524"/>
      <c r="W156" s="524"/>
      <c r="X156" s="524"/>
      <c r="Y156" s="524"/>
      <c r="Z156" s="524"/>
    </row>
    <row r="157" ht="13.5" customHeight="1">
      <c r="A157" s="524"/>
      <c r="B157" s="525"/>
      <c r="C157" s="524"/>
      <c r="D157" s="524"/>
      <c r="E157" s="524"/>
      <c r="F157" s="524"/>
      <c r="G157" s="524"/>
      <c r="H157" s="524"/>
      <c r="I157" s="524"/>
      <c r="J157" s="524"/>
      <c r="K157" s="524"/>
      <c r="L157" s="524"/>
      <c r="M157" s="524"/>
      <c r="N157" s="524"/>
      <c r="O157" s="524"/>
      <c r="P157" s="524"/>
      <c r="Q157" s="524"/>
      <c r="R157" s="524"/>
      <c r="S157" s="524"/>
      <c r="T157" s="524"/>
      <c r="U157" s="524"/>
      <c r="V157" s="524"/>
      <c r="W157" s="524"/>
      <c r="X157" s="524"/>
      <c r="Y157" s="524"/>
      <c r="Z157" s="524"/>
    </row>
    <row r="158" ht="13.5" customHeight="1">
      <c r="A158" s="524"/>
      <c r="B158" s="525"/>
      <c r="C158" s="524"/>
      <c r="D158" s="524"/>
      <c r="E158" s="524"/>
      <c r="F158" s="524"/>
      <c r="G158" s="524"/>
      <c r="H158" s="524"/>
      <c r="I158" s="524"/>
      <c r="J158" s="524"/>
      <c r="K158" s="524"/>
      <c r="L158" s="524"/>
      <c r="M158" s="524"/>
      <c r="N158" s="524"/>
      <c r="O158" s="524"/>
      <c r="P158" s="524"/>
      <c r="Q158" s="524"/>
      <c r="R158" s="524"/>
      <c r="S158" s="524"/>
      <c r="T158" s="524"/>
      <c r="U158" s="524"/>
      <c r="V158" s="524"/>
      <c r="W158" s="524"/>
      <c r="X158" s="524"/>
      <c r="Y158" s="524"/>
      <c r="Z158" s="524"/>
    </row>
    <row r="159" ht="13.5" customHeight="1">
      <c r="A159" s="524"/>
      <c r="B159" s="525"/>
      <c r="C159" s="524"/>
      <c r="D159" s="524"/>
      <c r="E159" s="524"/>
      <c r="F159" s="524"/>
      <c r="G159" s="524"/>
      <c r="H159" s="524"/>
      <c r="I159" s="524"/>
      <c r="J159" s="524"/>
      <c r="K159" s="524"/>
      <c r="L159" s="524"/>
      <c r="M159" s="524"/>
      <c r="N159" s="524"/>
      <c r="O159" s="524"/>
      <c r="P159" s="524"/>
      <c r="Q159" s="524"/>
      <c r="R159" s="524"/>
      <c r="S159" s="524"/>
      <c r="T159" s="524"/>
      <c r="U159" s="524"/>
      <c r="V159" s="524"/>
      <c r="W159" s="524"/>
      <c r="X159" s="524"/>
      <c r="Y159" s="524"/>
      <c r="Z159" s="524"/>
    </row>
    <row r="160" ht="13.5" customHeight="1">
      <c r="A160" s="524"/>
      <c r="B160" s="525"/>
      <c r="C160" s="524"/>
      <c r="D160" s="524"/>
      <c r="E160" s="524"/>
      <c r="F160" s="524"/>
      <c r="G160" s="524"/>
      <c r="H160" s="524"/>
      <c r="I160" s="524"/>
      <c r="J160" s="524"/>
      <c r="K160" s="524"/>
      <c r="L160" s="524"/>
      <c r="M160" s="524"/>
      <c r="N160" s="524"/>
      <c r="O160" s="524"/>
      <c r="P160" s="524"/>
      <c r="Q160" s="524"/>
      <c r="R160" s="524"/>
      <c r="S160" s="524"/>
      <c r="T160" s="524"/>
      <c r="U160" s="524"/>
      <c r="V160" s="524"/>
      <c r="W160" s="524"/>
      <c r="X160" s="524"/>
      <c r="Y160" s="524"/>
      <c r="Z160" s="524"/>
    </row>
    <row r="161" ht="13.5" customHeight="1">
      <c r="A161" s="524"/>
      <c r="B161" s="525"/>
      <c r="C161" s="524"/>
      <c r="D161" s="524"/>
      <c r="E161" s="524"/>
      <c r="F161" s="524"/>
      <c r="G161" s="524"/>
      <c r="H161" s="524"/>
      <c r="I161" s="524"/>
      <c r="J161" s="524"/>
      <c r="K161" s="524"/>
      <c r="L161" s="524"/>
      <c r="M161" s="524"/>
      <c r="N161" s="524"/>
      <c r="O161" s="524"/>
      <c r="P161" s="524"/>
      <c r="Q161" s="524"/>
      <c r="R161" s="524"/>
      <c r="S161" s="524"/>
      <c r="T161" s="524"/>
      <c r="U161" s="524"/>
      <c r="V161" s="524"/>
      <c r="W161" s="524"/>
      <c r="X161" s="524"/>
      <c r="Y161" s="524"/>
      <c r="Z161" s="524"/>
    </row>
    <row r="162" ht="13.5" customHeight="1">
      <c r="A162" s="524"/>
      <c r="B162" s="525"/>
      <c r="C162" s="524"/>
      <c r="D162" s="524"/>
      <c r="E162" s="524"/>
      <c r="F162" s="524"/>
      <c r="G162" s="524"/>
      <c r="H162" s="524"/>
      <c r="I162" s="524"/>
      <c r="J162" s="524"/>
      <c r="K162" s="524"/>
      <c r="L162" s="524"/>
      <c r="M162" s="524"/>
      <c r="N162" s="524"/>
      <c r="O162" s="524"/>
      <c r="P162" s="524"/>
      <c r="Q162" s="524"/>
      <c r="R162" s="524"/>
      <c r="S162" s="524"/>
      <c r="T162" s="524"/>
      <c r="U162" s="524"/>
      <c r="V162" s="524"/>
      <c r="W162" s="524"/>
      <c r="X162" s="524"/>
      <c r="Y162" s="524"/>
      <c r="Z162" s="524"/>
    </row>
    <row r="163" ht="13.5" customHeight="1">
      <c r="A163" s="524"/>
      <c r="B163" s="525"/>
      <c r="C163" s="524"/>
      <c r="D163" s="524"/>
      <c r="E163" s="524"/>
      <c r="F163" s="524"/>
      <c r="G163" s="524"/>
      <c r="H163" s="524"/>
      <c r="I163" s="524"/>
      <c r="J163" s="524"/>
      <c r="K163" s="524"/>
      <c r="L163" s="524"/>
      <c r="M163" s="524"/>
      <c r="N163" s="524"/>
      <c r="O163" s="524"/>
      <c r="P163" s="524"/>
      <c r="Q163" s="524"/>
      <c r="R163" s="524"/>
      <c r="S163" s="524"/>
      <c r="T163" s="524"/>
      <c r="U163" s="524"/>
      <c r="V163" s="524"/>
      <c r="W163" s="524"/>
      <c r="X163" s="524"/>
      <c r="Y163" s="524"/>
      <c r="Z163" s="524"/>
    </row>
    <row r="164" ht="13.5" customHeight="1">
      <c r="A164" s="524"/>
      <c r="B164" s="525"/>
      <c r="C164" s="524"/>
      <c r="D164" s="524"/>
      <c r="E164" s="524"/>
      <c r="F164" s="524"/>
      <c r="G164" s="524"/>
      <c r="H164" s="524"/>
      <c r="I164" s="524"/>
      <c r="J164" s="524"/>
      <c r="K164" s="524"/>
      <c r="L164" s="524"/>
      <c r="M164" s="524"/>
      <c r="N164" s="524"/>
      <c r="O164" s="524"/>
      <c r="P164" s="524"/>
      <c r="Q164" s="524"/>
      <c r="R164" s="524"/>
      <c r="S164" s="524"/>
      <c r="T164" s="524"/>
      <c r="U164" s="524"/>
      <c r="V164" s="524"/>
      <c r="W164" s="524"/>
      <c r="X164" s="524"/>
      <c r="Y164" s="524"/>
      <c r="Z164" s="524"/>
    </row>
    <row r="165" ht="13.5" customHeight="1">
      <c r="A165" s="524"/>
      <c r="B165" s="525"/>
      <c r="C165" s="524"/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4"/>
      <c r="O165" s="524"/>
      <c r="P165" s="524"/>
      <c r="Q165" s="524"/>
      <c r="R165" s="524"/>
      <c r="S165" s="524"/>
      <c r="T165" s="524"/>
      <c r="U165" s="524"/>
      <c r="V165" s="524"/>
      <c r="W165" s="524"/>
      <c r="X165" s="524"/>
      <c r="Y165" s="524"/>
      <c r="Z165" s="524"/>
    </row>
    <row r="166" ht="13.5" customHeight="1">
      <c r="A166" s="524"/>
      <c r="B166" s="525"/>
      <c r="C166" s="524"/>
      <c r="D166" s="524"/>
      <c r="E166" s="524"/>
      <c r="F166" s="524"/>
      <c r="G166" s="524"/>
      <c r="H166" s="524"/>
      <c r="I166" s="524"/>
      <c r="J166" s="524"/>
      <c r="K166" s="524"/>
      <c r="L166" s="524"/>
      <c r="M166" s="524"/>
      <c r="N166" s="524"/>
      <c r="O166" s="524"/>
      <c r="P166" s="524"/>
      <c r="Q166" s="524"/>
      <c r="R166" s="524"/>
      <c r="S166" s="524"/>
      <c r="T166" s="524"/>
      <c r="U166" s="524"/>
      <c r="V166" s="524"/>
      <c r="W166" s="524"/>
      <c r="X166" s="524"/>
      <c r="Y166" s="524"/>
      <c r="Z166" s="524"/>
    </row>
    <row r="167" ht="13.5" customHeight="1">
      <c r="A167" s="524"/>
      <c r="B167" s="525"/>
      <c r="C167" s="524"/>
      <c r="D167" s="524"/>
      <c r="E167" s="524"/>
      <c r="F167" s="524"/>
      <c r="G167" s="524"/>
      <c r="H167" s="524"/>
      <c r="I167" s="524"/>
      <c r="J167" s="524"/>
      <c r="K167" s="524"/>
      <c r="L167" s="524"/>
      <c r="M167" s="524"/>
      <c r="N167" s="524"/>
      <c r="O167" s="524"/>
      <c r="P167" s="524"/>
      <c r="Q167" s="524"/>
      <c r="R167" s="524"/>
      <c r="S167" s="524"/>
      <c r="T167" s="524"/>
      <c r="U167" s="524"/>
      <c r="V167" s="524"/>
      <c r="W167" s="524"/>
      <c r="X167" s="524"/>
      <c r="Y167" s="524"/>
      <c r="Z167" s="524"/>
    </row>
    <row r="168" ht="13.5" customHeight="1">
      <c r="A168" s="524"/>
      <c r="B168" s="525"/>
      <c r="C168" s="524"/>
      <c r="D168" s="524"/>
      <c r="E168" s="524"/>
      <c r="F168" s="524"/>
      <c r="G168" s="524"/>
      <c r="H168" s="524"/>
      <c r="I168" s="524"/>
      <c r="J168" s="524"/>
      <c r="K168" s="524"/>
      <c r="L168" s="524"/>
      <c r="M168" s="524"/>
      <c r="N168" s="524"/>
      <c r="O168" s="524"/>
      <c r="P168" s="524"/>
      <c r="Q168" s="524"/>
      <c r="R168" s="524"/>
      <c r="S168" s="524"/>
      <c r="T168" s="524"/>
      <c r="U168" s="524"/>
      <c r="V168" s="524"/>
      <c r="W168" s="524"/>
      <c r="X168" s="524"/>
      <c r="Y168" s="524"/>
      <c r="Z168" s="524"/>
    </row>
    <row r="169" ht="13.5" customHeight="1">
      <c r="A169" s="524"/>
      <c r="B169" s="525"/>
      <c r="C169" s="524"/>
      <c r="D169" s="524"/>
      <c r="E169" s="524"/>
      <c r="F169" s="524"/>
      <c r="G169" s="524"/>
      <c r="H169" s="524"/>
      <c r="I169" s="524"/>
      <c r="J169" s="524"/>
      <c r="K169" s="524"/>
      <c r="L169" s="524"/>
      <c r="M169" s="524"/>
      <c r="N169" s="524"/>
      <c r="O169" s="524"/>
      <c r="P169" s="524"/>
      <c r="Q169" s="524"/>
      <c r="R169" s="524"/>
      <c r="S169" s="524"/>
      <c r="T169" s="524"/>
      <c r="U169" s="524"/>
      <c r="V169" s="524"/>
      <c r="W169" s="524"/>
      <c r="X169" s="524"/>
      <c r="Y169" s="524"/>
      <c r="Z169" s="524"/>
    </row>
    <row r="170" ht="13.5" customHeight="1">
      <c r="A170" s="524"/>
      <c r="B170" s="525"/>
      <c r="C170" s="524"/>
      <c r="D170" s="524"/>
      <c r="E170" s="524"/>
      <c r="F170" s="524"/>
      <c r="G170" s="524"/>
      <c r="H170" s="524"/>
      <c r="I170" s="524"/>
      <c r="J170" s="524"/>
      <c r="K170" s="524"/>
      <c r="L170" s="524"/>
      <c r="M170" s="524"/>
      <c r="N170" s="524"/>
      <c r="O170" s="524"/>
      <c r="P170" s="524"/>
      <c r="Q170" s="524"/>
      <c r="R170" s="524"/>
      <c r="S170" s="524"/>
      <c r="T170" s="524"/>
      <c r="U170" s="524"/>
      <c r="V170" s="524"/>
      <c r="W170" s="524"/>
      <c r="X170" s="524"/>
      <c r="Y170" s="524"/>
      <c r="Z170" s="524"/>
    </row>
    <row r="171" ht="13.5" customHeight="1">
      <c r="A171" s="524"/>
      <c r="B171" s="525"/>
      <c r="C171" s="524"/>
      <c r="D171" s="524"/>
      <c r="E171" s="524"/>
      <c r="F171" s="524"/>
      <c r="G171" s="524"/>
      <c r="H171" s="524"/>
      <c r="I171" s="524"/>
      <c r="J171" s="524"/>
      <c r="K171" s="524"/>
      <c r="L171" s="524"/>
      <c r="M171" s="524"/>
      <c r="N171" s="524"/>
      <c r="O171" s="524"/>
      <c r="P171" s="524"/>
      <c r="Q171" s="524"/>
      <c r="R171" s="524"/>
      <c r="S171" s="524"/>
      <c r="T171" s="524"/>
      <c r="U171" s="524"/>
      <c r="V171" s="524"/>
      <c r="W171" s="524"/>
      <c r="X171" s="524"/>
      <c r="Y171" s="524"/>
      <c r="Z171" s="524"/>
    </row>
    <row r="172" ht="13.5" customHeight="1">
      <c r="A172" s="524"/>
      <c r="B172" s="525"/>
      <c r="C172" s="524"/>
      <c r="D172" s="524"/>
      <c r="E172" s="524"/>
      <c r="F172" s="524"/>
      <c r="G172" s="524"/>
      <c r="H172" s="524"/>
      <c r="I172" s="524"/>
      <c r="J172" s="524"/>
      <c r="K172" s="524"/>
      <c r="L172" s="524"/>
      <c r="M172" s="524"/>
      <c r="N172" s="524"/>
      <c r="O172" s="524"/>
      <c r="P172" s="524"/>
      <c r="Q172" s="524"/>
      <c r="R172" s="524"/>
      <c r="S172" s="524"/>
      <c r="T172" s="524"/>
      <c r="U172" s="524"/>
      <c r="V172" s="524"/>
      <c r="W172" s="524"/>
      <c r="X172" s="524"/>
      <c r="Y172" s="524"/>
      <c r="Z172" s="524"/>
    </row>
    <row r="173" ht="13.5" customHeight="1">
      <c r="A173" s="524"/>
      <c r="B173" s="525"/>
      <c r="C173" s="524"/>
      <c r="D173" s="524"/>
      <c r="E173" s="524"/>
      <c r="F173" s="524"/>
      <c r="G173" s="524"/>
      <c r="H173" s="524"/>
      <c r="I173" s="524"/>
      <c r="J173" s="524"/>
      <c r="K173" s="524"/>
      <c r="L173" s="524"/>
      <c r="M173" s="524"/>
      <c r="N173" s="524"/>
      <c r="O173" s="524"/>
      <c r="P173" s="524"/>
      <c r="Q173" s="524"/>
      <c r="R173" s="524"/>
      <c r="S173" s="524"/>
      <c r="T173" s="524"/>
      <c r="U173" s="524"/>
      <c r="V173" s="524"/>
      <c r="W173" s="524"/>
      <c r="X173" s="524"/>
      <c r="Y173" s="524"/>
      <c r="Z173" s="524"/>
    </row>
    <row r="174" ht="13.5" customHeight="1">
      <c r="A174" s="524"/>
      <c r="B174" s="525"/>
      <c r="C174" s="524"/>
      <c r="D174" s="524"/>
      <c r="E174" s="524"/>
      <c r="F174" s="524"/>
      <c r="G174" s="524"/>
      <c r="H174" s="524"/>
      <c r="I174" s="524"/>
      <c r="J174" s="524"/>
      <c r="K174" s="524"/>
      <c r="L174" s="524"/>
      <c r="M174" s="524"/>
      <c r="N174" s="524"/>
      <c r="O174" s="524"/>
      <c r="P174" s="524"/>
      <c r="Q174" s="524"/>
      <c r="R174" s="524"/>
      <c r="S174" s="524"/>
      <c r="T174" s="524"/>
      <c r="U174" s="524"/>
      <c r="V174" s="524"/>
      <c r="W174" s="524"/>
      <c r="X174" s="524"/>
      <c r="Y174" s="524"/>
      <c r="Z174" s="524"/>
    </row>
    <row r="175" ht="13.5" customHeight="1">
      <c r="A175" s="524"/>
      <c r="B175" s="525"/>
      <c r="C175" s="524"/>
      <c r="D175" s="524"/>
      <c r="E175" s="524"/>
      <c r="F175" s="524"/>
      <c r="G175" s="524"/>
      <c r="H175" s="524"/>
      <c r="I175" s="524"/>
      <c r="J175" s="524"/>
      <c r="K175" s="524"/>
      <c r="L175" s="524"/>
      <c r="M175" s="524"/>
      <c r="N175" s="524"/>
      <c r="O175" s="524"/>
      <c r="P175" s="524"/>
      <c r="Q175" s="524"/>
      <c r="R175" s="524"/>
      <c r="S175" s="524"/>
      <c r="T175" s="524"/>
      <c r="U175" s="524"/>
      <c r="V175" s="524"/>
      <c r="W175" s="524"/>
      <c r="X175" s="524"/>
      <c r="Y175" s="524"/>
      <c r="Z175" s="524"/>
    </row>
    <row r="176" ht="13.5" customHeight="1">
      <c r="A176" s="524"/>
      <c r="B176" s="525"/>
      <c r="C176" s="524"/>
      <c r="D176" s="524"/>
      <c r="E176" s="524"/>
      <c r="F176" s="524"/>
      <c r="G176" s="524"/>
      <c r="H176" s="524"/>
      <c r="I176" s="524"/>
      <c r="J176" s="524"/>
      <c r="K176" s="524"/>
      <c r="L176" s="524"/>
      <c r="M176" s="524"/>
      <c r="N176" s="524"/>
      <c r="O176" s="524"/>
      <c r="P176" s="524"/>
      <c r="Q176" s="524"/>
      <c r="R176" s="524"/>
      <c r="S176" s="524"/>
      <c r="T176" s="524"/>
      <c r="U176" s="524"/>
      <c r="V176" s="524"/>
      <c r="W176" s="524"/>
      <c r="X176" s="524"/>
      <c r="Y176" s="524"/>
      <c r="Z176" s="524"/>
    </row>
    <row r="177" ht="13.5" customHeight="1">
      <c r="A177" s="524"/>
      <c r="B177" s="525"/>
      <c r="C177" s="524"/>
      <c r="D177" s="524"/>
      <c r="E177" s="524"/>
      <c r="F177" s="524"/>
      <c r="G177" s="524"/>
      <c r="H177" s="524"/>
      <c r="I177" s="524"/>
      <c r="J177" s="524"/>
      <c r="K177" s="524"/>
      <c r="L177" s="524"/>
      <c r="M177" s="524"/>
      <c r="N177" s="524"/>
      <c r="O177" s="524"/>
      <c r="P177" s="524"/>
      <c r="Q177" s="524"/>
      <c r="R177" s="524"/>
      <c r="S177" s="524"/>
      <c r="T177" s="524"/>
      <c r="U177" s="524"/>
      <c r="V177" s="524"/>
      <c r="W177" s="524"/>
      <c r="X177" s="524"/>
      <c r="Y177" s="524"/>
      <c r="Z177" s="524"/>
    </row>
    <row r="178" ht="13.5" customHeight="1">
      <c r="A178" s="524"/>
      <c r="B178" s="525"/>
      <c r="C178" s="524"/>
      <c r="D178" s="524"/>
      <c r="E178" s="524"/>
      <c r="F178" s="524"/>
      <c r="G178" s="524"/>
      <c r="H178" s="524"/>
      <c r="I178" s="524"/>
      <c r="J178" s="524"/>
      <c r="K178" s="524"/>
      <c r="L178" s="524"/>
      <c r="M178" s="524"/>
      <c r="N178" s="524"/>
      <c r="O178" s="524"/>
      <c r="P178" s="524"/>
      <c r="Q178" s="524"/>
      <c r="R178" s="524"/>
      <c r="S178" s="524"/>
      <c r="T178" s="524"/>
      <c r="U178" s="524"/>
      <c r="V178" s="524"/>
      <c r="W178" s="524"/>
      <c r="X178" s="524"/>
      <c r="Y178" s="524"/>
      <c r="Z178" s="524"/>
    </row>
    <row r="179" ht="13.5" customHeight="1">
      <c r="A179" s="524"/>
      <c r="B179" s="525"/>
      <c r="C179" s="524"/>
      <c r="D179" s="524"/>
      <c r="E179" s="524"/>
      <c r="F179" s="524"/>
      <c r="G179" s="524"/>
      <c r="H179" s="524"/>
      <c r="I179" s="524"/>
      <c r="J179" s="524"/>
      <c r="K179" s="524"/>
      <c r="L179" s="524"/>
      <c r="M179" s="524"/>
      <c r="N179" s="524"/>
      <c r="O179" s="524"/>
      <c r="P179" s="524"/>
      <c r="Q179" s="524"/>
      <c r="R179" s="524"/>
      <c r="S179" s="524"/>
      <c r="T179" s="524"/>
      <c r="U179" s="524"/>
      <c r="V179" s="524"/>
      <c r="W179" s="524"/>
      <c r="X179" s="524"/>
      <c r="Y179" s="524"/>
      <c r="Z179" s="524"/>
    </row>
    <row r="180" ht="13.5" customHeight="1">
      <c r="A180" s="524"/>
      <c r="B180" s="525"/>
      <c r="C180" s="524"/>
      <c r="D180" s="524"/>
      <c r="E180" s="524"/>
      <c r="F180" s="524"/>
      <c r="G180" s="524"/>
      <c r="H180" s="524"/>
      <c r="I180" s="524"/>
      <c r="J180" s="524"/>
      <c r="K180" s="524"/>
      <c r="L180" s="524"/>
      <c r="M180" s="524"/>
      <c r="N180" s="524"/>
      <c r="O180" s="524"/>
      <c r="P180" s="524"/>
      <c r="Q180" s="524"/>
      <c r="R180" s="524"/>
      <c r="S180" s="524"/>
      <c r="T180" s="524"/>
      <c r="U180" s="524"/>
      <c r="V180" s="524"/>
      <c r="W180" s="524"/>
      <c r="X180" s="524"/>
      <c r="Y180" s="524"/>
      <c r="Z180" s="524"/>
    </row>
    <row r="181" ht="13.5" customHeight="1">
      <c r="A181" s="524"/>
      <c r="B181" s="525"/>
      <c r="C181" s="524"/>
      <c r="D181" s="524"/>
      <c r="E181" s="524"/>
      <c r="F181" s="524"/>
      <c r="G181" s="524"/>
      <c r="H181" s="524"/>
      <c r="I181" s="524"/>
      <c r="J181" s="524"/>
      <c r="K181" s="524"/>
      <c r="L181" s="524"/>
      <c r="M181" s="524"/>
      <c r="N181" s="524"/>
      <c r="O181" s="524"/>
      <c r="P181" s="524"/>
      <c r="Q181" s="524"/>
      <c r="R181" s="524"/>
      <c r="S181" s="524"/>
      <c r="T181" s="524"/>
      <c r="U181" s="524"/>
      <c r="V181" s="524"/>
      <c r="W181" s="524"/>
      <c r="X181" s="524"/>
      <c r="Y181" s="524"/>
      <c r="Z181" s="524"/>
    </row>
    <row r="182" ht="13.5" customHeight="1">
      <c r="A182" s="524"/>
      <c r="B182" s="525"/>
      <c r="C182" s="524"/>
      <c r="D182" s="524"/>
      <c r="E182" s="524"/>
      <c r="F182" s="524"/>
      <c r="G182" s="524"/>
      <c r="H182" s="524"/>
      <c r="I182" s="524"/>
      <c r="J182" s="524"/>
      <c r="K182" s="524"/>
      <c r="L182" s="524"/>
      <c r="M182" s="524"/>
      <c r="N182" s="524"/>
      <c r="O182" s="524"/>
      <c r="P182" s="524"/>
      <c r="Q182" s="524"/>
      <c r="R182" s="524"/>
      <c r="S182" s="524"/>
      <c r="T182" s="524"/>
      <c r="U182" s="524"/>
      <c r="V182" s="524"/>
      <c r="W182" s="524"/>
      <c r="X182" s="524"/>
      <c r="Y182" s="524"/>
      <c r="Z182" s="524"/>
    </row>
    <row r="183" ht="13.5" customHeight="1">
      <c r="A183" s="524"/>
      <c r="B183" s="525"/>
      <c r="C183" s="524"/>
      <c r="D183" s="524"/>
      <c r="E183" s="524"/>
      <c r="F183" s="524"/>
      <c r="G183" s="524"/>
      <c r="H183" s="524"/>
      <c r="I183" s="524"/>
      <c r="J183" s="524"/>
      <c r="K183" s="524"/>
      <c r="L183" s="524"/>
      <c r="M183" s="524"/>
      <c r="N183" s="524"/>
      <c r="O183" s="524"/>
      <c r="P183" s="524"/>
      <c r="Q183" s="524"/>
      <c r="R183" s="524"/>
      <c r="S183" s="524"/>
      <c r="T183" s="524"/>
      <c r="U183" s="524"/>
      <c r="V183" s="524"/>
      <c r="W183" s="524"/>
      <c r="X183" s="524"/>
      <c r="Y183" s="524"/>
      <c r="Z183" s="524"/>
    </row>
    <row r="184" ht="13.5" customHeight="1">
      <c r="A184" s="524"/>
      <c r="B184" s="525"/>
      <c r="C184" s="524"/>
      <c r="D184" s="524"/>
      <c r="E184" s="524"/>
      <c r="F184" s="524"/>
      <c r="G184" s="524"/>
      <c r="H184" s="524"/>
      <c r="I184" s="524"/>
      <c r="J184" s="524"/>
      <c r="K184" s="524"/>
      <c r="L184" s="524"/>
      <c r="M184" s="524"/>
      <c r="N184" s="524"/>
      <c r="O184" s="524"/>
      <c r="P184" s="524"/>
      <c r="Q184" s="524"/>
      <c r="R184" s="524"/>
      <c r="S184" s="524"/>
      <c r="T184" s="524"/>
      <c r="U184" s="524"/>
      <c r="V184" s="524"/>
      <c r="W184" s="524"/>
      <c r="X184" s="524"/>
      <c r="Y184" s="524"/>
      <c r="Z184" s="524"/>
    </row>
    <row r="185" ht="13.5" customHeight="1">
      <c r="A185" s="524"/>
      <c r="B185" s="525"/>
      <c r="C185" s="524"/>
      <c r="D185" s="524"/>
      <c r="E185" s="524"/>
      <c r="F185" s="524"/>
      <c r="G185" s="524"/>
      <c r="H185" s="524"/>
      <c r="I185" s="524"/>
      <c r="J185" s="524"/>
      <c r="K185" s="524"/>
      <c r="L185" s="524"/>
      <c r="M185" s="524"/>
      <c r="N185" s="524"/>
      <c r="O185" s="524"/>
      <c r="P185" s="524"/>
      <c r="Q185" s="524"/>
      <c r="R185" s="524"/>
      <c r="S185" s="524"/>
      <c r="T185" s="524"/>
      <c r="U185" s="524"/>
      <c r="V185" s="524"/>
      <c r="W185" s="524"/>
      <c r="X185" s="524"/>
      <c r="Y185" s="524"/>
      <c r="Z185" s="524"/>
    </row>
    <row r="186" ht="13.5" customHeight="1">
      <c r="A186" s="524"/>
      <c r="B186" s="525"/>
      <c r="C186" s="524"/>
      <c r="D186" s="524"/>
      <c r="E186" s="524"/>
      <c r="F186" s="524"/>
      <c r="G186" s="524"/>
      <c r="H186" s="524"/>
      <c r="I186" s="524"/>
      <c r="J186" s="524"/>
      <c r="K186" s="524"/>
      <c r="L186" s="524"/>
      <c r="M186" s="524"/>
      <c r="N186" s="524"/>
      <c r="O186" s="524"/>
      <c r="P186" s="524"/>
      <c r="Q186" s="524"/>
      <c r="R186" s="524"/>
      <c r="S186" s="524"/>
      <c r="T186" s="524"/>
      <c r="U186" s="524"/>
      <c r="V186" s="524"/>
      <c r="W186" s="524"/>
      <c r="X186" s="524"/>
      <c r="Y186" s="524"/>
      <c r="Z186" s="524"/>
    </row>
    <row r="187" ht="13.5" customHeight="1">
      <c r="A187" s="524"/>
      <c r="B187" s="525"/>
      <c r="C187" s="524"/>
      <c r="D187" s="524"/>
      <c r="E187" s="524"/>
      <c r="F187" s="524"/>
      <c r="G187" s="524"/>
      <c r="H187" s="524"/>
      <c r="I187" s="524"/>
      <c r="J187" s="524"/>
      <c r="K187" s="524"/>
      <c r="L187" s="524"/>
      <c r="M187" s="524"/>
      <c r="N187" s="524"/>
      <c r="O187" s="524"/>
      <c r="P187" s="524"/>
      <c r="Q187" s="524"/>
      <c r="R187" s="524"/>
      <c r="S187" s="524"/>
      <c r="T187" s="524"/>
      <c r="U187" s="524"/>
      <c r="V187" s="524"/>
      <c r="W187" s="524"/>
      <c r="X187" s="524"/>
      <c r="Y187" s="524"/>
      <c r="Z187" s="524"/>
    </row>
    <row r="188" ht="13.5" customHeight="1">
      <c r="A188" s="524"/>
      <c r="B188" s="525"/>
      <c r="C188" s="524"/>
      <c r="D188" s="524"/>
      <c r="E188" s="524"/>
      <c r="F188" s="524"/>
      <c r="G188" s="524"/>
      <c r="H188" s="524"/>
      <c r="I188" s="524"/>
      <c r="J188" s="524"/>
      <c r="K188" s="524"/>
      <c r="L188" s="524"/>
      <c r="M188" s="524"/>
      <c r="N188" s="524"/>
      <c r="O188" s="524"/>
      <c r="P188" s="524"/>
      <c r="Q188" s="524"/>
      <c r="R188" s="524"/>
      <c r="S188" s="524"/>
      <c r="T188" s="524"/>
      <c r="U188" s="524"/>
      <c r="V188" s="524"/>
      <c r="W188" s="524"/>
      <c r="X188" s="524"/>
      <c r="Y188" s="524"/>
      <c r="Z188" s="524"/>
    </row>
    <row r="189" ht="13.5" customHeight="1">
      <c r="A189" s="524"/>
      <c r="B189" s="525"/>
      <c r="C189" s="524"/>
      <c r="D189" s="524"/>
      <c r="E189" s="524"/>
      <c r="F189" s="524"/>
      <c r="G189" s="524"/>
      <c r="H189" s="524"/>
      <c r="I189" s="524"/>
      <c r="J189" s="524"/>
      <c r="K189" s="524"/>
      <c r="L189" s="524"/>
      <c r="M189" s="524"/>
      <c r="N189" s="524"/>
      <c r="O189" s="524"/>
      <c r="P189" s="524"/>
      <c r="Q189" s="524"/>
      <c r="R189" s="524"/>
      <c r="S189" s="524"/>
      <c r="T189" s="524"/>
      <c r="U189" s="524"/>
      <c r="V189" s="524"/>
      <c r="W189" s="524"/>
      <c r="X189" s="524"/>
      <c r="Y189" s="524"/>
      <c r="Z189" s="524"/>
    </row>
    <row r="190" ht="13.5" customHeight="1">
      <c r="A190" s="524"/>
      <c r="B190" s="525"/>
      <c r="C190" s="524"/>
      <c r="D190" s="524"/>
      <c r="E190" s="524"/>
      <c r="F190" s="524"/>
      <c r="G190" s="524"/>
      <c r="H190" s="524"/>
      <c r="I190" s="524"/>
      <c r="J190" s="524"/>
      <c r="K190" s="524"/>
      <c r="L190" s="524"/>
      <c r="M190" s="524"/>
      <c r="N190" s="524"/>
      <c r="O190" s="524"/>
      <c r="P190" s="524"/>
      <c r="Q190" s="524"/>
      <c r="R190" s="524"/>
      <c r="S190" s="524"/>
      <c r="T190" s="524"/>
      <c r="U190" s="524"/>
      <c r="V190" s="524"/>
      <c r="W190" s="524"/>
      <c r="X190" s="524"/>
      <c r="Y190" s="524"/>
      <c r="Z190" s="524"/>
    </row>
    <row r="191" ht="13.5" customHeight="1">
      <c r="A191" s="524"/>
      <c r="B191" s="525"/>
      <c r="C191" s="524"/>
      <c r="D191" s="524"/>
      <c r="E191" s="524"/>
      <c r="F191" s="524"/>
      <c r="G191" s="524"/>
      <c r="H191" s="524"/>
      <c r="I191" s="524"/>
      <c r="J191" s="524"/>
      <c r="K191" s="524"/>
      <c r="L191" s="524"/>
      <c r="M191" s="524"/>
      <c r="N191" s="524"/>
      <c r="O191" s="524"/>
      <c r="P191" s="524"/>
      <c r="Q191" s="524"/>
      <c r="R191" s="524"/>
      <c r="S191" s="524"/>
      <c r="T191" s="524"/>
      <c r="U191" s="524"/>
      <c r="V191" s="524"/>
      <c r="W191" s="524"/>
      <c r="X191" s="524"/>
      <c r="Y191" s="524"/>
      <c r="Z191" s="524"/>
    </row>
    <row r="192" ht="13.5" customHeight="1">
      <c r="A192" s="524"/>
      <c r="B192" s="525"/>
      <c r="C192" s="524"/>
      <c r="D192" s="524"/>
      <c r="E192" s="524"/>
      <c r="F192" s="524"/>
      <c r="G192" s="524"/>
      <c r="H192" s="524"/>
      <c r="I192" s="524"/>
      <c r="J192" s="524"/>
      <c r="K192" s="524"/>
      <c r="L192" s="524"/>
      <c r="M192" s="524"/>
      <c r="N192" s="524"/>
      <c r="O192" s="524"/>
      <c r="P192" s="524"/>
      <c r="Q192" s="524"/>
      <c r="R192" s="524"/>
      <c r="S192" s="524"/>
      <c r="T192" s="524"/>
      <c r="U192" s="524"/>
      <c r="V192" s="524"/>
      <c r="W192" s="524"/>
      <c r="X192" s="524"/>
      <c r="Y192" s="524"/>
      <c r="Z192" s="524"/>
    </row>
    <row r="193" ht="13.5" customHeight="1">
      <c r="A193" s="524"/>
      <c r="B193" s="525"/>
      <c r="C193" s="524"/>
      <c r="D193" s="524"/>
      <c r="E193" s="524"/>
      <c r="F193" s="524"/>
      <c r="G193" s="524"/>
      <c r="H193" s="524"/>
      <c r="I193" s="524"/>
      <c r="J193" s="524"/>
      <c r="K193" s="524"/>
      <c r="L193" s="524"/>
      <c r="M193" s="524"/>
      <c r="N193" s="524"/>
      <c r="O193" s="524"/>
      <c r="P193" s="524"/>
      <c r="Q193" s="524"/>
      <c r="R193" s="524"/>
      <c r="S193" s="524"/>
      <c r="T193" s="524"/>
      <c r="U193" s="524"/>
      <c r="V193" s="524"/>
      <c r="W193" s="524"/>
      <c r="X193" s="524"/>
      <c r="Y193" s="524"/>
      <c r="Z193" s="524"/>
    </row>
    <row r="194" ht="13.5" customHeight="1">
      <c r="A194" s="524"/>
      <c r="B194" s="525"/>
      <c r="C194" s="524"/>
      <c r="D194" s="524"/>
      <c r="E194" s="524"/>
      <c r="F194" s="524"/>
      <c r="G194" s="524"/>
      <c r="H194" s="524"/>
      <c r="I194" s="524"/>
      <c r="J194" s="524"/>
      <c r="K194" s="524"/>
      <c r="L194" s="524"/>
      <c r="M194" s="524"/>
      <c r="N194" s="524"/>
      <c r="O194" s="524"/>
      <c r="P194" s="524"/>
      <c r="Q194" s="524"/>
      <c r="R194" s="524"/>
      <c r="S194" s="524"/>
      <c r="T194" s="524"/>
      <c r="U194" s="524"/>
      <c r="V194" s="524"/>
      <c r="W194" s="524"/>
      <c r="X194" s="524"/>
      <c r="Y194" s="524"/>
      <c r="Z194" s="524"/>
    </row>
    <row r="195" ht="13.5" customHeight="1">
      <c r="A195" s="524"/>
      <c r="B195" s="525"/>
      <c r="C195" s="524"/>
      <c r="D195" s="524"/>
      <c r="E195" s="524"/>
      <c r="F195" s="524"/>
      <c r="G195" s="524"/>
      <c r="H195" s="524"/>
      <c r="I195" s="524"/>
      <c r="J195" s="524"/>
      <c r="K195" s="524"/>
      <c r="L195" s="524"/>
      <c r="M195" s="524"/>
      <c r="N195" s="524"/>
      <c r="O195" s="524"/>
      <c r="P195" s="524"/>
      <c r="Q195" s="524"/>
      <c r="R195" s="524"/>
      <c r="S195" s="524"/>
      <c r="T195" s="524"/>
      <c r="U195" s="524"/>
      <c r="V195" s="524"/>
      <c r="W195" s="524"/>
      <c r="X195" s="524"/>
      <c r="Y195" s="524"/>
      <c r="Z195" s="524"/>
    </row>
    <row r="196" ht="13.5" customHeight="1">
      <c r="A196" s="524"/>
      <c r="B196" s="525"/>
      <c r="C196" s="524"/>
      <c r="D196" s="524"/>
      <c r="E196" s="524"/>
      <c r="F196" s="524"/>
      <c r="G196" s="524"/>
      <c r="H196" s="524"/>
      <c r="I196" s="524"/>
      <c r="J196" s="524"/>
      <c r="K196" s="524"/>
      <c r="L196" s="524"/>
      <c r="M196" s="524"/>
      <c r="N196" s="524"/>
      <c r="O196" s="524"/>
      <c r="P196" s="524"/>
      <c r="Q196" s="524"/>
      <c r="R196" s="524"/>
      <c r="S196" s="524"/>
      <c r="T196" s="524"/>
      <c r="U196" s="524"/>
      <c r="V196" s="524"/>
      <c r="W196" s="524"/>
      <c r="X196" s="524"/>
      <c r="Y196" s="524"/>
      <c r="Z196" s="524"/>
    </row>
    <row r="197" ht="13.5" customHeight="1">
      <c r="A197" s="524"/>
      <c r="B197" s="525"/>
      <c r="C197" s="524"/>
      <c r="D197" s="524"/>
      <c r="E197" s="524"/>
      <c r="F197" s="524"/>
      <c r="G197" s="524"/>
      <c r="H197" s="524"/>
      <c r="I197" s="524"/>
      <c r="J197" s="524"/>
      <c r="K197" s="524"/>
      <c r="L197" s="524"/>
      <c r="M197" s="524"/>
      <c r="N197" s="524"/>
      <c r="O197" s="524"/>
      <c r="P197" s="524"/>
      <c r="Q197" s="524"/>
      <c r="R197" s="524"/>
      <c r="S197" s="524"/>
      <c r="T197" s="524"/>
      <c r="U197" s="524"/>
      <c r="V197" s="524"/>
      <c r="W197" s="524"/>
      <c r="X197" s="524"/>
      <c r="Y197" s="524"/>
      <c r="Z197" s="524"/>
    </row>
    <row r="198" ht="13.5" customHeight="1">
      <c r="A198" s="524"/>
      <c r="B198" s="525"/>
      <c r="C198" s="524"/>
      <c r="D198" s="524"/>
      <c r="E198" s="524"/>
      <c r="F198" s="524"/>
      <c r="G198" s="524"/>
      <c r="H198" s="524"/>
      <c r="I198" s="524"/>
      <c r="J198" s="524"/>
      <c r="K198" s="524"/>
      <c r="L198" s="524"/>
      <c r="M198" s="524"/>
      <c r="N198" s="524"/>
      <c r="O198" s="524"/>
      <c r="P198" s="524"/>
      <c r="Q198" s="524"/>
      <c r="R198" s="524"/>
      <c r="S198" s="524"/>
      <c r="T198" s="524"/>
      <c r="U198" s="524"/>
      <c r="V198" s="524"/>
      <c r="W198" s="524"/>
      <c r="X198" s="524"/>
      <c r="Y198" s="524"/>
      <c r="Z198" s="524"/>
    </row>
    <row r="199" ht="13.5" customHeight="1">
      <c r="A199" s="524"/>
      <c r="B199" s="525"/>
      <c r="C199" s="524"/>
      <c r="D199" s="524"/>
      <c r="E199" s="524"/>
      <c r="F199" s="524"/>
      <c r="G199" s="524"/>
      <c r="H199" s="524"/>
      <c r="I199" s="524"/>
      <c r="J199" s="524"/>
      <c r="K199" s="524"/>
      <c r="L199" s="524"/>
      <c r="M199" s="524"/>
      <c r="N199" s="524"/>
      <c r="O199" s="524"/>
      <c r="P199" s="524"/>
      <c r="Q199" s="524"/>
      <c r="R199" s="524"/>
      <c r="S199" s="524"/>
      <c r="T199" s="524"/>
      <c r="U199" s="524"/>
      <c r="V199" s="524"/>
      <c r="W199" s="524"/>
      <c r="X199" s="524"/>
      <c r="Y199" s="524"/>
      <c r="Z199" s="524"/>
    </row>
    <row r="200" ht="13.5" customHeight="1">
      <c r="A200" s="524"/>
      <c r="B200" s="525"/>
      <c r="C200" s="524"/>
      <c r="D200" s="524"/>
      <c r="E200" s="524"/>
      <c r="F200" s="524"/>
      <c r="G200" s="524"/>
      <c r="H200" s="524"/>
      <c r="I200" s="524"/>
      <c r="J200" s="524"/>
      <c r="K200" s="524"/>
      <c r="L200" s="524"/>
      <c r="M200" s="524"/>
      <c r="N200" s="524"/>
      <c r="O200" s="524"/>
      <c r="P200" s="524"/>
      <c r="Q200" s="524"/>
      <c r="R200" s="524"/>
      <c r="S200" s="524"/>
      <c r="T200" s="524"/>
      <c r="U200" s="524"/>
      <c r="V200" s="524"/>
      <c r="W200" s="524"/>
      <c r="X200" s="524"/>
      <c r="Y200" s="524"/>
      <c r="Z200" s="524"/>
    </row>
    <row r="201" ht="13.5" customHeight="1">
      <c r="A201" s="524"/>
      <c r="B201" s="525"/>
      <c r="C201" s="524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524"/>
      <c r="P201" s="524"/>
      <c r="Q201" s="524"/>
      <c r="R201" s="524"/>
      <c r="S201" s="524"/>
      <c r="T201" s="524"/>
      <c r="U201" s="524"/>
      <c r="V201" s="524"/>
      <c r="W201" s="524"/>
      <c r="X201" s="524"/>
      <c r="Y201" s="524"/>
      <c r="Z201" s="524"/>
    </row>
    <row r="202" ht="13.5" customHeight="1">
      <c r="A202" s="524"/>
      <c r="B202" s="525"/>
      <c r="C202" s="524"/>
      <c r="D202" s="524"/>
      <c r="E202" s="524"/>
      <c r="F202" s="524"/>
      <c r="G202" s="524"/>
      <c r="H202" s="524"/>
      <c r="I202" s="524"/>
      <c r="J202" s="524"/>
      <c r="K202" s="524"/>
      <c r="L202" s="524"/>
      <c r="M202" s="524"/>
      <c r="N202" s="524"/>
      <c r="O202" s="524"/>
      <c r="P202" s="524"/>
      <c r="Q202" s="524"/>
      <c r="R202" s="524"/>
      <c r="S202" s="524"/>
      <c r="T202" s="524"/>
      <c r="U202" s="524"/>
      <c r="V202" s="524"/>
      <c r="W202" s="524"/>
      <c r="X202" s="524"/>
      <c r="Y202" s="524"/>
      <c r="Z202" s="524"/>
    </row>
    <row r="203" ht="13.5" customHeight="1">
      <c r="A203" s="524"/>
      <c r="B203" s="525"/>
      <c r="C203" s="524"/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4"/>
      <c r="O203" s="524"/>
      <c r="P203" s="524"/>
      <c r="Q203" s="524"/>
      <c r="R203" s="524"/>
      <c r="S203" s="524"/>
      <c r="T203" s="524"/>
      <c r="U203" s="524"/>
      <c r="V203" s="524"/>
      <c r="W203" s="524"/>
      <c r="X203" s="524"/>
      <c r="Y203" s="524"/>
      <c r="Z203" s="524"/>
    </row>
    <row r="204" ht="13.5" customHeight="1">
      <c r="A204" s="524"/>
      <c r="B204" s="525"/>
      <c r="C204" s="524"/>
      <c r="D204" s="524"/>
      <c r="E204" s="524"/>
      <c r="F204" s="524"/>
      <c r="G204" s="524"/>
      <c r="H204" s="524"/>
      <c r="I204" s="524"/>
      <c r="J204" s="524"/>
      <c r="K204" s="524"/>
      <c r="L204" s="524"/>
      <c r="M204" s="524"/>
      <c r="N204" s="524"/>
      <c r="O204" s="524"/>
      <c r="P204" s="524"/>
      <c r="Q204" s="524"/>
      <c r="R204" s="524"/>
      <c r="S204" s="524"/>
      <c r="T204" s="524"/>
      <c r="U204" s="524"/>
      <c r="V204" s="524"/>
      <c r="W204" s="524"/>
      <c r="X204" s="524"/>
      <c r="Y204" s="524"/>
      <c r="Z204" s="524"/>
    </row>
    <row r="205" ht="13.5" customHeight="1">
      <c r="A205" s="524"/>
      <c r="B205" s="525"/>
      <c r="C205" s="524"/>
      <c r="D205" s="524"/>
      <c r="E205" s="524"/>
      <c r="F205" s="524"/>
      <c r="G205" s="524"/>
      <c r="H205" s="524"/>
      <c r="I205" s="524"/>
      <c r="J205" s="524"/>
      <c r="K205" s="524"/>
      <c r="L205" s="524"/>
      <c r="M205" s="524"/>
      <c r="N205" s="524"/>
      <c r="O205" s="524"/>
      <c r="P205" s="524"/>
      <c r="Q205" s="524"/>
      <c r="R205" s="524"/>
      <c r="S205" s="524"/>
      <c r="T205" s="524"/>
      <c r="U205" s="524"/>
      <c r="V205" s="524"/>
      <c r="W205" s="524"/>
      <c r="X205" s="524"/>
      <c r="Y205" s="524"/>
      <c r="Z205" s="524"/>
    </row>
    <row r="206" ht="13.5" customHeight="1">
      <c r="A206" s="524"/>
      <c r="B206" s="525"/>
      <c r="C206" s="524"/>
      <c r="D206" s="524"/>
      <c r="E206" s="524"/>
      <c r="F206" s="524"/>
      <c r="G206" s="524"/>
      <c r="H206" s="524"/>
      <c r="I206" s="524"/>
      <c r="J206" s="524"/>
      <c r="K206" s="524"/>
      <c r="L206" s="524"/>
      <c r="M206" s="524"/>
      <c r="N206" s="524"/>
      <c r="O206" s="524"/>
      <c r="P206" s="524"/>
      <c r="Q206" s="524"/>
      <c r="R206" s="524"/>
      <c r="S206" s="524"/>
      <c r="T206" s="524"/>
      <c r="U206" s="524"/>
      <c r="V206" s="524"/>
      <c r="W206" s="524"/>
      <c r="X206" s="524"/>
      <c r="Y206" s="524"/>
      <c r="Z206" s="524"/>
    </row>
    <row r="207" ht="13.5" customHeight="1">
      <c r="A207" s="524"/>
      <c r="B207" s="525"/>
      <c r="C207" s="524"/>
      <c r="D207" s="524"/>
      <c r="E207" s="524"/>
      <c r="F207" s="524"/>
      <c r="G207" s="524"/>
      <c r="H207" s="524"/>
      <c r="I207" s="524"/>
      <c r="J207" s="524"/>
      <c r="K207" s="524"/>
      <c r="L207" s="524"/>
      <c r="M207" s="524"/>
      <c r="N207" s="524"/>
      <c r="O207" s="524"/>
      <c r="P207" s="524"/>
      <c r="Q207" s="524"/>
      <c r="R207" s="524"/>
      <c r="S207" s="524"/>
      <c r="T207" s="524"/>
      <c r="U207" s="524"/>
      <c r="V207" s="524"/>
      <c r="W207" s="524"/>
      <c r="X207" s="524"/>
      <c r="Y207" s="524"/>
      <c r="Z207" s="524"/>
    </row>
    <row r="208" ht="13.5" customHeight="1">
      <c r="A208" s="524"/>
      <c r="B208" s="525"/>
      <c r="C208" s="524"/>
      <c r="D208" s="524"/>
      <c r="E208" s="524"/>
      <c r="F208" s="524"/>
      <c r="G208" s="524"/>
      <c r="H208" s="524"/>
      <c r="I208" s="524"/>
      <c r="J208" s="524"/>
      <c r="K208" s="524"/>
      <c r="L208" s="524"/>
      <c r="M208" s="524"/>
      <c r="N208" s="524"/>
      <c r="O208" s="524"/>
      <c r="P208" s="524"/>
      <c r="Q208" s="524"/>
      <c r="R208" s="524"/>
      <c r="S208" s="524"/>
      <c r="T208" s="524"/>
      <c r="U208" s="524"/>
      <c r="V208" s="524"/>
      <c r="W208" s="524"/>
      <c r="X208" s="524"/>
      <c r="Y208" s="524"/>
      <c r="Z208" s="524"/>
    </row>
    <row r="209" ht="13.5" customHeight="1">
      <c r="A209" s="524"/>
      <c r="B209" s="525"/>
      <c r="C209" s="524"/>
      <c r="D209" s="524"/>
      <c r="E209" s="524"/>
      <c r="F209" s="524"/>
      <c r="G209" s="524"/>
      <c r="H209" s="524"/>
      <c r="I209" s="524"/>
      <c r="J209" s="524"/>
      <c r="K209" s="524"/>
      <c r="L209" s="524"/>
      <c r="M209" s="524"/>
      <c r="N209" s="524"/>
      <c r="O209" s="524"/>
      <c r="P209" s="524"/>
      <c r="Q209" s="524"/>
      <c r="R209" s="524"/>
      <c r="S209" s="524"/>
      <c r="T209" s="524"/>
      <c r="U209" s="524"/>
      <c r="V209" s="524"/>
      <c r="W209" s="524"/>
      <c r="X209" s="524"/>
      <c r="Y209" s="524"/>
      <c r="Z209" s="524"/>
    </row>
    <row r="210" ht="13.5" customHeight="1">
      <c r="A210" s="524"/>
      <c r="B210" s="525"/>
      <c r="C210" s="524"/>
      <c r="D210" s="524"/>
      <c r="E210" s="524"/>
      <c r="F210" s="524"/>
      <c r="G210" s="524"/>
      <c r="H210" s="524"/>
      <c r="I210" s="524"/>
      <c r="J210" s="524"/>
      <c r="K210" s="524"/>
      <c r="L210" s="524"/>
      <c r="M210" s="524"/>
      <c r="N210" s="524"/>
      <c r="O210" s="524"/>
      <c r="P210" s="524"/>
      <c r="Q210" s="524"/>
      <c r="R210" s="524"/>
      <c r="S210" s="524"/>
      <c r="T210" s="524"/>
      <c r="U210" s="524"/>
      <c r="V210" s="524"/>
      <c r="W210" s="524"/>
      <c r="X210" s="524"/>
      <c r="Y210" s="524"/>
      <c r="Z210" s="524"/>
    </row>
    <row r="211" ht="13.5" customHeight="1">
      <c r="A211" s="524"/>
      <c r="B211" s="525"/>
      <c r="C211" s="524"/>
      <c r="D211" s="524"/>
      <c r="E211" s="524"/>
      <c r="F211" s="524"/>
      <c r="G211" s="524"/>
      <c r="H211" s="524"/>
      <c r="I211" s="524"/>
      <c r="J211" s="524"/>
      <c r="K211" s="524"/>
      <c r="L211" s="524"/>
      <c r="M211" s="524"/>
      <c r="N211" s="524"/>
      <c r="O211" s="524"/>
      <c r="P211" s="524"/>
      <c r="Q211" s="524"/>
      <c r="R211" s="524"/>
      <c r="S211" s="524"/>
      <c r="T211" s="524"/>
      <c r="U211" s="524"/>
      <c r="V211" s="524"/>
      <c r="W211" s="524"/>
      <c r="X211" s="524"/>
      <c r="Y211" s="524"/>
      <c r="Z211" s="524"/>
    </row>
    <row r="212" ht="13.5" customHeight="1">
      <c r="A212" s="524"/>
      <c r="B212" s="525"/>
      <c r="C212" s="524"/>
      <c r="D212" s="524"/>
      <c r="E212" s="524"/>
      <c r="F212" s="524"/>
      <c r="G212" s="524"/>
      <c r="H212" s="524"/>
      <c r="I212" s="524"/>
      <c r="J212" s="524"/>
      <c r="K212" s="524"/>
      <c r="L212" s="524"/>
      <c r="M212" s="524"/>
      <c r="N212" s="524"/>
      <c r="O212" s="524"/>
      <c r="P212" s="524"/>
      <c r="Q212" s="524"/>
      <c r="R212" s="524"/>
      <c r="S212" s="524"/>
      <c r="T212" s="524"/>
      <c r="U212" s="524"/>
      <c r="V212" s="524"/>
      <c r="W212" s="524"/>
      <c r="X212" s="524"/>
      <c r="Y212" s="524"/>
      <c r="Z212" s="524"/>
    </row>
    <row r="213" ht="13.5" customHeight="1">
      <c r="A213" s="524"/>
      <c r="B213" s="525"/>
      <c r="C213" s="524"/>
      <c r="D213" s="524"/>
      <c r="E213" s="524"/>
      <c r="F213" s="524"/>
      <c r="G213" s="524"/>
      <c r="H213" s="524"/>
      <c r="I213" s="524"/>
      <c r="J213" s="524"/>
      <c r="K213" s="524"/>
      <c r="L213" s="524"/>
      <c r="M213" s="524"/>
      <c r="N213" s="524"/>
      <c r="O213" s="524"/>
      <c r="P213" s="524"/>
      <c r="Q213" s="524"/>
      <c r="R213" s="524"/>
      <c r="S213" s="524"/>
      <c r="T213" s="524"/>
      <c r="U213" s="524"/>
      <c r="V213" s="524"/>
      <c r="W213" s="524"/>
      <c r="X213" s="524"/>
      <c r="Y213" s="524"/>
      <c r="Z213" s="524"/>
    </row>
    <row r="214" ht="13.5" customHeight="1">
      <c r="A214" s="524"/>
      <c r="B214" s="525"/>
      <c r="C214" s="524"/>
      <c r="D214" s="524"/>
      <c r="E214" s="524"/>
      <c r="F214" s="524"/>
      <c r="G214" s="524"/>
      <c r="H214" s="524"/>
      <c r="I214" s="524"/>
      <c r="J214" s="524"/>
      <c r="K214" s="524"/>
      <c r="L214" s="524"/>
      <c r="M214" s="524"/>
      <c r="N214" s="524"/>
      <c r="O214" s="524"/>
      <c r="P214" s="524"/>
      <c r="Q214" s="524"/>
      <c r="R214" s="524"/>
      <c r="S214" s="524"/>
      <c r="T214" s="524"/>
      <c r="U214" s="524"/>
      <c r="V214" s="524"/>
      <c r="W214" s="524"/>
      <c r="X214" s="524"/>
      <c r="Y214" s="524"/>
      <c r="Z214" s="524"/>
    </row>
    <row r="215" ht="13.5" customHeight="1">
      <c r="A215" s="524"/>
      <c r="B215" s="525"/>
      <c r="C215" s="524"/>
      <c r="D215" s="524"/>
      <c r="E215" s="524"/>
      <c r="F215" s="524"/>
      <c r="G215" s="524"/>
      <c r="H215" s="524"/>
      <c r="I215" s="524"/>
      <c r="J215" s="524"/>
      <c r="K215" s="524"/>
      <c r="L215" s="524"/>
      <c r="M215" s="524"/>
      <c r="N215" s="524"/>
      <c r="O215" s="524"/>
      <c r="P215" s="524"/>
      <c r="Q215" s="524"/>
      <c r="R215" s="524"/>
      <c r="S215" s="524"/>
      <c r="T215" s="524"/>
      <c r="U215" s="524"/>
      <c r="V215" s="524"/>
      <c r="W215" s="524"/>
      <c r="X215" s="524"/>
      <c r="Y215" s="524"/>
      <c r="Z215" s="524"/>
    </row>
    <row r="216" ht="13.5" customHeight="1">
      <c r="A216" s="524"/>
      <c r="B216" s="525"/>
      <c r="C216" s="524"/>
      <c r="D216" s="524"/>
      <c r="E216" s="524"/>
      <c r="F216" s="524"/>
      <c r="G216" s="524"/>
      <c r="H216" s="524"/>
      <c r="I216" s="524"/>
      <c r="J216" s="524"/>
      <c r="K216" s="524"/>
      <c r="L216" s="524"/>
      <c r="M216" s="524"/>
      <c r="N216" s="524"/>
      <c r="O216" s="524"/>
      <c r="P216" s="524"/>
      <c r="Q216" s="524"/>
      <c r="R216" s="524"/>
      <c r="S216" s="524"/>
      <c r="T216" s="524"/>
      <c r="U216" s="524"/>
      <c r="V216" s="524"/>
      <c r="W216" s="524"/>
      <c r="X216" s="524"/>
      <c r="Y216" s="524"/>
      <c r="Z216" s="524"/>
    </row>
    <row r="217" ht="13.5" customHeight="1">
      <c r="A217" s="524"/>
      <c r="B217" s="525"/>
      <c r="C217" s="524"/>
      <c r="D217" s="524"/>
      <c r="E217" s="524"/>
      <c r="F217" s="524"/>
      <c r="G217" s="524"/>
      <c r="H217" s="524"/>
      <c r="I217" s="524"/>
      <c r="J217" s="524"/>
      <c r="K217" s="524"/>
      <c r="L217" s="524"/>
      <c r="M217" s="524"/>
      <c r="N217" s="524"/>
      <c r="O217" s="524"/>
      <c r="P217" s="524"/>
      <c r="Q217" s="524"/>
      <c r="R217" s="524"/>
      <c r="S217" s="524"/>
      <c r="T217" s="524"/>
      <c r="U217" s="524"/>
      <c r="V217" s="524"/>
      <c r="W217" s="524"/>
      <c r="X217" s="524"/>
      <c r="Y217" s="524"/>
      <c r="Z217" s="524"/>
    </row>
    <row r="218" ht="13.5" customHeight="1">
      <c r="A218" s="524"/>
      <c r="B218" s="525"/>
      <c r="C218" s="524"/>
      <c r="D218" s="524"/>
      <c r="E218" s="524"/>
      <c r="F218" s="524"/>
      <c r="G218" s="524"/>
      <c r="H218" s="524"/>
      <c r="I218" s="524"/>
      <c r="J218" s="524"/>
      <c r="K218" s="524"/>
      <c r="L218" s="524"/>
      <c r="M218" s="524"/>
      <c r="N218" s="524"/>
      <c r="O218" s="524"/>
      <c r="P218" s="524"/>
      <c r="Q218" s="524"/>
      <c r="R218" s="524"/>
      <c r="S218" s="524"/>
      <c r="T218" s="524"/>
      <c r="U218" s="524"/>
      <c r="V218" s="524"/>
      <c r="W218" s="524"/>
      <c r="X218" s="524"/>
      <c r="Y218" s="524"/>
      <c r="Z218" s="524"/>
    </row>
    <row r="219" ht="13.5" customHeight="1">
      <c r="A219" s="524"/>
      <c r="B219" s="525"/>
      <c r="C219" s="524"/>
      <c r="D219" s="524"/>
      <c r="E219" s="524"/>
      <c r="F219" s="524"/>
      <c r="G219" s="524"/>
      <c r="H219" s="524"/>
      <c r="I219" s="524"/>
      <c r="J219" s="524"/>
      <c r="K219" s="524"/>
      <c r="L219" s="524"/>
      <c r="M219" s="524"/>
      <c r="N219" s="524"/>
      <c r="O219" s="524"/>
      <c r="P219" s="524"/>
      <c r="Q219" s="524"/>
      <c r="R219" s="524"/>
      <c r="S219" s="524"/>
      <c r="T219" s="524"/>
      <c r="U219" s="524"/>
      <c r="V219" s="524"/>
      <c r="W219" s="524"/>
      <c r="X219" s="524"/>
      <c r="Y219" s="524"/>
      <c r="Z219" s="524"/>
    </row>
    <row r="220" ht="13.5" customHeight="1">
      <c r="A220" s="524"/>
      <c r="B220" s="525"/>
      <c r="C220" s="524"/>
      <c r="D220" s="524"/>
      <c r="E220" s="524"/>
      <c r="F220" s="524"/>
      <c r="G220" s="524"/>
      <c r="H220" s="524"/>
      <c r="I220" s="524"/>
      <c r="J220" s="524"/>
      <c r="K220" s="524"/>
      <c r="L220" s="524"/>
      <c r="M220" s="524"/>
      <c r="N220" s="524"/>
      <c r="O220" s="524"/>
      <c r="P220" s="524"/>
      <c r="Q220" s="524"/>
      <c r="R220" s="524"/>
      <c r="S220" s="524"/>
      <c r="T220" s="524"/>
      <c r="U220" s="524"/>
      <c r="V220" s="524"/>
      <c r="W220" s="524"/>
      <c r="X220" s="524"/>
      <c r="Y220" s="524"/>
      <c r="Z220" s="524"/>
    </row>
    <row r="221" ht="13.5" customHeight="1">
      <c r="A221" s="524"/>
      <c r="B221" s="525"/>
      <c r="C221" s="524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4"/>
      <c r="O221" s="524"/>
      <c r="P221" s="524"/>
      <c r="Q221" s="524"/>
      <c r="R221" s="524"/>
      <c r="S221" s="524"/>
      <c r="T221" s="524"/>
      <c r="U221" s="524"/>
      <c r="V221" s="524"/>
      <c r="W221" s="524"/>
      <c r="X221" s="524"/>
      <c r="Y221" s="524"/>
      <c r="Z221" s="524"/>
    </row>
    <row r="222" ht="13.5" customHeight="1">
      <c r="A222" s="524"/>
      <c r="B222" s="525"/>
      <c r="C222" s="524"/>
      <c r="D222" s="524"/>
      <c r="E222" s="524"/>
      <c r="F222" s="524"/>
      <c r="G222" s="524"/>
      <c r="H222" s="524"/>
      <c r="I222" s="524"/>
      <c r="J222" s="524"/>
      <c r="K222" s="524"/>
      <c r="L222" s="524"/>
      <c r="M222" s="524"/>
      <c r="N222" s="524"/>
      <c r="O222" s="524"/>
      <c r="P222" s="524"/>
      <c r="Q222" s="524"/>
      <c r="R222" s="524"/>
      <c r="S222" s="524"/>
      <c r="T222" s="524"/>
      <c r="U222" s="524"/>
      <c r="V222" s="524"/>
      <c r="W222" s="524"/>
      <c r="X222" s="524"/>
      <c r="Y222" s="524"/>
      <c r="Z222" s="524"/>
    </row>
    <row r="223" ht="13.5" customHeight="1">
      <c r="A223" s="524"/>
      <c r="B223" s="525"/>
      <c r="C223" s="524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524"/>
      <c r="P223" s="524"/>
      <c r="Q223" s="524"/>
      <c r="R223" s="524"/>
      <c r="S223" s="524"/>
      <c r="T223" s="524"/>
      <c r="U223" s="524"/>
      <c r="V223" s="524"/>
      <c r="W223" s="524"/>
      <c r="X223" s="524"/>
      <c r="Y223" s="524"/>
      <c r="Z223" s="524"/>
    </row>
    <row r="224" ht="13.5" customHeight="1">
      <c r="A224" s="524"/>
      <c r="B224" s="525"/>
      <c r="C224" s="524"/>
      <c r="D224" s="524"/>
      <c r="E224" s="524"/>
      <c r="F224" s="524"/>
      <c r="G224" s="524"/>
      <c r="H224" s="524"/>
      <c r="I224" s="524"/>
      <c r="J224" s="524"/>
      <c r="K224" s="524"/>
      <c r="L224" s="524"/>
      <c r="M224" s="524"/>
      <c r="N224" s="524"/>
      <c r="O224" s="524"/>
      <c r="P224" s="524"/>
      <c r="Q224" s="524"/>
      <c r="R224" s="524"/>
      <c r="S224" s="524"/>
      <c r="T224" s="524"/>
      <c r="U224" s="524"/>
      <c r="V224" s="524"/>
      <c r="W224" s="524"/>
      <c r="X224" s="524"/>
      <c r="Y224" s="524"/>
      <c r="Z224" s="524"/>
    </row>
    <row r="225" ht="13.5" customHeight="1">
      <c r="A225" s="524"/>
      <c r="B225" s="525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24"/>
      <c r="V225" s="524"/>
      <c r="W225" s="524"/>
      <c r="X225" s="524"/>
      <c r="Y225" s="524"/>
      <c r="Z225" s="524"/>
    </row>
    <row r="226" ht="13.5" customHeight="1">
      <c r="A226" s="524"/>
      <c r="B226" s="525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24"/>
      <c r="V226" s="524"/>
      <c r="W226" s="524"/>
      <c r="X226" s="524"/>
      <c r="Y226" s="524"/>
      <c r="Z226" s="524"/>
    </row>
    <row r="227" ht="13.5" customHeight="1">
      <c r="A227" s="524"/>
      <c r="B227" s="525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24"/>
      <c r="V227" s="524"/>
      <c r="W227" s="524"/>
      <c r="X227" s="524"/>
      <c r="Y227" s="524"/>
      <c r="Z227" s="524"/>
    </row>
    <row r="228" ht="13.5" customHeight="1">
      <c r="A228" s="524"/>
      <c r="B228" s="525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24"/>
      <c r="V228" s="524"/>
      <c r="W228" s="524"/>
      <c r="X228" s="524"/>
      <c r="Y228" s="524"/>
      <c r="Z228" s="524"/>
    </row>
    <row r="229" ht="13.5" customHeight="1">
      <c r="A229" s="524"/>
      <c r="B229" s="525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24"/>
      <c r="V229" s="524"/>
      <c r="W229" s="524"/>
      <c r="X229" s="524"/>
      <c r="Y229" s="524"/>
      <c r="Z229" s="524"/>
    </row>
    <row r="230" ht="13.5" customHeight="1">
      <c r="A230" s="524"/>
      <c r="B230" s="525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24"/>
      <c r="V230" s="524"/>
      <c r="W230" s="524"/>
      <c r="X230" s="524"/>
      <c r="Y230" s="524"/>
      <c r="Z230" s="524"/>
    </row>
    <row r="231" ht="13.5" customHeight="1">
      <c r="A231" s="524"/>
      <c r="B231" s="525"/>
      <c r="C231" s="524"/>
      <c r="D231" s="524"/>
      <c r="E231" s="524"/>
      <c r="F231" s="524"/>
      <c r="G231" s="524"/>
      <c r="H231" s="524"/>
      <c r="I231" s="524"/>
      <c r="J231" s="524"/>
      <c r="K231" s="524"/>
      <c r="L231" s="524"/>
      <c r="M231" s="524"/>
      <c r="N231" s="524"/>
      <c r="O231" s="524"/>
      <c r="P231" s="524"/>
      <c r="Q231" s="524"/>
      <c r="R231" s="524"/>
      <c r="S231" s="524"/>
      <c r="T231" s="524"/>
      <c r="U231" s="524"/>
      <c r="V231" s="524"/>
      <c r="W231" s="524"/>
      <c r="X231" s="524"/>
      <c r="Y231" s="524"/>
      <c r="Z231" s="524"/>
    </row>
    <row r="232" ht="13.5" customHeight="1">
      <c r="A232" s="524"/>
      <c r="B232" s="525"/>
      <c r="C232" s="524"/>
      <c r="D232" s="524"/>
      <c r="E232" s="524"/>
      <c r="F232" s="524"/>
      <c r="G232" s="524"/>
      <c r="H232" s="524"/>
      <c r="I232" s="524"/>
      <c r="J232" s="524"/>
      <c r="K232" s="524"/>
      <c r="L232" s="524"/>
      <c r="M232" s="524"/>
      <c r="N232" s="524"/>
      <c r="O232" s="524"/>
      <c r="P232" s="524"/>
      <c r="Q232" s="524"/>
      <c r="R232" s="524"/>
      <c r="S232" s="524"/>
      <c r="T232" s="524"/>
      <c r="U232" s="524"/>
      <c r="V232" s="524"/>
      <c r="W232" s="524"/>
      <c r="X232" s="524"/>
      <c r="Y232" s="524"/>
      <c r="Z232" s="524"/>
    </row>
    <row r="233" ht="13.5" customHeight="1">
      <c r="A233" s="524"/>
      <c r="B233" s="525"/>
      <c r="C233" s="524"/>
      <c r="D233" s="524"/>
      <c r="E233" s="524"/>
      <c r="F233" s="524"/>
      <c r="G233" s="524"/>
      <c r="H233" s="524"/>
      <c r="I233" s="524"/>
      <c r="J233" s="524"/>
      <c r="K233" s="524"/>
      <c r="L233" s="524"/>
      <c r="M233" s="524"/>
      <c r="N233" s="524"/>
      <c r="O233" s="524"/>
      <c r="P233" s="524"/>
      <c r="Q233" s="524"/>
      <c r="R233" s="524"/>
      <c r="S233" s="524"/>
      <c r="T233" s="524"/>
      <c r="U233" s="524"/>
      <c r="V233" s="524"/>
      <c r="W233" s="524"/>
      <c r="X233" s="524"/>
      <c r="Y233" s="524"/>
      <c r="Z233" s="524"/>
    </row>
    <row r="234" ht="13.5" customHeight="1">
      <c r="A234" s="524"/>
      <c r="B234" s="525"/>
      <c r="C234" s="524"/>
      <c r="D234" s="524"/>
      <c r="E234" s="524"/>
      <c r="F234" s="524"/>
      <c r="G234" s="524"/>
      <c r="H234" s="524"/>
      <c r="I234" s="524"/>
      <c r="J234" s="524"/>
      <c r="K234" s="524"/>
      <c r="L234" s="524"/>
      <c r="M234" s="524"/>
      <c r="N234" s="524"/>
      <c r="O234" s="524"/>
      <c r="P234" s="524"/>
      <c r="Q234" s="524"/>
      <c r="R234" s="524"/>
      <c r="S234" s="524"/>
      <c r="T234" s="524"/>
      <c r="U234" s="524"/>
      <c r="V234" s="524"/>
      <c r="W234" s="524"/>
      <c r="X234" s="524"/>
      <c r="Y234" s="524"/>
      <c r="Z234" s="524"/>
    </row>
    <row r="235" ht="13.5" customHeight="1">
      <c r="A235" s="524"/>
      <c r="B235" s="525"/>
      <c r="C235" s="524"/>
      <c r="D235" s="524"/>
      <c r="E235" s="524"/>
      <c r="F235" s="524"/>
      <c r="G235" s="524"/>
      <c r="H235" s="524"/>
      <c r="I235" s="524"/>
      <c r="J235" s="524"/>
      <c r="K235" s="524"/>
      <c r="L235" s="524"/>
      <c r="M235" s="524"/>
      <c r="N235" s="524"/>
      <c r="O235" s="524"/>
      <c r="P235" s="524"/>
      <c r="Q235" s="524"/>
      <c r="R235" s="524"/>
      <c r="S235" s="524"/>
      <c r="T235" s="524"/>
      <c r="U235" s="524"/>
      <c r="V235" s="524"/>
      <c r="W235" s="524"/>
      <c r="X235" s="524"/>
      <c r="Y235" s="524"/>
      <c r="Z235" s="524"/>
    </row>
    <row r="236" ht="13.5" customHeight="1">
      <c r="A236" s="524"/>
      <c r="B236" s="525"/>
      <c r="C236" s="524"/>
      <c r="D236" s="524"/>
      <c r="E236" s="524"/>
      <c r="F236" s="524"/>
      <c r="G236" s="524"/>
      <c r="H236" s="524"/>
      <c r="I236" s="524"/>
      <c r="J236" s="524"/>
      <c r="K236" s="524"/>
      <c r="L236" s="524"/>
      <c r="M236" s="524"/>
      <c r="N236" s="524"/>
      <c r="O236" s="524"/>
      <c r="P236" s="524"/>
      <c r="Q236" s="524"/>
      <c r="R236" s="524"/>
      <c r="S236" s="524"/>
      <c r="T236" s="524"/>
      <c r="U236" s="524"/>
      <c r="V236" s="524"/>
      <c r="W236" s="524"/>
      <c r="X236" s="524"/>
      <c r="Y236" s="524"/>
      <c r="Z236" s="524"/>
    </row>
    <row r="237" ht="13.5" customHeight="1">
      <c r="A237" s="524"/>
      <c r="B237" s="525"/>
      <c r="C237" s="524"/>
      <c r="D237" s="524"/>
      <c r="E237" s="524"/>
      <c r="F237" s="524"/>
      <c r="G237" s="524"/>
      <c r="H237" s="524"/>
      <c r="I237" s="524"/>
      <c r="J237" s="524"/>
      <c r="K237" s="524"/>
      <c r="L237" s="524"/>
      <c r="M237" s="524"/>
      <c r="N237" s="524"/>
      <c r="O237" s="524"/>
      <c r="P237" s="524"/>
      <c r="Q237" s="524"/>
      <c r="R237" s="524"/>
      <c r="S237" s="524"/>
      <c r="T237" s="524"/>
      <c r="U237" s="524"/>
      <c r="V237" s="524"/>
      <c r="W237" s="524"/>
      <c r="X237" s="524"/>
      <c r="Y237" s="524"/>
      <c r="Z237" s="524"/>
    </row>
    <row r="238" ht="13.5" customHeight="1">
      <c r="A238" s="524"/>
      <c r="B238" s="525"/>
      <c r="C238" s="524"/>
      <c r="D238" s="524"/>
      <c r="E238" s="524"/>
      <c r="F238" s="524"/>
      <c r="G238" s="524"/>
      <c r="H238" s="524"/>
      <c r="I238" s="524"/>
      <c r="J238" s="524"/>
      <c r="K238" s="524"/>
      <c r="L238" s="524"/>
      <c r="M238" s="524"/>
      <c r="N238" s="524"/>
      <c r="O238" s="524"/>
      <c r="P238" s="524"/>
      <c r="Q238" s="524"/>
      <c r="R238" s="524"/>
      <c r="S238" s="524"/>
      <c r="T238" s="524"/>
      <c r="U238" s="524"/>
      <c r="V238" s="524"/>
      <c r="W238" s="524"/>
      <c r="X238" s="524"/>
      <c r="Y238" s="524"/>
      <c r="Z238" s="524"/>
    </row>
    <row r="239" ht="13.5" customHeight="1">
      <c r="A239" s="524"/>
      <c r="B239" s="525"/>
      <c r="C239" s="524"/>
      <c r="D239" s="524"/>
      <c r="E239" s="524"/>
      <c r="F239" s="524"/>
      <c r="G239" s="524"/>
      <c r="H239" s="524"/>
      <c r="I239" s="524"/>
      <c r="J239" s="524"/>
      <c r="K239" s="524"/>
      <c r="L239" s="524"/>
      <c r="M239" s="524"/>
      <c r="N239" s="524"/>
      <c r="O239" s="524"/>
      <c r="P239" s="524"/>
      <c r="Q239" s="524"/>
      <c r="R239" s="524"/>
      <c r="S239" s="524"/>
      <c r="T239" s="524"/>
      <c r="U239" s="524"/>
      <c r="V239" s="524"/>
      <c r="W239" s="524"/>
      <c r="X239" s="524"/>
      <c r="Y239" s="524"/>
      <c r="Z239" s="524"/>
    </row>
    <row r="240" ht="13.5" customHeight="1">
      <c r="A240" s="524"/>
      <c r="B240" s="525"/>
      <c r="C240" s="524"/>
      <c r="D240" s="524"/>
      <c r="E240" s="524"/>
      <c r="F240" s="524"/>
      <c r="G240" s="524"/>
      <c r="H240" s="524"/>
      <c r="I240" s="524"/>
      <c r="J240" s="524"/>
      <c r="K240" s="524"/>
      <c r="L240" s="524"/>
      <c r="M240" s="524"/>
      <c r="N240" s="524"/>
      <c r="O240" s="524"/>
      <c r="P240" s="524"/>
      <c r="Q240" s="524"/>
      <c r="R240" s="524"/>
      <c r="S240" s="524"/>
      <c r="T240" s="524"/>
      <c r="U240" s="524"/>
      <c r="V240" s="524"/>
      <c r="W240" s="524"/>
      <c r="X240" s="524"/>
      <c r="Y240" s="524"/>
      <c r="Z240" s="524"/>
    </row>
    <row r="241" ht="13.5" customHeight="1">
      <c r="A241" s="524"/>
      <c r="B241" s="525"/>
      <c r="C241" s="524"/>
      <c r="D241" s="524"/>
      <c r="E241" s="524"/>
      <c r="F241" s="524"/>
      <c r="G241" s="524"/>
      <c r="H241" s="524"/>
      <c r="I241" s="524"/>
      <c r="J241" s="524"/>
      <c r="K241" s="524"/>
      <c r="L241" s="524"/>
      <c r="M241" s="524"/>
      <c r="N241" s="524"/>
      <c r="O241" s="524"/>
      <c r="P241" s="524"/>
      <c r="Q241" s="524"/>
      <c r="R241" s="524"/>
      <c r="S241" s="524"/>
      <c r="T241" s="524"/>
      <c r="U241" s="524"/>
      <c r="V241" s="524"/>
      <c r="W241" s="524"/>
      <c r="X241" s="524"/>
      <c r="Y241" s="524"/>
      <c r="Z241" s="524"/>
    </row>
    <row r="242" ht="13.5" customHeight="1">
      <c r="A242" s="524"/>
      <c r="B242" s="525"/>
      <c r="C242" s="524"/>
      <c r="D242" s="524"/>
      <c r="E242" s="524"/>
      <c r="F242" s="524"/>
      <c r="G242" s="524"/>
      <c r="H242" s="524"/>
      <c r="I242" s="524"/>
      <c r="J242" s="524"/>
      <c r="K242" s="524"/>
      <c r="L242" s="524"/>
      <c r="M242" s="524"/>
      <c r="N242" s="524"/>
      <c r="O242" s="524"/>
      <c r="P242" s="524"/>
      <c r="Q242" s="524"/>
      <c r="R242" s="524"/>
      <c r="S242" s="524"/>
      <c r="T242" s="524"/>
      <c r="U242" s="524"/>
      <c r="V242" s="524"/>
      <c r="W242" s="524"/>
      <c r="X242" s="524"/>
      <c r="Y242" s="524"/>
      <c r="Z242" s="524"/>
    </row>
    <row r="243" ht="13.5" customHeight="1">
      <c r="A243" s="524"/>
      <c r="B243" s="525"/>
      <c r="C243" s="524"/>
      <c r="D243" s="524"/>
      <c r="E243" s="524"/>
      <c r="F243" s="524"/>
      <c r="G243" s="524"/>
      <c r="H243" s="524"/>
      <c r="I243" s="524"/>
      <c r="J243" s="524"/>
      <c r="K243" s="524"/>
      <c r="L243" s="524"/>
      <c r="M243" s="524"/>
      <c r="N243" s="524"/>
      <c r="O243" s="524"/>
      <c r="P243" s="524"/>
      <c r="Q243" s="524"/>
      <c r="R243" s="524"/>
      <c r="S243" s="524"/>
      <c r="T243" s="524"/>
      <c r="U243" s="524"/>
      <c r="V243" s="524"/>
      <c r="W243" s="524"/>
      <c r="X243" s="524"/>
      <c r="Y243" s="524"/>
      <c r="Z243" s="524"/>
    </row>
    <row r="244" ht="13.5" customHeight="1">
      <c r="A244" s="524"/>
      <c r="B244" s="525"/>
      <c r="C244" s="524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524"/>
      <c r="S244" s="524"/>
      <c r="T244" s="524"/>
      <c r="U244" s="524"/>
      <c r="V244" s="524"/>
      <c r="W244" s="524"/>
      <c r="X244" s="524"/>
      <c r="Y244" s="524"/>
      <c r="Z244" s="524"/>
    </row>
    <row r="245" ht="13.5" customHeight="1">
      <c r="A245" s="524"/>
      <c r="B245" s="525"/>
      <c r="C245" s="524"/>
      <c r="D245" s="524"/>
      <c r="E245" s="524"/>
      <c r="F245" s="524"/>
      <c r="G245" s="524"/>
      <c r="H245" s="524"/>
      <c r="I245" s="524"/>
      <c r="J245" s="524"/>
      <c r="K245" s="524"/>
      <c r="L245" s="524"/>
      <c r="M245" s="524"/>
      <c r="N245" s="524"/>
      <c r="O245" s="524"/>
      <c r="P245" s="524"/>
      <c r="Q245" s="524"/>
      <c r="R245" s="524"/>
      <c r="S245" s="524"/>
      <c r="T245" s="524"/>
      <c r="U245" s="524"/>
      <c r="V245" s="524"/>
      <c r="W245" s="524"/>
      <c r="X245" s="524"/>
      <c r="Y245" s="524"/>
      <c r="Z245" s="524"/>
    </row>
    <row r="246" ht="13.5" customHeight="1">
      <c r="A246" s="524"/>
      <c r="B246" s="525"/>
      <c r="C246" s="524"/>
      <c r="D246" s="524"/>
      <c r="E246" s="524"/>
      <c r="F246" s="524"/>
      <c r="G246" s="524"/>
      <c r="H246" s="524"/>
      <c r="I246" s="524"/>
      <c r="J246" s="524"/>
      <c r="K246" s="524"/>
      <c r="L246" s="524"/>
      <c r="M246" s="524"/>
      <c r="N246" s="524"/>
      <c r="O246" s="524"/>
      <c r="P246" s="524"/>
      <c r="Q246" s="524"/>
      <c r="R246" s="524"/>
      <c r="S246" s="524"/>
      <c r="T246" s="524"/>
      <c r="U246" s="524"/>
      <c r="V246" s="524"/>
      <c r="W246" s="524"/>
      <c r="X246" s="524"/>
      <c r="Y246" s="524"/>
      <c r="Z246" s="524"/>
    </row>
    <row r="247" ht="13.5" customHeight="1">
      <c r="A247" s="524"/>
      <c r="B247" s="525"/>
      <c r="C247" s="524"/>
      <c r="D247" s="524"/>
      <c r="E247" s="524"/>
      <c r="F247" s="524"/>
      <c r="G247" s="524"/>
      <c r="H247" s="524"/>
      <c r="I247" s="524"/>
      <c r="J247" s="524"/>
      <c r="K247" s="524"/>
      <c r="L247" s="524"/>
      <c r="M247" s="524"/>
      <c r="N247" s="524"/>
      <c r="O247" s="524"/>
      <c r="P247" s="524"/>
      <c r="Q247" s="524"/>
      <c r="R247" s="524"/>
      <c r="S247" s="524"/>
      <c r="T247" s="524"/>
      <c r="U247" s="524"/>
      <c r="V247" s="524"/>
      <c r="W247" s="524"/>
      <c r="X247" s="524"/>
      <c r="Y247" s="524"/>
      <c r="Z247" s="524"/>
    </row>
    <row r="248" ht="13.5" customHeight="1">
      <c r="A248" s="524"/>
      <c r="B248" s="525"/>
      <c r="C248" s="524"/>
      <c r="D248" s="524"/>
      <c r="E248" s="524"/>
      <c r="F248" s="524"/>
      <c r="G248" s="524"/>
      <c r="H248" s="524"/>
      <c r="I248" s="524"/>
      <c r="J248" s="524"/>
      <c r="K248" s="524"/>
      <c r="L248" s="524"/>
      <c r="M248" s="524"/>
      <c r="N248" s="524"/>
      <c r="O248" s="524"/>
      <c r="P248" s="524"/>
      <c r="Q248" s="524"/>
      <c r="R248" s="524"/>
      <c r="S248" s="524"/>
      <c r="T248" s="524"/>
      <c r="U248" s="524"/>
      <c r="V248" s="524"/>
      <c r="W248" s="524"/>
      <c r="X248" s="524"/>
      <c r="Y248" s="524"/>
      <c r="Z248" s="524"/>
    </row>
    <row r="249" ht="13.5" customHeight="1">
      <c r="A249" s="524"/>
      <c r="B249" s="525"/>
      <c r="C249" s="524"/>
      <c r="D249" s="524"/>
      <c r="E249" s="524"/>
      <c r="F249" s="524"/>
      <c r="G249" s="524"/>
      <c r="H249" s="524"/>
      <c r="I249" s="524"/>
      <c r="J249" s="524"/>
      <c r="K249" s="524"/>
      <c r="L249" s="524"/>
      <c r="M249" s="524"/>
      <c r="N249" s="524"/>
      <c r="O249" s="524"/>
      <c r="P249" s="524"/>
      <c r="Q249" s="524"/>
      <c r="R249" s="524"/>
      <c r="S249" s="524"/>
      <c r="T249" s="524"/>
      <c r="U249" s="524"/>
      <c r="V249" s="524"/>
      <c r="W249" s="524"/>
      <c r="X249" s="524"/>
      <c r="Y249" s="524"/>
      <c r="Z249" s="524"/>
    </row>
    <row r="250" ht="13.5" customHeight="1">
      <c r="A250" s="524"/>
      <c r="B250" s="525"/>
      <c r="C250" s="524"/>
      <c r="D250" s="524"/>
      <c r="E250" s="524"/>
      <c r="F250" s="524"/>
      <c r="G250" s="524"/>
      <c r="H250" s="524"/>
      <c r="I250" s="524"/>
      <c r="J250" s="524"/>
      <c r="K250" s="524"/>
      <c r="L250" s="524"/>
      <c r="M250" s="524"/>
      <c r="N250" s="524"/>
      <c r="O250" s="524"/>
      <c r="P250" s="524"/>
      <c r="Q250" s="524"/>
      <c r="R250" s="524"/>
      <c r="S250" s="524"/>
      <c r="T250" s="524"/>
      <c r="U250" s="524"/>
      <c r="V250" s="524"/>
      <c r="W250" s="524"/>
      <c r="X250" s="524"/>
      <c r="Y250" s="524"/>
      <c r="Z250" s="524"/>
    </row>
    <row r="251" ht="13.5" customHeight="1">
      <c r="A251" s="524"/>
      <c r="B251" s="525"/>
      <c r="C251" s="524"/>
      <c r="D251" s="524"/>
      <c r="E251" s="524"/>
      <c r="F251" s="524"/>
      <c r="G251" s="524"/>
      <c r="H251" s="524"/>
      <c r="I251" s="524"/>
      <c r="J251" s="524"/>
      <c r="K251" s="524"/>
      <c r="L251" s="524"/>
      <c r="M251" s="524"/>
      <c r="N251" s="524"/>
      <c r="O251" s="524"/>
      <c r="P251" s="524"/>
      <c r="Q251" s="524"/>
      <c r="R251" s="524"/>
      <c r="S251" s="524"/>
      <c r="T251" s="524"/>
      <c r="U251" s="524"/>
      <c r="V251" s="524"/>
      <c r="W251" s="524"/>
      <c r="X251" s="524"/>
      <c r="Y251" s="524"/>
      <c r="Z251" s="524"/>
    </row>
    <row r="252" ht="13.5" customHeight="1">
      <c r="A252" s="524"/>
      <c r="B252" s="525"/>
      <c r="C252" s="524"/>
      <c r="D252" s="524"/>
      <c r="E252" s="524"/>
      <c r="F252" s="524"/>
      <c r="G252" s="524"/>
      <c r="H252" s="524"/>
      <c r="I252" s="524"/>
      <c r="J252" s="524"/>
      <c r="K252" s="524"/>
      <c r="L252" s="524"/>
      <c r="M252" s="524"/>
      <c r="N252" s="524"/>
      <c r="O252" s="524"/>
      <c r="P252" s="524"/>
      <c r="Q252" s="524"/>
      <c r="R252" s="524"/>
      <c r="S252" s="524"/>
      <c r="T252" s="524"/>
      <c r="U252" s="524"/>
      <c r="V252" s="524"/>
      <c r="W252" s="524"/>
      <c r="X252" s="524"/>
      <c r="Y252" s="524"/>
      <c r="Z252" s="524"/>
    </row>
    <row r="253" ht="13.5" customHeight="1">
      <c r="A253" s="524"/>
      <c r="B253" s="525"/>
      <c r="C253" s="524"/>
      <c r="D253" s="524"/>
      <c r="E253" s="524"/>
      <c r="F253" s="524"/>
      <c r="G253" s="524"/>
      <c r="H253" s="524"/>
      <c r="I253" s="524"/>
      <c r="J253" s="524"/>
      <c r="K253" s="524"/>
      <c r="L253" s="524"/>
      <c r="M253" s="524"/>
      <c r="N253" s="524"/>
      <c r="O253" s="524"/>
      <c r="P253" s="524"/>
      <c r="Q253" s="524"/>
      <c r="R253" s="524"/>
      <c r="S253" s="524"/>
      <c r="T253" s="524"/>
      <c r="U253" s="524"/>
      <c r="V253" s="524"/>
      <c r="W253" s="524"/>
      <c r="X253" s="524"/>
      <c r="Y253" s="524"/>
      <c r="Z253" s="524"/>
    </row>
    <row r="254" ht="13.5" customHeight="1">
      <c r="A254" s="524"/>
      <c r="B254" s="525"/>
      <c r="C254" s="524"/>
      <c r="D254" s="524"/>
      <c r="E254" s="524"/>
      <c r="F254" s="524"/>
      <c r="G254" s="524"/>
      <c r="H254" s="524"/>
      <c r="I254" s="524"/>
      <c r="J254" s="524"/>
      <c r="K254" s="524"/>
      <c r="L254" s="524"/>
      <c r="M254" s="524"/>
      <c r="N254" s="524"/>
      <c r="O254" s="524"/>
      <c r="P254" s="524"/>
      <c r="Q254" s="524"/>
      <c r="R254" s="524"/>
      <c r="S254" s="524"/>
      <c r="T254" s="524"/>
      <c r="U254" s="524"/>
      <c r="V254" s="524"/>
      <c r="W254" s="524"/>
      <c r="X254" s="524"/>
      <c r="Y254" s="524"/>
      <c r="Z254" s="524"/>
    </row>
    <row r="255" ht="13.5" customHeight="1">
      <c r="A255" s="524"/>
      <c r="B255" s="525"/>
      <c r="C255" s="524"/>
      <c r="D255" s="524"/>
      <c r="E255" s="524"/>
      <c r="F255" s="524"/>
      <c r="G255" s="524"/>
      <c r="H255" s="524"/>
      <c r="I255" s="524"/>
      <c r="J255" s="524"/>
      <c r="K255" s="524"/>
      <c r="L255" s="524"/>
      <c r="M255" s="524"/>
      <c r="N255" s="524"/>
      <c r="O255" s="524"/>
      <c r="P255" s="524"/>
      <c r="Q255" s="524"/>
      <c r="R255" s="524"/>
      <c r="S255" s="524"/>
      <c r="T255" s="524"/>
      <c r="U255" s="524"/>
      <c r="V255" s="524"/>
      <c r="W255" s="524"/>
      <c r="X255" s="524"/>
      <c r="Y255" s="524"/>
      <c r="Z255" s="524"/>
    </row>
    <row r="256" ht="13.5" customHeight="1">
      <c r="A256" s="524"/>
      <c r="B256" s="525"/>
      <c r="C256" s="524"/>
      <c r="D256" s="524"/>
      <c r="E256" s="524"/>
      <c r="F256" s="524"/>
      <c r="G256" s="524"/>
      <c r="H256" s="524"/>
      <c r="I256" s="524"/>
      <c r="J256" s="524"/>
      <c r="K256" s="524"/>
      <c r="L256" s="524"/>
      <c r="M256" s="524"/>
      <c r="N256" s="524"/>
      <c r="O256" s="524"/>
      <c r="P256" s="524"/>
      <c r="Q256" s="524"/>
      <c r="R256" s="524"/>
      <c r="S256" s="524"/>
      <c r="T256" s="524"/>
      <c r="U256" s="524"/>
      <c r="V256" s="524"/>
      <c r="W256" s="524"/>
      <c r="X256" s="524"/>
      <c r="Y256" s="524"/>
      <c r="Z256" s="524"/>
    </row>
    <row r="257" ht="13.5" customHeight="1">
      <c r="A257" s="524"/>
      <c r="B257" s="525"/>
      <c r="C257" s="524"/>
      <c r="D257" s="524"/>
      <c r="E257" s="524"/>
      <c r="F257" s="524"/>
      <c r="G257" s="524"/>
      <c r="H257" s="524"/>
      <c r="I257" s="524"/>
      <c r="J257" s="524"/>
      <c r="K257" s="524"/>
      <c r="L257" s="524"/>
      <c r="M257" s="524"/>
      <c r="N257" s="524"/>
      <c r="O257" s="524"/>
      <c r="P257" s="524"/>
      <c r="Q257" s="524"/>
      <c r="R257" s="524"/>
      <c r="S257" s="524"/>
      <c r="T257" s="524"/>
      <c r="U257" s="524"/>
      <c r="V257" s="524"/>
      <c r="W257" s="524"/>
      <c r="X257" s="524"/>
      <c r="Y257" s="524"/>
      <c r="Z257" s="524"/>
    </row>
    <row r="258" ht="13.5" customHeight="1">
      <c r="A258" s="524"/>
      <c r="B258" s="525"/>
      <c r="C258" s="524"/>
      <c r="D258" s="524"/>
      <c r="E258" s="524"/>
      <c r="F258" s="524"/>
      <c r="G258" s="524"/>
      <c r="H258" s="524"/>
      <c r="I258" s="524"/>
      <c r="J258" s="524"/>
      <c r="K258" s="524"/>
      <c r="L258" s="524"/>
      <c r="M258" s="524"/>
      <c r="N258" s="524"/>
      <c r="O258" s="524"/>
      <c r="P258" s="524"/>
      <c r="Q258" s="524"/>
      <c r="R258" s="524"/>
      <c r="S258" s="524"/>
      <c r="T258" s="524"/>
      <c r="U258" s="524"/>
      <c r="V258" s="524"/>
      <c r="W258" s="524"/>
      <c r="X258" s="524"/>
      <c r="Y258" s="524"/>
      <c r="Z258" s="524"/>
    </row>
    <row r="259" ht="13.5" customHeight="1">
      <c r="A259" s="524"/>
      <c r="B259" s="525"/>
      <c r="C259" s="524"/>
      <c r="D259" s="524"/>
      <c r="E259" s="524"/>
      <c r="F259" s="524"/>
      <c r="G259" s="524"/>
      <c r="H259" s="524"/>
      <c r="I259" s="524"/>
      <c r="J259" s="524"/>
      <c r="K259" s="524"/>
      <c r="L259" s="524"/>
      <c r="M259" s="524"/>
      <c r="N259" s="524"/>
      <c r="O259" s="524"/>
      <c r="P259" s="524"/>
      <c r="Q259" s="524"/>
      <c r="R259" s="524"/>
      <c r="S259" s="524"/>
      <c r="T259" s="524"/>
      <c r="U259" s="524"/>
      <c r="V259" s="524"/>
      <c r="W259" s="524"/>
      <c r="X259" s="524"/>
      <c r="Y259" s="524"/>
      <c r="Z259" s="524"/>
    </row>
    <row r="260" ht="13.5" customHeight="1">
      <c r="A260" s="524"/>
      <c r="B260" s="525"/>
      <c r="C260" s="524"/>
      <c r="D260" s="524"/>
      <c r="E260" s="524"/>
      <c r="F260" s="524"/>
      <c r="G260" s="524"/>
      <c r="H260" s="524"/>
      <c r="I260" s="524"/>
      <c r="J260" s="524"/>
      <c r="K260" s="524"/>
      <c r="L260" s="524"/>
      <c r="M260" s="524"/>
      <c r="N260" s="524"/>
      <c r="O260" s="524"/>
      <c r="P260" s="524"/>
      <c r="Q260" s="524"/>
      <c r="R260" s="524"/>
      <c r="S260" s="524"/>
      <c r="T260" s="524"/>
      <c r="U260" s="524"/>
      <c r="V260" s="524"/>
      <c r="W260" s="524"/>
      <c r="X260" s="524"/>
      <c r="Y260" s="524"/>
      <c r="Z260" s="524"/>
    </row>
    <row r="261" ht="13.5" customHeight="1">
      <c r="A261" s="524"/>
      <c r="B261" s="525"/>
      <c r="C261" s="524"/>
      <c r="D261" s="524"/>
      <c r="E261" s="524"/>
      <c r="F261" s="524"/>
      <c r="G261" s="524"/>
      <c r="H261" s="524"/>
      <c r="I261" s="524"/>
      <c r="J261" s="524"/>
      <c r="K261" s="524"/>
      <c r="L261" s="524"/>
      <c r="M261" s="524"/>
      <c r="N261" s="524"/>
      <c r="O261" s="524"/>
      <c r="P261" s="524"/>
      <c r="Q261" s="524"/>
      <c r="R261" s="524"/>
      <c r="S261" s="524"/>
      <c r="T261" s="524"/>
      <c r="U261" s="524"/>
      <c r="V261" s="524"/>
      <c r="W261" s="524"/>
      <c r="X261" s="524"/>
      <c r="Y261" s="524"/>
      <c r="Z261" s="524"/>
    </row>
    <row r="262" ht="13.5" customHeight="1">
      <c r="A262" s="524"/>
      <c r="B262" s="525"/>
      <c r="C262" s="524"/>
      <c r="D262" s="524"/>
      <c r="E262" s="524"/>
      <c r="F262" s="524"/>
      <c r="G262" s="524"/>
      <c r="H262" s="524"/>
      <c r="I262" s="524"/>
      <c r="J262" s="524"/>
      <c r="K262" s="524"/>
      <c r="L262" s="524"/>
      <c r="M262" s="524"/>
      <c r="N262" s="524"/>
      <c r="O262" s="524"/>
      <c r="P262" s="524"/>
      <c r="Q262" s="524"/>
      <c r="R262" s="524"/>
      <c r="S262" s="524"/>
      <c r="T262" s="524"/>
      <c r="U262" s="524"/>
      <c r="V262" s="524"/>
      <c r="W262" s="524"/>
      <c r="X262" s="524"/>
      <c r="Y262" s="524"/>
      <c r="Z262" s="524"/>
    </row>
    <row r="263" ht="13.5" customHeight="1">
      <c r="A263" s="524"/>
      <c r="B263" s="525"/>
      <c r="C263" s="524"/>
      <c r="D263" s="524"/>
      <c r="E263" s="524"/>
      <c r="F263" s="524"/>
      <c r="G263" s="524"/>
      <c r="H263" s="524"/>
      <c r="I263" s="524"/>
      <c r="J263" s="524"/>
      <c r="K263" s="524"/>
      <c r="L263" s="524"/>
      <c r="M263" s="524"/>
      <c r="N263" s="524"/>
      <c r="O263" s="524"/>
      <c r="P263" s="524"/>
      <c r="Q263" s="524"/>
      <c r="R263" s="524"/>
      <c r="S263" s="524"/>
      <c r="T263" s="524"/>
      <c r="U263" s="524"/>
      <c r="V263" s="524"/>
      <c r="W263" s="524"/>
      <c r="X263" s="524"/>
      <c r="Y263" s="524"/>
      <c r="Z263" s="524"/>
    </row>
    <row r="264" ht="13.5" customHeight="1">
      <c r="A264" s="524"/>
      <c r="B264" s="525"/>
      <c r="C264" s="524"/>
      <c r="D264" s="524"/>
      <c r="E264" s="524"/>
      <c r="F264" s="524"/>
      <c r="G264" s="524"/>
      <c r="H264" s="524"/>
      <c r="I264" s="524"/>
      <c r="J264" s="524"/>
      <c r="K264" s="524"/>
      <c r="L264" s="524"/>
      <c r="M264" s="524"/>
      <c r="N264" s="524"/>
      <c r="O264" s="524"/>
      <c r="P264" s="524"/>
      <c r="Q264" s="524"/>
      <c r="R264" s="524"/>
      <c r="S264" s="524"/>
      <c r="T264" s="524"/>
      <c r="U264" s="524"/>
      <c r="V264" s="524"/>
      <c r="W264" s="524"/>
      <c r="X264" s="524"/>
      <c r="Y264" s="524"/>
      <c r="Z264" s="524"/>
    </row>
    <row r="265" ht="13.5" customHeight="1">
      <c r="A265" s="524"/>
      <c r="B265" s="525"/>
      <c r="C265" s="524"/>
      <c r="D265" s="524"/>
      <c r="E265" s="524"/>
      <c r="F265" s="524"/>
      <c r="G265" s="524"/>
      <c r="H265" s="524"/>
      <c r="I265" s="524"/>
      <c r="J265" s="524"/>
      <c r="K265" s="524"/>
      <c r="L265" s="524"/>
      <c r="M265" s="524"/>
      <c r="N265" s="524"/>
      <c r="O265" s="524"/>
      <c r="P265" s="524"/>
      <c r="Q265" s="524"/>
      <c r="R265" s="524"/>
      <c r="S265" s="524"/>
      <c r="T265" s="524"/>
      <c r="U265" s="524"/>
      <c r="V265" s="524"/>
      <c r="W265" s="524"/>
      <c r="X265" s="524"/>
      <c r="Y265" s="524"/>
      <c r="Z265" s="524"/>
    </row>
    <row r="266" ht="13.5" customHeight="1">
      <c r="A266" s="524"/>
      <c r="B266" s="525"/>
      <c r="C266" s="524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4"/>
      <c r="V266" s="524"/>
      <c r="W266" s="524"/>
      <c r="X266" s="524"/>
      <c r="Y266" s="524"/>
      <c r="Z266" s="524"/>
    </row>
    <row r="267" ht="13.5" customHeight="1">
      <c r="A267" s="524"/>
      <c r="B267" s="525"/>
      <c r="C267" s="524"/>
      <c r="D267" s="524"/>
      <c r="E267" s="524"/>
      <c r="F267" s="524"/>
      <c r="G267" s="524"/>
      <c r="H267" s="524"/>
      <c r="I267" s="524"/>
      <c r="J267" s="524"/>
      <c r="K267" s="524"/>
      <c r="L267" s="524"/>
      <c r="M267" s="524"/>
      <c r="N267" s="524"/>
      <c r="O267" s="524"/>
      <c r="P267" s="524"/>
      <c r="Q267" s="524"/>
      <c r="R267" s="524"/>
      <c r="S267" s="524"/>
      <c r="T267" s="524"/>
      <c r="U267" s="524"/>
      <c r="V267" s="524"/>
      <c r="W267" s="524"/>
      <c r="X267" s="524"/>
      <c r="Y267" s="524"/>
      <c r="Z267" s="524"/>
    </row>
    <row r="268" ht="13.5" customHeight="1">
      <c r="A268" s="524"/>
      <c r="B268" s="525"/>
      <c r="C268" s="524"/>
      <c r="D268" s="524"/>
      <c r="E268" s="524"/>
      <c r="F268" s="524"/>
      <c r="G268" s="524"/>
      <c r="H268" s="524"/>
      <c r="I268" s="524"/>
      <c r="J268" s="524"/>
      <c r="K268" s="524"/>
      <c r="L268" s="524"/>
      <c r="M268" s="524"/>
      <c r="N268" s="524"/>
      <c r="O268" s="524"/>
      <c r="P268" s="524"/>
      <c r="Q268" s="524"/>
      <c r="R268" s="524"/>
      <c r="S268" s="524"/>
      <c r="T268" s="524"/>
      <c r="U268" s="524"/>
      <c r="V268" s="524"/>
      <c r="W268" s="524"/>
      <c r="X268" s="524"/>
      <c r="Y268" s="524"/>
      <c r="Z268" s="524"/>
    </row>
    <row r="269" ht="13.5" customHeight="1">
      <c r="A269" s="524"/>
      <c r="B269" s="525"/>
      <c r="C269" s="524"/>
      <c r="D269" s="524"/>
      <c r="E269" s="524"/>
      <c r="F269" s="524"/>
      <c r="G269" s="524"/>
      <c r="H269" s="524"/>
      <c r="I269" s="524"/>
      <c r="J269" s="524"/>
      <c r="K269" s="524"/>
      <c r="L269" s="524"/>
      <c r="M269" s="524"/>
      <c r="N269" s="524"/>
      <c r="O269" s="524"/>
      <c r="P269" s="524"/>
      <c r="Q269" s="524"/>
      <c r="R269" s="524"/>
      <c r="S269" s="524"/>
      <c r="T269" s="524"/>
      <c r="U269" s="524"/>
      <c r="V269" s="524"/>
      <c r="W269" s="524"/>
      <c r="X269" s="524"/>
      <c r="Y269" s="524"/>
      <c r="Z269" s="524"/>
    </row>
    <row r="270" ht="13.5" customHeight="1">
      <c r="A270" s="524"/>
      <c r="B270" s="525"/>
      <c r="C270" s="524"/>
      <c r="D270" s="524"/>
      <c r="E270" s="524"/>
      <c r="F270" s="524"/>
      <c r="G270" s="524"/>
      <c r="H270" s="524"/>
      <c r="I270" s="524"/>
      <c r="J270" s="524"/>
      <c r="K270" s="524"/>
      <c r="L270" s="524"/>
      <c r="M270" s="524"/>
      <c r="N270" s="524"/>
      <c r="O270" s="524"/>
      <c r="P270" s="524"/>
      <c r="Q270" s="524"/>
      <c r="R270" s="524"/>
      <c r="S270" s="524"/>
      <c r="T270" s="524"/>
      <c r="U270" s="524"/>
      <c r="V270" s="524"/>
      <c r="W270" s="524"/>
      <c r="X270" s="524"/>
      <c r="Y270" s="524"/>
      <c r="Z270" s="524"/>
    </row>
    <row r="271" ht="13.5" customHeight="1">
      <c r="A271" s="524"/>
      <c r="B271" s="525"/>
      <c r="C271" s="524"/>
      <c r="D271" s="524"/>
      <c r="E271" s="524"/>
      <c r="F271" s="524"/>
      <c r="G271" s="524"/>
      <c r="H271" s="524"/>
      <c r="I271" s="524"/>
      <c r="J271" s="524"/>
      <c r="K271" s="524"/>
      <c r="L271" s="524"/>
      <c r="M271" s="524"/>
      <c r="N271" s="524"/>
      <c r="O271" s="524"/>
      <c r="P271" s="524"/>
      <c r="Q271" s="524"/>
      <c r="R271" s="524"/>
      <c r="S271" s="524"/>
      <c r="T271" s="524"/>
      <c r="U271" s="524"/>
      <c r="V271" s="524"/>
      <c r="W271" s="524"/>
      <c r="X271" s="524"/>
      <c r="Y271" s="524"/>
      <c r="Z271" s="524"/>
    </row>
    <row r="272" ht="13.5" customHeight="1">
      <c r="A272" s="524"/>
      <c r="B272" s="525"/>
      <c r="C272" s="524"/>
      <c r="D272" s="524"/>
      <c r="E272" s="524"/>
      <c r="F272" s="524"/>
      <c r="G272" s="524"/>
      <c r="H272" s="524"/>
      <c r="I272" s="524"/>
      <c r="J272" s="524"/>
      <c r="K272" s="524"/>
      <c r="L272" s="524"/>
      <c r="M272" s="524"/>
      <c r="N272" s="524"/>
      <c r="O272" s="524"/>
      <c r="P272" s="524"/>
      <c r="Q272" s="524"/>
      <c r="R272" s="524"/>
      <c r="S272" s="524"/>
      <c r="T272" s="524"/>
      <c r="U272" s="524"/>
      <c r="V272" s="524"/>
      <c r="W272" s="524"/>
      <c r="X272" s="524"/>
      <c r="Y272" s="524"/>
      <c r="Z272" s="524"/>
    </row>
    <row r="273" ht="13.5" customHeight="1">
      <c r="A273" s="524"/>
      <c r="B273" s="525"/>
      <c r="C273" s="524"/>
      <c r="D273" s="524"/>
      <c r="E273" s="524"/>
      <c r="F273" s="524"/>
      <c r="G273" s="524"/>
      <c r="H273" s="524"/>
      <c r="I273" s="524"/>
      <c r="J273" s="524"/>
      <c r="K273" s="524"/>
      <c r="L273" s="524"/>
      <c r="M273" s="524"/>
      <c r="N273" s="524"/>
      <c r="O273" s="524"/>
      <c r="P273" s="524"/>
      <c r="Q273" s="524"/>
      <c r="R273" s="524"/>
      <c r="S273" s="524"/>
      <c r="T273" s="524"/>
      <c r="U273" s="524"/>
      <c r="V273" s="524"/>
      <c r="W273" s="524"/>
      <c r="X273" s="524"/>
      <c r="Y273" s="524"/>
      <c r="Z273" s="524"/>
    </row>
    <row r="274" ht="13.5" customHeight="1">
      <c r="A274" s="524"/>
      <c r="B274" s="525"/>
      <c r="C274" s="524"/>
      <c r="D274" s="524"/>
      <c r="E274" s="524"/>
      <c r="F274" s="524"/>
      <c r="G274" s="524"/>
      <c r="H274" s="524"/>
      <c r="I274" s="524"/>
      <c r="J274" s="524"/>
      <c r="K274" s="524"/>
      <c r="L274" s="524"/>
      <c r="M274" s="524"/>
      <c r="N274" s="524"/>
      <c r="O274" s="524"/>
      <c r="P274" s="524"/>
      <c r="Q274" s="524"/>
      <c r="R274" s="524"/>
      <c r="S274" s="524"/>
      <c r="T274" s="524"/>
      <c r="U274" s="524"/>
      <c r="V274" s="524"/>
      <c r="W274" s="524"/>
      <c r="X274" s="524"/>
      <c r="Y274" s="524"/>
      <c r="Z274" s="524"/>
    </row>
    <row r="275" ht="13.5" customHeight="1">
      <c r="A275" s="524"/>
      <c r="B275" s="525"/>
      <c r="C275" s="524"/>
      <c r="D275" s="524"/>
      <c r="E275" s="524"/>
      <c r="F275" s="524"/>
      <c r="G275" s="524"/>
      <c r="H275" s="524"/>
      <c r="I275" s="524"/>
      <c r="J275" s="524"/>
      <c r="K275" s="524"/>
      <c r="L275" s="524"/>
      <c r="M275" s="524"/>
      <c r="N275" s="524"/>
      <c r="O275" s="524"/>
      <c r="P275" s="524"/>
      <c r="Q275" s="524"/>
      <c r="R275" s="524"/>
      <c r="S275" s="524"/>
      <c r="T275" s="524"/>
      <c r="U275" s="524"/>
      <c r="V275" s="524"/>
      <c r="W275" s="524"/>
      <c r="X275" s="524"/>
      <c r="Y275" s="524"/>
      <c r="Z275" s="524"/>
    </row>
    <row r="276" ht="13.5" customHeight="1">
      <c r="A276" s="524"/>
      <c r="B276" s="525"/>
      <c r="C276" s="524"/>
      <c r="D276" s="524"/>
      <c r="E276" s="524"/>
      <c r="F276" s="524"/>
      <c r="G276" s="524"/>
      <c r="H276" s="524"/>
      <c r="I276" s="524"/>
      <c r="J276" s="524"/>
      <c r="K276" s="524"/>
      <c r="L276" s="524"/>
      <c r="M276" s="524"/>
      <c r="N276" s="524"/>
      <c r="O276" s="524"/>
      <c r="P276" s="524"/>
      <c r="Q276" s="524"/>
      <c r="R276" s="524"/>
      <c r="S276" s="524"/>
      <c r="T276" s="524"/>
      <c r="U276" s="524"/>
      <c r="V276" s="524"/>
      <c r="W276" s="524"/>
      <c r="X276" s="524"/>
      <c r="Y276" s="524"/>
      <c r="Z276" s="524"/>
    </row>
    <row r="277" ht="13.5" customHeight="1">
      <c r="A277" s="524"/>
      <c r="B277" s="525"/>
      <c r="C277" s="524"/>
      <c r="D277" s="524"/>
      <c r="E277" s="524"/>
      <c r="F277" s="524"/>
      <c r="G277" s="524"/>
      <c r="H277" s="524"/>
      <c r="I277" s="524"/>
      <c r="J277" s="524"/>
      <c r="K277" s="524"/>
      <c r="L277" s="524"/>
      <c r="M277" s="524"/>
      <c r="N277" s="524"/>
      <c r="O277" s="524"/>
      <c r="P277" s="524"/>
      <c r="Q277" s="524"/>
      <c r="R277" s="524"/>
      <c r="S277" s="524"/>
      <c r="T277" s="524"/>
      <c r="U277" s="524"/>
      <c r="V277" s="524"/>
      <c r="W277" s="524"/>
      <c r="X277" s="524"/>
      <c r="Y277" s="524"/>
      <c r="Z277" s="524"/>
    </row>
    <row r="278" ht="13.5" customHeight="1">
      <c r="A278" s="524"/>
      <c r="B278" s="525"/>
      <c r="C278" s="524"/>
      <c r="D278" s="524"/>
      <c r="E278" s="524"/>
      <c r="F278" s="524"/>
      <c r="G278" s="524"/>
      <c r="H278" s="524"/>
      <c r="I278" s="524"/>
      <c r="J278" s="524"/>
      <c r="K278" s="524"/>
      <c r="L278" s="524"/>
      <c r="M278" s="524"/>
      <c r="N278" s="524"/>
      <c r="O278" s="524"/>
      <c r="P278" s="524"/>
      <c r="Q278" s="524"/>
      <c r="R278" s="524"/>
      <c r="S278" s="524"/>
      <c r="T278" s="524"/>
      <c r="U278" s="524"/>
      <c r="V278" s="524"/>
      <c r="W278" s="524"/>
      <c r="X278" s="524"/>
      <c r="Y278" s="524"/>
      <c r="Z278" s="524"/>
    </row>
    <row r="279" ht="13.5" customHeight="1">
      <c r="A279" s="524"/>
      <c r="B279" s="525"/>
      <c r="C279" s="524"/>
      <c r="D279" s="524"/>
      <c r="E279" s="524"/>
      <c r="F279" s="524"/>
      <c r="G279" s="524"/>
      <c r="H279" s="524"/>
      <c r="I279" s="524"/>
      <c r="J279" s="524"/>
      <c r="K279" s="524"/>
      <c r="L279" s="524"/>
      <c r="M279" s="524"/>
      <c r="N279" s="524"/>
      <c r="O279" s="524"/>
      <c r="P279" s="524"/>
      <c r="Q279" s="524"/>
      <c r="R279" s="524"/>
      <c r="S279" s="524"/>
      <c r="T279" s="524"/>
      <c r="U279" s="524"/>
      <c r="V279" s="524"/>
      <c r="W279" s="524"/>
      <c r="X279" s="524"/>
      <c r="Y279" s="524"/>
      <c r="Z279" s="524"/>
    </row>
    <row r="280" ht="13.5" customHeight="1">
      <c r="A280" s="524"/>
      <c r="B280" s="525"/>
      <c r="C280" s="524"/>
      <c r="D280" s="524"/>
      <c r="E280" s="524"/>
      <c r="F280" s="524"/>
      <c r="G280" s="524"/>
      <c r="H280" s="524"/>
      <c r="I280" s="524"/>
      <c r="J280" s="524"/>
      <c r="K280" s="524"/>
      <c r="L280" s="524"/>
      <c r="M280" s="524"/>
      <c r="N280" s="524"/>
      <c r="O280" s="524"/>
      <c r="P280" s="524"/>
      <c r="Q280" s="524"/>
      <c r="R280" s="524"/>
      <c r="S280" s="524"/>
      <c r="T280" s="524"/>
      <c r="U280" s="524"/>
      <c r="V280" s="524"/>
      <c r="W280" s="524"/>
      <c r="X280" s="524"/>
      <c r="Y280" s="524"/>
      <c r="Z280" s="524"/>
    </row>
    <row r="281" ht="13.5" customHeight="1">
      <c r="A281" s="524"/>
      <c r="B281" s="525"/>
      <c r="C281" s="524"/>
      <c r="D281" s="524"/>
      <c r="E281" s="524"/>
      <c r="F281" s="524"/>
      <c r="G281" s="524"/>
      <c r="H281" s="524"/>
      <c r="I281" s="524"/>
      <c r="J281" s="524"/>
      <c r="K281" s="524"/>
      <c r="L281" s="524"/>
      <c r="M281" s="524"/>
      <c r="N281" s="524"/>
      <c r="O281" s="524"/>
      <c r="P281" s="524"/>
      <c r="Q281" s="524"/>
      <c r="R281" s="524"/>
      <c r="S281" s="524"/>
      <c r="T281" s="524"/>
      <c r="U281" s="524"/>
      <c r="V281" s="524"/>
      <c r="W281" s="524"/>
      <c r="X281" s="524"/>
      <c r="Y281" s="524"/>
      <c r="Z281" s="524"/>
    </row>
    <row r="282" ht="13.5" customHeight="1">
      <c r="A282" s="524"/>
      <c r="B282" s="525"/>
      <c r="C282" s="524"/>
      <c r="D282" s="524"/>
      <c r="E282" s="524"/>
      <c r="F282" s="524"/>
      <c r="G282" s="524"/>
      <c r="H282" s="524"/>
      <c r="I282" s="524"/>
      <c r="J282" s="524"/>
      <c r="K282" s="524"/>
      <c r="L282" s="524"/>
      <c r="M282" s="524"/>
      <c r="N282" s="524"/>
      <c r="O282" s="524"/>
      <c r="P282" s="524"/>
      <c r="Q282" s="524"/>
      <c r="R282" s="524"/>
      <c r="S282" s="524"/>
      <c r="T282" s="524"/>
      <c r="U282" s="524"/>
      <c r="V282" s="524"/>
      <c r="W282" s="524"/>
      <c r="X282" s="524"/>
      <c r="Y282" s="524"/>
      <c r="Z282" s="524"/>
    </row>
    <row r="283" ht="13.5" customHeight="1">
      <c r="A283" s="524"/>
      <c r="B283" s="525"/>
      <c r="C283" s="524"/>
      <c r="D283" s="524"/>
      <c r="E283" s="524"/>
      <c r="F283" s="524"/>
      <c r="G283" s="524"/>
      <c r="H283" s="524"/>
      <c r="I283" s="524"/>
      <c r="J283" s="524"/>
      <c r="K283" s="524"/>
      <c r="L283" s="524"/>
      <c r="M283" s="524"/>
      <c r="N283" s="524"/>
      <c r="O283" s="524"/>
      <c r="P283" s="524"/>
      <c r="Q283" s="524"/>
      <c r="R283" s="524"/>
      <c r="S283" s="524"/>
      <c r="T283" s="524"/>
      <c r="U283" s="524"/>
      <c r="V283" s="524"/>
      <c r="W283" s="524"/>
      <c r="X283" s="524"/>
      <c r="Y283" s="524"/>
      <c r="Z283" s="524"/>
    </row>
    <row r="284" ht="13.5" customHeight="1">
      <c r="A284" s="524"/>
      <c r="B284" s="525"/>
      <c r="C284" s="524"/>
      <c r="D284" s="524"/>
      <c r="E284" s="524"/>
      <c r="F284" s="524"/>
      <c r="G284" s="524"/>
      <c r="H284" s="524"/>
      <c r="I284" s="524"/>
      <c r="J284" s="524"/>
      <c r="K284" s="524"/>
      <c r="L284" s="524"/>
      <c r="M284" s="524"/>
      <c r="N284" s="524"/>
      <c r="O284" s="524"/>
      <c r="P284" s="524"/>
      <c r="Q284" s="524"/>
      <c r="R284" s="524"/>
      <c r="S284" s="524"/>
      <c r="T284" s="524"/>
      <c r="U284" s="524"/>
      <c r="V284" s="524"/>
      <c r="W284" s="524"/>
      <c r="X284" s="524"/>
      <c r="Y284" s="524"/>
      <c r="Z284" s="524"/>
    </row>
    <row r="285" ht="13.5" customHeight="1">
      <c r="A285" s="524"/>
      <c r="B285" s="525"/>
      <c r="C285" s="524"/>
      <c r="D285" s="524"/>
      <c r="E285" s="524"/>
      <c r="F285" s="524"/>
      <c r="G285" s="524"/>
      <c r="H285" s="524"/>
      <c r="I285" s="524"/>
      <c r="J285" s="524"/>
      <c r="K285" s="524"/>
      <c r="L285" s="524"/>
      <c r="M285" s="524"/>
      <c r="N285" s="524"/>
      <c r="O285" s="524"/>
      <c r="P285" s="524"/>
      <c r="Q285" s="524"/>
      <c r="R285" s="524"/>
      <c r="S285" s="524"/>
      <c r="T285" s="524"/>
      <c r="U285" s="524"/>
      <c r="V285" s="524"/>
      <c r="W285" s="524"/>
      <c r="X285" s="524"/>
      <c r="Y285" s="524"/>
      <c r="Z285" s="524"/>
    </row>
    <row r="286" ht="13.5" customHeight="1">
      <c r="A286" s="524"/>
      <c r="B286" s="525"/>
      <c r="C286" s="524"/>
      <c r="D286" s="524"/>
      <c r="E286" s="524"/>
      <c r="F286" s="524"/>
      <c r="G286" s="524"/>
      <c r="H286" s="524"/>
      <c r="I286" s="524"/>
      <c r="J286" s="524"/>
      <c r="K286" s="524"/>
      <c r="L286" s="524"/>
      <c r="M286" s="524"/>
      <c r="N286" s="524"/>
      <c r="O286" s="524"/>
      <c r="P286" s="524"/>
      <c r="Q286" s="524"/>
      <c r="R286" s="524"/>
      <c r="S286" s="524"/>
      <c r="T286" s="524"/>
      <c r="U286" s="524"/>
      <c r="V286" s="524"/>
      <c r="W286" s="524"/>
      <c r="X286" s="524"/>
      <c r="Y286" s="524"/>
      <c r="Z286" s="524"/>
    </row>
    <row r="287" ht="13.5" customHeight="1">
      <c r="A287" s="524"/>
      <c r="B287" s="525"/>
      <c r="C287" s="524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4"/>
      <c r="V287" s="524"/>
      <c r="W287" s="524"/>
      <c r="X287" s="524"/>
      <c r="Y287" s="524"/>
      <c r="Z287" s="524"/>
    </row>
    <row r="288" ht="13.5" customHeight="1">
      <c r="A288" s="524"/>
      <c r="B288" s="525"/>
      <c r="C288" s="524"/>
      <c r="D288" s="524"/>
      <c r="E288" s="524"/>
      <c r="F288" s="524"/>
      <c r="G288" s="524"/>
      <c r="H288" s="524"/>
      <c r="I288" s="524"/>
      <c r="J288" s="524"/>
      <c r="K288" s="524"/>
      <c r="L288" s="524"/>
      <c r="M288" s="524"/>
      <c r="N288" s="524"/>
      <c r="O288" s="524"/>
      <c r="P288" s="524"/>
      <c r="Q288" s="524"/>
      <c r="R288" s="524"/>
      <c r="S288" s="524"/>
      <c r="T288" s="524"/>
      <c r="U288" s="524"/>
      <c r="V288" s="524"/>
      <c r="W288" s="524"/>
      <c r="X288" s="524"/>
      <c r="Y288" s="524"/>
      <c r="Z288" s="524"/>
    </row>
    <row r="289" ht="13.5" customHeight="1">
      <c r="A289" s="524"/>
      <c r="B289" s="525"/>
      <c r="C289" s="524"/>
      <c r="D289" s="524"/>
      <c r="E289" s="524"/>
      <c r="F289" s="524"/>
      <c r="G289" s="524"/>
      <c r="H289" s="524"/>
      <c r="I289" s="524"/>
      <c r="J289" s="524"/>
      <c r="K289" s="524"/>
      <c r="L289" s="524"/>
      <c r="M289" s="524"/>
      <c r="N289" s="524"/>
      <c r="O289" s="524"/>
      <c r="P289" s="524"/>
      <c r="Q289" s="524"/>
      <c r="R289" s="524"/>
      <c r="S289" s="524"/>
      <c r="T289" s="524"/>
      <c r="U289" s="524"/>
      <c r="V289" s="524"/>
      <c r="W289" s="524"/>
      <c r="X289" s="524"/>
      <c r="Y289" s="524"/>
      <c r="Z289" s="524"/>
    </row>
    <row r="290" ht="13.5" customHeight="1">
      <c r="A290" s="524"/>
      <c r="B290" s="525"/>
      <c r="C290" s="524"/>
      <c r="D290" s="524"/>
      <c r="E290" s="524"/>
      <c r="F290" s="524"/>
      <c r="G290" s="524"/>
      <c r="H290" s="524"/>
      <c r="I290" s="524"/>
      <c r="J290" s="524"/>
      <c r="K290" s="524"/>
      <c r="L290" s="524"/>
      <c r="M290" s="524"/>
      <c r="N290" s="524"/>
      <c r="O290" s="524"/>
      <c r="P290" s="524"/>
      <c r="Q290" s="524"/>
      <c r="R290" s="524"/>
      <c r="S290" s="524"/>
      <c r="T290" s="524"/>
      <c r="U290" s="524"/>
      <c r="V290" s="524"/>
      <c r="W290" s="524"/>
      <c r="X290" s="524"/>
      <c r="Y290" s="524"/>
      <c r="Z290" s="524"/>
    </row>
    <row r="291" ht="13.5" customHeight="1">
      <c r="A291" s="524"/>
      <c r="B291" s="525"/>
      <c r="C291" s="524"/>
      <c r="D291" s="524"/>
      <c r="E291" s="524"/>
      <c r="F291" s="524"/>
      <c r="G291" s="524"/>
      <c r="H291" s="524"/>
      <c r="I291" s="524"/>
      <c r="J291" s="524"/>
      <c r="K291" s="524"/>
      <c r="L291" s="524"/>
      <c r="M291" s="524"/>
      <c r="N291" s="524"/>
      <c r="O291" s="524"/>
      <c r="P291" s="524"/>
      <c r="Q291" s="524"/>
      <c r="R291" s="524"/>
      <c r="S291" s="524"/>
      <c r="T291" s="524"/>
      <c r="U291" s="524"/>
      <c r="V291" s="524"/>
      <c r="W291" s="524"/>
      <c r="X291" s="524"/>
      <c r="Y291" s="524"/>
      <c r="Z291" s="524"/>
    </row>
    <row r="292" ht="13.5" customHeight="1">
      <c r="A292" s="524"/>
      <c r="B292" s="525"/>
      <c r="C292" s="524"/>
      <c r="D292" s="524"/>
      <c r="E292" s="524"/>
      <c r="F292" s="524"/>
      <c r="G292" s="524"/>
      <c r="H292" s="524"/>
      <c r="I292" s="524"/>
      <c r="J292" s="524"/>
      <c r="K292" s="524"/>
      <c r="L292" s="524"/>
      <c r="M292" s="524"/>
      <c r="N292" s="524"/>
      <c r="O292" s="524"/>
      <c r="P292" s="524"/>
      <c r="Q292" s="524"/>
      <c r="R292" s="524"/>
      <c r="S292" s="524"/>
      <c r="T292" s="524"/>
      <c r="U292" s="524"/>
      <c r="V292" s="524"/>
      <c r="W292" s="524"/>
      <c r="X292" s="524"/>
      <c r="Y292" s="524"/>
      <c r="Z292" s="524"/>
    </row>
    <row r="293" ht="13.5" customHeight="1">
      <c r="A293" s="524"/>
      <c r="B293" s="525"/>
      <c r="C293" s="524"/>
      <c r="D293" s="524"/>
      <c r="E293" s="524"/>
      <c r="F293" s="524"/>
      <c r="G293" s="524"/>
      <c r="H293" s="524"/>
      <c r="I293" s="524"/>
      <c r="J293" s="524"/>
      <c r="K293" s="524"/>
      <c r="L293" s="524"/>
      <c r="M293" s="524"/>
      <c r="N293" s="524"/>
      <c r="O293" s="524"/>
      <c r="P293" s="524"/>
      <c r="Q293" s="524"/>
      <c r="R293" s="524"/>
      <c r="S293" s="524"/>
      <c r="T293" s="524"/>
      <c r="U293" s="524"/>
      <c r="V293" s="524"/>
      <c r="W293" s="524"/>
      <c r="X293" s="524"/>
      <c r="Y293" s="524"/>
      <c r="Z293" s="524"/>
    </row>
    <row r="294" ht="13.5" customHeight="1">
      <c r="A294" s="524"/>
      <c r="B294" s="525"/>
      <c r="C294" s="524"/>
      <c r="D294" s="524"/>
      <c r="E294" s="524"/>
      <c r="F294" s="524"/>
      <c r="G294" s="524"/>
      <c r="H294" s="524"/>
      <c r="I294" s="524"/>
      <c r="J294" s="524"/>
      <c r="K294" s="524"/>
      <c r="L294" s="524"/>
      <c r="M294" s="524"/>
      <c r="N294" s="524"/>
      <c r="O294" s="524"/>
      <c r="P294" s="524"/>
      <c r="Q294" s="524"/>
      <c r="R294" s="524"/>
      <c r="S294" s="524"/>
      <c r="T294" s="524"/>
      <c r="U294" s="524"/>
      <c r="V294" s="524"/>
      <c r="W294" s="524"/>
      <c r="X294" s="524"/>
      <c r="Y294" s="524"/>
      <c r="Z294" s="524"/>
    </row>
    <row r="295" ht="13.5" customHeight="1">
      <c r="A295" s="524"/>
      <c r="B295" s="525"/>
      <c r="C295" s="524"/>
      <c r="D295" s="524"/>
      <c r="E295" s="524"/>
      <c r="F295" s="524"/>
      <c r="G295" s="524"/>
      <c r="H295" s="524"/>
      <c r="I295" s="524"/>
      <c r="J295" s="524"/>
      <c r="K295" s="524"/>
      <c r="L295" s="524"/>
      <c r="M295" s="524"/>
      <c r="N295" s="524"/>
      <c r="O295" s="524"/>
      <c r="P295" s="524"/>
      <c r="Q295" s="524"/>
      <c r="R295" s="524"/>
      <c r="S295" s="524"/>
      <c r="T295" s="524"/>
      <c r="U295" s="524"/>
      <c r="V295" s="524"/>
      <c r="W295" s="524"/>
      <c r="X295" s="524"/>
      <c r="Y295" s="524"/>
      <c r="Z295" s="524"/>
    </row>
    <row r="296" ht="13.5" customHeight="1">
      <c r="A296" s="524"/>
      <c r="B296" s="525"/>
      <c r="C296" s="524"/>
      <c r="D296" s="524"/>
      <c r="E296" s="524"/>
      <c r="F296" s="524"/>
      <c r="G296" s="524"/>
      <c r="H296" s="524"/>
      <c r="I296" s="524"/>
      <c r="J296" s="524"/>
      <c r="K296" s="524"/>
      <c r="L296" s="524"/>
      <c r="M296" s="524"/>
      <c r="N296" s="524"/>
      <c r="O296" s="524"/>
      <c r="P296" s="524"/>
      <c r="Q296" s="524"/>
      <c r="R296" s="524"/>
      <c r="S296" s="524"/>
      <c r="T296" s="524"/>
      <c r="U296" s="524"/>
      <c r="V296" s="524"/>
      <c r="W296" s="524"/>
      <c r="X296" s="524"/>
      <c r="Y296" s="524"/>
      <c r="Z296" s="524"/>
    </row>
    <row r="297" ht="13.5" customHeight="1">
      <c r="A297" s="524"/>
      <c r="B297" s="525"/>
      <c r="C297" s="524"/>
      <c r="D297" s="524"/>
      <c r="E297" s="524"/>
      <c r="F297" s="524"/>
      <c r="G297" s="524"/>
      <c r="H297" s="524"/>
      <c r="I297" s="524"/>
      <c r="J297" s="524"/>
      <c r="K297" s="524"/>
      <c r="L297" s="524"/>
      <c r="M297" s="524"/>
      <c r="N297" s="524"/>
      <c r="O297" s="524"/>
      <c r="P297" s="524"/>
      <c r="Q297" s="524"/>
      <c r="R297" s="524"/>
      <c r="S297" s="524"/>
      <c r="T297" s="524"/>
      <c r="U297" s="524"/>
      <c r="V297" s="524"/>
      <c r="W297" s="524"/>
      <c r="X297" s="524"/>
      <c r="Y297" s="524"/>
      <c r="Z297" s="524"/>
    </row>
    <row r="298" ht="13.5" customHeight="1">
      <c r="A298" s="524"/>
      <c r="B298" s="525"/>
      <c r="C298" s="524"/>
      <c r="D298" s="524"/>
      <c r="E298" s="524"/>
      <c r="F298" s="524"/>
      <c r="G298" s="524"/>
      <c r="H298" s="524"/>
      <c r="I298" s="524"/>
      <c r="J298" s="524"/>
      <c r="K298" s="524"/>
      <c r="L298" s="524"/>
      <c r="M298" s="524"/>
      <c r="N298" s="524"/>
      <c r="O298" s="524"/>
      <c r="P298" s="524"/>
      <c r="Q298" s="524"/>
      <c r="R298" s="524"/>
      <c r="S298" s="524"/>
      <c r="T298" s="524"/>
      <c r="U298" s="524"/>
      <c r="V298" s="524"/>
      <c r="W298" s="524"/>
      <c r="X298" s="524"/>
      <c r="Y298" s="524"/>
      <c r="Z298" s="524"/>
    </row>
    <row r="299" ht="13.5" customHeight="1">
      <c r="A299" s="524"/>
      <c r="B299" s="525"/>
      <c r="C299" s="524"/>
      <c r="D299" s="524"/>
      <c r="E299" s="524"/>
      <c r="F299" s="524"/>
      <c r="G299" s="524"/>
      <c r="H299" s="524"/>
      <c r="I299" s="524"/>
      <c r="J299" s="524"/>
      <c r="K299" s="524"/>
      <c r="L299" s="524"/>
      <c r="M299" s="524"/>
      <c r="N299" s="524"/>
      <c r="O299" s="524"/>
      <c r="P299" s="524"/>
      <c r="Q299" s="524"/>
      <c r="R299" s="524"/>
      <c r="S299" s="524"/>
      <c r="T299" s="524"/>
      <c r="U299" s="524"/>
      <c r="V299" s="524"/>
      <c r="W299" s="524"/>
      <c r="X299" s="524"/>
      <c r="Y299" s="524"/>
      <c r="Z299" s="524"/>
    </row>
    <row r="300" ht="13.5" customHeight="1">
      <c r="A300" s="524"/>
      <c r="B300" s="525"/>
      <c r="C300" s="524"/>
      <c r="D300" s="524"/>
      <c r="E300" s="524"/>
      <c r="F300" s="524"/>
      <c r="G300" s="524"/>
      <c r="H300" s="524"/>
      <c r="I300" s="524"/>
      <c r="J300" s="524"/>
      <c r="K300" s="524"/>
      <c r="L300" s="524"/>
      <c r="M300" s="524"/>
      <c r="N300" s="524"/>
      <c r="O300" s="524"/>
      <c r="P300" s="524"/>
      <c r="Q300" s="524"/>
      <c r="R300" s="524"/>
      <c r="S300" s="524"/>
      <c r="T300" s="524"/>
      <c r="U300" s="524"/>
      <c r="V300" s="524"/>
      <c r="W300" s="524"/>
      <c r="X300" s="524"/>
      <c r="Y300" s="524"/>
      <c r="Z300" s="524"/>
    </row>
    <row r="301" ht="13.5" customHeight="1">
      <c r="A301" s="524"/>
      <c r="B301" s="525"/>
      <c r="C301" s="524"/>
      <c r="D301" s="524"/>
      <c r="E301" s="524"/>
      <c r="F301" s="524"/>
      <c r="G301" s="524"/>
      <c r="H301" s="524"/>
      <c r="I301" s="524"/>
      <c r="J301" s="524"/>
      <c r="K301" s="524"/>
      <c r="L301" s="524"/>
      <c r="M301" s="524"/>
      <c r="N301" s="524"/>
      <c r="O301" s="524"/>
      <c r="P301" s="524"/>
      <c r="Q301" s="524"/>
      <c r="R301" s="524"/>
      <c r="S301" s="524"/>
      <c r="T301" s="524"/>
      <c r="U301" s="524"/>
      <c r="V301" s="524"/>
      <c r="W301" s="524"/>
      <c r="X301" s="524"/>
      <c r="Y301" s="524"/>
      <c r="Z301" s="524"/>
    </row>
    <row r="302" ht="13.5" customHeight="1">
      <c r="A302" s="524"/>
      <c r="B302" s="525"/>
      <c r="C302" s="524"/>
      <c r="D302" s="524"/>
      <c r="E302" s="524"/>
      <c r="F302" s="524"/>
      <c r="G302" s="524"/>
      <c r="H302" s="524"/>
      <c r="I302" s="524"/>
      <c r="J302" s="524"/>
      <c r="K302" s="524"/>
      <c r="L302" s="524"/>
      <c r="M302" s="524"/>
      <c r="N302" s="524"/>
      <c r="O302" s="524"/>
      <c r="P302" s="524"/>
      <c r="Q302" s="524"/>
      <c r="R302" s="524"/>
      <c r="S302" s="524"/>
      <c r="T302" s="524"/>
      <c r="U302" s="524"/>
      <c r="V302" s="524"/>
      <c r="W302" s="524"/>
      <c r="X302" s="524"/>
      <c r="Y302" s="524"/>
      <c r="Z302" s="524"/>
    </row>
    <row r="303" ht="13.5" customHeight="1">
      <c r="A303" s="524"/>
      <c r="B303" s="525"/>
      <c r="C303" s="524"/>
      <c r="D303" s="524"/>
      <c r="E303" s="524"/>
      <c r="F303" s="524"/>
      <c r="G303" s="524"/>
      <c r="H303" s="524"/>
      <c r="I303" s="524"/>
      <c r="J303" s="524"/>
      <c r="K303" s="524"/>
      <c r="L303" s="524"/>
      <c r="M303" s="524"/>
      <c r="N303" s="524"/>
      <c r="O303" s="524"/>
      <c r="P303" s="524"/>
      <c r="Q303" s="524"/>
      <c r="R303" s="524"/>
      <c r="S303" s="524"/>
      <c r="T303" s="524"/>
      <c r="U303" s="524"/>
      <c r="V303" s="524"/>
      <c r="W303" s="524"/>
      <c r="X303" s="524"/>
      <c r="Y303" s="524"/>
      <c r="Z303" s="524"/>
    </row>
    <row r="304" ht="13.5" customHeight="1">
      <c r="A304" s="524"/>
      <c r="B304" s="525"/>
      <c r="C304" s="524"/>
      <c r="D304" s="524"/>
      <c r="E304" s="524"/>
      <c r="F304" s="524"/>
      <c r="G304" s="524"/>
      <c r="H304" s="524"/>
      <c r="I304" s="524"/>
      <c r="J304" s="524"/>
      <c r="K304" s="524"/>
      <c r="L304" s="524"/>
      <c r="M304" s="524"/>
      <c r="N304" s="524"/>
      <c r="O304" s="524"/>
      <c r="P304" s="524"/>
      <c r="Q304" s="524"/>
      <c r="R304" s="524"/>
      <c r="S304" s="524"/>
      <c r="T304" s="524"/>
      <c r="U304" s="524"/>
      <c r="V304" s="524"/>
      <c r="W304" s="524"/>
      <c r="X304" s="524"/>
      <c r="Y304" s="524"/>
      <c r="Z304" s="524"/>
    </row>
    <row r="305" ht="13.5" customHeight="1">
      <c r="A305" s="524"/>
      <c r="B305" s="525"/>
      <c r="C305" s="524"/>
      <c r="D305" s="524"/>
      <c r="E305" s="524"/>
      <c r="F305" s="524"/>
      <c r="G305" s="524"/>
      <c r="H305" s="524"/>
      <c r="I305" s="524"/>
      <c r="J305" s="524"/>
      <c r="K305" s="524"/>
      <c r="L305" s="524"/>
      <c r="M305" s="524"/>
      <c r="N305" s="524"/>
      <c r="O305" s="524"/>
      <c r="P305" s="524"/>
      <c r="Q305" s="524"/>
      <c r="R305" s="524"/>
      <c r="S305" s="524"/>
      <c r="T305" s="524"/>
      <c r="U305" s="524"/>
      <c r="V305" s="524"/>
      <c r="W305" s="524"/>
      <c r="X305" s="524"/>
      <c r="Y305" s="524"/>
      <c r="Z305" s="524"/>
    </row>
    <row r="306" ht="13.5" customHeight="1">
      <c r="A306" s="524"/>
      <c r="B306" s="525"/>
      <c r="C306" s="524"/>
      <c r="D306" s="524"/>
      <c r="E306" s="524"/>
      <c r="F306" s="524"/>
      <c r="G306" s="524"/>
      <c r="H306" s="524"/>
      <c r="I306" s="524"/>
      <c r="J306" s="524"/>
      <c r="K306" s="524"/>
      <c r="L306" s="524"/>
      <c r="M306" s="524"/>
      <c r="N306" s="524"/>
      <c r="O306" s="524"/>
      <c r="P306" s="524"/>
      <c r="Q306" s="524"/>
      <c r="R306" s="524"/>
      <c r="S306" s="524"/>
      <c r="T306" s="524"/>
      <c r="U306" s="524"/>
      <c r="V306" s="524"/>
      <c r="W306" s="524"/>
      <c r="X306" s="524"/>
      <c r="Y306" s="524"/>
      <c r="Z306" s="524"/>
    </row>
    <row r="307" ht="13.5" customHeight="1">
      <c r="A307" s="524"/>
      <c r="B307" s="525"/>
      <c r="C307" s="524"/>
      <c r="D307" s="524"/>
      <c r="E307" s="524"/>
      <c r="F307" s="524"/>
      <c r="G307" s="524"/>
      <c r="H307" s="524"/>
      <c r="I307" s="524"/>
      <c r="J307" s="524"/>
      <c r="K307" s="524"/>
      <c r="L307" s="524"/>
      <c r="M307" s="524"/>
      <c r="N307" s="524"/>
      <c r="O307" s="524"/>
      <c r="P307" s="524"/>
      <c r="Q307" s="524"/>
      <c r="R307" s="524"/>
      <c r="S307" s="524"/>
      <c r="T307" s="524"/>
      <c r="U307" s="524"/>
      <c r="V307" s="524"/>
      <c r="W307" s="524"/>
      <c r="X307" s="524"/>
      <c r="Y307" s="524"/>
      <c r="Z307" s="524"/>
    </row>
    <row r="308" ht="13.5" customHeight="1">
      <c r="A308" s="524"/>
      <c r="B308" s="525"/>
      <c r="C308" s="524"/>
      <c r="D308" s="524"/>
      <c r="E308" s="524"/>
      <c r="F308" s="524"/>
      <c r="G308" s="524"/>
      <c r="H308" s="524"/>
      <c r="I308" s="524"/>
      <c r="J308" s="524"/>
      <c r="K308" s="524"/>
      <c r="L308" s="524"/>
      <c r="M308" s="524"/>
      <c r="N308" s="524"/>
      <c r="O308" s="524"/>
      <c r="P308" s="524"/>
      <c r="Q308" s="524"/>
      <c r="R308" s="524"/>
      <c r="S308" s="524"/>
      <c r="T308" s="524"/>
      <c r="U308" s="524"/>
      <c r="V308" s="524"/>
      <c r="W308" s="524"/>
      <c r="X308" s="524"/>
      <c r="Y308" s="524"/>
      <c r="Z308" s="524"/>
    </row>
    <row r="309" ht="13.5" customHeight="1">
      <c r="A309" s="524"/>
      <c r="B309" s="525"/>
      <c r="C309" s="524"/>
      <c r="D309" s="524"/>
      <c r="E309" s="524"/>
      <c r="F309" s="524"/>
      <c r="G309" s="524"/>
      <c r="H309" s="524"/>
      <c r="I309" s="524"/>
      <c r="J309" s="524"/>
      <c r="K309" s="524"/>
      <c r="L309" s="524"/>
      <c r="M309" s="524"/>
      <c r="N309" s="524"/>
      <c r="O309" s="524"/>
      <c r="P309" s="524"/>
      <c r="Q309" s="524"/>
      <c r="R309" s="524"/>
      <c r="S309" s="524"/>
      <c r="T309" s="524"/>
      <c r="U309" s="524"/>
      <c r="V309" s="524"/>
      <c r="W309" s="524"/>
      <c r="X309" s="524"/>
      <c r="Y309" s="524"/>
      <c r="Z309" s="524"/>
    </row>
    <row r="310" ht="13.5" customHeight="1">
      <c r="A310" s="524"/>
      <c r="B310" s="525"/>
      <c r="C310" s="524"/>
      <c r="D310" s="524"/>
      <c r="E310" s="524"/>
      <c r="F310" s="524"/>
      <c r="G310" s="524"/>
      <c r="H310" s="524"/>
      <c r="I310" s="524"/>
      <c r="J310" s="524"/>
      <c r="K310" s="524"/>
      <c r="L310" s="524"/>
      <c r="M310" s="524"/>
      <c r="N310" s="524"/>
      <c r="O310" s="524"/>
      <c r="P310" s="524"/>
      <c r="Q310" s="524"/>
      <c r="R310" s="524"/>
      <c r="S310" s="524"/>
      <c r="T310" s="524"/>
      <c r="U310" s="524"/>
      <c r="V310" s="524"/>
      <c r="W310" s="524"/>
      <c r="X310" s="524"/>
      <c r="Y310" s="524"/>
      <c r="Z310" s="524"/>
    </row>
    <row r="311" ht="13.5" customHeight="1">
      <c r="A311" s="524"/>
      <c r="B311" s="525"/>
      <c r="C311" s="524"/>
      <c r="D311" s="524"/>
      <c r="E311" s="524"/>
      <c r="F311" s="524"/>
      <c r="G311" s="524"/>
      <c r="H311" s="524"/>
      <c r="I311" s="524"/>
      <c r="J311" s="524"/>
      <c r="K311" s="524"/>
      <c r="L311" s="524"/>
      <c r="M311" s="524"/>
      <c r="N311" s="524"/>
      <c r="O311" s="524"/>
      <c r="P311" s="524"/>
      <c r="Q311" s="524"/>
      <c r="R311" s="524"/>
      <c r="S311" s="524"/>
      <c r="T311" s="524"/>
      <c r="U311" s="524"/>
      <c r="V311" s="524"/>
      <c r="W311" s="524"/>
      <c r="X311" s="524"/>
      <c r="Y311" s="524"/>
      <c r="Z311" s="524"/>
    </row>
    <row r="312" ht="13.5" customHeight="1">
      <c r="A312" s="524"/>
      <c r="B312" s="525"/>
      <c r="C312" s="524"/>
      <c r="D312" s="524"/>
      <c r="E312" s="524"/>
      <c r="F312" s="524"/>
      <c r="G312" s="524"/>
      <c r="H312" s="524"/>
      <c r="I312" s="524"/>
      <c r="J312" s="524"/>
      <c r="K312" s="524"/>
      <c r="L312" s="524"/>
      <c r="M312" s="524"/>
      <c r="N312" s="524"/>
      <c r="O312" s="524"/>
      <c r="P312" s="524"/>
      <c r="Q312" s="524"/>
      <c r="R312" s="524"/>
      <c r="S312" s="524"/>
      <c r="T312" s="524"/>
      <c r="U312" s="524"/>
      <c r="V312" s="524"/>
      <c r="W312" s="524"/>
      <c r="X312" s="524"/>
      <c r="Y312" s="524"/>
      <c r="Z312" s="524"/>
    </row>
    <row r="313" ht="13.5" customHeight="1">
      <c r="A313" s="524"/>
      <c r="B313" s="525"/>
      <c r="C313" s="524"/>
      <c r="D313" s="524"/>
      <c r="E313" s="524"/>
      <c r="F313" s="524"/>
      <c r="G313" s="524"/>
      <c r="H313" s="524"/>
      <c r="I313" s="524"/>
      <c r="J313" s="524"/>
      <c r="K313" s="524"/>
      <c r="L313" s="524"/>
      <c r="M313" s="524"/>
      <c r="N313" s="524"/>
      <c r="O313" s="524"/>
      <c r="P313" s="524"/>
      <c r="Q313" s="524"/>
      <c r="R313" s="524"/>
      <c r="S313" s="524"/>
      <c r="T313" s="524"/>
      <c r="U313" s="524"/>
      <c r="V313" s="524"/>
      <c r="W313" s="524"/>
      <c r="X313" s="524"/>
      <c r="Y313" s="524"/>
      <c r="Z313" s="524"/>
    </row>
    <row r="314" ht="13.5" customHeight="1">
      <c r="A314" s="524"/>
      <c r="B314" s="525"/>
      <c r="C314" s="524"/>
      <c r="D314" s="524"/>
      <c r="E314" s="524"/>
      <c r="F314" s="524"/>
      <c r="G314" s="524"/>
      <c r="H314" s="524"/>
      <c r="I314" s="524"/>
      <c r="J314" s="524"/>
      <c r="K314" s="524"/>
      <c r="L314" s="524"/>
      <c r="M314" s="524"/>
      <c r="N314" s="524"/>
      <c r="O314" s="524"/>
      <c r="P314" s="524"/>
      <c r="Q314" s="524"/>
      <c r="R314" s="524"/>
      <c r="S314" s="524"/>
      <c r="T314" s="524"/>
      <c r="U314" s="524"/>
      <c r="V314" s="524"/>
      <c r="W314" s="524"/>
      <c r="X314" s="524"/>
      <c r="Y314" s="524"/>
      <c r="Z314" s="524"/>
    </row>
    <row r="315" ht="13.5" customHeight="1">
      <c r="A315" s="524"/>
      <c r="B315" s="525"/>
      <c r="C315" s="524"/>
      <c r="D315" s="524"/>
      <c r="E315" s="524"/>
      <c r="F315" s="524"/>
      <c r="G315" s="524"/>
      <c r="H315" s="524"/>
      <c r="I315" s="524"/>
      <c r="J315" s="524"/>
      <c r="K315" s="524"/>
      <c r="L315" s="524"/>
      <c r="M315" s="524"/>
      <c r="N315" s="524"/>
      <c r="O315" s="524"/>
      <c r="P315" s="524"/>
      <c r="Q315" s="524"/>
      <c r="R315" s="524"/>
      <c r="S315" s="524"/>
      <c r="T315" s="524"/>
      <c r="U315" s="524"/>
      <c r="V315" s="524"/>
      <c r="W315" s="524"/>
      <c r="X315" s="524"/>
      <c r="Y315" s="524"/>
      <c r="Z315" s="524"/>
    </row>
    <row r="316" ht="13.5" customHeight="1">
      <c r="A316" s="524"/>
      <c r="B316" s="525"/>
      <c r="C316" s="524"/>
      <c r="D316" s="524"/>
      <c r="E316" s="524"/>
      <c r="F316" s="524"/>
      <c r="G316" s="524"/>
      <c r="H316" s="524"/>
      <c r="I316" s="524"/>
      <c r="J316" s="524"/>
      <c r="K316" s="524"/>
      <c r="L316" s="524"/>
      <c r="M316" s="524"/>
      <c r="N316" s="524"/>
      <c r="O316" s="524"/>
      <c r="P316" s="524"/>
      <c r="Q316" s="524"/>
      <c r="R316" s="524"/>
      <c r="S316" s="524"/>
      <c r="T316" s="524"/>
      <c r="U316" s="524"/>
      <c r="V316" s="524"/>
      <c r="W316" s="524"/>
      <c r="X316" s="524"/>
      <c r="Y316" s="524"/>
      <c r="Z316" s="524"/>
    </row>
    <row r="317" ht="13.5" customHeight="1">
      <c r="A317" s="524"/>
      <c r="B317" s="525"/>
      <c r="C317" s="524"/>
      <c r="D317" s="524"/>
      <c r="E317" s="524"/>
      <c r="F317" s="524"/>
      <c r="G317" s="524"/>
      <c r="H317" s="524"/>
      <c r="I317" s="524"/>
      <c r="J317" s="524"/>
      <c r="K317" s="524"/>
      <c r="L317" s="524"/>
      <c r="M317" s="524"/>
      <c r="N317" s="524"/>
      <c r="O317" s="524"/>
      <c r="P317" s="524"/>
      <c r="Q317" s="524"/>
      <c r="R317" s="524"/>
      <c r="S317" s="524"/>
      <c r="T317" s="524"/>
      <c r="U317" s="524"/>
      <c r="V317" s="524"/>
      <c r="W317" s="524"/>
      <c r="X317" s="524"/>
      <c r="Y317" s="524"/>
      <c r="Z317" s="524"/>
    </row>
    <row r="318" ht="13.5" customHeight="1">
      <c r="A318" s="524"/>
      <c r="B318" s="525"/>
      <c r="C318" s="524"/>
      <c r="D318" s="524"/>
      <c r="E318" s="524"/>
      <c r="F318" s="524"/>
      <c r="G318" s="524"/>
      <c r="H318" s="524"/>
      <c r="I318" s="524"/>
      <c r="J318" s="524"/>
      <c r="K318" s="524"/>
      <c r="L318" s="524"/>
      <c r="M318" s="524"/>
      <c r="N318" s="524"/>
      <c r="O318" s="524"/>
      <c r="P318" s="524"/>
      <c r="Q318" s="524"/>
      <c r="R318" s="524"/>
      <c r="S318" s="524"/>
      <c r="T318" s="524"/>
      <c r="U318" s="524"/>
      <c r="V318" s="524"/>
      <c r="W318" s="524"/>
      <c r="X318" s="524"/>
      <c r="Y318" s="524"/>
      <c r="Z318" s="524"/>
    </row>
    <row r="319" ht="13.5" customHeight="1">
      <c r="A319" s="524"/>
      <c r="B319" s="525"/>
      <c r="C319" s="524"/>
      <c r="D319" s="524"/>
      <c r="E319" s="524"/>
      <c r="F319" s="524"/>
      <c r="G319" s="524"/>
      <c r="H319" s="524"/>
      <c r="I319" s="524"/>
      <c r="J319" s="524"/>
      <c r="K319" s="524"/>
      <c r="L319" s="524"/>
      <c r="M319" s="524"/>
      <c r="N319" s="524"/>
      <c r="O319" s="524"/>
      <c r="P319" s="524"/>
      <c r="Q319" s="524"/>
      <c r="R319" s="524"/>
      <c r="S319" s="524"/>
      <c r="T319" s="524"/>
      <c r="U319" s="524"/>
      <c r="V319" s="524"/>
      <c r="W319" s="524"/>
      <c r="X319" s="524"/>
      <c r="Y319" s="524"/>
      <c r="Z319" s="524"/>
    </row>
    <row r="320" ht="13.5" customHeight="1">
      <c r="A320" s="524"/>
      <c r="B320" s="525"/>
      <c r="C320" s="524"/>
      <c r="D320" s="524"/>
      <c r="E320" s="524"/>
      <c r="F320" s="524"/>
      <c r="G320" s="524"/>
      <c r="H320" s="524"/>
      <c r="I320" s="524"/>
      <c r="J320" s="524"/>
      <c r="K320" s="524"/>
      <c r="L320" s="524"/>
      <c r="M320" s="524"/>
      <c r="N320" s="524"/>
      <c r="O320" s="524"/>
      <c r="P320" s="524"/>
      <c r="Q320" s="524"/>
      <c r="R320" s="524"/>
      <c r="S320" s="524"/>
      <c r="T320" s="524"/>
      <c r="U320" s="524"/>
      <c r="V320" s="524"/>
      <c r="W320" s="524"/>
      <c r="X320" s="524"/>
      <c r="Y320" s="524"/>
      <c r="Z320" s="524"/>
    </row>
    <row r="321" ht="13.5" customHeight="1">
      <c r="A321" s="524"/>
      <c r="B321" s="525"/>
      <c r="C321" s="524"/>
      <c r="D321" s="524"/>
      <c r="E321" s="524"/>
      <c r="F321" s="524"/>
      <c r="G321" s="524"/>
      <c r="H321" s="524"/>
      <c r="I321" s="524"/>
      <c r="J321" s="524"/>
      <c r="K321" s="524"/>
      <c r="L321" s="524"/>
      <c r="M321" s="524"/>
      <c r="N321" s="524"/>
      <c r="O321" s="524"/>
      <c r="P321" s="524"/>
      <c r="Q321" s="524"/>
      <c r="R321" s="524"/>
      <c r="S321" s="524"/>
      <c r="T321" s="524"/>
      <c r="U321" s="524"/>
      <c r="V321" s="524"/>
      <c r="W321" s="524"/>
      <c r="X321" s="524"/>
      <c r="Y321" s="524"/>
      <c r="Z321" s="524"/>
    </row>
    <row r="322" ht="13.5" customHeight="1">
      <c r="A322" s="524"/>
      <c r="B322" s="525"/>
      <c r="C322" s="524"/>
      <c r="D322" s="524"/>
      <c r="E322" s="524"/>
      <c r="F322" s="524"/>
      <c r="G322" s="524"/>
      <c r="H322" s="524"/>
      <c r="I322" s="524"/>
      <c r="J322" s="524"/>
      <c r="K322" s="524"/>
      <c r="L322" s="524"/>
      <c r="M322" s="524"/>
      <c r="N322" s="524"/>
      <c r="O322" s="524"/>
      <c r="P322" s="524"/>
      <c r="Q322" s="524"/>
      <c r="R322" s="524"/>
      <c r="S322" s="524"/>
      <c r="T322" s="524"/>
      <c r="U322" s="524"/>
      <c r="V322" s="524"/>
      <c r="W322" s="524"/>
      <c r="X322" s="524"/>
      <c r="Y322" s="524"/>
      <c r="Z322" s="524"/>
    </row>
    <row r="323" ht="13.5" customHeight="1">
      <c r="A323" s="524"/>
      <c r="B323" s="525"/>
      <c r="C323" s="524"/>
      <c r="D323" s="524"/>
      <c r="E323" s="524"/>
      <c r="F323" s="524"/>
      <c r="G323" s="524"/>
      <c r="H323" s="524"/>
      <c r="I323" s="524"/>
      <c r="J323" s="524"/>
      <c r="K323" s="524"/>
      <c r="L323" s="524"/>
      <c r="M323" s="524"/>
      <c r="N323" s="524"/>
      <c r="O323" s="524"/>
      <c r="P323" s="524"/>
      <c r="Q323" s="524"/>
      <c r="R323" s="524"/>
      <c r="S323" s="524"/>
      <c r="T323" s="524"/>
      <c r="U323" s="524"/>
      <c r="V323" s="524"/>
      <c r="W323" s="524"/>
      <c r="X323" s="524"/>
      <c r="Y323" s="524"/>
      <c r="Z323" s="524"/>
    </row>
    <row r="324" ht="13.5" customHeight="1">
      <c r="A324" s="524"/>
      <c r="B324" s="525"/>
      <c r="C324" s="524"/>
      <c r="D324" s="524"/>
      <c r="E324" s="524"/>
      <c r="F324" s="524"/>
      <c r="G324" s="524"/>
      <c r="H324" s="524"/>
      <c r="I324" s="524"/>
      <c r="J324" s="524"/>
      <c r="K324" s="524"/>
      <c r="L324" s="524"/>
      <c r="M324" s="524"/>
      <c r="N324" s="524"/>
      <c r="O324" s="524"/>
      <c r="P324" s="524"/>
      <c r="Q324" s="524"/>
      <c r="R324" s="524"/>
      <c r="S324" s="524"/>
      <c r="T324" s="524"/>
      <c r="U324" s="524"/>
      <c r="V324" s="524"/>
      <c r="W324" s="524"/>
      <c r="X324" s="524"/>
      <c r="Y324" s="524"/>
      <c r="Z324" s="524"/>
    </row>
    <row r="325" ht="13.5" customHeight="1">
      <c r="A325" s="524"/>
      <c r="B325" s="525"/>
      <c r="C325" s="524"/>
      <c r="D325" s="524"/>
      <c r="E325" s="524"/>
      <c r="F325" s="524"/>
      <c r="G325" s="524"/>
      <c r="H325" s="524"/>
      <c r="I325" s="524"/>
      <c r="J325" s="524"/>
      <c r="K325" s="524"/>
      <c r="L325" s="524"/>
      <c r="M325" s="524"/>
      <c r="N325" s="524"/>
      <c r="O325" s="524"/>
      <c r="P325" s="524"/>
      <c r="Q325" s="524"/>
      <c r="R325" s="524"/>
      <c r="S325" s="524"/>
      <c r="T325" s="524"/>
      <c r="U325" s="524"/>
      <c r="V325" s="524"/>
      <c r="W325" s="524"/>
      <c r="X325" s="524"/>
      <c r="Y325" s="524"/>
      <c r="Z325" s="524"/>
    </row>
    <row r="326" ht="13.5" customHeight="1">
      <c r="A326" s="524"/>
      <c r="B326" s="525"/>
      <c r="C326" s="524"/>
      <c r="D326" s="524"/>
      <c r="E326" s="524"/>
      <c r="F326" s="524"/>
      <c r="G326" s="524"/>
      <c r="H326" s="524"/>
      <c r="I326" s="524"/>
      <c r="J326" s="524"/>
      <c r="K326" s="524"/>
      <c r="L326" s="524"/>
      <c r="M326" s="524"/>
      <c r="N326" s="524"/>
      <c r="O326" s="524"/>
      <c r="P326" s="524"/>
      <c r="Q326" s="524"/>
      <c r="R326" s="524"/>
      <c r="S326" s="524"/>
      <c r="T326" s="524"/>
      <c r="U326" s="524"/>
      <c r="V326" s="524"/>
      <c r="W326" s="524"/>
      <c r="X326" s="524"/>
      <c r="Y326" s="524"/>
      <c r="Z326" s="524"/>
    </row>
    <row r="327" ht="13.5" customHeight="1">
      <c r="A327" s="524"/>
      <c r="B327" s="525"/>
      <c r="C327" s="524"/>
      <c r="D327" s="524"/>
      <c r="E327" s="524"/>
      <c r="F327" s="524"/>
      <c r="G327" s="524"/>
      <c r="H327" s="524"/>
      <c r="I327" s="524"/>
      <c r="J327" s="524"/>
      <c r="K327" s="524"/>
      <c r="L327" s="524"/>
      <c r="M327" s="524"/>
      <c r="N327" s="524"/>
      <c r="O327" s="524"/>
      <c r="P327" s="524"/>
      <c r="Q327" s="524"/>
      <c r="R327" s="524"/>
      <c r="S327" s="524"/>
      <c r="T327" s="524"/>
      <c r="U327" s="524"/>
      <c r="V327" s="524"/>
      <c r="W327" s="524"/>
      <c r="X327" s="524"/>
      <c r="Y327" s="524"/>
      <c r="Z327" s="524"/>
    </row>
    <row r="328" ht="13.5" customHeight="1">
      <c r="A328" s="524"/>
      <c r="B328" s="525"/>
      <c r="C328" s="524"/>
      <c r="D328" s="524"/>
      <c r="E328" s="524"/>
      <c r="F328" s="524"/>
      <c r="G328" s="524"/>
      <c r="H328" s="524"/>
      <c r="I328" s="524"/>
      <c r="J328" s="524"/>
      <c r="K328" s="524"/>
      <c r="L328" s="524"/>
      <c r="M328" s="524"/>
      <c r="N328" s="524"/>
      <c r="O328" s="524"/>
      <c r="P328" s="524"/>
      <c r="Q328" s="524"/>
      <c r="R328" s="524"/>
      <c r="S328" s="524"/>
      <c r="T328" s="524"/>
      <c r="U328" s="524"/>
      <c r="V328" s="524"/>
      <c r="W328" s="524"/>
      <c r="X328" s="524"/>
      <c r="Y328" s="524"/>
      <c r="Z328" s="524"/>
    </row>
    <row r="329" ht="13.5" customHeight="1">
      <c r="A329" s="524"/>
      <c r="B329" s="525"/>
      <c r="C329" s="524"/>
      <c r="D329" s="524"/>
      <c r="E329" s="524"/>
      <c r="F329" s="524"/>
      <c r="G329" s="524"/>
      <c r="H329" s="524"/>
      <c r="I329" s="524"/>
      <c r="J329" s="524"/>
      <c r="K329" s="524"/>
      <c r="L329" s="524"/>
      <c r="M329" s="524"/>
      <c r="N329" s="524"/>
      <c r="O329" s="524"/>
      <c r="P329" s="524"/>
      <c r="Q329" s="524"/>
      <c r="R329" s="524"/>
      <c r="S329" s="524"/>
      <c r="T329" s="524"/>
      <c r="U329" s="524"/>
      <c r="V329" s="524"/>
      <c r="W329" s="524"/>
      <c r="X329" s="524"/>
      <c r="Y329" s="524"/>
      <c r="Z329" s="524"/>
    </row>
    <row r="330" ht="13.5" customHeight="1">
      <c r="A330" s="524"/>
      <c r="B330" s="525"/>
      <c r="C330" s="524"/>
      <c r="D330" s="524"/>
      <c r="E330" s="524"/>
      <c r="F330" s="524"/>
      <c r="G330" s="524"/>
      <c r="H330" s="524"/>
      <c r="I330" s="524"/>
      <c r="J330" s="524"/>
      <c r="K330" s="524"/>
      <c r="L330" s="524"/>
      <c r="M330" s="524"/>
      <c r="N330" s="524"/>
      <c r="O330" s="524"/>
      <c r="P330" s="524"/>
      <c r="Q330" s="524"/>
      <c r="R330" s="524"/>
      <c r="S330" s="524"/>
      <c r="T330" s="524"/>
      <c r="U330" s="524"/>
      <c r="V330" s="524"/>
      <c r="W330" s="524"/>
      <c r="X330" s="524"/>
      <c r="Y330" s="524"/>
      <c r="Z330" s="524"/>
    </row>
    <row r="331" ht="13.5" customHeight="1">
      <c r="A331" s="524"/>
      <c r="B331" s="525"/>
      <c r="C331" s="524"/>
      <c r="D331" s="524"/>
      <c r="E331" s="524"/>
      <c r="F331" s="524"/>
      <c r="G331" s="524"/>
      <c r="H331" s="524"/>
      <c r="I331" s="524"/>
      <c r="J331" s="524"/>
      <c r="K331" s="524"/>
      <c r="L331" s="524"/>
      <c r="M331" s="524"/>
      <c r="N331" s="524"/>
      <c r="O331" s="524"/>
      <c r="P331" s="524"/>
      <c r="Q331" s="524"/>
      <c r="R331" s="524"/>
      <c r="S331" s="524"/>
      <c r="T331" s="524"/>
      <c r="U331" s="524"/>
      <c r="V331" s="524"/>
      <c r="W331" s="524"/>
      <c r="X331" s="524"/>
      <c r="Y331" s="524"/>
      <c r="Z331" s="524"/>
    </row>
    <row r="332" ht="13.5" customHeight="1">
      <c r="A332" s="524"/>
      <c r="B332" s="525"/>
      <c r="C332" s="524"/>
      <c r="D332" s="524"/>
      <c r="E332" s="524"/>
      <c r="F332" s="524"/>
      <c r="G332" s="524"/>
      <c r="H332" s="524"/>
      <c r="I332" s="524"/>
      <c r="J332" s="524"/>
      <c r="K332" s="524"/>
      <c r="L332" s="524"/>
      <c r="M332" s="524"/>
      <c r="N332" s="524"/>
      <c r="O332" s="524"/>
      <c r="P332" s="524"/>
      <c r="Q332" s="524"/>
      <c r="R332" s="524"/>
      <c r="S332" s="524"/>
      <c r="T332" s="524"/>
      <c r="U332" s="524"/>
      <c r="V332" s="524"/>
      <c r="W332" s="524"/>
      <c r="X332" s="524"/>
      <c r="Y332" s="524"/>
      <c r="Z332" s="524"/>
    </row>
    <row r="333" ht="13.5" customHeight="1">
      <c r="A333" s="524"/>
      <c r="B333" s="525"/>
      <c r="C333" s="524"/>
      <c r="D333" s="524"/>
      <c r="E333" s="524"/>
      <c r="F333" s="524"/>
      <c r="G333" s="524"/>
      <c r="H333" s="524"/>
      <c r="I333" s="524"/>
      <c r="J333" s="524"/>
      <c r="K333" s="524"/>
      <c r="L333" s="524"/>
      <c r="M333" s="524"/>
      <c r="N333" s="524"/>
      <c r="O333" s="524"/>
      <c r="P333" s="524"/>
      <c r="Q333" s="524"/>
      <c r="R333" s="524"/>
      <c r="S333" s="524"/>
      <c r="T333" s="524"/>
      <c r="U333" s="524"/>
      <c r="V333" s="524"/>
      <c r="W333" s="524"/>
      <c r="X333" s="524"/>
      <c r="Y333" s="524"/>
      <c r="Z333" s="524"/>
    </row>
    <row r="334" ht="13.5" customHeight="1">
      <c r="A334" s="524"/>
      <c r="B334" s="525"/>
      <c r="C334" s="524"/>
      <c r="D334" s="524"/>
      <c r="E334" s="524"/>
      <c r="F334" s="524"/>
      <c r="G334" s="524"/>
      <c r="H334" s="524"/>
      <c r="I334" s="524"/>
      <c r="J334" s="524"/>
      <c r="K334" s="524"/>
      <c r="L334" s="524"/>
      <c r="M334" s="524"/>
      <c r="N334" s="524"/>
      <c r="O334" s="524"/>
      <c r="P334" s="524"/>
      <c r="Q334" s="524"/>
      <c r="R334" s="524"/>
      <c r="S334" s="524"/>
      <c r="T334" s="524"/>
      <c r="U334" s="524"/>
      <c r="V334" s="524"/>
      <c r="W334" s="524"/>
      <c r="X334" s="524"/>
      <c r="Y334" s="524"/>
      <c r="Z334" s="524"/>
    </row>
    <row r="335" ht="13.5" customHeight="1">
      <c r="A335" s="524"/>
      <c r="B335" s="525"/>
      <c r="C335" s="524"/>
      <c r="D335" s="524"/>
      <c r="E335" s="524"/>
      <c r="F335" s="524"/>
      <c r="G335" s="524"/>
      <c r="H335" s="524"/>
      <c r="I335" s="524"/>
      <c r="J335" s="524"/>
      <c r="K335" s="524"/>
      <c r="L335" s="524"/>
      <c r="M335" s="524"/>
      <c r="N335" s="524"/>
      <c r="O335" s="524"/>
      <c r="P335" s="524"/>
      <c r="Q335" s="524"/>
      <c r="R335" s="524"/>
      <c r="S335" s="524"/>
      <c r="T335" s="524"/>
      <c r="U335" s="524"/>
      <c r="V335" s="524"/>
      <c r="W335" s="524"/>
      <c r="X335" s="524"/>
      <c r="Y335" s="524"/>
      <c r="Z335" s="524"/>
    </row>
    <row r="336" ht="13.5" customHeight="1">
      <c r="A336" s="524"/>
      <c r="B336" s="525"/>
      <c r="C336" s="524"/>
      <c r="D336" s="524"/>
      <c r="E336" s="524"/>
      <c r="F336" s="524"/>
      <c r="G336" s="524"/>
      <c r="H336" s="524"/>
      <c r="I336" s="524"/>
      <c r="J336" s="524"/>
      <c r="K336" s="524"/>
      <c r="L336" s="524"/>
      <c r="M336" s="524"/>
      <c r="N336" s="524"/>
      <c r="O336" s="524"/>
      <c r="P336" s="524"/>
      <c r="Q336" s="524"/>
      <c r="R336" s="524"/>
      <c r="S336" s="524"/>
      <c r="T336" s="524"/>
      <c r="U336" s="524"/>
      <c r="V336" s="524"/>
      <c r="W336" s="524"/>
      <c r="X336" s="524"/>
      <c r="Y336" s="524"/>
      <c r="Z336" s="524"/>
    </row>
    <row r="337" ht="13.5" customHeight="1">
      <c r="A337" s="524"/>
      <c r="B337" s="525"/>
      <c r="C337" s="524"/>
      <c r="D337" s="524"/>
      <c r="E337" s="524"/>
      <c r="F337" s="524"/>
      <c r="G337" s="524"/>
      <c r="H337" s="524"/>
      <c r="I337" s="524"/>
      <c r="J337" s="524"/>
      <c r="K337" s="524"/>
      <c r="L337" s="524"/>
      <c r="M337" s="524"/>
      <c r="N337" s="524"/>
      <c r="O337" s="524"/>
      <c r="P337" s="524"/>
      <c r="Q337" s="524"/>
      <c r="R337" s="524"/>
      <c r="S337" s="524"/>
      <c r="T337" s="524"/>
      <c r="U337" s="524"/>
      <c r="V337" s="524"/>
      <c r="W337" s="524"/>
      <c r="X337" s="524"/>
      <c r="Y337" s="524"/>
      <c r="Z337" s="524"/>
    </row>
    <row r="338" ht="13.5" customHeight="1">
      <c r="A338" s="524"/>
      <c r="B338" s="525"/>
      <c r="C338" s="524"/>
      <c r="D338" s="524"/>
      <c r="E338" s="524"/>
      <c r="F338" s="524"/>
      <c r="G338" s="524"/>
      <c r="H338" s="524"/>
      <c r="I338" s="524"/>
      <c r="J338" s="524"/>
      <c r="K338" s="524"/>
      <c r="L338" s="524"/>
      <c r="M338" s="524"/>
      <c r="N338" s="524"/>
      <c r="O338" s="524"/>
      <c r="P338" s="524"/>
      <c r="Q338" s="524"/>
      <c r="R338" s="524"/>
      <c r="S338" s="524"/>
      <c r="T338" s="524"/>
      <c r="U338" s="524"/>
      <c r="V338" s="524"/>
      <c r="W338" s="524"/>
      <c r="X338" s="524"/>
      <c r="Y338" s="524"/>
      <c r="Z338" s="524"/>
    </row>
    <row r="339" ht="13.5" customHeight="1">
      <c r="A339" s="524"/>
      <c r="B339" s="525"/>
      <c r="C339" s="524"/>
      <c r="D339" s="524"/>
      <c r="E339" s="524"/>
      <c r="F339" s="524"/>
      <c r="G339" s="524"/>
      <c r="H339" s="524"/>
      <c r="I339" s="524"/>
      <c r="J339" s="524"/>
      <c r="K339" s="524"/>
      <c r="L339" s="524"/>
      <c r="M339" s="524"/>
      <c r="N339" s="524"/>
      <c r="O339" s="524"/>
      <c r="P339" s="524"/>
      <c r="Q339" s="524"/>
      <c r="R339" s="524"/>
      <c r="S339" s="524"/>
      <c r="T339" s="524"/>
      <c r="U339" s="524"/>
      <c r="V339" s="524"/>
      <c r="W339" s="524"/>
      <c r="X339" s="524"/>
      <c r="Y339" s="524"/>
      <c r="Z339" s="524"/>
    </row>
    <row r="340" ht="13.5" customHeight="1">
      <c r="A340" s="524"/>
      <c r="B340" s="525"/>
      <c r="C340" s="524"/>
      <c r="D340" s="524"/>
      <c r="E340" s="524"/>
      <c r="F340" s="524"/>
      <c r="G340" s="524"/>
      <c r="H340" s="524"/>
      <c r="I340" s="524"/>
      <c r="J340" s="524"/>
      <c r="K340" s="524"/>
      <c r="L340" s="524"/>
      <c r="M340" s="524"/>
      <c r="N340" s="524"/>
      <c r="O340" s="524"/>
      <c r="P340" s="524"/>
      <c r="Q340" s="524"/>
      <c r="R340" s="524"/>
      <c r="S340" s="524"/>
      <c r="T340" s="524"/>
      <c r="U340" s="524"/>
      <c r="V340" s="524"/>
      <c r="W340" s="524"/>
      <c r="X340" s="524"/>
      <c r="Y340" s="524"/>
      <c r="Z340" s="524"/>
    </row>
    <row r="341" ht="13.5" customHeight="1">
      <c r="A341" s="524"/>
      <c r="B341" s="525"/>
      <c r="C341" s="524"/>
      <c r="D341" s="524"/>
      <c r="E341" s="524"/>
      <c r="F341" s="524"/>
      <c r="G341" s="524"/>
      <c r="H341" s="524"/>
      <c r="I341" s="524"/>
      <c r="J341" s="524"/>
      <c r="K341" s="524"/>
      <c r="L341" s="524"/>
      <c r="M341" s="524"/>
      <c r="N341" s="524"/>
      <c r="O341" s="524"/>
      <c r="P341" s="524"/>
      <c r="Q341" s="524"/>
      <c r="R341" s="524"/>
      <c r="S341" s="524"/>
      <c r="T341" s="524"/>
      <c r="U341" s="524"/>
      <c r="V341" s="524"/>
      <c r="W341" s="524"/>
      <c r="X341" s="524"/>
      <c r="Y341" s="524"/>
      <c r="Z341" s="524"/>
    </row>
    <row r="342" ht="13.5" customHeight="1">
      <c r="A342" s="524"/>
      <c r="B342" s="525"/>
      <c r="C342" s="524"/>
      <c r="D342" s="524"/>
      <c r="E342" s="524"/>
      <c r="F342" s="524"/>
      <c r="G342" s="524"/>
      <c r="H342" s="524"/>
      <c r="I342" s="524"/>
      <c r="J342" s="524"/>
      <c r="K342" s="524"/>
      <c r="L342" s="524"/>
      <c r="M342" s="524"/>
      <c r="N342" s="524"/>
      <c r="O342" s="524"/>
      <c r="P342" s="524"/>
      <c r="Q342" s="524"/>
      <c r="R342" s="524"/>
      <c r="S342" s="524"/>
      <c r="T342" s="524"/>
      <c r="U342" s="524"/>
      <c r="V342" s="524"/>
      <c r="W342" s="524"/>
      <c r="X342" s="524"/>
      <c r="Y342" s="524"/>
      <c r="Z342" s="524"/>
    </row>
    <row r="343" ht="13.5" customHeight="1">
      <c r="A343" s="524"/>
      <c r="B343" s="525"/>
      <c r="C343" s="524"/>
      <c r="D343" s="524"/>
      <c r="E343" s="524"/>
      <c r="F343" s="524"/>
      <c r="G343" s="524"/>
      <c r="H343" s="524"/>
      <c r="I343" s="524"/>
      <c r="J343" s="524"/>
      <c r="K343" s="524"/>
      <c r="L343" s="524"/>
      <c r="M343" s="524"/>
      <c r="N343" s="524"/>
      <c r="O343" s="524"/>
      <c r="P343" s="524"/>
      <c r="Q343" s="524"/>
      <c r="R343" s="524"/>
      <c r="S343" s="524"/>
      <c r="T343" s="524"/>
      <c r="U343" s="524"/>
      <c r="V343" s="524"/>
      <c r="W343" s="524"/>
      <c r="X343" s="524"/>
      <c r="Y343" s="524"/>
      <c r="Z343" s="524"/>
    </row>
    <row r="344" ht="13.5" customHeight="1">
      <c r="A344" s="524"/>
      <c r="B344" s="525"/>
      <c r="C344" s="524"/>
      <c r="D344" s="524"/>
      <c r="E344" s="524"/>
      <c r="F344" s="524"/>
      <c r="G344" s="524"/>
      <c r="H344" s="524"/>
      <c r="I344" s="524"/>
      <c r="J344" s="524"/>
      <c r="K344" s="524"/>
      <c r="L344" s="524"/>
      <c r="M344" s="524"/>
      <c r="N344" s="524"/>
      <c r="O344" s="524"/>
      <c r="P344" s="524"/>
      <c r="Q344" s="524"/>
      <c r="R344" s="524"/>
      <c r="S344" s="524"/>
      <c r="T344" s="524"/>
      <c r="U344" s="524"/>
      <c r="V344" s="524"/>
      <c r="W344" s="524"/>
      <c r="X344" s="524"/>
      <c r="Y344" s="524"/>
      <c r="Z344" s="524"/>
    </row>
    <row r="345" ht="13.5" customHeight="1">
      <c r="A345" s="524"/>
      <c r="B345" s="525"/>
      <c r="C345" s="524"/>
      <c r="D345" s="524"/>
      <c r="E345" s="524"/>
      <c r="F345" s="524"/>
      <c r="G345" s="524"/>
      <c r="H345" s="524"/>
      <c r="I345" s="524"/>
      <c r="J345" s="524"/>
      <c r="K345" s="524"/>
      <c r="L345" s="524"/>
      <c r="M345" s="524"/>
      <c r="N345" s="524"/>
      <c r="O345" s="524"/>
      <c r="P345" s="524"/>
      <c r="Q345" s="524"/>
      <c r="R345" s="524"/>
      <c r="S345" s="524"/>
      <c r="T345" s="524"/>
      <c r="U345" s="524"/>
      <c r="V345" s="524"/>
      <c r="W345" s="524"/>
      <c r="X345" s="524"/>
      <c r="Y345" s="524"/>
      <c r="Z345" s="524"/>
    </row>
    <row r="346" ht="13.5" customHeight="1">
      <c r="A346" s="524"/>
      <c r="B346" s="525"/>
      <c r="C346" s="524"/>
      <c r="D346" s="524"/>
      <c r="E346" s="524"/>
      <c r="F346" s="524"/>
      <c r="G346" s="524"/>
      <c r="H346" s="524"/>
      <c r="I346" s="524"/>
      <c r="J346" s="524"/>
      <c r="K346" s="524"/>
      <c r="L346" s="524"/>
      <c r="M346" s="524"/>
      <c r="N346" s="524"/>
      <c r="O346" s="524"/>
      <c r="P346" s="524"/>
      <c r="Q346" s="524"/>
      <c r="R346" s="524"/>
      <c r="S346" s="524"/>
      <c r="T346" s="524"/>
      <c r="U346" s="524"/>
      <c r="V346" s="524"/>
      <c r="W346" s="524"/>
      <c r="X346" s="524"/>
      <c r="Y346" s="524"/>
      <c r="Z346" s="524"/>
    </row>
    <row r="347" ht="13.5" customHeight="1">
      <c r="A347" s="524"/>
      <c r="B347" s="525"/>
      <c r="C347" s="524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4"/>
      <c r="V347" s="524"/>
      <c r="W347" s="524"/>
      <c r="X347" s="524"/>
      <c r="Y347" s="524"/>
      <c r="Z347" s="524"/>
    </row>
    <row r="348" ht="13.5" customHeight="1">
      <c r="A348" s="524"/>
      <c r="B348" s="525"/>
      <c r="C348" s="524"/>
      <c r="D348" s="524"/>
      <c r="E348" s="524"/>
      <c r="F348" s="524"/>
      <c r="G348" s="524"/>
      <c r="H348" s="524"/>
      <c r="I348" s="524"/>
      <c r="J348" s="524"/>
      <c r="K348" s="524"/>
      <c r="L348" s="524"/>
      <c r="M348" s="524"/>
      <c r="N348" s="524"/>
      <c r="O348" s="524"/>
      <c r="P348" s="524"/>
      <c r="Q348" s="524"/>
      <c r="R348" s="524"/>
      <c r="S348" s="524"/>
      <c r="T348" s="524"/>
      <c r="U348" s="524"/>
      <c r="V348" s="524"/>
      <c r="W348" s="524"/>
      <c r="X348" s="524"/>
      <c r="Y348" s="524"/>
      <c r="Z348" s="524"/>
    </row>
    <row r="349" ht="13.5" customHeight="1">
      <c r="A349" s="524"/>
      <c r="B349" s="525"/>
      <c r="C349" s="524"/>
      <c r="D349" s="524"/>
      <c r="E349" s="524"/>
      <c r="F349" s="524"/>
      <c r="G349" s="524"/>
      <c r="H349" s="524"/>
      <c r="I349" s="524"/>
      <c r="J349" s="524"/>
      <c r="K349" s="524"/>
      <c r="L349" s="524"/>
      <c r="M349" s="524"/>
      <c r="N349" s="524"/>
      <c r="O349" s="524"/>
      <c r="P349" s="524"/>
      <c r="Q349" s="524"/>
      <c r="R349" s="524"/>
      <c r="S349" s="524"/>
      <c r="T349" s="524"/>
      <c r="U349" s="524"/>
      <c r="V349" s="524"/>
      <c r="W349" s="524"/>
      <c r="X349" s="524"/>
      <c r="Y349" s="524"/>
      <c r="Z349" s="524"/>
    </row>
    <row r="350" ht="13.5" customHeight="1">
      <c r="A350" s="524"/>
      <c r="B350" s="525"/>
      <c r="C350" s="524"/>
      <c r="D350" s="524"/>
      <c r="E350" s="524"/>
      <c r="F350" s="524"/>
      <c r="G350" s="524"/>
      <c r="H350" s="524"/>
      <c r="I350" s="524"/>
      <c r="J350" s="524"/>
      <c r="K350" s="524"/>
      <c r="L350" s="524"/>
      <c r="M350" s="524"/>
      <c r="N350" s="524"/>
      <c r="O350" s="524"/>
      <c r="P350" s="524"/>
      <c r="Q350" s="524"/>
      <c r="R350" s="524"/>
      <c r="S350" s="524"/>
      <c r="T350" s="524"/>
      <c r="U350" s="524"/>
      <c r="V350" s="524"/>
      <c r="W350" s="524"/>
      <c r="X350" s="524"/>
      <c r="Y350" s="524"/>
      <c r="Z350" s="524"/>
    </row>
    <row r="351" ht="13.5" customHeight="1">
      <c r="A351" s="524"/>
      <c r="B351" s="525"/>
      <c r="C351" s="524"/>
      <c r="D351" s="524"/>
      <c r="E351" s="524"/>
      <c r="F351" s="524"/>
      <c r="G351" s="524"/>
      <c r="H351" s="524"/>
      <c r="I351" s="524"/>
      <c r="J351" s="524"/>
      <c r="K351" s="524"/>
      <c r="L351" s="524"/>
      <c r="M351" s="524"/>
      <c r="N351" s="524"/>
      <c r="O351" s="524"/>
      <c r="P351" s="524"/>
      <c r="Q351" s="524"/>
      <c r="R351" s="524"/>
      <c r="S351" s="524"/>
      <c r="T351" s="524"/>
      <c r="U351" s="524"/>
      <c r="V351" s="524"/>
      <c r="W351" s="524"/>
      <c r="X351" s="524"/>
      <c r="Y351" s="524"/>
      <c r="Z351" s="524"/>
    </row>
    <row r="352" ht="13.5" customHeight="1">
      <c r="A352" s="524"/>
      <c r="B352" s="525"/>
      <c r="C352" s="524"/>
      <c r="D352" s="524"/>
      <c r="E352" s="524"/>
      <c r="F352" s="524"/>
      <c r="G352" s="524"/>
      <c r="H352" s="524"/>
      <c r="I352" s="524"/>
      <c r="J352" s="524"/>
      <c r="K352" s="524"/>
      <c r="L352" s="524"/>
      <c r="M352" s="524"/>
      <c r="N352" s="524"/>
      <c r="O352" s="524"/>
      <c r="P352" s="524"/>
      <c r="Q352" s="524"/>
      <c r="R352" s="524"/>
      <c r="S352" s="524"/>
      <c r="T352" s="524"/>
      <c r="U352" s="524"/>
      <c r="V352" s="524"/>
      <c r="W352" s="524"/>
      <c r="X352" s="524"/>
      <c r="Y352" s="524"/>
      <c r="Z352" s="524"/>
    </row>
    <row r="353" ht="13.5" customHeight="1">
      <c r="A353" s="524"/>
      <c r="B353" s="525"/>
      <c r="C353" s="524"/>
      <c r="D353" s="524"/>
      <c r="E353" s="524"/>
      <c r="F353" s="524"/>
      <c r="G353" s="524"/>
      <c r="H353" s="524"/>
      <c r="I353" s="524"/>
      <c r="J353" s="524"/>
      <c r="K353" s="524"/>
      <c r="L353" s="524"/>
      <c r="M353" s="524"/>
      <c r="N353" s="524"/>
      <c r="O353" s="524"/>
      <c r="P353" s="524"/>
      <c r="Q353" s="524"/>
      <c r="R353" s="524"/>
      <c r="S353" s="524"/>
      <c r="T353" s="524"/>
      <c r="U353" s="524"/>
      <c r="V353" s="524"/>
      <c r="W353" s="524"/>
      <c r="X353" s="524"/>
      <c r="Y353" s="524"/>
      <c r="Z353" s="524"/>
    </row>
    <row r="354" ht="13.5" customHeight="1">
      <c r="A354" s="524"/>
      <c r="B354" s="525"/>
      <c r="C354" s="524"/>
      <c r="D354" s="524"/>
      <c r="E354" s="524"/>
      <c r="F354" s="524"/>
      <c r="G354" s="524"/>
      <c r="H354" s="524"/>
      <c r="I354" s="524"/>
      <c r="J354" s="524"/>
      <c r="K354" s="524"/>
      <c r="L354" s="524"/>
      <c r="M354" s="524"/>
      <c r="N354" s="524"/>
      <c r="O354" s="524"/>
      <c r="P354" s="524"/>
      <c r="Q354" s="524"/>
      <c r="R354" s="524"/>
      <c r="S354" s="524"/>
      <c r="T354" s="524"/>
      <c r="U354" s="524"/>
      <c r="V354" s="524"/>
      <c r="W354" s="524"/>
      <c r="X354" s="524"/>
      <c r="Y354" s="524"/>
      <c r="Z354" s="524"/>
    </row>
    <row r="355" ht="13.5" customHeight="1">
      <c r="A355" s="524"/>
      <c r="B355" s="525"/>
      <c r="C355" s="524"/>
      <c r="D355" s="524"/>
      <c r="E355" s="524"/>
      <c r="F355" s="524"/>
      <c r="G355" s="524"/>
      <c r="H355" s="524"/>
      <c r="I355" s="524"/>
      <c r="J355" s="524"/>
      <c r="K355" s="524"/>
      <c r="L355" s="524"/>
      <c r="M355" s="524"/>
      <c r="N355" s="524"/>
      <c r="O355" s="524"/>
      <c r="P355" s="524"/>
      <c r="Q355" s="524"/>
      <c r="R355" s="524"/>
      <c r="S355" s="524"/>
      <c r="T355" s="524"/>
      <c r="U355" s="524"/>
      <c r="V355" s="524"/>
      <c r="W355" s="524"/>
      <c r="X355" s="524"/>
      <c r="Y355" s="524"/>
      <c r="Z355" s="524"/>
    </row>
    <row r="356" ht="13.5" customHeight="1">
      <c r="A356" s="524"/>
      <c r="B356" s="525"/>
      <c r="C356" s="524"/>
      <c r="D356" s="524"/>
      <c r="E356" s="524"/>
      <c r="F356" s="524"/>
      <c r="G356" s="524"/>
      <c r="H356" s="524"/>
      <c r="I356" s="524"/>
      <c r="J356" s="524"/>
      <c r="K356" s="524"/>
      <c r="L356" s="524"/>
      <c r="M356" s="524"/>
      <c r="N356" s="524"/>
      <c r="O356" s="524"/>
      <c r="P356" s="524"/>
      <c r="Q356" s="524"/>
      <c r="R356" s="524"/>
      <c r="S356" s="524"/>
      <c r="T356" s="524"/>
      <c r="U356" s="524"/>
      <c r="V356" s="524"/>
      <c r="W356" s="524"/>
      <c r="X356" s="524"/>
      <c r="Y356" s="524"/>
      <c r="Z356" s="524"/>
    </row>
    <row r="357" ht="13.5" customHeight="1">
      <c r="A357" s="524"/>
      <c r="B357" s="525"/>
      <c r="C357" s="524"/>
      <c r="D357" s="524"/>
      <c r="E357" s="524"/>
      <c r="F357" s="524"/>
      <c r="G357" s="524"/>
      <c r="H357" s="524"/>
      <c r="I357" s="524"/>
      <c r="J357" s="524"/>
      <c r="K357" s="524"/>
      <c r="L357" s="524"/>
      <c r="M357" s="524"/>
      <c r="N357" s="524"/>
      <c r="O357" s="524"/>
      <c r="P357" s="524"/>
      <c r="Q357" s="524"/>
      <c r="R357" s="524"/>
      <c r="S357" s="524"/>
      <c r="T357" s="524"/>
      <c r="U357" s="524"/>
      <c r="V357" s="524"/>
      <c r="W357" s="524"/>
      <c r="X357" s="524"/>
      <c r="Y357" s="524"/>
      <c r="Z357" s="524"/>
    </row>
    <row r="358" ht="13.5" customHeight="1">
      <c r="A358" s="524"/>
      <c r="B358" s="525"/>
      <c r="C358" s="524"/>
      <c r="D358" s="524"/>
      <c r="E358" s="524"/>
      <c r="F358" s="524"/>
      <c r="G358" s="524"/>
      <c r="H358" s="524"/>
      <c r="I358" s="524"/>
      <c r="J358" s="524"/>
      <c r="K358" s="524"/>
      <c r="L358" s="524"/>
      <c r="M358" s="524"/>
      <c r="N358" s="524"/>
      <c r="O358" s="524"/>
      <c r="P358" s="524"/>
      <c r="Q358" s="524"/>
      <c r="R358" s="524"/>
      <c r="S358" s="524"/>
      <c r="T358" s="524"/>
      <c r="U358" s="524"/>
      <c r="V358" s="524"/>
      <c r="W358" s="524"/>
      <c r="X358" s="524"/>
      <c r="Y358" s="524"/>
      <c r="Z358" s="524"/>
    </row>
    <row r="359" ht="13.5" customHeight="1">
      <c r="A359" s="524"/>
      <c r="B359" s="525"/>
      <c r="C359" s="524"/>
      <c r="D359" s="524"/>
      <c r="E359" s="524"/>
      <c r="F359" s="524"/>
      <c r="G359" s="524"/>
      <c r="H359" s="524"/>
      <c r="I359" s="524"/>
      <c r="J359" s="524"/>
      <c r="K359" s="524"/>
      <c r="L359" s="524"/>
      <c r="M359" s="524"/>
      <c r="N359" s="524"/>
      <c r="O359" s="524"/>
      <c r="P359" s="524"/>
      <c r="Q359" s="524"/>
      <c r="R359" s="524"/>
      <c r="S359" s="524"/>
      <c r="T359" s="524"/>
      <c r="U359" s="524"/>
      <c r="V359" s="524"/>
      <c r="W359" s="524"/>
      <c r="X359" s="524"/>
      <c r="Y359" s="524"/>
      <c r="Z359" s="524"/>
    </row>
    <row r="360" ht="13.5" customHeight="1">
      <c r="A360" s="524"/>
      <c r="B360" s="525"/>
      <c r="C360" s="524"/>
      <c r="D360" s="524"/>
      <c r="E360" s="524"/>
      <c r="F360" s="524"/>
      <c r="G360" s="524"/>
      <c r="H360" s="524"/>
      <c r="I360" s="524"/>
      <c r="J360" s="524"/>
      <c r="K360" s="524"/>
      <c r="L360" s="524"/>
      <c r="M360" s="524"/>
      <c r="N360" s="524"/>
      <c r="O360" s="524"/>
      <c r="P360" s="524"/>
      <c r="Q360" s="524"/>
      <c r="R360" s="524"/>
      <c r="S360" s="524"/>
      <c r="T360" s="524"/>
      <c r="U360" s="524"/>
      <c r="V360" s="524"/>
      <c r="W360" s="524"/>
      <c r="X360" s="524"/>
      <c r="Y360" s="524"/>
      <c r="Z360" s="524"/>
    </row>
    <row r="361" ht="13.5" customHeight="1">
      <c r="A361" s="524"/>
      <c r="B361" s="525"/>
      <c r="C361" s="524"/>
      <c r="D361" s="524"/>
      <c r="E361" s="524"/>
      <c r="F361" s="524"/>
      <c r="G361" s="524"/>
      <c r="H361" s="524"/>
      <c r="I361" s="524"/>
      <c r="J361" s="524"/>
      <c r="K361" s="524"/>
      <c r="L361" s="524"/>
      <c r="M361" s="524"/>
      <c r="N361" s="524"/>
      <c r="O361" s="524"/>
      <c r="P361" s="524"/>
      <c r="Q361" s="524"/>
      <c r="R361" s="524"/>
      <c r="S361" s="524"/>
      <c r="T361" s="524"/>
      <c r="U361" s="524"/>
      <c r="V361" s="524"/>
      <c r="W361" s="524"/>
      <c r="X361" s="524"/>
      <c r="Y361" s="524"/>
      <c r="Z361" s="524"/>
    </row>
    <row r="362" ht="13.5" customHeight="1">
      <c r="A362" s="524"/>
      <c r="B362" s="525"/>
      <c r="C362" s="524"/>
      <c r="D362" s="524"/>
      <c r="E362" s="524"/>
      <c r="F362" s="524"/>
      <c r="G362" s="524"/>
      <c r="H362" s="524"/>
      <c r="I362" s="524"/>
      <c r="J362" s="524"/>
      <c r="K362" s="524"/>
      <c r="L362" s="524"/>
      <c r="M362" s="524"/>
      <c r="N362" s="524"/>
      <c r="O362" s="524"/>
      <c r="P362" s="524"/>
      <c r="Q362" s="524"/>
      <c r="R362" s="524"/>
      <c r="S362" s="524"/>
      <c r="T362" s="524"/>
      <c r="U362" s="524"/>
      <c r="V362" s="524"/>
      <c r="W362" s="524"/>
      <c r="X362" s="524"/>
      <c r="Y362" s="524"/>
      <c r="Z362" s="524"/>
    </row>
    <row r="363" ht="13.5" customHeight="1">
      <c r="A363" s="524"/>
      <c r="B363" s="525"/>
      <c r="C363" s="524"/>
      <c r="D363" s="524"/>
      <c r="E363" s="524"/>
      <c r="F363" s="524"/>
      <c r="G363" s="524"/>
      <c r="H363" s="524"/>
      <c r="I363" s="524"/>
      <c r="J363" s="524"/>
      <c r="K363" s="524"/>
      <c r="L363" s="524"/>
      <c r="M363" s="524"/>
      <c r="N363" s="524"/>
      <c r="O363" s="524"/>
      <c r="P363" s="524"/>
      <c r="Q363" s="524"/>
      <c r="R363" s="524"/>
      <c r="S363" s="524"/>
      <c r="T363" s="524"/>
      <c r="U363" s="524"/>
      <c r="V363" s="524"/>
      <c r="W363" s="524"/>
      <c r="X363" s="524"/>
      <c r="Y363" s="524"/>
      <c r="Z363" s="524"/>
    </row>
    <row r="364" ht="13.5" customHeight="1">
      <c r="A364" s="524"/>
      <c r="B364" s="525"/>
      <c r="C364" s="524"/>
      <c r="D364" s="524"/>
      <c r="E364" s="524"/>
      <c r="F364" s="524"/>
      <c r="G364" s="524"/>
      <c r="H364" s="524"/>
      <c r="I364" s="524"/>
      <c r="J364" s="524"/>
      <c r="K364" s="524"/>
      <c r="L364" s="524"/>
      <c r="M364" s="524"/>
      <c r="N364" s="524"/>
      <c r="O364" s="524"/>
      <c r="P364" s="524"/>
      <c r="Q364" s="524"/>
      <c r="R364" s="524"/>
      <c r="S364" s="524"/>
      <c r="T364" s="524"/>
      <c r="U364" s="524"/>
      <c r="V364" s="524"/>
      <c r="W364" s="524"/>
      <c r="X364" s="524"/>
      <c r="Y364" s="524"/>
      <c r="Z364" s="524"/>
    </row>
    <row r="365" ht="13.5" customHeight="1">
      <c r="A365" s="524"/>
      <c r="B365" s="525"/>
      <c r="C365" s="524"/>
      <c r="D365" s="524"/>
      <c r="E365" s="524"/>
      <c r="F365" s="524"/>
      <c r="G365" s="524"/>
      <c r="H365" s="524"/>
      <c r="I365" s="524"/>
      <c r="J365" s="524"/>
      <c r="K365" s="524"/>
      <c r="L365" s="524"/>
      <c r="M365" s="524"/>
      <c r="N365" s="524"/>
      <c r="O365" s="524"/>
      <c r="P365" s="524"/>
      <c r="Q365" s="524"/>
      <c r="R365" s="524"/>
      <c r="S365" s="524"/>
      <c r="T365" s="524"/>
      <c r="U365" s="524"/>
      <c r="V365" s="524"/>
      <c r="W365" s="524"/>
      <c r="X365" s="524"/>
      <c r="Y365" s="524"/>
      <c r="Z365" s="524"/>
    </row>
    <row r="366" ht="13.5" customHeight="1">
      <c r="A366" s="524"/>
      <c r="B366" s="525"/>
      <c r="C366" s="524"/>
      <c r="D366" s="524"/>
      <c r="E366" s="524"/>
      <c r="F366" s="524"/>
      <c r="G366" s="524"/>
      <c r="H366" s="524"/>
      <c r="I366" s="524"/>
      <c r="J366" s="524"/>
      <c r="K366" s="524"/>
      <c r="L366" s="524"/>
      <c r="M366" s="524"/>
      <c r="N366" s="524"/>
      <c r="O366" s="524"/>
      <c r="P366" s="524"/>
      <c r="Q366" s="524"/>
      <c r="R366" s="524"/>
      <c r="S366" s="524"/>
      <c r="T366" s="524"/>
      <c r="U366" s="524"/>
      <c r="V366" s="524"/>
      <c r="W366" s="524"/>
      <c r="X366" s="524"/>
      <c r="Y366" s="524"/>
      <c r="Z366" s="524"/>
    </row>
    <row r="367" ht="13.5" customHeight="1">
      <c r="A367" s="524"/>
      <c r="B367" s="525"/>
      <c r="C367" s="524"/>
      <c r="D367" s="524"/>
      <c r="E367" s="524"/>
      <c r="F367" s="524"/>
      <c r="G367" s="524"/>
      <c r="H367" s="524"/>
      <c r="I367" s="524"/>
      <c r="J367" s="524"/>
      <c r="K367" s="524"/>
      <c r="L367" s="524"/>
      <c r="M367" s="524"/>
      <c r="N367" s="524"/>
      <c r="O367" s="524"/>
      <c r="P367" s="524"/>
      <c r="Q367" s="524"/>
      <c r="R367" s="524"/>
      <c r="S367" s="524"/>
      <c r="T367" s="524"/>
      <c r="U367" s="524"/>
      <c r="V367" s="524"/>
      <c r="W367" s="524"/>
      <c r="X367" s="524"/>
      <c r="Y367" s="524"/>
      <c r="Z367" s="524"/>
    </row>
    <row r="368" ht="13.5" customHeight="1">
      <c r="A368" s="524"/>
      <c r="B368" s="525"/>
      <c r="C368" s="524"/>
      <c r="D368" s="524"/>
      <c r="E368" s="524"/>
      <c r="F368" s="524"/>
      <c r="G368" s="524"/>
      <c r="H368" s="524"/>
      <c r="I368" s="524"/>
      <c r="J368" s="524"/>
      <c r="K368" s="524"/>
      <c r="L368" s="524"/>
      <c r="M368" s="524"/>
      <c r="N368" s="524"/>
      <c r="O368" s="524"/>
      <c r="P368" s="524"/>
      <c r="Q368" s="524"/>
      <c r="R368" s="524"/>
      <c r="S368" s="524"/>
      <c r="T368" s="524"/>
      <c r="U368" s="524"/>
      <c r="V368" s="524"/>
      <c r="W368" s="524"/>
      <c r="X368" s="524"/>
      <c r="Y368" s="524"/>
      <c r="Z368" s="524"/>
    </row>
    <row r="369" ht="13.5" customHeight="1">
      <c r="A369" s="524"/>
      <c r="B369" s="525"/>
      <c r="C369" s="524"/>
      <c r="D369" s="524"/>
      <c r="E369" s="524"/>
      <c r="F369" s="524"/>
      <c r="G369" s="524"/>
      <c r="H369" s="524"/>
      <c r="I369" s="524"/>
      <c r="J369" s="524"/>
      <c r="K369" s="524"/>
      <c r="L369" s="524"/>
      <c r="M369" s="524"/>
      <c r="N369" s="524"/>
      <c r="O369" s="524"/>
      <c r="P369" s="524"/>
      <c r="Q369" s="524"/>
      <c r="R369" s="524"/>
      <c r="S369" s="524"/>
      <c r="T369" s="524"/>
      <c r="U369" s="524"/>
      <c r="V369" s="524"/>
      <c r="W369" s="524"/>
      <c r="X369" s="524"/>
      <c r="Y369" s="524"/>
      <c r="Z369" s="524"/>
    </row>
    <row r="370" ht="13.5" customHeight="1">
      <c r="A370" s="524"/>
      <c r="B370" s="525"/>
      <c r="C370" s="524"/>
      <c r="D370" s="524"/>
      <c r="E370" s="524"/>
      <c r="F370" s="524"/>
      <c r="G370" s="524"/>
      <c r="H370" s="524"/>
      <c r="I370" s="524"/>
      <c r="J370" s="524"/>
      <c r="K370" s="524"/>
      <c r="L370" s="524"/>
      <c r="M370" s="524"/>
      <c r="N370" s="524"/>
      <c r="O370" s="524"/>
      <c r="P370" s="524"/>
      <c r="Q370" s="524"/>
      <c r="R370" s="524"/>
      <c r="S370" s="524"/>
      <c r="T370" s="524"/>
      <c r="U370" s="524"/>
      <c r="V370" s="524"/>
      <c r="W370" s="524"/>
      <c r="X370" s="524"/>
      <c r="Y370" s="524"/>
      <c r="Z370" s="524"/>
    </row>
    <row r="371" ht="13.5" customHeight="1">
      <c r="A371" s="524"/>
      <c r="B371" s="525"/>
      <c r="C371" s="524"/>
      <c r="D371" s="524"/>
      <c r="E371" s="524"/>
      <c r="F371" s="524"/>
      <c r="G371" s="524"/>
      <c r="H371" s="524"/>
      <c r="I371" s="524"/>
      <c r="J371" s="524"/>
      <c r="K371" s="524"/>
      <c r="L371" s="524"/>
      <c r="M371" s="524"/>
      <c r="N371" s="524"/>
      <c r="O371" s="524"/>
      <c r="P371" s="524"/>
      <c r="Q371" s="524"/>
      <c r="R371" s="524"/>
      <c r="S371" s="524"/>
      <c r="T371" s="524"/>
      <c r="U371" s="524"/>
      <c r="V371" s="524"/>
      <c r="W371" s="524"/>
      <c r="X371" s="524"/>
      <c r="Y371" s="524"/>
      <c r="Z371" s="524"/>
    </row>
    <row r="372" ht="13.5" customHeight="1">
      <c r="A372" s="524"/>
      <c r="B372" s="525"/>
      <c r="C372" s="524"/>
      <c r="D372" s="524"/>
      <c r="E372" s="524"/>
      <c r="F372" s="524"/>
      <c r="G372" s="524"/>
      <c r="H372" s="524"/>
      <c r="I372" s="524"/>
      <c r="J372" s="524"/>
      <c r="K372" s="524"/>
      <c r="L372" s="524"/>
      <c r="M372" s="524"/>
      <c r="N372" s="524"/>
      <c r="O372" s="524"/>
      <c r="P372" s="524"/>
      <c r="Q372" s="524"/>
      <c r="R372" s="524"/>
      <c r="S372" s="524"/>
      <c r="T372" s="524"/>
      <c r="U372" s="524"/>
      <c r="V372" s="524"/>
      <c r="W372" s="524"/>
      <c r="X372" s="524"/>
      <c r="Y372" s="524"/>
      <c r="Z372" s="524"/>
    </row>
    <row r="373" ht="13.5" customHeight="1">
      <c r="A373" s="524"/>
      <c r="B373" s="525"/>
      <c r="C373" s="524"/>
      <c r="D373" s="524"/>
      <c r="E373" s="524"/>
      <c r="F373" s="524"/>
      <c r="G373" s="524"/>
      <c r="H373" s="524"/>
      <c r="I373" s="524"/>
      <c r="J373" s="524"/>
      <c r="K373" s="524"/>
      <c r="L373" s="524"/>
      <c r="M373" s="524"/>
      <c r="N373" s="524"/>
      <c r="O373" s="524"/>
      <c r="P373" s="524"/>
      <c r="Q373" s="524"/>
      <c r="R373" s="524"/>
      <c r="S373" s="524"/>
      <c r="T373" s="524"/>
      <c r="U373" s="524"/>
      <c r="V373" s="524"/>
      <c r="W373" s="524"/>
      <c r="X373" s="524"/>
      <c r="Y373" s="524"/>
      <c r="Z373" s="524"/>
    </row>
    <row r="374" ht="13.5" customHeight="1">
      <c r="A374" s="524"/>
      <c r="B374" s="525"/>
      <c r="C374" s="524"/>
      <c r="D374" s="524"/>
      <c r="E374" s="524"/>
      <c r="F374" s="524"/>
      <c r="G374" s="524"/>
      <c r="H374" s="524"/>
      <c r="I374" s="524"/>
      <c r="J374" s="524"/>
      <c r="K374" s="524"/>
      <c r="L374" s="524"/>
      <c r="M374" s="524"/>
      <c r="N374" s="524"/>
      <c r="O374" s="524"/>
      <c r="P374" s="524"/>
      <c r="Q374" s="524"/>
      <c r="R374" s="524"/>
      <c r="S374" s="524"/>
      <c r="T374" s="524"/>
      <c r="U374" s="524"/>
      <c r="V374" s="524"/>
      <c r="W374" s="524"/>
      <c r="X374" s="524"/>
      <c r="Y374" s="524"/>
      <c r="Z374" s="524"/>
    </row>
    <row r="375" ht="13.5" customHeight="1">
      <c r="A375" s="524"/>
      <c r="B375" s="525"/>
      <c r="C375" s="524"/>
      <c r="D375" s="524"/>
      <c r="E375" s="524"/>
      <c r="F375" s="524"/>
      <c r="G375" s="524"/>
      <c r="H375" s="524"/>
      <c r="I375" s="524"/>
      <c r="J375" s="524"/>
      <c r="K375" s="524"/>
      <c r="L375" s="524"/>
      <c r="M375" s="524"/>
      <c r="N375" s="524"/>
      <c r="O375" s="524"/>
      <c r="P375" s="524"/>
      <c r="Q375" s="524"/>
      <c r="R375" s="524"/>
      <c r="S375" s="524"/>
      <c r="T375" s="524"/>
      <c r="U375" s="524"/>
      <c r="V375" s="524"/>
      <c r="W375" s="524"/>
      <c r="X375" s="524"/>
      <c r="Y375" s="524"/>
      <c r="Z375" s="524"/>
    </row>
    <row r="376" ht="13.5" customHeight="1">
      <c r="A376" s="524"/>
      <c r="B376" s="525"/>
      <c r="C376" s="524"/>
      <c r="D376" s="524"/>
      <c r="E376" s="524"/>
      <c r="F376" s="524"/>
      <c r="G376" s="524"/>
      <c r="H376" s="524"/>
      <c r="I376" s="524"/>
      <c r="J376" s="524"/>
      <c r="K376" s="524"/>
      <c r="L376" s="524"/>
      <c r="M376" s="524"/>
      <c r="N376" s="524"/>
      <c r="O376" s="524"/>
      <c r="P376" s="524"/>
      <c r="Q376" s="524"/>
      <c r="R376" s="524"/>
      <c r="S376" s="524"/>
      <c r="T376" s="524"/>
      <c r="U376" s="524"/>
      <c r="V376" s="524"/>
      <c r="W376" s="524"/>
      <c r="X376" s="524"/>
      <c r="Y376" s="524"/>
      <c r="Z376" s="524"/>
    </row>
    <row r="377" ht="13.5" customHeight="1">
      <c r="A377" s="524"/>
      <c r="B377" s="525"/>
      <c r="C377" s="524"/>
      <c r="D377" s="524"/>
      <c r="E377" s="524"/>
      <c r="F377" s="524"/>
      <c r="G377" s="524"/>
      <c r="H377" s="524"/>
      <c r="I377" s="524"/>
      <c r="J377" s="524"/>
      <c r="K377" s="524"/>
      <c r="L377" s="524"/>
      <c r="M377" s="524"/>
      <c r="N377" s="524"/>
      <c r="O377" s="524"/>
      <c r="P377" s="524"/>
      <c r="Q377" s="524"/>
      <c r="R377" s="524"/>
      <c r="S377" s="524"/>
      <c r="T377" s="524"/>
      <c r="U377" s="524"/>
      <c r="V377" s="524"/>
      <c r="W377" s="524"/>
      <c r="X377" s="524"/>
      <c r="Y377" s="524"/>
      <c r="Z377" s="524"/>
    </row>
    <row r="378" ht="13.5" customHeight="1">
      <c r="A378" s="524"/>
      <c r="B378" s="525"/>
      <c r="C378" s="524"/>
      <c r="D378" s="524"/>
      <c r="E378" s="524"/>
      <c r="F378" s="524"/>
      <c r="G378" s="524"/>
      <c r="H378" s="524"/>
      <c r="I378" s="524"/>
      <c r="J378" s="524"/>
      <c r="K378" s="524"/>
      <c r="L378" s="524"/>
      <c r="M378" s="524"/>
      <c r="N378" s="524"/>
      <c r="O378" s="524"/>
      <c r="P378" s="524"/>
      <c r="Q378" s="524"/>
      <c r="R378" s="524"/>
      <c r="S378" s="524"/>
      <c r="T378" s="524"/>
      <c r="U378" s="524"/>
      <c r="V378" s="524"/>
      <c r="W378" s="524"/>
      <c r="X378" s="524"/>
      <c r="Y378" s="524"/>
      <c r="Z378" s="524"/>
    </row>
    <row r="379" ht="13.5" customHeight="1">
      <c r="A379" s="524"/>
      <c r="B379" s="525"/>
      <c r="C379" s="524"/>
      <c r="D379" s="524"/>
      <c r="E379" s="524"/>
      <c r="F379" s="524"/>
      <c r="G379" s="524"/>
      <c r="H379" s="524"/>
      <c r="I379" s="524"/>
      <c r="J379" s="524"/>
      <c r="K379" s="524"/>
      <c r="L379" s="524"/>
      <c r="M379" s="524"/>
      <c r="N379" s="524"/>
      <c r="O379" s="524"/>
      <c r="P379" s="524"/>
      <c r="Q379" s="524"/>
      <c r="R379" s="524"/>
      <c r="S379" s="524"/>
      <c r="T379" s="524"/>
      <c r="U379" s="524"/>
      <c r="V379" s="524"/>
      <c r="W379" s="524"/>
      <c r="X379" s="524"/>
      <c r="Y379" s="524"/>
      <c r="Z379" s="524"/>
    </row>
    <row r="380" ht="13.5" customHeight="1">
      <c r="A380" s="524"/>
      <c r="B380" s="525"/>
      <c r="C380" s="524"/>
      <c r="D380" s="524"/>
      <c r="E380" s="524"/>
      <c r="F380" s="524"/>
      <c r="G380" s="524"/>
      <c r="H380" s="524"/>
      <c r="I380" s="524"/>
      <c r="J380" s="524"/>
      <c r="K380" s="524"/>
      <c r="L380" s="524"/>
      <c r="M380" s="524"/>
      <c r="N380" s="524"/>
      <c r="O380" s="524"/>
      <c r="P380" s="524"/>
      <c r="Q380" s="524"/>
      <c r="R380" s="524"/>
      <c r="S380" s="524"/>
      <c r="T380" s="524"/>
      <c r="U380" s="524"/>
      <c r="V380" s="524"/>
      <c r="W380" s="524"/>
      <c r="X380" s="524"/>
      <c r="Y380" s="524"/>
      <c r="Z380" s="524"/>
    </row>
    <row r="381" ht="13.5" customHeight="1">
      <c r="A381" s="524"/>
      <c r="B381" s="525"/>
      <c r="C381" s="524"/>
      <c r="D381" s="524"/>
      <c r="E381" s="524"/>
      <c r="F381" s="524"/>
      <c r="G381" s="524"/>
      <c r="H381" s="524"/>
      <c r="I381" s="524"/>
      <c r="J381" s="524"/>
      <c r="K381" s="524"/>
      <c r="L381" s="524"/>
      <c r="M381" s="524"/>
      <c r="N381" s="524"/>
      <c r="O381" s="524"/>
      <c r="P381" s="524"/>
      <c r="Q381" s="524"/>
      <c r="R381" s="524"/>
      <c r="S381" s="524"/>
      <c r="T381" s="524"/>
      <c r="U381" s="524"/>
      <c r="V381" s="524"/>
      <c r="W381" s="524"/>
      <c r="X381" s="524"/>
      <c r="Y381" s="524"/>
      <c r="Z381" s="524"/>
    </row>
    <row r="382" ht="13.5" customHeight="1">
      <c r="A382" s="524"/>
      <c r="B382" s="525"/>
      <c r="C382" s="524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4"/>
      <c r="V382" s="524"/>
      <c r="W382" s="524"/>
      <c r="X382" s="524"/>
      <c r="Y382" s="524"/>
      <c r="Z382" s="524"/>
    </row>
    <row r="383" ht="13.5" customHeight="1">
      <c r="A383" s="524"/>
      <c r="B383" s="525"/>
      <c r="C383" s="524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4"/>
      <c r="V383" s="524"/>
      <c r="W383" s="524"/>
      <c r="X383" s="524"/>
      <c r="Y383" s="524"/>
      <c r="Z383" s="524"/>
    </row>
    <row r="384" ht="13.5" customHeight="1">
      <c r="A384" s="524"/>
      <c r="B384" s="525"/>
      <c r="C384" s="524"/>
      <c r="D384" s="524"/>
      <c r="E384" s="524"/>
      <c r="F384" s="524"/>
      <c r="G384" s="524"/>
      <c r="H384" s="524"/>
      <c r="I384" s="524"/>
      <c r="J384" s="524"/>
      <c r="K384" s="524"/>
      <c r="L384" s="524"/>
      <c r="M384" s="524"/>
      <c r="N384" s="524"/>
      <c r="O384" s="524"/>
      <c r="P384" s="524"/>
      <c r="Q384" s="524"/>
      <c r="R384" s="524"/>
      <c r="S384" s="524"/>
      <c r="T384" s="524"/>
      <c r="U384" s="524"/>
      <c r="V384" s="524"/>
      <c r="W384" s="524"/>
      <c r="X384" s="524"/>
      <c r="Y384" s="524"/>
      <c r="Z384" s="524"/>
    </row>
    <row r="385" ht="13.5" customHeight="1">
      <c r="A385" s="524"/>
      <c r="B385" s="525"/>
      <c r="C385" s="524"/>
      <c r="D385" s="524"/>
      <c r="E385" s="524"/>
      <c r="F385" s="524"/>
      <c r="G385" s="524"/>
      <c r="H385" s="524"/>
      <c r="I385" s="524"/>
      <c r="J385" s="524"/>
      <c r="K385" s="524"/>
      <c r="L385" s="524"/>
      <c r="M385" s="524"/>
      <c r="N385" s="524"/>
      <c r="O385" s="524"/>
      <c r="P385" s="524"/>
      <c r="Q385" s="524"/>
      <c r="R385" s="524"/>
      <c r="S385" s="524"/>
      <c r="T385" s="524"/>
      <c r="U385" s="524"/>
      <c r="V385" s="524"/>
      <c r="W385" s="524"/>
      <c r="X385" s="524"/>
      <c r="Y385" s="524"/>
      <c r="Z385" s="524"/>
    </row>
    <row r="386" ht="13.5" customHeight="1">
      <c r="A386" s="524"/>
      <c r="B386" s="525"/>
      <c r="C386" s="524"/>
      <c r="D386" s="524"/>
      <c r="E386" s="524"/>
      <c r="F386" s="524"/>
      <c r="G386" s="524"/>
      <c r="H386" s="524"/>
      <c r="I386" s="524"/>
      <c r="J386" s="524"/>
      <c r="K386" s="524"/>
      <c r="L386" s="524"/>
      <c r="M386" s="524"/>
      <c r="N386" s="524"/>
      <c r="O386" s="524"/>
      <c r="P386" s="524"/>
      <c r="Q386" s="524"/>
      <c r="R386" s="524"/>
      <c r="S386" s="524"/>
      <c r="T386" s="524"/>
      <c r="U386" s="524"/>
      <c r="V386" s="524"/>
      <c r="W386" s="524"/>
      <c r="X386" s="524"/>
      <c r="Y386" s="524"/>
      <c r="Z386" s="524"/>
    </row>
    <row r="387" ht="13.5" customHeight="1">
      <c r="A387" s="524"/>
      <c r="B387" s="525"/>
      <c r="C387" s="524"/>
      <c r="D387" s="524"/>
      <c r="E387" s="524"/>
      <c r="F387" s="524"/>
      <c r="G387" s="524"/>
      <c r="H387" s="524"/>
      <c r="I387" s="524"/>
      <c r="J387" s="524"/>
      <c r="K387" s="524"/>
      <c r="L387" s="524"/>
      <c r="M387" s="524"/>
      <c r="N387" s="524"/>
      <c r="O387" s="524"/>
      <c r="P387" s="524"/>
      <c r="Q387" s="524"/>
      <c r="R387" s="524"/>
      <c r="S387" s="524"/>
      <c r="T387" s="524"/>
      <c r="U387" s="524"/>
      <c r="V387" s="524"/>
      <c r="W387" s="524"/>
      <c r="X387" s="524"/>
      <c r="Y387" s="524"/>
      <c r="Z387" s="524"/>
    </row>
    <row r="388" ht="13.5" customHeight="1">
      <c r="A388" s="524"/>
      <c r="B388" s="525"/>
      <c r="C388" s="524"/>
      <c r="D388" s="524"/>
      <c r="E388" s="524"/>
      <c r="F388" s="524"/>
      <c r="G388" s="524"/>
      <c r="H388" s="524"/>
      <c r="I388" s="524"/>
      <c r="J388" s="524"/>
      <c r="K388" s="524"/>
      <c r="L388" s="524"/>
      <c r="M388" s="524"/>
      <c r="N388" s="524"/>
      <c r="O388" s="524"/>
      <c r="P388" s="524"/>
      <c r="Q388" s="524"/>
      <c r="R388" s="524"/>
      <c r="S388" s="524"/>
      <c r="T388" s="524"/>
      <c r="U388" s="524"/>
      <c r="V388" s="524"/>
      <c r="W388" s="524"/>
      <c r="X388" s="524"/>
      <c r="Y388" s="524"/>
      <c r="Z388" s="524"/>
    </row>
    <row r="389" ht="13.5" customHeight="1">
      <c r="A389" s="524"/>
      <c r="B389" s="525"/>
      <c r="C389" s="524"/>
      <c r="D389" s="524"/>
      <c r="E389" s="524"/>
      <c r="F389" s="524"/>
      <c r="G389" s="524"/>
      <c r="H389" s="524"/>
      <c r="I389" s="524"/>
      <c r="J389" s="524"/>
      <c r="K389" s="524"/>
      <c r="L389" s="524"/>
      <c r="M389" s="524"/>
      <c r="N389" s="524"/>
      <c r="O389" s="524"/>
      <c r="P389" s="524"/>
      <c r="Q389" s="524"/>
      <c r="R389" s="524"/>
      <c r="S389" s="524"/>
      <c r="T389" s="524"/>
      <c r="U389" s="524"/>
      <c r="V389" s="524"/>
      <c r="W389" s="524"/>
      <c r="X389" s="524"/>
      <c r="Y389" s="524"/>
      <c r="Z389" s="524"/>
    </row>
    <row r="390" ht="13.5" customHeight="1">
      <c r="A390" s="524"/>
      <c r="B390" s="525"/>
      <c r="C390" s="524"/>
      <c r="D390" s="524"/>
      <c r="E390" s="524"/>
      <c r="F390" s="524"/>
      <c r="G390" s="524"/>
      <c r="H390" s="524"/>
      <c r="I390" s="524"/>
      <c r="J390" s="524"/>
      <c r="K390" s="524"/>
      <c r="L390" s="524"/>
      <c r="M390" s="524"/>
      <c r="N390" s="524"/>
      <c r="O390" s="524"/>
      <c r="P390" s="524"/>
      <c r="Q390" s="524"/>
      <c r="R390" s="524"/>
      <c r="S390" s="524"/>
      <c r="T390" s="524"/>
      <c r="U390" s="524"/>
      <c r="V390" s="524"/>
      <c r="W390" s="524"/>
      <c r="X390" s="524"/>
      <c r="Y390" s="524"/>
      <c r="Z390" s="524"/>
    </row>
    <row r="391" ht="13.5" customHeight="1">
      <c r="A391" s="524"/>
      <c r="B391" s="525"/>
      <c r="C391" s="524"/>
      <c r="D391" s="524"/>
      <c r="E391" s="524"/>
      <c r="F391" s="524"/>
      <c r="G391" s="524"/>
      <c r="H391" s="524"/>
      <c r="I391" s="524"/>
      <c r="J391" s="524"/>
      <c r="K391" s="524"/>
      <c r="L391" s="524"/>
      <c r="M391" s="524"/>
      <c r="N391" s="524"/>
      <c r="O391" s="524"/>
      <c r="P391" s="524"/>
      <c r="Q391" s="524"/>
      <c r="R391" s="524"/>
      <c r="S391" s="524"/>
      <c r="T391" s="524"/>
      <c r="U391" s="524"/>
      <c r="V391" s="524"/>
      <c r="W391" s="524"/>
      <c r="X391" s="524"/>
      <c r="Y391" s="524"/>
      <c r="Z391" s="524"/>
    </row>
    <row r="392" ht="13.5" customHeight="1">
      <c r="A392" s="524"/>
      <c r="B392" s="525"/>
      <c r="C392" s="524"/>
      <c r="D392" s="524"/>
      <c r="E392" s="524"/>
      <c r="F392" s="524"/>
      <c r="G392" s="524"/>
      <c r="H392" s="524"/>
      <c r="I392" s="524"/>
      <c r="J392" s="524"/>
      <c r="K392" s="524"/>
      <c r="L392" s="524"/>
      <c r="M392" s="524"/>
      <c r="N392" s="524"/>
      <c r="O392" s="524"/>
      <c r="P392" s="524"/>
      <c r="Q392" s="524"/>
      <c r="R392" s="524"/>
      <c r="S392" s="524"/>
      <c r="T392" s="524"/>
      <c r="U392" s="524"/>
      <c r="V392" s="524"/>
      <c r="W392" s="524"/>
      <c r="X392" s="524"/>
      <c r="Y392" s="524"/>
      <c r="Z392" s="524"/>
    </row>
    <row r="393" ht="13.5" customHeight="1">
      <c r="A393" s="524"/>
      <c r="B393" s="525"/>
      <c r="C393" s="524"/>
      <c r="D393" s="524"/>
      <c r="E393" s="524"/>
      <c r="F393" s="524"/>
      <c r="G393" s="524"/>
      <c r="H393" s="524"/>
      <c r="I393" s="524"/>
      <c r="J393" s="524"/>
      <c r="K393" s="524"/>
      <c r="L393" s="524"/>
      <c r="M393" s="524"/>
      <c r="N393" s="524"/>
      <c r="O393" s="524"/>
      <c r="P393" s="524"/>
      <c r="Q393" s="524"/>
      <c r="R393" s="524"/>
      <c r="S393" s="524"/>
      <c r="T393" s="524"/>
      <c r="U393" s="524"/>
      <c r="V393" s="524"/>
      <c r="W393" s="524"/>
      <c r="X393" s="524"/>
      <c r="Y393" s="524"/>
      <c r="Z393" s="524"/>
    </row>
    <row r="394" ht="13.5" customHeight="1">
      <c r="A394" s="524"/>
      <c r="B394" s="525"/>
      <c r="C394" s="524"/>
      <c r="D394" s="524"/>
      <c r="E394" s="524"/>
      <c r="F394" s="524"/>
      <c r="G394" s="524"/>
      <c r="H394" s="524"/>
      <c r="I394" s="524"/>
      <c r="J394" s="524"/>
      <c r="K394" s="524"/>
      <c r="L394" s="524"/>
      <c r="M394" s="524"/>
      <c r="N394" s="524"/>
      <c r="O394" s="524"/>
      <c r="P394" s="524"/>
      <c r="Q394" s="524"/>
      <c r="R394" s="524"/>
      <c r="S394" s="524"/>
      <c r="T394" s="524"/>
      <c r="U394" s="524"/>
      <c r="V394" s="524"/>
      <c r="W394" s="524"/>
      <c r="X394" s="524"/>
      <c r="Y394" s="524"/>
      <c r="Z394" s="524"/>
    </row>
    <row r="395" ht="13.5" customHeight="1">
      <c r="A395" s="524"/>
      <c r="B395" s="525"/>
      <c r="C395" s="524"/>
      <c r="D395" s="524"/>
      <c r="E395" s="524"/>
      <c r="F395" s="524"/>
      <c r="G395" s="524"/>
      <c r="H395" s="524"/>
      <c r="I395" s="524"/>
      <c r="J395" s="524"/>
      <c r="K395" s="524"/>
      <c r="L395" s="524"/>
      <c r="M395" s="524"/>
      <c r="N395" s="524"/>
      <c r="O395" s="524"/>
      <c r="P395" s="524"/>
      <c r="Q395" s="524"/>
      <c r="R395" s="524"/>
      <c r="S395" s="524"/>
      <c r="T395" s="524"/>
      <c r="U395" s="524"/>
      <c r="V395" s="524"/>
      <c r="W395" s="524"/>
      <c r="X395" s="524"/>
      <c r="Y395" s="524"/>
      <c r="Z395" s="524"/>
    </row>
    <row r="396" ht="13.5" customHeight="1">
      <c r="A396" s="524"/>
      <c r="B396" s="525"/>
      <c r="C396" s="524"/>
      <c r="D396" s="524"/>
      <c r="E396" s="524"/>
      <c r="F396" s="524"/>
      <c r="G396" s="524"/>
      <c r="H396" s="524"/>
      <c r="I396" s="524"/>
      <c r="J396" s="524"/>
      <c r="K396" s="524"/>
      <c r="L396" s="524"/>
      <c r="M396" s="524"/>
      <c r="N396" s="524"/>
      <c r="O396" s="524"/>
      <c r="P396" s="524"/>
      <c r="Q396" s="524"/>
      <c r="R396" s="524"/>
      <c r="S396" s="524"/>
      <c r="T396" s="524"/>
      <c r="U396" s="524"/>
      <c r="V396" s="524"/>
      <c r="W396" s="524"/>
      <c r="X396" s="524"/>
      <c r="Y396" s="524"/>
      <c r="Z396" s="524"/>
    </row>
    <row r="397" ht="13.5" customHeight="1">
      <c r="A397" s="524"/>
      <c r="B397" s="525"/>
      <c r="C397" s="524"/>
      <c r="D397" s="524"/>
      <c r="E397" s="524"/>
      <c r="F397" s="524"/>
      <c r="G397" s="524"/>
      <c r="H397" s="524"/>
      <c r="I397" s="524"/>
      <c r="J397" s="524"/>
      <c r="K397" s="524"/>
      <c r="L397" s="524"/>
      <c r="M397" s="524"/>
      <c r="N397" s="524"/>
      <c r="O397" s="524"/>
      <c r="P397" s="524"/>
      <c r="Q397" s="524"/>
      <c r="R397" s="524"/>
      <c r="S397" s="524"/>
      <c r="T397" s="524"/>
      <c r="U397" s="524"/>
      <c r="V397" s="524"/>
      <c r="W397" s="524"/>
      <c r="X397" s="524"/>
      <c r="Y397" s="524"/>
      <c r="Z397" s="524"/>
    </row>
    <row r="398" ht="13.5" customHeight="1">
      <c r="A398" s="524"/>
      <c r="B398" s="525"/>
      <c r="C398" s="524"/>
      <c r="D398" s="524"/>
      <c r="E398" s="524"/>
      <c r="F398" s="524"/>
      <c r="G398" s="524"/>
      <c r="H398" s="524"/>
      <c r="I398" s="524"/>
      <c r="J398" s="524"/>
      <c r="K398" s="524"/>
      <c r="L398" s="524"/>
      <c r="M398" s="524"/>
      <c r="N398" s="524"/>
      <c r="O398" s="524"/>
      <c r="P398" s="524"/>
      <c r="Q398" s="524"/>
      <c r="R398" s="524"/>
      <c r="S398" s="524"/>
      <c r="T398" s="524"/>
      <c r="U398" s="524"/>
      <c r="V398" s="524"/>
      <c r="W398" s="524"/>
      <c r="X398" s="524"/>
      <c r="Y398" s="524"/>
      <c r="Z398" s="524"/>
    </row>
    <row r="399" ht="13.5" customHeight="1">
      <c r="A399" s="524"/>
      <c r="B399" s="525"/>
      <c r="C399" s="524"/>
      <c r="D399" s="524"/>
      <c r="E399" s="524"/>
      <c r="F399" s="524"/>
      <c r="G399" s="524"/>
      <c r="H399" s="524"/>
      <c r="I399" s="524"/>
      <c r="J399" s="524"/>
      <c r="K399" s="524"/>
      <c r="L399" s="524"/>
      <c r="M399" s="524"/>
      <c r="N399" s="524"/>
      <c r="O399" s="524"/>
      <c r="P399" s="524"/>
      <c r="Q399" s="524"/>
      <c r="R399" s="524"/>
      <c r="S399" s="524"/>
      <c r="T399" s="524"/>
      <c r="U399" s="524"/>
      <c r="V399" s="524"/>
      <c r="W399" s="524"/>
      <c r="X399" s="524"/>
      <c r="Y399" s="524"/>
      <c r="Z399" s="524"/>
    </row>
    <row r="400" ht="13.5" customHeight="1">
      <c r="A400" s="524"/>
      <c r="B400" s="525"/>
      <c r="C400" s="524"/>
      <c r="D400" s="524"/>
      <c r="E400" s="524"/>
      <c r="F400" s="524"/>
      <c r="G400" s="524"/>
      <c r="H400" s="524"/>
      <c r="I400" s="524"/>
      <c r="J400" s="524"/>
      <c r="K400" s="524"/>
      <c r="L400" s="524"/>
      <c r="M400" s="524"/>
      <c r="N400" s="524"/>
      <c r="O400" s="524"/>
      <c r="P400" s="524"/>
      <c r="Q400" s="524"/>
      <c r="R400" s="524"/>
      <c r="S400" s="524"/>
      <c r="T400" s="524"/>
      <c r="U400" s="524"/>
      <c r="V400" s="524"/>
      <c r="W400" s="524"/>
      <c r="X400" s="524"/>
      <c r="Y400" s="524"/>
      <c r="Z400" s="524"/>
    </row>
    <row r="401" ht="13.5" customHeight="1">
      <c r="A401" s="524"/>
      <c r="B401" s="525"/>
      <c r="C401" s="524"/>
      <c r="D401" s="524"/>
      <c r="E401" s="524"/>
      <c r="F401" s="524"/>
      <c r="G401" s="524"/>
      <c r="H401" s="524"/>
      <c r="I401" s="524"/>
      <c r="J401" s="524"/>
      <c r="K401" s="524"/>
      <c r="L401" s="524"/>
      <c r="M401" s="524"/>
      <c r="N401" s="524"/>
      <c r="O401" s="524"/>
      <c r="P401" s="524"/>
      <c r="Q401" s="524"/>
      <c r="R401" s="524"/>
      <c r="S401" s="524"/>
      <c r="T401" s="524"/>
      <c r="U401" s="524"/>
      <c r="V401" s="524"/>
      <c r="W401" s="524"/>
      <c r="X401" s="524"/>
      <c r="Y401" s="524"/>
      <c r="Z401" s="524"/>
    </row>
    <row r="402" ht="13.5" customHeight="1">
      <c r="A402" s="524"/>
      <c r="B402" s="525"/>
      <c r="C402" s="524"/>
      <c r="D402" s="524"/>
      <c r="E402" s="524"/>
      <c r="F402" s="524"/>
      <c r="G402" s="524"/>
      <c r="H402" s="524"/>
      <c r="I402" s="524"/>
      <c r="J402" s="524"/>
      <c r="K402" s="524"/>
      <c r="L402" s="524"/>
      <c r="M402" s="524"/>
      <c r="N402" s="524"/>
      <c r="O402" s="524"/>
      <c r="P402" s="524"/>
      <c r="Q402" s="524"/>
      <c r="R402" s="524"/>
      <c r="S402" s="524"/>
      <c r="T402" s="524"/>
      <c r="U402" s="524"/>
      <c r="V402" s="524"/>
      <c r="W402" s="524"/>
      <c r="X402" s="524"/>
      <c r="Y402" s="524"/>
      <c r="Z402" s="524"/>
    </row>
    <row r="403" ht="13.5" customHeight="1">
      <c r="A403" s="524"/>
      <c r="B403" s="525"/>
      <c r="C403" s="524"/>
      <c r="D403" s="524"/>
      <c r="E403" s="524"/>
      <c r="F403" s="524"/>
      <c r="G403" s="524"/>
      <c r="H403" s="524"/>
      <c r="I403" s="524"/>
      <c r="J403" s="524"/>
      <c r="K403" s="524"/>
      <c r="L403" s="524"/>
      <c r="M403" s="524"/>
      <c r="N403" s="524"/>
      <c r="O403" s="524"/>
      <c r="P403" s="524"/>
      <c r="Q403" s="524"/>
      <c r="R403" s="524"/>
      <c r="S403" s="524"/>
      <c r="T403" s="524"/>
      <c r="U403" s="524"/>
      <c r="V403" s="524"/>
      <c r="W403" s="524"/>
      <c r="X403" s="524"/>
      <c r="Y403" s="524"/>
      <c r="Z403" s="524"/>
    </row>
    <row r="404" ht="13.5" customHeight="1">
      <c r="A404" s="524"/>
      <c r="B404" s="525"/>
      <c r="C404" s="524"/>
      <c r="D404" s="524"/>
      <c r="E404" s="524"/>
      <c r="F404" s="524"/>
      <c r="G404" s="524"/>
      <c r="H404" s="524"/>
      <c r="I404" s="524"/>
      <c r="J404" s="524"/>
      <c r="K404" s="524"/>
      <c r="L404" s="524"/>
      <c r="M404" s="524"/>
      <c r="N404" s="524"/>
      <c r="O404" s="524"/>
      <c r="P404" s="524"/>
      <c r="Q404" s="524"/>
      <c r="R404" s="524"/>
      <c r="S404" s="524"/>
      <c r="T404" s="524"/>
      <c r="U404" s="524"/>
      <c r="V404" s="524"/>
      <c r="W404" s="524"/>
      <c r="X404" s="524"/>
      <c r="Y404" s="524"/>
      <c r="Z404" s="524"/>
    </row>
    <row r="405" ht="13.5" customHeight="1">
      <c r="A405" s="524"/>
      <c r="B405" s="525"/>
      <c r="C405" s="524"/>
      <c r="D405" s="524"/>
      <c r="E405" s="524"/>
      <c r="F405" s="524"/>
      <c r="G405" s="524"/>
      <c r="H405" s="524"/>
      <c r="I405" s="524"/>
      <c r="J405" s="524"/>
      <c r="K405" s="524"/>
      <c r="L405" s="524"/>
      <c r="M405" s="524"/>
      <c r="N405" s="524"/>
      <c r="O405" s="524"/>
      <c r="P405" s="524"/>
      <c r="Q405" s="524"/>
      <c r="R405" s="524"/>
      <c r="S405" s="524"/>
      <c r="T405" s="524"/>
      <c r="U405" s="524"/>
      <c r="V405" s="524"/>
      <c r="W405" s="524"/>
      <c r="X405" s="524"/>
      <c r="Y405" s="524"/>
      <c r="Z405" s="524"/>
    </row>
    <row r="406" ht="13.5" customHeight="1">
      <c r="A406" s="524"/>
      <c r="B406" s="525"/>
      <c r="C406" s="524"/>
      <c r="D406" s="524"/>
      <c r="E406" s="524"/>
      <c r="F406" s="524"/>
      <c r="G406" s="524"/>
      <c r="H406" s="524"/>
      <c r="I406" s="524"/>
      <c r="J406" s="524"/>
      <c r="K406" s="524"/>
      <c r="L406" s="524"/>
      <c r="M406" s="524"/>
      <c r="N406" s="524"/>
      <c r="O406" s="524"/>
      <c r="P406" s="524"/>
      <c r="Q406" s="524"/>
      <c r="R406" s="524"/>
      <c r="S406" s="524"/>
      <c r="T406" s="524"/>
      <c r="U406" s="524"/>
      <c r="V406" s="524"/>
      <c r="W406" s="524"/>
      <c r="X406" s="524"/>
      <c r="Y406" s="524"/>
      <c r="Z406" s="524"/>
    </row>
    <row r="407" ht="13.5" customHeight="1">
      <c r="A407" s="524"/>
      <c r="B407" s="525"/>
      <c r="C407" s="524"/>
      <c r="D407" s="524"/>
      <c r="E407" s="524"/>
      <c r="F407" s="524"/>
      <c r="G407" s="524"/>
      <c r="H407" s="524"/>
      <c r="I407" s="524"/>
      <c r="J407" s="524"/>
      <c r="K407" s="524"/>
      <c r="L407" s="524"/>
      <c r="M407" s="524"/>
      <c r="N407" s="524"/>
      <c r="O407" s="524"/>
      <c r="P407" s="524"/>
      <c r="Q407" s="524"/>
      <c r="R407" s="524"/>
      <c r="S407" s="524"/>
      <c r="T407" s="524"/>
      <c r="U407" s="524"/>
      <c r="V407" s="524"/>
      <c r="W407" s="524"/>
      <c r="X407" s="524"/>
      <c r="Y407" s="524"/>
      <c r="Z407" s="524"/>
    </row>
    <row r="408" ht="13.5" customHeight="1">
      <c r="A408" s="524"/>
      <c r="B408" s="525"/>
      <c r="C408" s="524"/>
      <c r="D408" s="524"/>
      <c r="E408" s="524"/>
      <c r="F408" s="524"/>
      <c r="G408" s="524"/>
      <c r="H408" s="524"/>
      <c r="I408" s="524"/>
      <c r="J408" s="524"/>
      <c r="K408" s="524"/>
      <c r="L408" s="524"/>
      <c r="M408" s="524"/>
      <c r="N408" s="524"/>
      <c r="O408" s="524"/>
      <c r="P408" s="524"/>
      <c r="Q408" s="524"/>
      <c r="R408" s="524"/>
      <c r="S408" s="524"/>
      <c r="T408" s="524"/>
      <c r="U408" s="524"/>
      <c r="V408" s="524"/>
      <c r="W408" s="524"/>
      <c r="X408" s="524"/>
      <c r="Y408" s="524"/>
      <c r="Z408" s="524"/>
    </row>
    <row r="409" ht="13.5" customHeight="1">
      <c r="A409" s="524"/>
      <c r="B409" s="525"/>
      <c r="C409" s="524"/>
      <c r="D409" s="524"/>
      <c r="E409" s="524"/>
      <c r="F409" s="524"/>
      <c r="G409" s="524"/>
      <c r="H409" s="524"/>
      <c r="I409" s="524"/>
      <c r="J409" s="524"/>
      <c r="K409" s="524"/>
      <c r="L409" s="524"/>
      <c r="M409" s="524"/>
      <c r="N409" s="524"/>
      <c r="O409" s="524"/>
      <c r="P409" s="524"/>
      <c r="Q409" s="524"/>
      <c r="R409" s="524"/>
      <c r="S409" s="524"/>
      <c r="T409" s="524"/>
      <c r="U409" s="524"/>
      <c r="V409" s="524"/>
      <c r="W409" s="524"/>
      <c r="X409" s="524"/>
      <c r="Y409" s="524"/>
      <c r="Z409" s="524"/>
    </row>
    <row r="410" ht="13.5" customHeight="1">
      <c r="A410" s="524"/>
      <c r="B410" s="525"/>
      <c r="C410" s="524"/>
      <c r="D410" s="524"/>
      <c r="E410" s="524"/>
      <c r="F410" s="524"/>
      <c r="G410" s="524"/>
      <c r="H410" s="524"/>
      <c r="I410" s="524"/>
      <c r="J410" s="524"/>
      <c r="K410" s="524"/>
      <c r="L410" s="524"/>
      <c r="M410" s="524"/>
      <c r="N410" s="524"/>
      <c r="O410" s="524"/>
      <c r="P410" s="524"/>
      <c r="Q410" s="524"/>
      <c r="R410" s="524"/>
      <c r="S410" s="524"/>
      <c r="T410" s="524"/>
      <c r="U410" s="524"/>
      <c r="V410" s="524"/>
      <c r="W410" s="524"/>
      <c r="X410" s="524"/>
      <c r="Y410" s="524"/>
      <c r="Z410" s="524"/>
    </row>
    <row r="411" ht="13.5" customHeight="1">
      <c r="A411" s="524"/>
      <c r="B411" s="525"/>
      <c r="C411" s="524"/>
      <c r="D411" s="524"/>
      <c r="E411" s="524"/>
      <c r="F411" s="524"/>
      <c r="G411" s="524"/>
      <c r="H411" s="524"/>
      <c r="I411" s="524"/>
      <c r="J411" s="524"/>
      <c r="K411" s="524"/>
      <c r="L411" s="524"/>
      <c r="M411" s="524"/>
      <c r="N411" s="524"/>
      <c r="O411" s="524"/>
      <c r="P411" s="524"/>
      <c r="Q411" s="524"/>
      <c r="R411" s="524"/>
      <c r="S411" s="524"/>
      <c r="T411" s="524"/>
      <c r="U411" s="524"/>
      <c r="V411" s="524"/>
      <c r="W411" s="524"/>
      <c r="X411" s="524"/>
      <c r="Y411" s="524"/>
      <c r="Z411" s="524"/>
    </row>
    <row r="412" ht="13.5" customHeight="1">
      <c r="A412" s="524"/>
      <c r="B412" s="525"/>
      <c r="C412" s="524"/>
      <c r="D412" s="524"/>
      <c r="E412" s="524"/>
      <c r="F412" s="524"/>
      <c r="G412" s="524"/>
      <c r="H412" s="524"/>
      <c r="I412" s="524"/>
      <c r="J412" s="524"/>
      <c r="K412" s="524"/>
      <c r="L412" s="524"/>
      <c r="M412" s="524"/>
      <c r="N412" s="524"/>
      <c r="O412" s="524"/>
      <c r="P412" s="524"/>
      <c r="Q412" s="524"/>
      <c r="R412" s="524"/>
      <c r="S412" s="524"/>
      <c r="T412" s="524"/>
      <c r="U412" s="524"/>
      <c r="V412" s="524"/>
      <c r="W412" s="524"/>
      <c r="X412" s="524"/>
      <c r="Y412" s="524"/>
      <c r="Z412" s="524"/>
    </row>
    <row r="413" ht="13.5" customHeight="1">
      <c r="A413" s="524"/>
      <c r="B413" s="525"/>
      <c r="C413" s="524"/>
      <c r="D413" s="524"/>
      <c r="E413" s="524"/>
      <c r="F413" s="524"/>
      <c r="G413" s="524"/>
      <c r="H413" s="524"/>
      <c r="I413" s="524"/>
      <c r="J413" s="524"/>
      <c r="K413" s="524"/>
      <c r="L413" s="524"/>
      <c r="M413" s="524"/>
      <c r="N413" s="524"/>
      <c r="O413" s="524"/>
      <c r="P413" s="524"/>
      <c r="Q413" s="524"/>
      <c r="R413" s="524"/>
      <c r="S413" s="524"/>
      <c r="T413" s="524"/>
      <c r="U413" s="524"/>
      <c r="V413" s="524"/>
      <c r="W413" s="524"/>
      <c r="X413" s="524"/>
      <c r="Y413" s="524"/>
      <c r="Z413" s="524"/>
    </row>
    <row r="414" ht="13.5" customHeight="1">
      <c r="A414" s="524"/>
      <c r="B414" s="525"/>
      <c r="C414" s="524"/>
      <c r="D414" s="524"/>
      <c r="E414" s="524"/>
      <c r="F414" s="524"/>
      <c r="G414" s="524"/>
      <c r="H414" s="524"/>
      <c r="I414" s="524"/>
      <c r="J414" s="524"/>
      <c r="K414" s="524"/>
      <c r="L414" s="524"/>
      <c r="M414" s="524"/>
      <c r="N414" s="524"/>
      <c r="O414" s="524"/>
      <c r="P414" s="524"/>
      <c r="Q414" s="524"/>
      <c r="R414" s="524"/>
      <c r="S414" s="524"/>
      <c r="T414" s="524"/>
      <c r="U414" s="524"/>
      <c r="V414" s="524"/>
      <c r="W414" s="524"/>
      <c r="X414" s="524"/>
      <c r="Y414" s="524"/>
      <c r="Z414" s="524"/>
    </row>
    <row r="415" ht="13.5" customHeight="1">
      <c r="A415" s="524"/>
      <c r="B415" s="525"/>
      <c r="C415" s="524"/>
      <c r="D415" s="524"/>
      <c r="E415" s="524"/>
      <c r="F415" s="524"/>
      <c r="G415" s="524"/>
      <c r="H415" s="524"/>
      <c r="I415" s="524"/>
      <c r="J415" s="524"/>
      <c r="K415" s="524"/>
      <c r="L415" s="524"/>
      <c r="M415" s="524"/>
      <c r="N415" s="524"/>
      <c r="O415" s="524"/>
      <c r="P415" s="524"/>
      <c r="Q415" s="524"/>
      <c r="R415" s="524"/>
      <c r="S415" s="524"/>
      <c r="T415" s="524"/>
      <c r="U415" s="524"/>
      <c r="V415" s="524"/>
      <c r="W415" s="524"/>
      <c r="X415" s="524"/>
      <c r="Y415" s="524"/>
      <c r="Z415" s="524"/>
    </row>
    <row r="416" ht="13.5" customHeight="1">
      <c r="A416" s="524"/>
      <c r="B416" s="525"/>
      <c r="C416" s="524"/>
      <c r="D416" s="524"/>
      <c r="E416" s="524"/>
      <c r="F416" s="524"/>
      <c r="G416" s="524"/>
      <c r="H416" s="524"/>
      <c r="I416" s="524"/>
      <c r="J416" s="524"/>
      <c r="K416" s="524"/>
      <c r="L416" s="524"/>
      <c r="M416" s="524"/>
      <c r="N416" s="524"/>
      <c r="O416" s="524"/>
      <c r="P416" s="524"/>
      <c r="Q416" s="524"/>
      <c r="R416" s="524"/>
      <c r="S416" s="524"/>
      <c r="T416" s="524"/>
      <c r="U416" s="524"/>
      <c r="V416" s="524"/>
      <c r="W416" s="524"/>
      <c r="X416" s="524"/>
      <c r="Y416" s="524"/>
      <c r="Z416" s="524"/>
    </row>
    <row r="417" ht="13.5" customHeight="1">
      <c r="A417" s="524"/>
      <c r="B417" s="525"/>
      <c r="C417" s="524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4"/>
      <c r="V417" s="524"/>
      <c r="W417" s="524"/>
      <c r="X417" s="524"/>
      <c r="Y417" s="524"/>
      <c r="Z417" s="524"/>
    </row>
    <row r="418" ht="13.5" customHeight="1">
      <c r="A418" s="524"/>
      <c r="B418" s="525"/>
      <c r="C418" s="524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4"/>
      <c r="V418" s="524"/>
      <c r="W418" s="524"/>
      <c r="X418" s="524"/>
      <c r="Y418" s="524"/>
      <c r="Z418" s="524"/>
    </row>
    <row r="419" ht="13.5" customHeight="1">
      <c r="A419" s="524"/>
      <c r="B419" s="525"/>
      <c r="C419" s="524"/>
      <c r="D419" s="524"/>
      <c r="E419" s="524"/>
      <c r="F419" s="524"/>
      <c r="G419" s="524"/>
      <c r="H419" s="524"/>
      <c r="I419" s="524"/>
      <c r="J419" s="524"/>
      <c r="K419" s="524"/>
      <c r="L419" s="524"/>
      <c r="M419" s="524"/>
      <c r="N419" s="524"/>
      <c r="O419" s="524"/>
      <c r="P419" s="524"/>
      <c r="Q419" s="524"/>
      <c r="R419" s="524"/>
      <c r="S419" s="524"/>
      <c r="T419" s="524"/>
      <c r="U419" s="524"/>
      <c r="V419" s="524"/>
      <c r="W419" s="524"/>
      <c r="X419" s="524"/>
      <c r="Y419" s="524"/>
      <c r="Z419" s="524"/>
    </row>
    <row r="420" ht="13.5" customHeight="1">
      <c r="A420" s="524"/>
      <c r="B420" s="525"/>
      <c r="C420" s="524"/>
      <c r="D420" s="524"/>
      <c r="E420" s="524"/>
      <c r="F420" s="524"/>
      <c r="G420" s="524"/>
      <c r="H420" s="524"/>
      <c r="I420" s="524"/>
      <c r="J420" s="524"/>
      <c r="K420" s="524"/>
      <c r="L420" s="524"/>
      <c r="M420" s="524"/>
      <c r="N420" s="524"/>
      <c r="O420" s="524"/>
      <c r="P420" s="524"/>
      <c r="Q420" s="524"/>
      <c r="R420" s="524"/>
      <c r="S420" s="524"/>
      <c r="T420" s="524"/>
      <c r="U420" s="524"/>
      <c r="V420" s="524"/>
      <c r="W420" s="524"/>
      <c r="X420" s="524"/>
      <c r="Y420" s="524"/>
      <c r="Z420" s="524"/>
    </row>
    <row r="421" ht="13.5" customHeight="1">
      <c r="A421" s="524"/>
      <c r="B421" s="525"/>
      <c r="C421" s="524"/>
      <c r="D421" s="524"/>
      <c r="E421" s="524"/>
      <c r="F421" s="524"/>
      <c r="G421" s="524"/>
      <c r="H421" s="524"/>
      <c r="I421" s="524"/>
      <c r="J421" s="524"/>
      <c r="K421" s="524"/>
      <c r="L421" s="524"/>
      <c r="M421" s="524"/>
      <c r="N421" s="524"/>
      <c r="O421" s="524"/>
      <c r="P421" s="524"/>
      <c r="Q421" s="524"/>
      <c r="R421" s="524"/>
      <c r="S421" s="524"/>
      <c r="T421" s="524"/>
      <c r="U421" s="524"/>
      <c r="V421" s="524"/>
      <c r="W421" s="524"/>
      <c r="X421" s="524"/>
      <c r="Y421" s="524"/>
      <c r="Z421" s="524"/>
    </row>
    <row r="422" ht="13.5" customHeight="1">
      <c r="A422" s="524"/>
      <c r="B422" s="525"/>
      <c r="C422" s="524"/>
      <c r="D422" s="524"/>
      <c r="E422" s="524"/>
      <c r="F422" s="524"/>
      <c r="G422" s="524"/>
      <c r="H422" s="524"/>
      <c r="I422" s="524"/>
      <c r="J422" s="524"/>
      <c r="K422" s="524"/>
      <c r="L422" s="524"/>
      <c r="M422" s="524"/>
      <c r="N422" s="524"/>
      <c r="O422" s="524"/>
      <c r="P422" s="524"/>
      <c r="Q422" s="524"/>
      <c r="R422" s="524"/>
      <c r="S422" s="524"/>
      <c r="T422" s="524"/>
      <c r="U422" s="524"/>
      <c r="V422" s="524"/>
      <c r="W422" s="524"/>
      <c r="X422" s="524"/>
      <c r="Y422" s="524"/>
      <c r="Z422" s="524"/>
    </row>
    <row r="423" ht="13.5" customHeight="1">
      <c r="A423" s="524"/>
      <c r="B423" s="525"/>
      <c r="C423" s="524"/>
      <c r="D423" s="524"/>
      <c r="E423" s="524"/>
      <c r="F423" s="524"/>
      <c r="G423" s="524"/>
      <c r="H423" s="524"/>
      <c r="I423" s="524"/>
      <c r="J423" s="524"/>
      <c r="K423" s="524"/>
      <c r="L423" s="524"/>
      <c r="M423" s="524"/>
      <c r="N423" s="524"/>
      <c r="O423" s="524"/>
      <c r="P423" s="524"/>
      <c r="Q423" s="524"/>
      <c r="R423" s="524"/>
      <c r="S423" s="524"/>
      <c r="T423" s="524"/>
      <c r="U423" s="524"/>
      <c r="V423" s="524"/>
      <c r="W423" s="524"/>
      <c r="X423" s="524"/>
      <c r="Y423" s="524"/>
      <c r="Z423" s="524"/>
    </row>
    <row r="424" ht="13.5" customHeight="1">
      <c r="A424" s="524"/>
      <c r="B424" s="525"/>
      <c r="C424" s="524"/>
      <c r="D424" s="524"/>
      <c r="E424" s="524"/>
      <c r="F424" s="524"/>
      <c r="G424" s="524"/>
      <c r="H424" s="524"/>
      <c r="I424" s="524"/>
      <c r="J424" s="524"/>
      <c r="K424" s="524"/>
      <c r="L424" s="524"/>
      <c r="M424" s="524"/>
      <c r="N424" s="524"/>
      <c r="O424" s="524"/>
      <c r="P424" s="524"/>
      <c r="Q424" s="524"/>
      <c r="R424" s="524"/>
      <c r="S424" s="524"/>
      <c r="T424" s="524"/>
      <c r="U424" s="524"/>
      <c r="V424" s="524"/>
      <c r="W424" s="524"/>
      <c r="X424" s="524"/>
      <c r="Y424" s="524"/>
      <c r="Z424" s="524"/>
    </row>
    <row r="425" ht="13.5" customHeight="1">
      <c r="A425" s="524"/>
      <c r="B425" s="525"/>
      <c r="C425" s="524"/>
      <c r="D425" s="524"/>
      <c r="E425" s="524"/>
      <c r="F425" s="524"/>
      <c r="G425" s="524"/>
      <c r="H425" s="524"/>
      <c r="I425" s="524"/>
      <c r="J425" s="524"/>
      <c r="K425" s="524"/>
      <c r="L425" s="524"/>
      <c r="M425" s="524"/>
      <c r="N425" s="524"/>
      <c r="O425" s="524"/>
      <c r="P425" s="524"/>
      <c r="Q425" s="524"/>
      <c r="R425" s="524"/>
      <c r="S425" s="524"/>
      <c r="T425" s="524"/>
      <c r="U425" s="524"/>
      <c r="V425" s="524"/>
      <c r="W425" s="524"/>
      <c r="X425" s="524"/>
      <c r="Y425" s="524"/>
      <c r="Z425" s="524"/>
    </row>
    <row r="426" ht="13.5" customHeight="1">
      <c r="A426" s="524"/>
      <c r="B426" s="525"/>
      <c r="C426" s="524"/>
      <c r="D426" s="524"/>
      <c r="E426" s="524"/>
      <c r="F426" s="524"/>
      <c r="G426" s="524"/>
      <c r="H426" s="524"/>
      <c r="I426" s="524"/>
      <c r="J426" s="524"/>
      <c r="K426" s="524"/>
      <c r="L426" s="524"/>
      <c r="M426" s="524"/>
      <c r="N426" s="524"/>
      <c r="O426" s="524"/>
      <c r="P426" s="524"/>
      <c r="Q426" s="524"/>
      <c r="R426" s="524"/>
      <c r="S426" s="524"/>
      <c r="T426" s="524"/>
      <c r="U426" s="524"/>
      <c r="V426" s="524"/>
      <c r="W426" s="524"/>
      <c r="X426" s="524"/>
      <c r="Y426" s="524"/>
      <c r="Z426" s="524"/>
    </row>
    <row r="427" ht="13.5" customHeight="1">
      <c r="A427" s="524"/>
      <c r="B427" s="525"/>
      <c r="C427" s="524"/>
      <c r="D427" s="524"/>
      <c r="E427" s="524"/>
      <c r="F427" s="524"/>
      <c r="G427" s="524"/>
      <c r="H427" s="524"/>
      <c r="I427" s="524"/>
      <c r="J427" s="524"/>
      <c r="K427" s="524"/>
      <c r="L427" s="524"/>
      <c r="M427" s="524"/>
      <c r="N427" s="524"/>
      <c r="O427" s="524"/>
      <c r="P427" s="524"/>
      <c r="Q427" s="524"/>
      <c r="R427" s="524"/>
      <c r="S427" s="524"/>
      <c r="T427" s="524"/>
      <c r="U427" s="524"/>
      <c r="V427" s="524"/>
      <c r="W427" s="524"/>
      <c r="X427" s="524"/>
      <c r="Y427" s="524"/>
      <c r="Z427" s="524"/>
    </row>
    <row r="428" ht="13.5" customHeight="1">
      <c r="A428" s="524"/>
      <c r="B428" s="525"/>
      <c r="C428" s="524"/>
      <c r="D428" s="524"/>
      <c r="E428" s="524"/>
      <c r="F428" s="524"/>
      <c r="G428" s="524"/>
      <c r="H428" s="524"/>
      <c r="I428" s="524"/>
      <c r="J428" s="524"/>
      <c r="K428" s="524"/>
      <c r="L428" s="524"/>
      <c r="M428" s="524"/>
      <c r="N428" s="524"/>
      <c r="O428" s="524"/>
      <c r="P428" s="524"/>
      <c r="Q428" s="524"/>
      <c r="R428" s="524"/>
      <c r="S428" s="524"/>
      <c r="T428" s="524"/>
      <c r="U428" s="524"/>
      <c r="V428" s="524"/>
      <c r="W428" s="524"/>
      <c r="X428" s="524"/>
      <c r="Y428" s="524"/>
      <c r="Z428" s="524"/>
    </row>
    <row r="429" ht="13.5" customHeight="1">
      <c r="A429" s="524"/>
      <c r="B429" s="525"/>
      <c r="C429" s="524"/>
      <c r="D429" s="524"/>
      <c r="E429" s="524"/>
      <c r="F429" s="524"/>
      <c r="G429" s="524"/>
      <c r="H429" s="524"/>
      <c r="I429" s="524"/>
      <c r="J429" s="524"/>
      <c r="K429" s="524"/>
      <c r="L429" s="524"/>
      <c r="M429" s="524"/>
      <c r="N429" s="524"/>
      <c r="O429" s="524"/>
      <c r="P429" s="524"/>
      <c r="Q429" s="524"/>
      <c r="R429" s="524"/>
      <c r="S429" s="524"/>
      <c r="T429" s="524"/>
      <c r="U429" s="524"/>
      <c r="V429" s="524"/>
      <c r="W429" s="524"/>
      <c r="X429" s="524"/>
      <c r="Y429" s="524"/>
      <c r="Z429" s="524"/>
    </row>
    <row r="430" ht="13.5" customHeight="1">
      <c r="A430" s="524"/>
      <c r="B430" s="525"/>
      <c r="C430" s="524"/>
      <c r="D430" s="524"/>
      <c r="E430" s="524"/>
      <c r="F430" s="524"/>
      <c r="G430" s="524"/>
      <c r="H430" s="524"/>
      <c r="I430" s="524"/>
      <c r="J430" s="524"/>
      <c r="K430" s="524"/>
      <c r="L430" s="524"/>
      <c r="M430" s="524"/>
      <c r="N430" s="524"/>
      <c r="O430" s="524"/>
      <c r="P430" s="524"/>
      <c r="Q430" s="524"/>
      <c r="R430" s="524"/>
      <c r="S430" s="524"/>
      <c r="T430" s="524"/>
      <c r="U430" s="524"/>
      <c r="V430" s="524"/>
      <c r="W430" s="524"/>
      <c r="X430" s="524"/>
      <c r="Y430" s="524"/>
      <c r="Z430" s="524"/>
    </row>
    <row r="431" ht="13.5" customHeight="1">
      <c r="A431" s="524"/>
      <c r="B431" s="525"/>
      <c r="C431" s="524"/>
      <c r="D431" s="524"/>
      <c r="E431" s="524"/>
      <c r="F431" s="524"/>
      <c r="G431" s="524"/>
      <c r="H431" s="524"/>
      <c r="I431" s="524"/>
      <c r="J431" s="524"/>
      <c r="K431" s="524"/>
      <c r="L431" s="524"/>
      <c r="M431" s="524"/>
      <c r="N431" s="524"/>
      <c r="O431" s="524"/>
      <c r="P431" s="524"/>
      <c r="Q431" s="524"/>
      <c r="R431" s="524"/>
      <c r="S431" s="524"/>
      <c r="T431" s="524"/>
      <c r="U431" s="524"/>
      <c r="V431" s="524"/>
      <c r="W431" s="524"/>
      <c r="X431" s="524"/>
      <c r="Y431" s="524"/>
      <c r="Z431" s="524"/>
    </row>
    <row r="432" ht="13.5" customHeight="1">
      <c r="A432" s="524"/>
      <c r="B432" s="525"/>
      <c r="C432" s="524"/>
      <c r="D432" s="524"/>
      <c r="E432" s="524"/>
      <c r="F432" s="524"/>
      <c r="G432" s="524"/>
      <c r="H432" s="524"/>
      <c r="I432" s="524"/>
      <c r="J432" s="524"/>
      <c r="K432" s="524"/>
      <c r="L432" s="524"/>
      <c r="M432" s="524"/>
      <c r="N432" s="524"/>
      <c r="O432" s="524"/>
      <c r="P432" s="524"/>
      <c r="Q432" s="524"/>
      <c r="R432" s="524"/>
      <c r="S432" s="524"/>
      <c r="T432" s="524"/>
      <c r="U432" s="524"/>
      <c r="V432" s="524"/>
      <c r="W432" s="524"/>
      <c r="X432" s="524"/>
      <c r="Y432" s="524"/>
      <c r="Z432" s="524"/>
    </row>
    <row r="433" ht="13.5" customHeight="1">
      <c r="A433" s="524"/>
      <c r="B433" s="525"/>
      <c r="C433" s="524"/>
      <c r="D433" s="524"/>
      <c r="E433" s="524"/>
      <c r="F433" s="524"/>
      <c r="G433" s="524"/>
      <c r="H433" s="524"/>
      <c r="I433" s="524"/>
      <c r="J433" s="524"/>
      <c r="K433" s="524"/>
      <c r="L433" s="524"/>
      <c r="M433" s="524"/>
      <c r="N433" s="524"/>
      <c r="O433" s="524"/>
      <c r="P433" s="524"/>
      <c r="Q433" s="524"/>
      <c r="R433" s="524"/>
      <c r="S433" s="524"/>
      <c r="T433" s="524"/>
      <c r="U433" s="524"/>
      <c r="V433" s="524"/>
      <c r="W433" s="524"/>
      <c r="X433" s="524"/>
      <c r="Y433" s="524"/>
      <c r="Z433" s="524"/>
    </row>
    <row r="434" ht="13.5" customHeight="1">
      <c r="A434" s="524"/>
      <c r="B434" s="525"/>
      <c r="C434" s="524"/>
      <c r="D434" s="524"/>
      <c r="E434" s="524"/>
      <c r="F434" s="524"/>
      <c r="G434" s="524"/>
      <c r="H434" s="524"/>
      <c r="I434" s="524"/>
      <c r="J434" s="524"/>
      <c r="K434" s="524"/>
      <c r="L434" s="524"/>
      <c r="M434" s="524"/>
      <c r="N434" s="524"/>
      <c r="O434" s="524"/>
      <c r="P434" s="524"/>
      <c r="Q434" s="524"/>
      <c r="R434" s="524"/>
      <c r="S434" s="524"/>
      <c r="T434" s="524"/>
      <c r="U434" s="524"/>
      <c r="V434" s="524"/>
      <c r="W434" s="524"/>
      <c r="X434" s="524"/>
      <c r="Y434" s="524"/>
      <c r="Z434" s="524"/>
    </row>
    <row r="435" ht="13.5" customHeight="1">
      <c r="A435" s="524"/>
      <c r="B435" s="525"/>
      <c r="C435" s="524"/>
      <c r="D435" s="524"/>
      <c r="E435" s="524"/>
      <c r="F435" s="524"/>
      <c r="G435" s="524"/>
      <c r="H435" s="524"/>
      <c r="I435" s="524"/>
      <c r="J435" s="524"/>
      <c r="K435" s="524"/>
      <c r="L435" s="524"/>
      <c r="M435" s="524"/>
      <c r="N435" s="524"/>
      <c r="O435" s="524"/>
      <c r="P435" s="524"/>
      <c r="Q435" s="524"/>
      <c r="R435" s="524"/>
      <c r="S435" s="524"/>
      <c r="T435" s="524"/>
      <c r="U435" s="524"/>
      <c r="V435" s="524"/>
      <c r="W435" s="524"/>
      <c r="X435" s="524"/>
      <c r="Y435" s="524"/>
      <c r="Z435" s="524"/>
    </row>
    <row r="436" ht="13.5" customHeight="1">
      <c r="A436" s="524"/>
      <c r="B436" s="525"/>
      <c r="C436" s="524"/>
      <c r="D436" s="524"/>
      <c r="E436" s="524"/>
      <c r="F436" s="524"/>
      <c r="G436" s="524"/>
      <c r="H436" s="524"/>
      <c r="I436" s="524"/>
      <c r="J436" s="524"/>
      <c r="K436" s="524"/>
      <c r="L436" s="524"/>
      <c r="M436" s="524"/>
      <c r="N436" s="524"/>
      <c r="O436" s="524"/>
      <c r="P436" s="524"/>
      <c r="Q436" s="524"/>
      <c r="R436" s="524"/>
      <c r="S436" s="524"/>
      <c r="T436" s="524"/>
      <c r="U436" s="524"/>
      <c r="V436" s="524"/>
      <c r="W436" s="524"/>
      <c r="X436" s="524"/>
      <c r="Y436" s="524"/>
      <c r="Z436" s="524"/>
    </row>
    <row r="437" ht="13.5" customHeight="1">
      <c r="A437" s="524"/>
      <c r="B437" s="525"/>
      <c r="C437" s="524"/>
      <c r="D437" s="524"/>
      <c r="E437" s="524"/>
      <c r="F437" s="524"/>
      <c r="G437" s="524"/>
      <c r="H437" s="524"/>
      <c r="I437" s="524"/>
      <c r="J437" s="524"/>
      <c r="K437" s="524"/>
      <c r="L437" s="524"/>
      <c r="M437" s="524"/>
      <c r="N437" s="524"/>
      <c r="O437" s="524"/>
      <c r="P437" s="524"/>
      <c r="Q437" s="524"/>
      <c r="R437" s="524"/>
      <c r="S437" s="524"/>
      <c r="T437" s="524"/>
      <c r="U437" s="524"/>
      <c r="V437" s="524"/>
      <c r="W437" s="524"/>
      <c r="X437" s="524"/>
      <c r="Y437" s="524"/>
      <c r="Z437" s="524"/>
    </row>
    <row r="438" ht="13.5" customHeight="1">
      <c r="A438" s="524"/>
      <c r="B438" s="525"/>
      <c r="C438" s="524"/>
      <c r="D438" s="524"/>
      <c r="E438" s="524"/>
      <c r="F438" s="524"/>
      <c r="G438" s="524"/>
      <c r="H438" s="524"/>
      <c r="I438" s="524"/>
      <c r="J438" s="524"/>
      <c r="K438" s="524"/>
      <c r="L438" s="524"/>
      <c r="M438" s="524"/>
      <c r="N438" s="524"/>
      <c r="O438" s="524"/>
      <c r="P438" s="524"/>
      <c r="Q438" s="524"/>
      <c r="R438" s="524"/>
      <c r="S438" s="524"/>
      <c r="T438" s="524"/>
      <c r="U438" s="524"/>
      <c r="V438" s="524"/>
      <c r="W438" s="524"/>
      <c r="X438" s="524"/>
      <c r="Y438" s="524"/>
      <c r="Z438" s="524"/>
    </row>
    <row r="439" ht="13.5" customHeight="1">
      <c r="A439" s="524"/>
      <c r="B439" s="525"/>
      <c r="C439" s="524"/>
      <c r="D439" s="524"/>
      <c r="E439" s="524"/>
      <c r="F439" s="524"/>
      <c r="G439" s="524"/>
      <c r="H439" s="524"/>
      <c r="I439" s="524"/>
      <c r="J439" s="524"/>
      <c r="K439" s="524"/>
      <c r="L439" s="524"/>
      <c r="M439" s="524"/>
      <c r="N439" s="524"/>
      <c r="O439" s="524"/>
      <c r="P439" s="524"/>
      <c r="Q439" s="524"/>
      <c r="R439" s="524"/>
      <c r="S439" s="524"/>
      <c r="T439" s="524"/>
      <c r="U439" s="524"/>
      <c r="V439" s="524"/>
      <c r="W439" s="524"/>
      <c r="X439" s="524"/>
      <c r="Y439" s="524"/>
      <c r="Z439" s="524"/>
    </row>
    <row r="440" ht="13.5" customHeight="1">
      <c r="A440" s="524"/>
      <c r="B440" s="525"/>
      <c r="C440" s="524"/>
      <c r="D440" s="524"/>
      <c r="E440" s="524"/>
      <c r="F440" s="524"/>
      <c r="G440" s="524"/>
      <c r="H440" s="524"/>
      <c r="I440" s="524"/>
      <c r="J440" s="524"/>
      <c r="K440" s="524"/>
      <c r="L440" s="524"/>
      <c r="M440" s="524"/>
      <c r="N440" s="524"/>
      <c r="O440" s="524"/>
      <c r="P440" s="524"/>
      <c r="Q440" s="524"/>
      <c r="R440" s="524"/>
      <c r="S440" s="524"/>
      <c r="T440" s="524"/>
      <c r="U440" s="524"/>
      <c r="V440" s="524"/>
      <c r="W440" s="524"/>
      <c r="X440" s="524"/>
      <c r="Y440" s="524"/>
      <c r="Z440" s="524"/>
    </row>
    <row r="441" ht="13.5" customHeight="1">
      <c r="A441" s="524"/>
      <c r="B441" s="525"/>
      <c r="C441" s="524"/>
      <c r="D441" s="524"/>
      <c r="E441" s="524"/>
      <c r="F441" s="524"/>
      <c r="G441" s="524"/>
      <c r="H441" s="524"/>
      <c r="I441" s="524"/>
      <c r="J441" s="524"/>
      <c r="K441" s="524"/>
      <c r="L441" s="524"/>
      <c r="M441" s="524"/>
      <c r="N441" s="524"/>
      <c r="O441" s="524"/>
      <c r="P441" s="524"/>
      <c r="Q441" s="524"/>
      <c r="R441" s="524"/>
      <c r="S441" s="524"/>
      <c r="T441" s="524"/>
      <c r="U441" s="524"/>
      <c r="V441" s="524"/>
      <c r="W441" s="524"/>
      <c r="X441" s="524"/>
      <c r="Y441" s="524"/>
      <c r="Z441" s="524"/>
    </row>
    <row r="442" ht="13.5" customHeight="1">
      <c r="A442" s="524"/>
      <c r="B442" s="525"/>
      <c r="C442" s="524"/>
      <c r="D442" s="524"/>
      <c r="E442" s="524"/>
      <c r="F442" s="524"/>
      <c r="G442" s="524"/>
      <c r="H442" s="524"/>
      <c r="I442" s="524"/>
      <c r="J442" s="524"/>
      <c r="K442" s="524"/>
      <c r="L442" s="524"/>
      <c r="M442" s="524"/>
      <c r="N442" s="524"/>
      <c r="O442" s="524"/>
      <c r="P442" s="524"/>
      <c r="Q442" s="524"/>
      <c r="R442" s="524"/>
      <c r="S442" s="524"/>
      <c r="T442" s="524"/>
      <c r="U442" s="524"/>
      <c r="V442" s="524"/>
      <c r="W442" s="524"/>
      <c r="X442" s="524"/>
      <c r="Y442" s="524"/>
      <c r="Z442" s="524"/>
    </row>
    <row r="443" ht="13.5" customHeight="1">
      <c r="A443" s="524"/>
      <c r="B443" s="525"/>
      <c r="C443" s="524"/>
      <c r="D443" s="524"/>
      <c r="E443" s="524"/>
      <c r="F443" s="524"/>
      <c r="G443" s="524"/>
      <c r="H443" s="524"/>
      <c r="I443" s="524"/>
      <c r="J443" s="524"/>
      <c r="K443" s="524"/>
      <c r="L443" s="524"/>
      <c r="M443" s="524"/>
      <c r="N443" s="524"/>
      <c r="O443" s="524"/>
      <c r="P443" s="524"/>
      <c r="Q443" s="524"/>
      <c r="R443" s="524"/>
      <c r="S443" s="524"/>
      <c r="T443" s="524"/>
      <c r="U443" s="524"/>
      <c r="V443" s="524"/>
      <c r="W443" s="524"/>
      <c r="X443" s="524"/>
      <c r="Y443" s="524"/>
      <c r="Z443" s="524"/>
    </row>
    <row r="444" ht="13.5" customHeight="1">
      <c r="A444" s="524"/>
      <c r="B444" s="525"/>
      <c r="C444" s="524"/>
      <c r="D444" s="524"/>
      <c r="E444" s="524"/>
      <c r="F444" s="524"/>
      <c r="G444" s="524"/>
      <c r="H444" s="524"/>
      <c r="I444" s="524"/>
      <c r="J444" s="524"/>
      <c r="K444" s="524"/>
      <c r="L444" s="524"/>
      <c r="M444" s="524"/>
      <c r="N444" s="524"/>
      <c r="O444" s="524"/>
      <c r="P444" s="524"/>
      <c r="Q444" s="524"/>
      <c r="R444" s="524"/>
      <c r="S444" s="524"/>
      <c r="T444" s="524"/>
      <c r="U444" s="524"/>
      <c r="V444" s="524"/>
      <c r="W444" s="524"/>
      <c r="X444" s="524"/>
      <c r="Y444" s="524"/>
      <c r="Z444" s="524"/>
    </row>
    <row r="445" ht="13.5" customHeight="1">
      <c r="A445" s="524"/>
      <c r="B445" s="525"/>
      <c r="C445" s="524"/>
      <c r="D445" s="524"/>
      <c r="E445" s="524"/>
      <c r="F445" s="524"/>
      <c r="G445" s="524"/>
      <c r="H445" s="524"/>
      <c r="I445" s="524"/>
      <c r="J445" s="524"/>
      <c r="K445" s="524"/>
      <c r="L445" s="524"/>
      <c r="M445" s="524"/>
      <c r="N445" s="524"/>
      <c r="O445" s="524"/>
      <c r="P445" s="524"/>
      <c r="Q445" s="524"/>
      <c r="R445" s="524"/>
      <c r="S445" s="524"/>
      <c r="T445" s="524"/>
      <c r="U445" s="524"/>
      <c r="V445" s="524"/>
      <c r="W445" s="524"/>
      <c r="X445" s="524"/>
      <c r="Y445" s="524"/>
      <c r="Z445" s="524"/>
    </row>
    <row r="446" ht="13.5" customHeight="1">
      <c r="A446" s="524"/>
      <c r="B446" s="525"/>
      <c r="C446" s="524"/>
      <c r="D446" s="524"/>
      <c r="E446" s="524"/>
      <c r="F446" s="524"/>
      <c r="G446" s="524"/>
      <c r="H446" s="524"/>
      <c r="I446" s="524"/>
      <c r="J446" s="524"/>
      <c r="K446" s="524"/>
      <c r="L446" s="524"/>
      <c r="M446" s="524"/>
      <c r="N446" s="524"/>
      <c r="O446" s="524"/>
      <c r="P446" s="524"/>
      <c r="Q446" s="524"/>
      <c r="R446" s="524"/>
      <c r="S446" s="524"/>
      <c r="T446" s="524"/>
      <c r="U446" s="524"/>
      <c r="V446" s="524"/>
      <c r="W446" s="524"/>
      <c r="X446" s="524"/>
      <c r="Y446" s="524"/>
      <c r="Z446" s="524"/>
    </row>
    <row r="447" ht="13.5" customHeight="1">
      <c r="A447" s="524"/>
      <c r="B447" s="525"/>
      <c r="C447" s="524"/>
      <c r="D447" s="524"/>
      <c r="E447" s="524"/>
      <c r="F447" s="524"/>
      <c r="G447" s="524"/>
      <c r="H447" s="524"/>
      <c r="I447" s="524"/>
      <c r="J447" s="524"/>
      <c r="K447" s="524"/>
      <c r="L447" s="524"/>
      <c r="M447" s="524"/>
      <c r="N447" s="524"/>
      <c r="O447" s="524"/>
      <c r="P447" s="524"/>
      <c r="Q447" s="524"/>
      <c r="R447" s="524"/>
      <c r="S447" s="524"/>
      <c r="T447" s="524"/>
      <c r="U447" s="524"/>
      <c r="V447" s="524"/>
      <c r="W447" s="524"/>
      <c r="X447" s="524"/>
      <c r="Y447" s="524"/>
      <c r="Z447" s="524"/>
    </row>
    <row r="448" ht="13.5" customHeight="1">
      <c r="A448" s="524"/>
      <c r="B448" s="525"/>
      <c r="C448" s="524"/>
      <c r="D448" s="524"/>
      <c r="E448" s="524"/>
      <c r="F448" s="524"/>
      <c r="G448" s="524"/>
      <c r="H448" s="524"/>
      <c r="I448" s="524"/>
      <c r="J448" s="524"/>
      <c r="K448" s="524"/>
      <c r="L448" s="524"/>
      <c r="M448" s="524"/>
      <c r="N448" s="524"/>
      <c r="O448" s="524"/>
      <c r="P448" s="524"/>
      <c r="Q448" s="524"/>
      <c r="R448" s="524"/>
      <c r="S448" s="524"/>
      <c r="T448" s="524"/>
      <c r="U448" s="524"/>
      <c r="V448" s="524"/>
      <c r="W448" s="524"/>
      <c r="X448" s="524"/>
      <c r="Y448" s="524"/>
      <c r="Z448" s="524"/>
    </row>
    <row r="449" ht="13.5" customHeight="1">
      <c r="A449" s="524"/>
      <c r="B449" s="525"/>
      <c r="C449" s="524"/>
      <c r="D449" s="524"/>
      <c r="E449" s="524"/>
      <c r="F449" s="524"/>
      <c r="G449" s="524"/>
      <c r="H449" s="524"/>
      <c r="I449" s="524"/>
      <c r="J449" s="524"/>
      <c r="K449" s="524"/>
      <c r="L449" s="524"/>
      <c r="M449" s="524"/>
      <c r="N449" s="524"/>
      <c r="O449" s="524"/>
      <c r="P449" s="524"/>
      <c r="Q449" s="524"/>
      <c r="R449" s="524"/>
      <c r="S449" s="524"/>
      <c r="T449" s="524"/>
      <c r="U449" s="524"/>
      <c r="V449" s="524"/>
      <c r="W449" s="524"/>
      <c r="X449" s="524"/>
      <c r="Y449" s="524"/>
      <c r="Z449" s="524"/>
    </row>
    <row r="450" ht="13.5" customHeight="1">
      <c r="A450" s="524"/>
      <c r="B450" s="525"/>
      <c r="C450" s="524"/>
      <c r="D450" s="524"/>
      <c r="E450" s="524"/>
      <c r="F450" s="524"/>
      <c r="G450" s="524"/>
      <c r="H450" s="524"/>
      <c r="I450" s="524"/>
      <c r="J450" s="524"/>
      <c r="K450" s="524"/>
      <c r="L450" s="524"/>
      <c r="M450" s="524"/>
      <c r="N450" s="524"/>
      <c r="O450" s="524"/>
      <c r="P450" s="524"/>
      <c r="Q450" s="524"/>
      <c r="R450" s="524"/>
      <c r="S450" s="524"/>
      <c r="T450" s="524"/>
      <c r="U450" s="524"/>
      <c r="V450" s="524"/>
      <c r="W450" s="524"/>
      <c r="X450" s="524"/>
      <c r="Y450" s="524"/>
      <c r="Z450" s="524"/>
    </row>
    <row r="451" ht="13.5" customHeight="1">
      <c r="A451" s="524"/>
      <c r="B451" s="525"/>
      <c r="C451" s="524"/>
      <c r="D451" s="524"/>
      <c r="E451" s="524"/>
      <c r="F451" s="524"/>
      <c r="G451" s="524"/>
      <c r="H451" s="524"/>
      <c r="I451" s="524"/>
      <c r="J451" s="524"/>
      <c r="K451" s="524"/>
      <c r="L451" s="524"/>
      <c r="M451" s="524"/>
      <c r="N451" s="524"/>
      <c r="O451" s="524"/>
      <c r="P451" s="524"/>
      <c r="Q451" s="524"/>
      <c r="R451" s="524"/>
      <c r="S451" s="524"/>
      <c r="T451" s="524"/>
      <c r="U451" s="524"/>
      <c r="V451" s="524"/>
      <c r="W451" s="524"/>
      <c r="X451" s="524"/>
      <c r="Y451" s="524"/>
      <c r="Z451" s="524"/>
    </row>
    <row r="452" ht="13.5" customHeight="1">
      <c r="A452" s="524"/>
      <c r="B452" s="525"/>
      <c r="C452" s="524"/>
      <c r="D452" s="524"/>
      <c r="E452" s="524"/>
      <c r="F452" s="524"/>
      <c r="G452" s="524"/>
      <c r="H452" s="524"/>
      <c r="I452" s="524"/>
      <c r="J452" s="524"/>
      <c r="K452" s="524"/>
      <c r="L452" s="524"/>
      <c r="M452" s="524"/>
      <c r="N452" s="524"/>
      <c r="O452" s="524"/>
      <c r="P452" s="524"/>
      <c r="Q452" s="524"/>
      <c r="R452" s="524"/>
      <c r="S452" s="524"/>
      <c r="T452" s="524"/>
      <c r="U452" s="524"/>
      <c r="V452" s="524"/>
      <c r="W452" s="524"/>
      <c r="X452" s="524"/>
      <c r="Y452" s="524"/>
      <c r="Z452" s="524"/>
    </row>
    <row r="453" ht="13.5" customHeight="1">
      <c r="A453" s="524"/>
      <c r="B453" s="525"/>
      <c r="C453" s="524"/>
      <c r="D453" s="524"/>
      <c r="E453" s="524"/>
      <c r="F453" s="524"/>
      <c r="G453" s="524"/>
      <c r="H453" s="524"/>
      <c r="I453" s="524"/>
      <c r="J453" s="524"/>
      <c r="K453" s="524"/>
      <c r="L453" s="524"/>
      <c r="M453" s="524"/>
      <c r="N453" s="524"/>
      <c r="O453" s="524"/>
      <c r="P453" s="524"/>
      <c r="Q453" s="524"/>
      <c r="R453" s="524"/>
      <c r="S453" s="524"/>
      <c r="T453" s="524"/>
      <c r="U453" s="524"/>
      <c r="V453" s="524"/>
      <c r="W453" s="524"/>
      <c r="X453" s="524"/>
      <c r="Y453" s="524"/>
      <c r="Z453" s="524"/>
    </row>
    <row r="454" ht="13.5" customHeight="1">
      <c r="A454" s="524"/>
      <c r="B454" s="525"/>
      <c r="C454" s="524"/>
      <c r="D454" s="524"/>
      <c r="E454" s="524"/>
      <c r="F454" s="524"/>
      <c r="G454" s="524"/>
      <c r="H454" s="524"/>
      <c r="I454" s="524"/>
      <c r="J454" s="524"/>
      <c r="K454" s="524"/>
      <c r="L454" s="524"/>
      <c r="M454" s="524"/>
      <c r="N454" s="524"/>
      <c r="O454" s="524"/>
      <c r="P454" s="524"/>
      <c r="Q454" s="524"/>
      <c r="R454" s="524"/>
      <c r="S454" s="524"/>
      <c r="T454" s="524"/>
      <c r="U454" s="524"/>
      <c r="V454" s="524"/>
      <c r="W454" s="524"/>
      <c r="X454" s="524"/>
      <c r="Y454" s="524"/>
      <c r="Z454" s="524"/>
    </row>
    <row r="455" ht="13.5" customHeight="1">
      <c r="A455" s="524"/>
      <c r="B455" s="525"/>
      <c r="C455" s="524"/>
      <c r="D455" s="524"/>
      <c r="E455" s="524"/>
      <c r="F455" s="524"/>
      <c r="G455" s="524"/>
      <c r="H455" s="524"/>
      <c r="I455" s="524"/>
      <c r="J455" s="524"/>
      <c r="K455" s="524"/>
      <c r="L455" s="524"/>
      <c r="M455" s="524"/>
      <c r="N455" s="524"/>
      <c r="O455" s="524"/>
      <c r="P455" s="524"/>
      <c r="Q455" s="524"/>
      <c r="R455" s="524"/>
      <c r="S455" s="524"/>
      <c r="T455" s="524"/>
      <c r="U455" s="524"/>
      <c r="V455" s="524"/>
      <c r="W455" s="524"/>
      <c r="X455" s="524"/>
      <c r="Y455" s="524"/>
      <c r="Z455" s="524"/>
    </row>
    <row r="456" ht="13.5" customHeight="1">
      <c r="A456" s="524"/>
      <c r="B456" s="525"/>
      <c r="C456" s="524"/>
      <c r="D456" s="524"/>
      <c r="E456" s="524"/>
      <c r="F456" s="524"/>
      <c r="G456" s="524"/>
      <c r="H456" s="524"/>
      <c r="I456" s="524"/>
      <c r="J456" s="524"/>
      <c r="K456" s="524"/>
      <c r="L456" s="524"/>
      <c r="M456" s="524"/>
      <c r="N456" s="524"/>
      <c r="O456" s="524"/>
      <c r="P456" s="524"/>
      <c r="Q456" s="524"/>
      <c r="R456" s="524"/>
      <c r="S456" s="524"/>
      <c r="T456" s="524"/>
      <c r="U456" s="524"/>
      <c r="V456" s="524"/>
      <c r="W456" s="524"/>
      <c r="X456" s="524"/>
      <c r="Y456" s="524"/>
      <c r="Z456" s="524"/>
    </row>
    <row r="457" ht="13.5" customHeight="1">
      <c r="A457" s="524"/>
      <c r="B457" s="525"/>
      <c r="C457" s="524"/>
      <c r="D457" s="524"/>
      <c r="E457" s="524"/>
      <c r="F457" s="524"/>
      <c r="G457" s="524"/>
      <c r="H457" s="524"/>
      <c r="I457" s="524"/>
      <c r="J457" s="524"/>
      <c r="K457" s="524"/>
      <c r="L457" s="524"/>
      <c r="M457" s="524"/>
      <c r="N457" s="524"/>
      <c r="O457" s="524"/>
      <c r="P457" s="524"/>
      <c r="Q457" s="524"/>
      <c r="R457" s="524"/>
      <c r="S457" s="524"/>
      <c r="T457" s="524"/>
      <c r="U457" s="524"/>
      <c r="V457" s="524"/>
      <c r="W457" s="524"/>
      <c r="X457" s="524"/>
      <c r="Y457" s="524"/>
      <c r="Z457" s="524"/>
    </row>
    <row r="458" ht="13.5" customHeight="1">
      <c r="A458" s="524"/>
      <c r="B458" s="525"/>
      <c r="C458" s="524"/>
      <c r="D458" s="524"/>
      <c r="E458" s="524"/>
      <c r="F458" s="524"/>
      <c r="G458" s="524"/>
      <c r="H458" s="524"/>
      <c r="I458" s="524"/>
      <c r="J458" s="524"/>
      <c r="K458" s="524"/>
      <c r="L458" s="524"/>
      <c r="M458" s="524"/>
      <c r="N458" s="524"/>
      <c r="O458" s="524"/>
      <c r="P458" s="524"/>
      <c r="Q458" s="524"/>
      <c r="R458" s="524"/>
      <c r="S458" s="524"/>
      <c r="T458" s="524"/>
      <c r="U458" s="524"/>
      <c r="V458" s="524"/>
      <c r="W458" s="524"/>
      <c r="X458" s="524"/>
      <c r="Y458" s="524"/>
      <c r="Z458" s="524"/>
    </row>
    <row r="459" ht="13.5" customHeight="1">
      <c r="A459" s="524"/>
      <c r="B459" s="525"/>
      <c r="C459" s="524"/>
      <c r="D459" s="524"/>
      <c r="E459" s="524"/>
      <c r="F459" s="524"/>
      <c r="G459" s="524"/>
      <c r="H459" s="524"/>
      <c r="I459" s="524"/>
      <c r="J459" s="524"/>
      <c r="K459" s="524"/>
      <c r="L459" s="524"/>
      <c r="M459" s="524"/>
      <c r="N459" s="524"/>
      <c r="O459" s="524"/>
      <c r="P459" s="524"/>
      <c r="Q459" s="524"/>
      <c r="R459" s="524"/>
      <c r="S459" s="524"/>
      <c r="T459" s="524"/>
      <c r="U459" s="524"/>
      <c r="V459" s="524"/>
      <c r="W459" s="524"/>
      <c r="X459" s="524"/>
      <c r="Y459" s="524"/>
      <c r="Z459" s="524"/>
    </row>
    <row r="460" ht="13.5" customHeight="1">
      <c r="A460" s="524"/>
      <c r="B460" s="525"/>
      <c r="C460" s="524"/>
      <c r="D460" s="524"/>
      <c r="E460" s="524"/>
      <c r="F460" s="524"/>
      <c r="G460" s="524"/>
      <c r="H460" s="524"/>
      <c r="I460" s="524"/>
      <c r="J460" s="524"/>
      <c r="K460" s="524"/>
      <c r="L460" s="524"/>
      <c r="M460" s="524"/>
      <c r="N460" s="524"/>
      <c r="O460" s="524"/>
      <c r="P460" s="524"/>
      <c r="Q460" s="524"/>
      <c r="R460" s="524"/>
      <c r="S460" s="524"/>
      <c r="T460" s="524"/>
      <c r="U460" s="524"/>
      <c r="V460" s="524"/>
      <c r="W460" s="524"/>
      <c r="X460" s="524"/>
      <c r="Y460" s="524"/>
      <c r="Z460" s="524"/>
    </row>
    <row r="461" ht="13.5" customHeight="1">
      <c r="A461" s="524"/>
      <c r="B461" s="525"/>
      <c r="C461" s="524"/>
      <c r="D461" s="524"/>
      <c r="E461" s="524"/>
      <c r="F461" s="524"/>
      <c r="G461" s="524"/>
      <c r="H461" s="524"/>
      <c r="I461" s="524"/>
      <c r="J461" s="524"/>
      <c r="K461" s="524"/>
      <c r="L461" s="524"/>
      <c r="M461" s="524"/>
      <c r="N461" s="524"/>
      <c r="O461" s="524"/>
      <c r="P461" s="524"/>
      <c r="Q461" s="524"/>
      <c r="R461" s="524"/>
      <c r="S461" s="524"/>
      <c r="T461" s="524"/>
      <c r="U461" s="524"/>
      <c r="V461" s="524"/>
      <c r="W461" s="524"/>
      <c r="X461" s="524"/>
      <c r="Y461" s="524"/>
      <c r="Z461" s="524"/>
    </row>
    <row r="462" ht="13.5" customHeight="1">
      <c r="A462" s="524"/>
      <c r="B462" s="525"/>
      <c r="C462" s="524"/>
      <c r="D462" s="524"/>
      <c r="E462" s="524"/>
      <c r="F462" s="524"/>
      <c r="G462" s="524"/>
      <c r="H462" s="524"/>
      <c r="I462" s="524"/>
      <c r="J462" s="524"/>
      <c r="K462" s="524"/>
      <c r="L462" s="524"/>
      <c r="M462" s="524"/>
      <c r="N462" s="524"/>
      <c r="O462" s="524"/>
      <c r="P462" s="524"/>
      <c r="Q462" s="524"/>
      <c r="R462" s="524"/>
      <c r="S462" s="524"/>
      <c r="T462" s="524"/>
      <c r="U462" s="524"/>
      <c r="V462" s="524"/>
      <c r="W462" s="524"/>
      <c r="X462" s="524"/>
      <c r="Y462" s="524"/>
      <c r="Z462" s="524"/>
    </row>
    <row r="463" ht="13.5" customHeight="1">
      <c r="A463" s="524"/>
      <c r="B463" s="525"/>
      <c r="C463" s="524"/>
      <c r="D463" s="524"/>
      <c r="E463" s="524"/>
      <c r="F463" s="524"/>
      <c r="G463" s="524"/>
      <c r="H463" s="524"/>
      <c r="I463" s="524"/>
      <c r="J463" s="524"/>
      <c r="K463" s="524"/>
      <c r="L463" s="524"/>
      <c r="M463" s="524"/>
      <c r="N463" s="524"/>
      <c r="O463" s="524"/>
      <c r="P463" s="524"/>
      <c r="Q463" s="524"/>
      <c r="R463" s="524"/>
      <c r="S463" s="524"/>
      <c r="T463" s="524"/>
      <c r="U463" s="524"/>
      <c r="V463" s="524"/>
      <c r="W463" s="524"/>
      <c r="X463" s="524"/>
      <c r="Y463" s="524"/>
      <c r="Z463" s="524"/>
    </row>
    <row r="464" ht="13.5" customHeight="1">
      <c r="A464" s="524"/>
      <c r="B464" s="525"/>
      <c r="C464" s="524"/>
      <c r="D464" s="524"/>
      <c r="E464" s="524"/>
      <c r="F464" s="524"/>
      <c r="G464" s="524"/>
      <c r="H464" s="524"/>
      <c r="I464" s="524"/>
      <c r="J464" s="524"/>
      <c r="K464" s="524"/>
      <c r="L464" s="524"/>
      <c r="M464" s="524"/>
      <c r="N464" s="524"/>
      <c r="O464" s="524"/>
      <c r="P464" s="524"/>
      <c r="Q464" s="524"/>
      <c r="R464" s="524"/>
      <c r="S464" s="524"/>
      <c r="T464" s="524"/>
      <c r="U464" s="524"/>
      <c r="V464" s="524"/>
      <c r="W464" s="524"/>
      <c r="X464" s="524"/>
      <c r="Y464" s="524"/>
      <c r="Z464" s="524"/>
    </row>
    <row r="465" ht="13.5" customHeight="1">
      <c r="A465" s="524"/>
      <c r="B465" s="525"/>
      <c r="C465" s="524"/>
      <c r="D465" s="524"/>
      <c r="E465" s="524"/>
      <c r="F465" s="524"/>
      <c r="G465" s="524"/>
      <c r="H465" s="524"/>
      <c r="I465" s="524"/>
      <c r="J465" s="524"/>
      <c r="K465" s="524"/>
      <c r="L465" s="524"/>
      <c r="M465" s="524"/>
      <c r="N465" s="524"/>
      <c r="O465" s="524"/>
      <c r="P465" s="524"/>
      <c r="Q465" s="524"/>
      <c r="R465" s="524"/>
      <c r="S465" s="524"/>
      <c r="T465" s="524"/>
      <c r="U465" s="524"/>
      <c r="V465" s="524"/>
      <c r="W465" s="524"/>
      <c r="X465" s="524"/>
      <c r="Y465" s="524"/>
      <c r="Z465" s="524"/>
    </row>
    <row r="466" ht="13.5" customHeight="1">
      <c r="A466" s="524"/>
      <c r="B466" s="525"/>
      <c r="C466" s="524"/>
      <c r="D466" s="524"/>
      <c r="E466" s="524"/>
      <c r="F466" s="524"/>
      <c r="G466" s="524"/>
      <c r="H466" s="524"/>
      <c r="I466" s="524"/>
      <c r="J466" s="524"/>
      <c r="K466" s="524"/>
      <c r="L466" s="524"/>
      <c r="M466" s="524"/>
      <c r="N466" s="524"/>
      <c r="O466" s="524"/>
      <c r="P466" s="524"/>
      <c r="Q466" s="524"/>
      <c r="R466" s="524"/>
      <c r="S466" s="524"/>
      <c r="T466" s="524"/>
      <c r="U466" s="524"/>
      <c r="V466" s="524"/>
      <c r="W466" s="524"/>
      <c r="X466" s="524"/>
      <c r="Y466" s="524"/>
      <c r="Z466" s="524"/>
    </row>
    <row r="467" ht="13.5" customHeight="1">
      <c r="A467" s="524"/>
      <c r="B467" s="525"/>
      <c r="C467" s="524"/>
      <c r="D467" s="524"/>
      <c r="E467" s="524"/>
      <c r="F467" s="524"/>
      <c r="G467" s="524"/>
      <c r="H467" s="524"/>
      <c r="I467" s="524"/>
      <c r="J467" s="524"/>
      <c r="K467" s="524"/>
      <c r="L467" s="524"/>
      <c r="M467" s="524"/>
      <c r="N467" s="524"/>
      <c r="O467" s="524"/>
      <c r="P467" s="524"/>
      <c r="Q467" s="524"/>
      <c r="R467" s="524"/>
      <c r="S467" s="524"/>
      <c r="T467" s="524"/>
      <c r="U467" s="524"/>
      <c r="V467" s="524"/>
      <c r="W467" s="524"/>
      <c r="X467" s="524"/>
      <c r="Y467" s="524"/>
      <c r="Z467" s="524"/>
    </row>
    <row r="468" ht="13.5" customHeight="1">
      <c r="A468" s="524"/>
      <c r="B468" s="525"/>
      <c r="C468" s="524"/>
      <c r="D468" s="524"/>
      <c r="E468" s="524"/>
      <c r="F468" s="524"/>
      <c r="G468" s="524"/>
      <c r="H468" s="524"/>
      <c r="I468" s="524"/>
      <c r="J468" s="524"/>
      <c r="K468" s="524"/>
      <c r="L468" s="524"/>
      <c r="M468" s="524"/>
      <c r="N468" s="524"/>
      <c r="O468" s="524"/>
      <c r="P468" s="524"/>
      <c r="Q468" s="524"/>
      <c r="R468" s="524"/>
      <c r="S468" s="524"/>
      <c r="T468" s="524"/>
      <c r="U468" s="524"/>
      <c r="V468" s="524"/>
      <c r="W468" s="524"/>
      <c r="X468" s="524"/>
      <c r="Y468" s="524"/>
      <c r="Z468" s="524"/>
    </row>
    <row r="469" ht="13.5" customHeight="1">
      <c r="A469" s="524"/>
      <c r="B469" s="525"/>
      <c r="C469" s="524"/>
      <c r="D469" s="524"/>
      <c r="E469" s="524"/>
      <c r="F469" s="524"/>
      <c r="G469" s="524"/>
      <c r="H469" s="524"/>
      <c r="I469" s="524"/>
      <c r="J469" s="524"/>
      <c r="K469" s="524"/>
      <c r="L469" s="524"/>
      <c r="M469" s="524"/>
      <c r="N469" s="524"/>
      <c r="O469" s="524"/>
      <c r="P469" s="524"/>
      <c r="Q469" s="524"/>
      <c r="R469" s="524"/>
      <c r="S469" s="524"/>
      <c r="T469" s="524"/>
      <c r="U469" s="524"/>
      <c r="V469" s="524"/>
      <c r="W469" s="524"/>
      <c r="X469" s="524"/>
      <c r="Y469" s="524"/>
      <c r="Z469" s="524"/>
    </row>
    <row r="470" ht="13.5" customHeight="1">
      <c r="A470" s="524"/>
      <c r="B470" s="525"/>
      <c r="C470" s="524"/>
      <c r="D470" s="524"/>
      <c r="E470" s="524"/>
      <c r="F470" s="524"/>
      <c r="G470" s="524"/>
      <c r="H470" s="524"/>
      <c r="I470" s="524"/>
      <c r="J470" s="524"/>
      <c r="K470" s="524"/>
      <c r="L470" s="524"/>
      <c r="M470" s="524"/>
      <c r="N470" s="524"/>
      <c r="O470" s="524"/>
      <c r="P470" s="524"/>
      <c r="Q470" s="524"/>
      <c r="R470" s="524"/>
      <c r="S470" s="524"/>
      <c r="T470" s="524"/>
      <c r="U470" s="524"/>
      <c r="V470" s="524"/>
      <c r="W470" s="524"/>
      <c r="X470" s="524"/>
      <c r="Y470" s="524"/>
      <c r="Z470" s="524"/>
    </row>
    <row r="471" ht="13.5" customHeight="1">
      <c r="A471" s="524"/>
      <c r="B471" s="525"/>
      <c r="C471" s="524"/>
      <c r="D471" s="524"/>
      <c r="E471" s="524"/>
      <c r="F471" s="524"/>
      <c r="G471" s="524"/>
      <c r="H471" s="524"/>
      <c r="I471" s="524"/>
      <c r="J471" s="524"/>
      <c r="K471" s="524"/>
      <c r="L471" s="524"/>
      <c r="M471" s="524"/>
      <c r="N471" s="524"/>
      <c r="O471" s="524"/>
      <c r="P471" s="524"/>
      <c r="Q471" s="524"/>
      <c r="R471" s="524"/>
      <c r="S471" s="524"/>
      <c r="T471" s="524"/>
      <c r="U471" s="524"/>
      <c r="V471" s="524"/>
      <c r="W471" s="524"/>
      <c r="X471" s="524"/>
      <c r="Y471" s="524"/>
      <c r="Z471" s="524"/>
    </row>
    <row r="472" ht="13.5" customHeight="1">
      <c r="A472" s="524"/>
      <c r="B472" s="525"/>
      <c r="C472" s="524"/>
      <c r="D472" s="524"/>
      <c r="E472" s="524"/>
      <c r="F472" s="524"/>
      <c r="G472" s="524"/>
      <c r="H472" s="524"/>
      <c r="I472" s="524"/>
      <c r="J472" s="524"/>
      <c r="K472" s="524"/>
      <c r="L472" s="524"/>
      <c r="M472" s="524"/>
      <c r="N472" s="524"/>
      <c r="O472" s="524"/>
      <c r="P472" s="524"/>
      <c r="Q472" s="524"/>
      <c r="R472" s="524"/>
      <c r="S472" s="524"/>
      <c r="T472" s="524"/>
      <c r="U472" s="524"/>
      <c r="V472" s="524"/>
      <c r="W472" s="524"/>
      <c r="X472" s="524"/>
      <c r="Y472" s="524"/>
      <c r="Z472" s="524"/>
    </row>
    <row r="473" ht="13.5" customHeight="1">
      <c r="A473" s="524"/>
      <c r="B473" s="525"/>
      <c r="C473" s="524"/>
      <c r="D473" s="524"/>
      <c r="E473" s="524"/>
      <c r="F473" s="524"/>
      <c r="G473" s="524"/>
      <c r="H473" s="524"/>
      <c r="I473" s="524"/>
      <c r="J473" s="524"/>
      <c r="K473" s="524"/>
      <c r="L473" s="524"/>
      <c r="M473" s="524"/>
      <c r="N473" s="524"/>
      <c r="O473" s="524"/>
      <c r="P473" s="524"/>
      <c r="Q473" s="524"/>
      <c r="R473" s="524"/>
      <c r="S473" s="524"/>
      <c r="T473" s="524"/>
      <c r="U473" s="524"/>
      <c r="V473" s="524"/>
      <c r="W473" s="524"/>
      <c r="X473" s="524"/>
      <c r="Y473" s="524"/>
      <c r="Z473" s="524"/>
    </row>
    <row r="474" ht="13.5" customHeight="1">
      <c r="A474" s="524"/>
      <c r="B474" s="525"/>
      <c r="C474" s="524"/>
      <c r="D474" s="524"/>
      <c r="E474" s="524"/>
      <c r="F474" s="524"/>
      <c r="G474" s="524"/>
      <c r="H474" s="524"/>
      <c r="I474" s="524"/>
      <c r="J474" s="524"/>
      <c r="K474" s="524"/>
      <c r="L474" s="524"/>
      <c r="M474" s="524"/>
      <c r="N474" s="524"/>
      <c r="O474" s="524"/>
      <c r="P474" s="524"/>
      <c r="Q474" s="524"/>
      <c r="R474" s="524"/>
      <c r="S474" s="524"/>
      <c r="T474" s="524"/>
      <c r="U474" s="524"/>
      <c r="V474" s="524"/>
      <c r="W474" s="524"/>
      <c r="X474" s="524"/>
      <c r="Y474" s="524"/>
      <c r="Z474" s="524"/>
    </row>
    <row r="475" ht="13.5" customHeight="1">
      <c r="A475" s="524"/>
      <c r="B475" s="525"/>
      <c r="C475" s="524"/>
      <c r="D475" s="524"/>
      <c r="E475" s="524"/>
      <c r="F475" s="524"/>
      <c r="G475" s="524"/>
      <c r="H475" s="524"/>
      <c r="I475" s="524"/>
      <c r="J475" s="524"/>
      <c r="K475" s="524"/>
      <c r="L475" s="524"/>
      <c r="M475" s="524"/>
      <c r="N475" s="524"/>
      <c r="O475" s="524"/>
      <c r="P475" s="524"/>
      <c r="Q475" s="524"/>
      <c r="R475" s="524"/>
      <c r="S475" s="524"/>
      <c r="T475" s="524"/>
      <c r="U475" s="524"/>
      <c r="V475" s="524"/>
      <c r="W475" s="524"/>
      <c r="X475" s="524"/>
      <c r="Y475" s="524"/>
      <c r="Z475" s="524"/>
    </row>
    <row r="476" ht="13.5" customHeight="1">
      <c r="A476" s="524"/>
      <c r="B476" s="525"/>
      <c r="C476" s="524"/>
      <c r="D476" s="524"/>
      <c r="E476" s="524"/>
      <c r="F476" s="524"/>
      <c r="G476" s="524"/>
      <c r="H476" s="524"/>
      <c r="I476" s="524"/>
      <c r="J476" s="524"/>
      <c r="K476" s="524"/>
      <c r="L476" s="524"/>
      <c r="M476" s="524"/>
      <c r="N476" s="524"/>
      <c r="O476" s="524"/>
      <c r="P476" s="524"/>
      <c r="Q476" s="524"/>
      <c r="R476" s="524"/>
      <c r="S476" s="524"/>
      <c r="T476" s="524"/>
      <c r="U476" s="524"/>
      <c r="V476" s="524"/>
      <c r="W476" s="524"/>
      <c r="X476" s="524"/>
      <c r="Y476" s="524"/>
      <c r="Z476" s="524"/>
    </row>
    <row r="477" ht="13.5" customHeight="1">
      <c r="A477" s="524"/>
      <c r="B477" s="525"/>
      <c r="C477" s="524"/>
      <c r="D477" s="524"/>
      <c r="E477" s="524"/>
      <c r="F477" s="524"/>
      <c r="G477" s="524"/>
      <c r="H477" s="524"/>
      <c r="I477" s="524"/>
      <c r="J477" s="524"/>
      <c r="K477" s="524"/>
      <c r="L477" s="524"/>
      <c r="M477" s="524"/>
      <c r="N477" s="524"/>
      <c r="O477" s="524"/>
      <c r="P477" s="524"/>
      <c r="Q477" s="524"/>
      <c r="R477" s="524"/>
      <c r="S477" s="524"/>
      <c r="T477" s="524"/>
      <c r="U477" s="524"/>
      <c r="V477" s="524"/>
      <c r="W477" s="524"/>
      <c r="X477" s="524"/>
      <c r="Y477" s="524"/>
      <c r="Z477" s="524"/>
    </row>
    <row r="478" ht="13.5" customHeight="1">
      <c r="A478" s="524"/>
      <c r="B478" s="525"/>
      <c r="C478" s="524"/>
      <c r="D478" s="524"/>
      <c r="E478" s="524"/>
      <c r="F478" s="524"/>
      <c r="G478" s="524"/>
      <c r="H478" s="524"/>
      <c r="I478" s="524"/>
      <c r="J478" s="524"/>
      <c r="K478" s="524"/>
      <c r="L478" s="524"/>
      <c r="M478" s="524"/>
      <c r="N478" s="524"/>
      <c r="O478" s="524"/>
      <c r="P478" s="524"/>
      <c r="Q478" s="524"/>
      <c r="R478" s="524"/>
      <c r="S478" s="524"/>
      <c r="T478" s="524"/>
      <c r="U478" s="524"/>
      <c r="V478" s="524"/>
      <c r="W478" s="524"/>
      <c r="X478" s="524"/>
      <c r="Y478" s="524"/>
      <c r="Z478" s="524"/>
    </row>
    <row r="479" ht="13.5" customHeight="1">
      <c r="A479" s="524"/>
      <c r="B479" s="525"/>
      <c r="C479" s="524"/>
      <c r="D479" s="524"/>
      <c r="E479" s="524"/>
      <c r="F479" s="524"/>
      <c r="G479" s="524"/>
      <c r="H479" s="524"/>
      <c r="I479" s="524"/>
      <c r="J479" s="524"/>
      <c r="K479" s="524"/>
      <c r="L479" s="524"/>
      <c r="M479" s="524"/>
      <c r="N479" s="524"/>
      <c r="O479" s="524"/>
      <c r="P479" s="524"/>
      <c r="Q479" s="524"/>
      <c r="R479" s="524"/>
      <c r="S479" s="524"/>
      <c r="T479" s="524"/>
      <c r="U479" s="524"/>
      <c r="V479" s="524"/>
      <c r="W479" s="524"/>
      <c r="X479" s="524"/>
      <c r="Y479" s="524"/>
      <c r="Z479" s="524"/>
    </row>
    <row r="480" ht="13.5" customHeight="1">
      <c r="A480" s="524"/>
      <c r="B480" s="525"/>
      <c r="C480" s="524"/>
      <c r="D480" s="524"/>
      <c r="E480" s="524"/>
      <c r="F480" s="524"/>
      <c r="G480" s="524"/>
      <c r="H480" s="524"/>
      <c r="I480" s="524"/>
      <c r="J480" s="524"/>
      <c r="K480" s="524"/>
      <c r="L480" s="524"/>
      <c r="M480" s="524"/>
      <c r="N480" s="524"/>
      <c r="O480" s="524"/>
      <c r="P480" s="524"/>
      <c r="Q480" s="524"/>
      <c r="R480" s="524"/>
      <c r="S480" s="524"/>
      <c r="T480" s="524"/>
      <c r="U480" s="524"/>
      <c r="V480" s="524"/>
      <c r="W480" s="524"/>
      <c r="X480" s="524"/>
      <c r="Y480" s="524"/>
      <c r="Z480" s="524"/>
    </row>
    <row r="481" ht="13.5" customHeight="1">
      <c r="A481" s="524"/>
      <c r="B481" s="525"/>
      <c r="C481" s="524"/>
      <c r="D481" s="524"/>
      <c r="E481" s="524"/>
      <c r="F481" s="524"/>
      <c r="G481" s="524"/>
      <c r="H481" s="524"/>
      <c r="I481" s="524"/>
      <c r="J481" s="524"/>
      <c r="K481" s="524"/>
      <c r="L481" s="524"/>
      <c r="M481" s="524"/>
      <c r="N481" s="524"/>
      <c r="O481" s="524"/>
      <c r="P481" s="524"/>
      <c r="Q481" s="524"/>
      <c r="R481" s="524"/>
      <c r="S481" s="524"/>
      <c r="T481" s="524"/>
      <c r="U481" s="524"/>
      <c r="V481" s="524"/>
      <c r="W481" s="524"/>
      <c r="X481" s="524"/>
      <c r="Y481" s="524"/>
      <c r="Z481" s="524"/>
    </row>
    <row r="482" ht="13.5" customHeight="1">
      <c r="A482" s="524"/>
      <c r="B482" s="525"/>
      <c r="C482" s="524"/>
      <c r="D482" s="524"/>
      <c r="E482" s="524"/>
      <c r="F482" s="524"/>
      <c r="G482" s="524"/>
      <c r="H482" s="524"/>
      <c r="I482" s="524"/>
      <c r="J482" s="524"/>
      <c r="K482" s="524"/>
      <c r="L482" s="524"/>
      <c r="M482" s="524"/>
      <c r="N482" s="524"/>
      <c r="O482" s="524"/>
      <c r="P482" s="524"/>
      <c r="Q482" s="524"/>
      <c r="R482" s="524"/>
      <c r="S482" s="524"/>
      <c r="T482" s="524"/>
      <c r="U482" s="524"/>
      <c r="V482" s="524"/>
      <c r="W482" s="524"/>
      <c r="X482" s="524"/>
      <c r="Y482" s="524"/>
      <c r="Z482" s="524"/>
    </row>
    <row r="483" ht="13.5" customHeight="1">
      <c r="A483" s="524"/>
      <c r="B483" s="525"/>
      <c r="C483" s="524"/>
      <c r="D483" s="524"/>
      <c r="E483" s="524"/>
      <c r="F483" s="524"/>
      <c r="G483" s="524"/>
      <c r="H483" s="524"/>
      <c r="I483" s="524"/>
      <c r="J483" s="524"/>
      <c r="K483" s="524"/>
      <c r="L483" s="524"/>
      <c r="M483" s="524"/>
      <c r="N483" s="524"/>
      <c r="O483" s="524"/>
      <c r="P483" s="524"/>
      <c r="Q483" s="524"/>
      <c r="R483" s="524"/>
      <c r="S483" s="524"/>
      <c r="T483" s="524"/>
      <c r="U483" s="524"/>
      <c r="V483" s="524"/>
      <c r="W483" s="524"/>
      <c r="X483" s="524"/>
      <c r="Y483" s="524"/>
      <c r="Z483" s="524"/>
    </row>
    <row r="484" ht="13.5" customHeight="1">
      <c r="A484" s="524"/>
      <c r="B484" s="525"/>
      <c r="C484" s="524"/>
      <c r="D484" s="524"/>
      <c r="E484" s="524"/>
      <c r="F484" s="524"/>
      <c r="G484" s="524"/>
      <c r="H484" s="524"/>
      <c r="I484" s="524"/>
      <c r="J484" s="524"/>
      <c r="K484" s="524"/>
      <c r="L484" s="524"/>
      <c r="M484" s="524"/>
      <c r="N484" s="524"/>
      <c r="O484" s="524"/>
      <c r="P484" s="524"/>
      <c r="Q484" s="524"/>
      <c r="R484" s="524"/>
      <c r="S484" s="524"/>
      <c r="T484" s="524"/>
      <c r="U484" s="524"/>
      <c r="V484" s="524"/>
      <c r="W484" s="524"/>
      <c r="X484" s="524"/>
      <c r="Y484" s="524"/>
      <c r="Z484" s="524"/>
    </row>
    <row r="485" ht="13.5" customHeight="1">
      <c r="A485" s="524"/>
      <c r="B485" s="525"/>
      <c r="C485" s="524"/>
      <c r="D485" s="524"/>
      <c r="E485" s="524"/>
      <c r="F485" s="524"/>
      <c r="G485" s="524"/>
      <c r="H485" s="524"/>
      <c r="I485" s="524"/>
      <c r="J485" s="524"/>
      <c r="K485" s="524"/>
      <c r="L485" s="524"/>
      <c r="M485" s="524"/>
      <c r="N485" s="524"/>
      <c r="O485" s="524"/>
      <c r="P485" s="524"/>
      <c r="Q485" s="524"/>
      <c r="R485" s="524"/>
      <c r="S485" s="524"/>
      <c r="T485" s="524"/>
      <c r="U485" s="524"/>
      <c r="V485" s="524"/>
      <c r="W485" s="524"/>
      <c r="X485" s="524"/>
      <c r="Y485" s="524"/>
      <c r="Z485" s="524"/>
    </row>
    <row r="486" ht="13.5" customHeight="1">
      <c r="A486" s="524"/>
      <c r="B486" s="525"/>
      <c r="C486" s="524"/>
      <c r="D486" s="524"/>
      <c r="E486" s="524"/>
      <c r="F486" s="524"/>
      <c r="G486" s="524"/>
      <c r="H486" s="524"/>
      <c r="I486" s="524"/>
      <c r="J486" s="524"/>
      <c r="K486" s="524"/>
      <c r="L486" s="524"/>
      <c r="M486" s="524"/>
      <c r="N486" s="524"/>
      <c r="O486" s="524"/>
      <c r="P486" s="524"/>
      <c r="Q486" s="524"/>
      <c r="R486" s="524"/>
      <c r="S486" s="524"/>
      <c r="T486" s="524"/>
      <c r="U486" s="524"/>
      <c r="V486" s="524"/>
      <c r="W486" s="524"/>
      <c r="X486" s="524"/>
      <c r="Y486" s="524"/>
      <c r="Z486" s="524"/>
    </row>
    <row r="487" ht="13.5" customHeight="1">
      <c r="A487" s="524"/>
      <c r="B487" s="525"/>
      <c r="C487" s="524"/>
      <c r="D487" s="524"/>
      <c r="E487" s="524"/>
      <c r="F487" s="524"/>
      <c r="G487" s="524"/>
      <c r="H487" s="524"/>
      <c r="I487" s="524"/>
      <c r="J487" s="524"/>
      <c r="K487" s="524"/>
      <c r="L487" s="524"/>
      <c r="M487" s="524"/>
      <c r="N487" s="524"/>
      <c r="O487" s="524"/>
      <c r="P487" s="524"/>
      <c r="Q487" s="524"/>
      <c r="R487" s="524"/>
      <c r="S487" s="524"/>
      <c r="T487" s="524"/>
      <c r="U487" s="524"/>
      <c r="V487" s="524"/>
      <c r="W487" s="524"/>
      <c r="X487" s="524"/>
      <c r="Y487" s="524"/>
      <c r="Z487" s="524"/>
    </row>
    <row r="488" ht="13.5" customHeight="1">
      <c r="A488" s="524"/>
      <c r="B488" s="525"/>
      <c r="C488" s="524"/>
      <c r="D488" s="524"/>
      <c r="E488" s="524"/>
      <c r="F488" s="524"/>
      <c r="G488" s="524"/>
      <c r="H488" s="524"/>
      <c r="I488" s="524"/>
      <c r="J488" s="524"/>
      <c r="K488" s="524"/>
      <c r="L488" s="524"/>
      <c r="M488" s="524"/>
      <c r="N488" s="524"/>
      <c r="O488" s="524"/>
      <c r="P488" s="524"/>
      <c r="Q488" s="524"/>
      <c r="R488" s="524"/>
      <c r="S488" s="524"/>
      <c r="T488" s="524"/>
      <c r="U488" s="524"/>
      <c r="V488" s="524"/>
      <c r="W488" s="524"/>
      <c r="X488" s="524"/>
      <c r="Y488" s="524"/>
      <c r="Z488" s="524"/>
    </row>
    <row r="489" ht="13.5" customHeight="1">
      <c r="A489" s="524"/>
      <c r="B489" s="525"/>
      <c r="C489" s="524"/>
      <c r="D489" s="524"/>
      <c r="E489" s="524"/>
      <c r="F489" s="524"/>
      <c r="G489" s="524"/>
      <c r="H489" s="524"/>
      <c r="I489" s="524"/>
      <c r="J489" s="524"/>
      <c r="K489" s="524"/>
      <c r="L489" s="524"/>
      <c r="M489" s="524"/>
      <c r="N489" s="524"/>
      <c r="O489" s="524"/>
      <c r="P489" s="524"/>
      <c r="Q489" s="524"/>
      <c r="R489" s="524"/>
      <c r="S489" s="524"/>
      <c r="T489" s="524"/>
      <c r="U489" s="524"/>
      <c r="V489" s="524"/>
      <c r="W489" s="524"/>
      <c r="X489" s="524"/>
      <c r="Y489" s="524"/>
      <c r="Z489" s="524"/>
    </row>
    <row r="490" ht="13.5" customHeight="1">
      <c r="A490" s="524"/>
      <c r="B490" s="525"/>
      <c r="C490" s="524"/>
      <c r="D490" s="524"/>
      <c r="E490" s="524"/>
      <c r="F490" s="524"/>
      <c r="G490" s="524"/>
      <c r="H490" s="524"/>
      <c r="I490" s="524"/>
      <c r="J490" s="524"/>
      <c r="K490" s="524"/>
      <c r="L490" s="524"/>
      <c r="M490" s="524"/>
      <c r="N490" s="524"/>
      <c r="O490" s="524"/>
      <c r="P490" s="524"/>
      <c r="Q490" s="524"/>
      <c r="R490" s="524"/>
      <c r="S490" s="524"/>
      <c r="T490" s="524"/>
      <c r="U490" s="524"/>
      <c r="V490" s="524"/>
      <c r="W490" s="524"/>
      <c r="X490" s="524"/>
      <c r="Y490" s="524"/>
      <c r="Z490" s="524"/>
    </row>
    <row r="491" ht="13.5" customHeight="1">
      <c r="A491" s="524"/>
      <c r="B491" s="525"/>
      <c r="C491" s="524"/>
      <c r="D491" s="524"/>
      <c r="E491" s="524"/>
      <c r="F491" s="524"/>
      <c r="G491" s="524"/>
      <c r="H491" s="524"/>
      <c r="I491" s="524"/>
      <c r="J491" s="524"/>
      <c r="K491" s="524"/>
      <c r="L491" s="524"/>
      <c r="M491" s="524"/>
      <c r="N491" s="524"/>
      <c r="O491" s="524"/>
      <c r="P491" s="524"/>
      <c r="Q491" s="524"/>
      <c r="R491" s="524"/>
      <c r="S491" s="524"/>
      <c r="T491" s="524"/>
      <c r="U491" s="524"/>
      <c r="V491" s="524"/>
      <c r="W491" s="524"/>
      <c r="X491" s="524"/>
      <c r="Y491" s="524"/>
      <c r="Z491" s="524"/>
    </row>
    <row r="492" ht="13.5" customHeight="1">
      <c r="A492" s="524"/>
      <c r="B492" s="525"/>
      <c r="C492" s="524"/>
      <c r="D492" s="524"/>
      <c r="E492" s="524"/>
      <c r="F492" s="524"/>
      <c r="G492" s="524"/>
      <c r="H492" s="524"/>
      <c r="I492" s="524"/>
      <c r="J492" s="524"/>
      <c r="K492" s="524"/>
      <c r="L492" s="524"/>
      <c r="M492" s="524"/>
      <c r="N492" s="524"/>
      <c r="O492" s="524"/>
      <c r="P492" s="524"/>
      <c r="Q492" s="524"/>
      <c r="R492" s="524"/>
      <c r="S492" s="524"/>
      <c r="T492" s="524"/>
      <c r="U492" s="524"/>
      <c r="V492" s="524"/>
      <c r="W492" s="524"/>
      <c r="X492" s="524"/>
      <c r="Y492" s="524"/>
      <c r="Z492" s="524"/>
    </row>
    <row r="493" ht="13.5" customHeight="1">
      <c r="A493" s="524"/>
      <c r="B493" s="525"/>
      <c r="C493" s="524"/>
      <c r="D493" s="524"/>
      <c r="E493" s="524"/>
      <c r="F493" s="524"/>
      <c r="G493" s="524"/>
      <c r="H493" s="524"/>
      <c r="I493" s="524"/>
      <c r="J493" s="524"/>
      <c r="K493" s="524"/>
      <c r="L493" s="524"/>
      <c r="M493" s="524"/>
      <c r="N493" s="524"/>
      <c r="O493" s="524"/>
      <c r="P493" s="524"/>
      <c r="Q493" s="524"/>
      <c r="R493" s="524"/>
      <c r="S493" s="524"/>
      <c r="T493" s="524"/>
      <c r="U493" s="524"/>
      <c r="V493" s="524"/>
      <c r="W493" s="524"/>
      <c r="X493" s="524"/>
      <c r="Y493" s="524"/>
      <c r="Z493" s="524"/>
    </row>
    <row r="494" ht="13.5" customHeight="1">
      <c r="A494" s="524"/>
      <c r="B494" s="525"/>
      <c r="C494" s="524"/>
      <c r="D494" s="524"/>
      <c r="E494" s="524"/>
      <c r="F494" s="524"/>
      <c r="G494" s="524"/>
      <c r="H494" s="524"/>
      <c r="I494" s="524"/>
      <c r="J494" s="524"/>
      <c r="K494" s="524"/>
      <c r="L494" s="524"/>
      <c r="M494" s="524"/>
      <c r="N494" s="524"/>
      <c r="O494" s="524"/>
      <c r="P494" s="524"/>
      <c r="Q494" s="524"/>
      <c r="R494" s="524"/>
      <c r="S494" s="524"/>
      <c r="T494" s="524"/>
      <c r="U494" s="524"/>
      <c r="V494" s="524"/>
      <c r="W494" s="524"/>
      <c r="X494" s="524"/>
      <c r="Y494" s="524"/>
      <c r="Z494" s="524"/>
    </row>
    <row r="495" ht="13.5" customHeight="1">
      <c r="A495" s="524"/>
      <c r="B495" s="525"/>
      <c r="C495" s="524"/>
      <c r="D495" s="524"/>
      <c r="E495" s="524"/>
      <c r="F495" s="524"/>
      <c r="G495" s="524"/>
      <c r="H495" s="524"/>
      <c r="I495" s="524"/>
      <c r="J495" s="524"/>
      <c r="K495" s="524"/>
      <c r="L495" s="524"/>
      <c r="M495" s="524"/>
      <c r="N495" s="524"/>
      <c r="O495" s="524"/>
      <c r="P495" s="524"/>
      <c r="Q495" s="524"/>
      <c r="R495" s="524"/>
      <c r="S495" s="524"/>
      <c r="T495" s="524"/>
      <c r="U495" s="524"/>
      <c r="V495" s="524"/>
      <c r="W495" s="524"/>
      <c r="X495" s="524"/>
      <c r="Y495" s="524"/>
      <c r="Z495" s="524"/>
    </row>
    <row r="496" ht="13.5" customHeight="1">
      <c r="A496" s="524"/>
      <c r="B496" s="525"/>
      <c r="C496" s="524"/>
      <c r="D496" s="524"/>
      <c r="E496" s="524"/>
      <c r="F496" s="524"/>
      <c r="G496" s="524"/>
      <c r="H496" s="524"/>
      <c r="I496" s="524"/>
      <c r="J496" s="524"/>
      <c r="K496" s="524"/>
      <c r="L496" s="524"/>
      <c r="M496" s="524"/>
      <c r="N496" s="524"/>
      <c r="O496" s="524"/>
      <c r="P496" s="524"/>
      <c r="Q496" s="524"/>
      <c r="R496" s="524"/>
      <c r="S496" s="524"/>
      <c r="T496" s="524"/>
      <c r="U496" s="524"/>
      <c r="V496" s="524"/>
      <c r="W496" s="524"/>
      <c r="X496" s="524"/>
      <c r="Y496" s="524"/>
      <c r="Z496" s="524"/>
    </row>
    <row r="497" ht="13.5" customHeight="1">
      <c r="A497" s="524"/>
      <c r="B497" s="525"/>
      <c r="C497" s="524"/>
      <c r="D497" s="524"/>
      <c r="E497" s="524"/>
      <c r="F497" s="524"/>
      <c r="G497" s="524"/>
      <c r="H497" s="524"/>
      <c r="I497" s="524"/>
      <c r="J497" s="524"/>
      <c r="K497" s="524"/>
      <c r="L497" s="524"/>
      <c r="M497" s="524"/>
      <c r="N497" s="524"/>
      <c r="O497" s="524"/>
      <c r="P497" s="524"/>
      <c r="Q497" s="524"/>
      <c r="R497" s="524"/>
      <c r="S497" s="524"/>
      <c r="T497" s="524"/>
      <c r="U497" s="524"/>
      <c r="V497" s="524"/>
      <c r="W497" s="524"/>
      <c r="X497" s="524"/>
      <c r="Y497" s="524"/>
      <c r="Z497" s="524"/>
    </row>
    <row r="498" ht="13.5" customHeight="1">
      <c r="A498" s="524"/>
      <c r="B498" s="525"/>
      <c r="C498" s="524"/>
      <c r="D498" s="524"/>
      <c r="E498" s="524"/>
      <c r="F498" s="524"/>
      <c r="G498" s="524"/>
      <c r="H498" s="524"/>
      <c r="I498" s="524"/>
      <c r="J498" s="524"/>
      <c r="K498" s="524"/>
      <c r="L498" s="524"/>
      <c r="M498" s="524"/>
      <c r="N498" s="524"/>
      <c r="O498" s="524"/>
      <c r="P498" s="524"/>
      <c r="Q498" s="524"/>
      <c r="R498" s="524"/>
      <c r="S498" s="524"/>
      <c r="T498" s="524"/>
      <c r="U498" s="524"/>
      <c r="V498" s="524"/>
      <c r="W498" s="524"/>
      <c r="X498" s="524"/>
      <c r="Y498" s="524"/>
      <c r="Z498" s="524"/>
    </row>
    <row r="499" ht="13.5" customHeight="1">
      <c r="A499" s="524"/>
      <c r="B499" s="525"/>
      <c r="C499" s="524"/>
      <c r="D499" s="524"/>
      <c r="E499" s="524"/>
      <c r="F499" s="524"/>
      <c r="G499" s="524"/>
      <c r="H499" s="524"/>
      <c r="I499" s="524"/>
      <c r="J499" s="524"/>
      <c r="K499" s="524"/>
      <c r="L499" s="524"/>
      <c r="M499" s="524"/>
      <c r="N499" s="524"/>
      <c r="O499" s="524"/>
      <c r="P499" s="524"/>
      <c r="Q499" s="524"/>
      <c r="R499" s="524"/>
      <c r="S499" s="524"/>
      <c r="T499" s="524"/>
      <c r="U499" s="524"/>
      <c r="V499" s="524"/>
      <c r="W499" s="524"/>
      <c r="X499" s="524"/>
      <c r="Y499" s="524"/>
      <c r="Z499" s="524"/>
    </row>
    <row r="500" ht="13.5" customHeight="1">
      <c r="A500" s="524"/>
      <c r="B500" s="525"/>
      <c r="C500" s="524"/>
      <c r="D500" s="524"/>
      <c r="E500" s="524"/>
      <c r="F500" s="524"/>
      <c r="G500" s="524"/>
      <c r="H500" s="524"/>
      <c r="I500" s="524"/>
      <c r="J500" s="524"/>
      <c r="K500" s="524"/>
      <c r="L500" s="524"/>
      <c r="M500" s="524"/>
      <c r="N500" s="524"/>
      <c r="O500" s="524"/>
      <c r="P500" s="524"/>
      <c r="Q500" s="524"/>
      <c r="R500" s="524"/>
      <c r="S500" s="524"/>
      <c r="T500" s="524"/>
      <c r="U500" s="524"/>
      <c r="V500" s="524"/>
      <c r="W500" s="524"/>
      <c r="X500" s="524"/>
      <c r="Y500" s="524"/>
      <c r="Z500" s="524"/>
    </row>
    <row r="501" ht="13.5" customHeight="1">
      <c r="A501" s="524"/>
      <c r="B501" s="525"/>
      <c r="C501" s="524"/>
      <c r="D501" s="524"/>
      <c r="E501" s="524"/>
      <c r="F501" s="524"/>
      <c r="G501" s="524"/>
      <c r="H501" s="524"/>
      <c r="I501" s="524"/>
      <c r="J501" s="524"/>
      <c r="K501" s="524"/>
      <c r="L501" s="524"/>
      <c r="M501" s="524"/>
      <c r="N501" s="524"/>
      <c r="O501" s="524"/>
      <c r="P501" s="524"/>
      <c r="Q501" s="524"/>
      <c r="R501" s="524"/>
      <c r="S501" s="524"/>
      <c r="T501" s="524"/>
      <c r="U501" s="524"/>
      <c r="V501" s="524"/>
      <c r="W501" s="524"/>
      <c r="X501" s="524"/>
      <c r="Y501" s="524"/>
      <c r="Z501" s="524"/>
    </row>
    <row r="502" ht="13.5" customHeight="1">
      <c r="A502" s="524"/>
      <c r="B502" s="525"/>
      <c r="C502" s="524"/>
      <c r="D502" s="524"/>
      <c r="E502" s="524"/>
      <c r="F502" s="524"/>
      <c r="G502" s="524"/>
      <c r="H502" s="524"/>
      <c r="I502" s="524"/>
      <c r="J502" s="524"/>
      <c r="K502" s="524"/>
      <c r="L502" s="524"/>
      <c r="M502" s="524"/>
      <c r="N502" s="524"/>
      <c r="O502" s="524"/>
      <c r="P502" s="524"/>
      <c r="Q502" s="524"/>
      <c r="R502" s="524"/>
      <c r="S502" s="524"/>
      <c r="T502" s="524"/>
      <c r="U502" s="524"/>
      <c r="V502" s="524"/>
      <c r="W502" s="524"/>
      <c r="X502" s="524"/>
      <c r="Y502" s="524"/>
      <c r="Z502" s="524"/>
    </row>
    <row r="503" ht="13.5" customHeight="1">
      <c r="A503" s="524"/>
      <c r="B503" s="525"/>
      <c r="C503" s="524"/>
      <c r="D503" s="524"/>
      <c r="E503" s="524"/>
      <c r="F503" s="524"/>
      <c r="G503" s="524"/>
      <c r="H503" s="524"/>
      <c r="I503" s="524"/>
      <c r="J503" s="524"/>
      <c r="K503" s="524"/>
      <c r="L503" s="524"/>
      <c r="M503" s="524"/>
      <c r="N503" s="524"/>
      <c r="O503" s="524"/>
      <c r="P503" s="524"/>
      <c r="Q503" s="524"/>
      <c r="R503" s="524"/>
      <c r="S503" s="524"/>
      <c r="T503" s="524"/>
      <c r="U503" s="524"/>
      <c r="V503" s="524"/>
      <c r="W503" s="524"/>
      <c r="X503" s="524"/>
      <c r="Y503" s="524"/>
      <c r="Z503" s="524"/>
    </row>
    <row r="504" ht="13.5" customHeight="1">
      <c r="A504" s="524"/>
      <c r="B504" s="525"/>
      <c r="C504" s="524"/>
      <c r="D504" s="524"/>
      <c r="E504" s="524"/>
      <c r="F504" s="524"/>
      <c r="G504" s="524"/>
      <c r="H504" s="524"/>
      <c r="I504" s="524"/>
      <c r="J504" s="524"/>
      <c r="K504" s="524"/>
      <c r="L504" s="524"/>
      <c r="M504" s="524"/>
      <c r="N504" s="524"/>
      <c r="O504" s="524"/>
      <c r="P504" s="524"/>
      <c r="Q504" s="524"/>
      <c r="R504" s="524"/>
      <c r="S504" s="524"/>
      <c r="T504" s="524"/>
      <c r="U504" s="524"/>
      <c r="V504" s="524"/>
      <c r="W504" s="524"/>
      <c r="X504" s="524"/>
      <c r="Y504" s="524"/>
      <c r="Z504" s="524"/>
    </row>
    <row r="505" ht="13.5" customHeight="1">
      <c r="A505" s="524"/>
      <c r="B505" s="525"/>
      <c r="C505" s="524"/>
      <c r="D505" s="524"/>
      <c r="E505" s="524"/>
      <c r="F505" s="524"/>
      <c r="G505" s="524"/>
      <c r="H505" s="524"/>
      <c r="I505" s="524"/>
      <c r="J505" s="524"/>
      <c r="K505" s="524"/>
      <c r="L505" s="524"/>
      <c r="M505" s="524"/>
      <c r="N505" s="524"/>
      <c r="O505" s="524"/>
      <c r="P505" s="524"/>
      <c r="Q505" s="524"/>
      <c r="R505" s="524"/>
      <c r="S505" s="524"/>
      <c r="T505" s="524"/>
      <c r="U505" s="524"/>
      <c r="V505" s="524"/>
      <c r="W505" s="524"/>
      <c r="X505" s="524"/>
      <c r="Y505" s="524"/>
      <c r="Z505" s="524"/>
    </row>
    <row r="506" ht="13.5" customHeight="1">
      <c r="A506" s="524"/>
      <c r="B506" s="525"/>
      <c r="C506" s="524"/>
      <c r="D506" s="524"/>
      <c r="E506" s="524"/>
      <c r="F506" s="524"/>
      <c r="G506" s="524"/>
      <c r="H506" s="524"/>
      <c r="I506" s="524"/>
      <c r="J506" s="524"/>
      <c r="K506" s="524"/>
      <c r="L506" s="524"/>
      <c r="M506" s="524"/>
      <c r="N506" s="524"/>
      <c r="O506" s="524"/>
      <c r="P506" s="524"/>
      <c r="Q506" s="524"/>
      <c r="R506" s="524"/>
      <c r="S506" s="524"/>
      <c r="T506" s="524"/>
      <c r="U506" s="524"/>
      <c r="V506" s="524"/>
      <c r="W506" s="524"/>
      <c r="X506" s="524"/>
      <c r="Y506" s="524"/>
      <c r="Z506" s="524"/>
    </row>
    <row r="507" ht="13.5" customHeight="1">
      <c r="A507" s="524"/>
      <c r="B507" s="525"/>
      <c r="C507" s="524"/>
      <c r="D507" s="524"/>
      <c r="E507" s="524"/>
      <c r="F507" s="524"/>
      <c r="G507" s="524"/>
      <c r="H507" s="524"/>
      <c r="I507" s="524"/>
      <c r="J507" s="524"/>
      <c r="K507" s="524"/>
      <c r="L507" s="524"/>
      <c r="M507" s="524"/>
      <c r="N507" s="524"/>
      <c r="O507" s="524"/>
      <c r="P507" s="524"/>
      <c r="Q507" s="524"/>
      <c r="R507" s="524"/>
      <c r="S507" s="524"/>
      <c r="T507" s="524"/>
      <c r="U507" s="524"/>
      <c r="V507" s="524"/>
      <c r="W507" s="524"/>
      <c r="X507" s="524"/>
      <c r="Y507" s="524"/>
      <c r="Z507" s="524"/>
    </row>
    <row r="508" ht="13.5" customHeight="1">
      <c r="A508" s="524"/>
      <c r="B508" s="525"/>
      <c r="C508" s="524"/>
      <c r="D508" s="524"/>
      <c r="E508" s="524"/>
      <c r="F508" s="524"/>
      <c r="G508" s="524"/>
      <c r="H508" s="524"/>
      <c r="I508" s="524"/>
      <c r="J508" s="524"/>
      <c r="K508" s="524"/>
      <c r="L508" s="524"/>
      <c r="M508" s="524"/>
      <c r="N508" s="524"/>
      <c r="O508" s="524"/>
      <c r="P508" s="524"/>
      <c r="Q508" s="524"/>
      <c r="R508" s="524"/>
      <c r="S508" s="524"/>
      <c r="T508" s="524"/>
      <c r="U508" s="524"/>
      <c r="V508" s="524"/>
      <c r="W508" s="524"/>
      <c r="X508" s="524"/>
      <c r="Y508" s="524"/>
      <c r="Z508" s="524"/>
    </row>
    <row r="509" ht="13.5" customHeight="1">
      <c r="A509" s="524"/>
      <c r="B509" s="525"/>
      <c r="C509" s="524"/>
      <c r="D509" s="524"/>
      <c r="E509" s="524"/>
      <c r="F509" s="524"/>
      <c r="G509" s="524"/>
      <c r="H509" s="524"/>
      <c r="I509" s="524"/>
      <c r="J509" s="524"/>
      <c r="K509" s="524"/>
      <c r="L509" s="524"/>
      <c r="M509" s="524"/>
      <c r="N509" s="524"/>
      <c r="O509" s="524"/>
      <c r="P509" s="524"/>
      <c r="Q509" s="524"/>
      <c r="R509" s="524"/>
      <c r="S509" s="524"/>
      <c r="T509" s="524"/>
      <c r="U509" s="524"/>
      <c r="V509" s="524"/>
      <c r="W509" s="524"/>
      <c r="X509" s="524"/>
      <c r="Y509" s="524"/>
      <c r="Z509" s="524"/>
    </row>
    <row r="510" ht="13.5" customHeight="1">
      <c r="A510" s="524"/>
      <c r="B510" s="525"/>
      <c r="C510" s="524"/>
      <c r="D510" s="524"/>
      <c r="E510" s="524"/>
      <c r="F510" s="524"/>
      <c r="G510" s="524"/>
      <c r="H510" s="524"/>
      <c r="I510" s="524"/>
      <c r="J510" s="524"/>
      <c r="K510" s="524"/>
      <c r="L510" s="524"/>
      <c r="M510" s="524"/>
      <c r="N510" s="524"/>
      <c r="O510" s="524"/>
      <c r="P510" s="524"/>
      <c r="Q510" s="524"/>
      <c r="R510" s="524"/>
      <c r="S510" s="524"/>
      <c r="T510" s="524"/>
      <c r="U510" s="524"/>
      <c r="V510" s="524"/>
      <c r="W510" s="524"/>
      <c r="X510" s="524"/>
      <c r="Y510" s="524"/>
      <c r="Z510" s="524"/>
    </row>
    <row r="511" ht="13.5" customHeight="1">
      <c r="A511" s="524"/>
      <c r="B511" s="525"/>
      <c r="C511" s="524"/>
      <c r="D511" s="524"/>
      <c r="E511" s="524"/>
      <c r="F511" s="524"/>
      <c r="G511" s="524"/>
      <c r="H511" s="524"/>
      <c r="I511" s="524"/>
      <c r="J511" s="524"/>
      <c r="K511" s="524"/>
      <c r="L511" s="524"/>
      <c r="M511" s="524"/>
      <c r="N511" s="524"/>
      <c r="O511" s="524"/>
      <c r="P511" s="524"/>
      <c r="Q511" s="524"/>
      <c r="R511" s="524"/>
      <c r="S511" s="524"/>
      <c r="T511" s="524"/>
      <c r="U511" s="524"/>
      <c r="V511" s="524"/>
      <c r="W511" s="524"/>
      <c r="X511" s="524"/>
      <c r="Y511" s="524"/>
      <c r="Z511" s="524"/>
    </row>
    <row r="512" ht="13.5" customHeight="1">
      <c r="A512" s="524"/>
      <c r="B512" s="525"/>
      <c r="C512" s="524"/>
      <c r="D512" s="524"/>
      <c r="E512" s="524"/>
      <c r="F512" s="524"/>
      <c r="G512" s="524"/>
      <c r="H512" s="524"/>
      <c r="I512" s="524"/>
      <c r="J512" s="524"/>
      <c r="K512" s="524"/>
      <c r="L512" s="524"/>
      <c r="M512" s="524"/>
      <c r="N512" s="524"/>
      <c r="O512" s="524"/>
      <c r="P512" s="524"/>
      <c r="Q512" s="524"/>
      <c r="R512" s="524"/>
      <c r="S512" s="524"/>
      <c r="T512" s="524"/>
      <c r="U512" s="524"/>
      <c r="V512" s="524"/>
      <c r="W512" s="524"/>
      <c r="X512" s="524"/>
      <c r="Y512" s="524"/>
      <c r="Z512" s="524"/>
    </row>
    <row r="513" ht="13.5" customHeight="1">
      <c r="A513" s="524"/>
      <c r="B513" s="525"/>
      <c r="C513" s="524"/>
      <c r="D513" s="524"/>
      <c r="E513" s="524"/>
      <c r="F513" s="524"/>
      <c r="G513" s="524"/>
      <c r="H513" s="524"/>
      <c r="I513" s="524"/>
      <c r="J513" s="524"/>
      <c r="K513" s="524"/>
      <c r="L513" s="524"/>
      <c r="M513" s="524"/>
      <c r="N513" s="524"/>
      <c r="O513" s="524"/>
      <c r="P513" s="524"/>
      <c r="Q513" s="524"/>
      <c r="R513" s="524"/>
      <c r="S513" s="524"/>
      <c r="T513" s="524"/>
      <c r="U513" s="524"/>
      <c r="V513" s="524"/>
      <c r="W513" s="524"/>
      <c r="X513" s="524"/>
      <c r="Y513" s="524"/>
      <c r="Z513" s="524"/>
    </row>
    <row r="514" ht="13.5" customHeight="1">
      <c r="A514" s="524"/>
      <c r="B514" s="525"/>
      <c r="C514" s="524"/>
      <c r="D514" s="524"/>
      <c r="E514" s="524"/>
      <c r="F514" s="524"/>
      <c r="G514" s="524"/>
      <c r="H514" s="524"/>
      <c r="I514" s="524"/>
      <c r="J514" s="524"/>
      <c r="K514" s="524"/>
      <c r="L514" s="524"/>
      <c r="M514" s="524"/>
      <c r="N514" s="524"/>
      <c r="O514" s="524"/>
      <c r="P514" s="524"/>
      <c r="Q514" s="524"/>
      <c r="R514" s="524"/>
      <c r="S514" s="524"/>
      <c r="T514" s="524"/>
      <c r="U514" s="524"/>
      <c r="V514" s="524"/>
      <c r="W514" s="524"/>
      <c r="X514" s="524"/>
      <c r="Y514" s="524"/>
      <c r="Z514" s="524"/>
    </row>
    <row r="515" ht="13.5" customHeight="1">
      <c r="A515" s="524"/>
      <c r="B515" s="525"/>
      <c r="C515" s="524"/>
      <c r="D515" s="524"/>
      <c r="E515" s="524"/>
      <c r="F515" s="524"/>
      <c r="G515" s="524"/>
      <c r="H515" s="524"/>
      <c r="I515" s="524"/>
      <c r="J515" s="524"/>
      <c r="K515" s="524"/>
      <c r="L515" s="524"/>
      <c r="M515" s="524"/>
      <c r="N515" s="524"/>
      <c r="O515" s="524"/>
      <c r="P515" s="524"/>
      <c r="Q515" s="524"/>
      <c r="R515" s="524"/>
      <c r="S515" s="524"/>
      <c r="T515" s="524"/>
      <c r="U515" s="524"/>
      <c r="V515" s="524"/>
      <c r="W515" s="524"/>
      <c r="X515" s="524"/>
      <c r="Y515" s="524"/>
      <c r="Z515" s="524"/>
    </row>
    <row r="516" ht="13.5" customHeight="1">
      <c r="A516" s="524"/>
      <c r="B516" s="525"/>
      <c r="C516" s="524"/>
      <c r="D516" s="524"/>
      <c r="E516" s="524"/>
      <c r="F516" s="524"/>
      <c r="G516" s="524"/>
      <c r="H516" s="524"/>
      <c r="I516" s="524"/>
      <c r="J516" s="524"/>
      <c r="K516" s="524"/>
      <c r="L516" s="524"/>
      <c r="M516" s="524"/>
      <c r="N516" s="524"/>
      <c r="O516" s="524"/>
      <c r="P516" s="524"/>
      <c r="Q516" s="524"/>
      <c r="R516" s="524"/>
      <c r="S516" s="524"/>
      <c r="T516" s="524"/>
      <c r="U516" s="524"/>
      <c r="V516" s="524"/>
      <c r="W516" s="524"/>
      <c r="X516" s="524"/>
      <c r="Y516" s="524"/>
      <c r="Z516" s="524"/>
    </row>
    <row r="517" ht="13.5" customHeight="1">
      <c r="A517" s="524"/>
      <c r="B517" s="525"/>
      <c r="C517" s="524"/>
      <c r="D517" s="524"/>
      <c r="E517" s="524"/>
      <c r="F517" s="524"/>
      <c r="G517" s="524"/>
      <c r="H517" s="524"/>
      <c r="I517" s="524"/>
      <c r="J517" s="524"/>
      <c r="K517" s="524"/>
      <c r="L517" s="524"/>
      <c r="M517" s="524"/>
      <c r="N517" s="524"/>
      <c r="O517" s="524"/>
      <c r="P517" s="524"/>
      <c r="Q517" s="524"/>
      <c r="R517" s="524"/>
      <c r="S517" s="524"/>
      <c r="T517" s="524"/>
      <c r="U517" s="524"/>
      <c r="V517" s="524"/>
      <c r="W517" s="524"/>
      <c r="X517" s="524"/>
      <c r="Y517" s="524"/>
      <c r="Z517" s="524"/>
    </row>
    <row r="518" ht="13.5" customHeight="1">
      <c r="A518" s="524"/>
      <c r="B518" s="525"/>
      <c r="C518" s="524"/>
      <c r="D518" s="524"/>
      <c r="E518" s="524"/>
      <c r="F518" s="524"/>
      <c r="G518" s="524"/>
      <c r="H518" s="524"/>
      <c r="I518" s="524"/>
      <c r="J518" s="524"/>
      <c r="K518" s="524"/>
      <c r="L518" s="524"/>
      <c r="M518" s="524"/>
      <c r="N518" s="524"/>
      <c r="O518" s="524"/>
      <c r="P518" s="524"/>
      <c r="Q518" s="524"/>
      <c r="R518" s="524"/>
      <c r="S518" s="524"/>
      <c r="T518" s="524"/>
      <c r="U518" s="524"/>
      <c r="V518" s="524"/>
      <c r="W518" s="524"/>
      <c r="X518" s="524"/>
      <c r="Y518" s="524"/>
      <c r="Z518" s="524"/>
    </row>
    <row r="519" ht="13.5" customHeight="1">
      <c r="A519" s="524"/>
      <c r="B519" s="525"/>
      <c r="C519" s="524"/>
      <c r="D519" s="524"/>
      <c r="E519" s="524"/>
      <c r="F519" s="524"/>
      <c r="G519" s="524"/>
      <c r="H519" s="524"/>
      <c r="I519" s="524"/>
      <c r="J519" s="524"/>
      <c r="K519" s="524"/>
      <c r="L519" s="524"/>
      <c r="M519" s="524"/>
      <c r="N519" s="524"/>
      <c r="O519" s="524"/>
      <c r="P519" s="524"/>
      <c r="Q519" s="524"/>
      <c r="R519" s="524"/>
      <c r="S519" s="524"/>
      <c r="T519" s="524"/>
      <c r="U519" s="524"/>
      <c r="V519" s="524"/>
      <c r="W519" s="524"/>
      <c r="X519" s="524"/>
      <c r="Y519" s="524"/>
      <c r="Z519" s="524"/>
    </row>
    <row r="520" ht="13.5" customHeight="1">
      <c r="A520" s="524"/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</row>
    <row r="521" ht="13.5" customHeight="1">
      <c r="A521" s="524"/>
      <c r="B521" s="525"/>
      <c r="C521" s="524"/>
      <c r="D521" s="524"/>
      <c r="E521" s="524"/>
      <c r="F521" s="524"/>
      <c r="G521" s="524"/>
      <c r="H521" s="524"/>
      <c r="I521" s="524"/>
      <c r="J521" s="524"/>
      <c r="K521" s="524"/>
      <c r="L521" s="524"/>
      <c r="M521" s="524"/>
      <c r="N521" s="524"/>
      <c r="O521" s="524"/>
      <c r="P521" s="524"/>
      <c r="Q521" s="524"/>
      <c r="R521" s="524"/>
      <c r="S521" s="524"/>
      <c r="T521" s="524"/>
      <c r="U521" s="524"/>
      <c r="V521" s="524"/>
      <c r="W521" s="524"/>
      <c r="X521" s="524"/>
      <c r="Y521" s="524"/>
      <c r="Z521" s="524"/>
    </row>
    <row r="522" ht="13.5" customHeight="1">
      <c r="A522" s="524"/>
      <c r="B522" s="525"/>
      <c r="C522" s="524"/>
      <c r="D522" s="524"/>
      <c r="E522" s="524"/>
      <c r="F522" s="524"/>
      <c r="G522" s="524"/>
      <c r="H522" s="524"/>
      <c r="I522" s="524"/>
      <c r="J522" s="524"/>
      <c r="K522" s="524"/>
      <c r="L522" s="524"/>
      <c r="M522" s="524"/>
      <c r="N522" s="524"/>
      <c r="O522" s="524"/>
      <c r="P522" s="524"/>
      <c r="Q522" s="524"/>
      <c r="R522" s="524"/>
      <c r="S522" s="524"/>
      <c r="T522" s="524"/>
      <c r="U522" s="524"/>
      <c r="V522" s="524"/>
      <c r="W522" s="524"/>
      <c r="X522" s="524"/>
      <c r="Y522" s="524"/>
      <c r="Z522" s="524"/>
    </row>
    <row r="523" ht="13.5" customHeight="1">
      <c r="A523" s="524"/>
      <c r="B523" s="525"/>
      <c r="C523" s="524"/>
      <c r="D523" s="524"/>
      <c r="E523" s="524"/>
      <c r="F523" s="524"/>
      <c r="G523" s="524"/>
      <c r="H523" s="524"/>
      <c r="I523" s="524"/>
      <c r="J523" s="524"/>
      <c r="K523" s="524"/>
      <c r="L523" s="524"/>
      <c r="M523" s="524"/>
      <c r="N523" s="524"/>
      <c r="O523" s="524"/>
      <c r="P523" s="524"/>
      <c r="Q523" s="524"/>
      <c r="R523" s="524"/>
      <c r="S523" s="524"/>
      <c r="T523" s="524"/>
      <c r="U523" s="524"/>
      <c r="V523" s="524"/>
      <c r="W523" s="524"/>
      <c r="X523" s="524"/>
      <c r="Y523" s="524"/>
      <c r="Z523" s="524"/>
    </row>
    <row r="524" ht="13.5" customHeight="1">
      <c r="A524" s="524"/>
      <c r="B524" s="525"/>
      <c r="C524" s="524"/>
      <c r="D524" s="524"/>
      <c r="E524" s="524"/>
      <c r="F524" s="524"/>
      <c r="G524" s="524"/>
      <c r="H524" s="524"/>
      <c r="I524" s="524"/>
      <c r="J524" s="524"/>
      <c r="K524" s="524"/>
      <c r="L524" s="524"/>
      <c r="M524" s="524"/>
      <c r="N524" s="524"/>
      <c r="O524" s="524"/>
      <c r="P524" s="524"/>
      <c r="Q524" s="524"/>
      <c r="R524" s="524"/>
      <c r="S524" s="524"/>
      <c r="T524" s="524"/>
      <c r="U524" s="524"/>
      <c r="V524" s="524"/>
      <c r="W524" s="524"/>
      <c r="X524" s="524"/>
      <c r="Y524" s="524"/>
      <c r="Z524" s="524"/>
    </row>
    <row r="525" ht="13.5" customHeight="1">
      <c r="A525" s="524"/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</row>
    <row r="526" ht="13.5" customHeight="1">
      <c r="A526" s="524"/>
      <c r="B526" s="525"/>
      <c r="C526" s="524"/>
      <c r="D526" s="524"/>
      <c r="E526" s="524"/>
      <c r="F526" s="524"/>
      <c r="G526" s="524"/>
      <c r="H526" s="524"/>
      <c r="I526" s="524"/>
      <c r="J526" s="524"/>
      <c r="K526" s="524"/>
      <c r="L526" s="524"/>
      <c r="M526" s="524"/>
      <c r="N526" s="524"/>
      <c r="O526" s="524"/>
      <c r="P526" s="524"/>
      <c r="Q526" s="524"/>
      <c r="R526" s="524"/>
      <c r="S526" s="524"/>
      <c r="T526" s="524"/>
      <c r="U526" s="524"/>
      <c r="V526" s="524"/>
      <c r="W526" s="524"/>
      <c r="X526" s="524"/>
      <c r="Y526" s="524"/>
      <c r="Z526" s="524"/>
    </row>
    <row r="527" ht="13.5" customHeight="1">
      <c r="A527" s="524"/>
      <c r="B527" s="525"/>
      <c r="C527" s="524"/>
      <c r="D527" s="524"/>
      <c r="E527" s="524"/>
      <c r="F527" s="524"/>
      <c r="G527" s="524"/>
      <c r="H527" s="524"/>
      <c r="I527" s="524"/>
      <c r="J527" s="524"/>
      <c r="K527" s="524"/>
      <c r="L527" s="524"/>
      <c r="M527" s="524"/>
      <c r="N527" s="524"/>
      <c r="O527" s="524"/>
      <c r="P527" s="524"/>
      <c r="Q527" s="524"/>
      <c r="R527" s="524"/>
      <c r="S527" s="524"/>
      <c r="T527" s="524"/>
      <c r="U527" s="524"/>
      <c r="V527" s="524"/>
      <c r="W527" s="524"/>
      <c r="X527" s="524"/>
      <c r="Y527" s="524"/>
      <c r="Z527" s="524"/>
    </row>
    <row r="528" ht="13.5" customHeight="1">
      <c r="A528" s="524"/>
      <c r="B528" s="525"/>
      <c r="C528" s="524"/>
      <c r="D528" s="524"/>
      <c r="E528" s="524"/>
      <c r="F528" s="524"/>
      <c r="G528" s="524"/>
      <c r="H528" s="524"/>
      <c r="I528" s="524"/>
      <c r="J528" s="524"/>
      <c r="K528" s="524"/>
      <c r="L528" s="524"/>
      <c r="M528" s="524"/>
      <c r="N528" s="524"/>
      <c r="O528" s="524"/>
      <c r="P528" s="524"/>
      <c r="Q528" s="524"/>
      <c r="R528" s="524"/>
      <c r="S528" s="524"/>
      <c r="T528" s="524"/>
      <c r="U528" s="524"/>
      <c r="V528" s="524"/>
      <c r="W528" s="524"/>
      <c r="X528" s="524"/>
      <c r="Y528" s="524"/>
      <c r="Z528" s="524"/>
    </row>
    <row r="529" ht="13.5" customHeight="1">
      <c r="A529" s="524"/>
      <c r="B529" s="525"/>
      <c r="C529" s="524"/>
      <c r="D529" s="524"/>
      <c r="E529" s="524"/>
      <c r="F529" s="524"/>
      <c r="G529" s="524"/>
      <c r="H529" s="524"/>
      <c r="I529" s="524"/>
      <c r="J529" s="524"/>
      <c r="K529" s="524"/>
      <c r="L529" s="524"/>
      <c r="M529" s="524"/>
      <c r="N529" s="524"/>
      <c r="O529" s="524"/>
      <c r="P529" s="524"/>
      <c r="Q529" s="524"/>
      <c r="R529" s="524"/>
      <c r="S529" s="524"/>
      <c r="T529" s="524"/>
      <c r="U529" s="524"/>
      <c r="V529" s="524"/>
      <c r="W529" s="524"/>
      <c r="X529" s="524"/>
      <c r="Y529" s="524"/>
      <c r="Z529" s="524"/>
    </row>
    <row r="530" ht="13.5" customHeight="1">
      <c r="A530" s="524"/>
      <c r="B530" s="525"/>
      <c r="C530" s="524"/>
      <c r="D530" s="524"/>
      <c r="E530" s="524"/>
      <c r="F530" s="524"/>
      <c r="G530" s="524"/>
      <c r="H530" s="524"/>
      <c r="I530" s="524"/>
      <c r="J530" s="524"/>
      <c r="K530" s="524"/>
      <c r="L530" s="524"/>
      <c r="M530" s="524"/>
      <c r="N530" s="524"/>
      <c r="O530" s="524"/>
      <c r="P530" s="524"/>
      <c r="Q530" s="524"/>
      <c r="R530" s="524"/>
      <c r="S530" s="524"/>
      <c r="T530" s="524"/>
      <c r="U530" s="524"/>
      <c r="V530" s="524"/>
      <c r="W530" s="524"/>
      <c r="X530" s="524"/>
      <c r="Y530" s="524"/>
      <c r="Z530" s="524"/>
    </row>
    <row r="531" ht="13.5" customHeight="1">
      <c r="A531" s="524"/>
      <c r="B531" s="525"/>
      <c r="C531" s="524"/>
      <c r="D531" s="524"/>
      <c r="E531" s="524"/>
      <c r="F531" s="524"/>
      <c r="G531" s="524"/>
      <c r="H531" s="524"/>
      <c r="I531" s="524"/>
      <c r="J531" s="524"/>
      <c r="K531" s="524"/>
      <c r="L531" s="524"/>
      <c r="M531" s="524"/>
      <c r="N531" s="524"/>
      <c r="O531" s="524"/>
      <c r="P531" s="524"/>
      <c r="Q531" s="524"/>
      <c r="R531" s="524"/>
      <c r="S531" s="524"/>
      <c r="T531" s="524"/>
      <c r="U531" s="524"/>
      <c r="V531" s="524"/>
      <c r="W531" s="524"/>
      <c r="X531" s="524"/>
      <c r="Y531" s="524"/>
      <c r="Z531" s="524"/>
    </row>
    <row r="532" ht="13.5" customHeight="1">
      <c r="A532" s="524"/>
      <c r="B532" s="525"/>
      <c r="C532" s="524"/>
      <c r="D532" s="524"/>
      <c r="E532" s="524"/>
      <c r="F532" s="524"/>
      <c r="G532" s="524"/>
      <c r="H532" s="524"/>
      <c r="I532" s="524"/>
      <c r="J532" s="524"/>
      <c r="K532" s="524"/>
      <c r="L532" s="524"/>
      <c r="M532" s="524"/>
      <c r="N532" s="524"/>
      <c r="O532" s="524"/>
      <c r="P532" s="524"/>
      <c r="Q532" s="524"/>
      <c r="R532" s="524"/>
      <c r="S532" s="524"/>
      <c r="T532" s="524"/>
      <c r="U532" s="524"/>
      <c r="V532" s="524"/>
      <c r="W532" s="524"/>
      <c r="X532" s="524"/>
      <c r="Y532" s="524"/>
      <c r="Z532" s="524"/>
    </row>
    <row r="533" ht="13.5" customHeight="1">
      <c r="A533" s="524"/>
      <c r="B533" s="525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</row>
    <row r="534" ht="13.5" customHeight="1">
      <c r="A534" s="524"/>
      <c r="B534" s="525"/>
      <c r="C534" s="524"/>
      <c r="D534" s="524"/>
      <c r="E534" s="524"/>
      <c r="F534" s="524"/>
      <c r="G534" s="524"/>
      <c r="H534" s="524"/>
      <c r="I534" s="524"/>
      <c r="J534" s="524"/>
      <c r="K534" s="524"/>
      <c r="L534" s="524"/>
      <c r="M534" s="524"/>
      <c r="N534" s="524"/>
      <c r="O534" s="524"/>
      <c r="P534" s="524"/>
      <c r="Q534" s="524"/>
      <c r="R534" s="524"/>
      <c r="S534" s="524"/>
      <c r="T534" s="524"/>
      <c r="U534" s="524"/>
      <c r="V534" s="524"/>
      <c r="W534" s="524"/>
      <c r="X534" s="524"/>
      <c r="Y534" s="524"/>
      <c r="Z534" s="524"/>
    </row>
    <row r="535" ht="13.5" customHeight="1">
      <c r="A535" s="524"/>
      <c r="B535" s="525"/>
      <c r="C535" s="524"/>
      <c r="D535" s="524"/>
      <c r="E535" s="524"/>
      <c r="F535" s="524"/>
      <c r="G535" s="524"/>
      <c r="H535" s="524"/>
      <c r="I535" s="524"/>
      <c r="J535" s="524"/>
      <c r="K535" s="524"/>
      <c r="L535" s="524"/>
      <c r="M535" s="524"/>
      <c r="N535" s="524"/>
      <c r="O535" s="524"/>
      <c r="P535" s="524"/>
      <c r="Q535" s="524"/>
      <c r="R535" s="524"/>
      <c r="S535" s="524"/>
      <c r="T535" s="524"/>
      <c r="U535" s="524"/>
      <c r="V535" s="524"/>
      <c r="W535" s="524"/>
      <c r="X535" s="524"/>
      <c r="Y535" s="524"/>
      <c r="Z535" s="524"/>
    </row>
    <row r="536" ht="13.5" customHeight="1">
      <c r="A536" s="524"/>
      <c r="B536" s="525"/>
      <c r="C536" s="524"/>
      <c r="D536" s="524"/>
      <c r="E536" s="524"/>
      <c r="F536" s="524"/>
      <c r="G536" s="524"/>
      <c r="H536" s="524"/>
      <c r="I536" s="524"/>
      <c r="J536" s="524"/>
      <c r="K536" s="524"/>
      <c r="L536" s="524"/>
      <c r="M536" s="524"/>
      <c r="N536" s="524"/>
      <c r="O536" s="524"/>
      <c r="P536" s="524"/>
      <c r="Q536" s="524"/>
      <c r="R536" s="524"/>
      <c r="S536" s="524"/>
      <c r="T536" s="524"/>
      <c r="U536" s="524"/>
      <c r="V536" s="524"/>
      <c r="W536" s="524"/>
      <c r="X536" s="524"/>
      <c r="Y536" s="524"/>
      <c r="Z536" s="524"/>
    </row>
    <row r="537" ht="13.5" customHeight="1">
      <c r="A537" s="524"/>
      <c r="B537" s="525"/>
      <c r="C537" s="524"/>
      <c r="D537" s="524"/>
      <c r="E537" s="524"/>
      <c r="F537" s="524"/>
      <c r="G537" s="524"/>
      <c r="H537" s="524"/>
      <c r="I537" s="524"/>
      <c r="J537" s="524"/>
      <c r="K537" s="524"/>
      <c r="L537" s="524"/>
      <c r="M537" s="524"/>
      <c r="N537" s="524"/>
      <c r="O537" s="524"/>
      <c r="P537" s="524"/>
      <c r="Q537" s="524"/>
      <c r="R537" s="524"/>
      <c r="S537" s="524"/>
      <c r="T537" s="524"/>
      <c r="U537" s="524"/>
      <c r="V537" s="524"/>
      <c r="W537" s="524"/>
      <c r="X537" s="524"/>
      <c r="Y537" s="524"/>
      <c r="Z537" s="524"/>
    </row>
    <row r="538" ht="13.5" customHeight="1">
      <c r="A538" s="524"/>
      <c r="B538" s="525"/>
      <c r="C538" s="524"/>
      <c r="D538" s="524"/>
      <c r="E538" s="524"/>
      <c r="F538" s="524"/>
      <c r="G538" s="524"/>
      <c r="H538" s="524"/>
      <c r="I538" s="524"/>
      <c r="J538" s="524"/>
      <c r="K538" s="524"/>
      <c r="L538" s="524"/>
      <c r="M538" s="524"/>
      <c r="N538" s="524"/>
      <c r="O538" s="524"/>
      <c r="P538" s="524"/>
      <c r="Q538" s="524"/>
      <c r="R538" s="524"/>
      <c r="S538" s="524"/>
      <c r="T538" s="524"/>
      <c r="U538" s="524"/>
      <c r="V538" s="524"/>
      <c r="W538" s="524"/>
      <c r="X538" s="524"/>
      <c r="Y538" s="524"/>
      <c r="Z538" s="524"/>
    </row>
    <row r="539" ht="13.5" customHeight="1">
      <c r="A539" s="524"/>
      <c r="B539" s="525"/>
      <c r="C539" s="524"/>
      <c r="D539" s="524"/>
      <c r="E539" s="524"/>
      <c r="F539" s="524"/>
      <c r="G539" s="524"/>
      <c r="H539" s="524"/>
      <c r="I539" s="524"/>
      <c r="J539" s="524"/>
      <c r="K539" s="524"/>
      <c r="L539" s="524"/>
      <c r="M539" s="524"/>
      <c r="N539" s="524"/>
      <c r="O539" s="524"/>
      <c r="P539" s="524"/>
      <c r="Q539" s="524"/>
      <c r="R539" s="524"/>
      <c r="S539" s="524"/>
      <c r="T539" s="524"/>
      <c r="U539" s="524"/>
      <c r="V539" s="524"/>
      <c r="W539" s="524"/>
      <c r="X539" s="524"/>
      <c r="Y539" s="524"/>
      <c r="Z539" s="524"/>
    </row>
    <row r="540" ht="13.5" customHeight="1">
      <c r="A540" s="524"/>
      <c r="B540" s="525"/>
      <c r="C540" s="524"/>
      <c r="D540" s="524"/>
      <c r="E540" s="524"/>
      <c r="F540" s="524"/>
      <c r="G540" s="524"/>
      <c r="H540" s="524"/>
      <c r="I540" s="524"/>
      <c r="J540" s="524"/>
      <c r="K540" s="524"/>
      <c r="L540" s="524"/>
      <c r="M540" s="524"/>
      <c r="N540" s="524"/>
      <c r="O540" s="524"/>
      <c r="P540" s="524"/>
      <c r="Q540" s="524"/>
      <c r="R540" s="524"/>
      <c r="S540" s="524"/>
      <c r="T540" s="524"/>
      <c r="U540" s="524"/>
      <c r="V540" s="524"/>
      <c r="W540" s="524"/>
      <c r="X540" s="524"/>
      <c r="Y540" s="524"/>
      <c r="Z540" s="524"/>
    </row>
    <row r="541" ht="13.5" customHeight="1">
      <c r="A541" s="524"/>
      <c r="B541" s="525"/>
      <c r="C541" s="524"/>
      <c r="D541" s="524"/>
      <c r="E541" s="524"/>
      <c r="F541" s="524"/>
      <c r="G541" s="524"/>
      <c r="H541" s="524"/>
      <c r="I541" s="524"/>
      <c r="J541" s="524"/>
      <c r="K541" s="524"/>
      <c r="L541" s="524"/>
      <c r="M541" s="524"/>
      <c r="N541" s="524"/>
      <c r="O541" s="524"/>
      <c r="P541" s="524"/>
      <c r="Q541" s="524"/>
      <c r="R541" s="524"/>
      <c r="S541" s="524"/>
      <c r="T541" s="524"/>
      <c r="U541" s="524"/>
      <c r="V541" s="524"/>
      <c r="W541" s="524"/>
      <c r="X541" s="524"/>
      <c r="Y541" s="524"/>
      <c r="Z541" s="524"/>
    </row>
    <row r="542" ht="13.5" customHeight="1">
      <c r="A542" s="524"/>
      <c r="B542" s="525"/>
      <c r="C542" s="524"/>
      <c r="D542" s="524"/>
      <c r="E542" s="524"/>
      <c r="F542" s="524"/>
      <c r="G542" s="524"/>
      <c r="H542" s="524"/>
      <c r="I542" s="524"/>
      <c r="J542" s="524"/>
      <c r="K542" s="524"/>
      <c r="L542" s="524"/>
      <c r="M542" s="524"/>
      <c r="N542" s="524"/>
      <c r="O542" s="524"/>
      <c r="P542" s="524"/>
      <c r="Q542" s="524"/>
      <c r="R542" s="524"/>
      <c r="S542" s="524"/>
      <c r="T542" s="524"/>
      <c r="U542" s="524"/>
      <c r="V542" s="524"/>
      <c r="W542" s="524"/>
      <c r="X542" s="524"/>
      <c r="Y542" s="524"/>
      <c r="Z542" s="524"/>
    </row>
    <row r="543" ht="13.5" customHeight="1">
      <c r="A543" s="524"/>
      <c r="B543" s="525"/>
      <c r="C543" s="524"/>
      <c r="D543" s="524"/>
      <c r="E543" s="524"/>
      <c r="F543" s="524"/>
      <c r="G543" s="524"/>
      <c r="H543" s="524"/>
      <c r="I543" s="524"/>
      <c r="J543" s="524"/>
      <c r="K543" s="524"/>
      <c r="L543" s="524"/>
      <c r="M543" s="524"/>
      <c r="N543" s="524"/>
      <c r="O543" s="524"/>
      <c r="P543" s="524"/>
      <c r="Q543" s="524"/>
      <c r="R543" s="524"/>
      <c r="S543" s="524"/>
      <c r="T543" s="524"/>
      <c r="U543" s="524"/>
      <c r="V543" s="524"/>
      <c r="W543" s="524"/>
      <c r="X543" s="524"/>
      <c r="Y543" s="524"/>
      <c r="Z543" s="524"/>
    </row>
    <row r="544" ht="13.5" customHeight="1">
      <c r="A544" s="524"/>
      <c r="B544" s="525"/>
      <c r="C544" s="524"/>
      <c r="D544" s="524"/>
      <c r="E544" s="524"/>
      <c r="F544" s="524"/>
      <c r="G544" s="524"/>
      <c r="H544" s="524"/>
      <c r="I544" s="524"/>
      <c r="J544" s="524"/>
      <c r="K544" s="524"/>
      <c r="L544" s="524"/>
      <c r="M544" s="524"/>
      <c r="N544" s="524"/>
      <c r="O544" s="524"/>
      <c r="P544" s="524"/>
      <c r="Q544" s="524"/>
      <c r="R544" s="524"/>
      <c r="S544" s="524"/>
      <c r="T544" s="524"/>
      <c r="U544" s="524"/>
      <c r="V544" s="524"/>
      <c r="W544" s="524"/>
      <c r="X544" s="524"/>
      <c r="Y544" s="524"/>
      <c r="Z544" s="524"/>
    </row>
    <row r="545" ht="13.5" customHeight="1">
      <c r="A545" s="524"/>
      <c r="B545" s="525"/>
      <c r="C545" s="524"/>
      <c r="D545" s="524"/>
      <c r="E545" s="524"/>
      <c r="F545" s="524"/>
      <c r="G545" s="524"/>
      <c r="H545" s="524"/>
      <c r="I545" s="524"/>
      <c r="J545" s="524"/>
      <c r="K545" s="524"/>
      <c r="L545" s="524"/>
      <c r="M545" s="524"/>
      <c r="N545" s="524"/>
      <c r="O545" s="524"/>
      <c r="P545" s="524"/>
      <c r="Q545" s="524"/>
      <c r="R545" s="524"/>
      <c r="S545" s="524"/>
      <c r="T545" s="524"/>
      <c r="U545" s="524"/>
      <c r="V545" s="524"/>
      <c r="W545" s="524"/>
      <c r="X545" s="524"/>
      <c r="Y545" s="524"/>
      <c r="Z545" s="524"/>
    </row>
    <row r="546" ht="13.5" customHeight="1">
      <c r="A546" s="524"/>
      <c r="B546" s="525"/>
      <c r="C546" s="524"/>
      <c r="D546" s="524"/>
      <c r="E546" s="524"/>
      <c r="F546" s="524"/>
      <c r="G546" s="524"/>
      <c r="H546" s="524"/>
      <c r="I546" s="524"/>
      <c r="J546" s="524"/>
      <c r="K546" s="524"/>
      <c r="L546" s="524"/>
      <c r="M546" s="524"/>
      <c r="N546" s="524"/>
      <c r="O546" s="524"/>
      <c r="P546" s="524"/>
      <c r="Q546" s="524"/>
      <c r="R546" s="524"/>
      <c r="S546" s="524"/>
      <c r="T546" s="524"/>
      <c r="U546" s="524"/>
      <c r="V546" s="524"/>
      <c r="W546" s="524"/>
      <c r="X546" s="524"/>
      <c r="Y546" s="524"/>
      <c r="Z546" s="524"/>
    </row>
    <row r="547" ht="13.5" customHeight="1">
      <c r="A547" s="524"/>
      <c r="B547" s="525"/>
      <c r="C547" s="524"/>
      <c r="D547" s="524"/>
      <c r="E547" s="524"/>
      <c r="F547" s="524"/>
      <c r="G547" s="524"/>
      <c r="H547" s="524"/>
      <c r="I547" s="524"/>
      <c r="J547" s="524"/>
      <c r="K547" s="524"/>
      <c r="L547" s="524"/>
      <c r="M547" s="524"/>
      <c r="N547" s="524"/>
      <c r="O547" s="524"/>
      <c r="P547" s="524"/>
      <c r="Q547" s="524"/>
      <c r="R547" s="524"/>
      <c r="S547" s="524"/>
      <c r="T547" s="524"/>
      <c r="U547" s="524"/>
      <c r="V547" s="524"/>
      <c r="W547" s="524"/>
      <c r="X547" s="524"/>
      <c r="Y547" s="524"/>
      <c r="Z547" s="524"/>
    </row>
    <row r="548" ht="13.5" customHeight="1">
      <c r="A548" s="524"/>
      <c r="B548" s="525"/>
      <c r="C548" s="524"/>
      <c r="D548" s="524"/>
      <c r="E548" s="524"/>
      <c r="F548" s="524"/>
      <c r="G548" s="524"/>
      <c r="H548" s="524"/>
      <c r="I548" s="524"/>
      <c r="J548" s="524"/>
      <c r="K548" s="524"/>
      <c r="L548" s="524"/>
      <c r="M548" s="524"/>
      <c r="N548" s="524"/>
      <c r="O548" s="524"/>
      <c r="P548" s="524"/>
      <c r="Q548" s="524"/>
      <c r="R548" s="524"/>
      <c r="S548" s="524"/>
      <c r="T548" s="524"/>
      <c r="U548" s="524"/>
      <c r="V548" s="524"/>
      <c r="W548" s="524"/>
      <c r="X548" s="524"/>
      <c r="Y548" s="524"/>
      <c r="Z548" s="524"/>
    </row>
    <row r="549" ht="13.5" customHeight="1">
      <c r="A549" s="524"/>
      <c r="B549" s="525"/>
      <c r="C549" s="524"/>
      <c r="D549" s="524"/>
      <c r="E549" s="524"/>
      <c r="F549" s="524"/>
      <c r="G549" s="524"/>
      <c r="H549" s="524"/>
      <c r="I549" s="524"/>
      <c r="J549" s="524"/>
      <c r="K549" s="524"/>
      <c r="L549" s="524"/>
      <c r="M549" s="524"/>
      <c r="N549" s="524"/>
      <c r="O549" s="524"/>
      <c r="P549" s="524"/>
      <c r="Q549" s="524"/>
      <c r="R549" s="524"/>
      <c r="S549" s="524"/>
      <c r="T549" s="524"/>
      <c r="U549" s="524"/>
      <c r="V549" s="524"/>
      <c r="W549" s="524"/>
      <c r="X549" s="524"/>
      <c r="Y549" s="524"/>
      <c r="Z549" s="524"/>
    </row>
    <row r="550" ht="13.5" customHeight="1">
      <c r="A550" s="524"/>
      <c r="B550" s="525"/>
      <c r="C550" s="524"/>
      <c r="D550" s="524"/>
      <c r="E550" s="524"/>
      <c r="F550" s="524"/>
      <c r="G550" s="524"/>
      <c r="H550" s="524"/>
      <c r="I550" s="524"/>
      <c r="J550" s="524"/>
      <c r="K550" s="524"/>
      <c r="L550" s="524"/>
      <c r="M550" s="524"/>
      <c r="N550" s="524"/>
      <c r="O550" s="524"/>
      <c r="P550" s="524"/>
      <c r="Q550" s="524"/>
      <c r="R550" s="524"/>
      <c r="S550" s="524"/>
      <c r="T550" s="524"/>
      <c r="U550" s="524"/>
      <c r="V550" s="524"/>
      <c r="W550" s="524"/>
      <c r="X550" s="524"/>
      <c r="Y550" s="524"/>
      <c r="Z550" s="524"/>
    </row>
    <row r="551" ht="13.5" customHeight="1">
      <c r="A551" s="524"/>
      <c r="B551" s="525"/>
      <c r="C551" s="524"/>
      <c r="D551" s="524"/>
      <c r="E551" s="524"/>
      <c r="F551" s="524"/>
      <c r="G551" s="524"/>
      <c r="H551" s="524"/>
      <c r="I551" s="524"/>
      <c r="J551" s="524"/>
      <c r="K551" s="524"/>
      <c r="L551" s="524"/>
      <c r="M551" s="524"/>
      <c r="N551" s="524"/>
      <c r="O551" s="524"/>
      <c r="P551" s="524"/>
      <c r="Q551" s="524"/>
      <c r="R551" s="524"/>
      <c r="S551" s="524"/>
      <c r="T551" s="524"/>
      <c r="U551" s="524"/>
      <c r="V551" s="524"/>
      <c r="W551" s="524"/>
      <c r="X551" s="524"/>
      <c r="Y551" s="524"/>
      <c r="Z551" s="524"/>
    </row>
    <row r="552" ht="13.5" customHeight="1">
      <c r="A552" s="524"/>
      <c r="B552" s="525"/>
      <c r="C552" s="524"/>
      <c r="D552" s="524"/>
      <c r="E552" s="524"/>
      <c r="F552" s="524"/>
      <c r="G552" s="524"/>
      <c r="H552" s="524"/>
      <c r="I552" s="524"/>
      <c r="J552" s="524"/>
      <c r="K552" s="524"/>
      <c r="L552" s="524"/>
      <c r="M552" s="524"/>
      <c r="N552" s="524"/>
      <c r="O552" s="524"/>
      <c r="P552" s="524"/>
      <c r="Q552" s="524"/>
      <c r="R552" s="524"/>
      <c r="S552" s="524"/>
      <c r="T552" s="524"/>
      <c r="U552" s="524"/>
      <c r="V552" s="524"/>
      <c r="W552" s="524"/>
      <c r="X552" s="524"/>
      <c r="Y552" s="524"/>
      <c r="Z552" s="524"/>
    </row>
    <row r="553" ht="13.5" customHeight="1">
      <c r="A553" s="524"/>
      <c r="B553" s="525"/>
      <c r="C553" s="524"/>
      <c r="D553" s="524"/>
      <c r="E553" s="524"/>
      <c r="F553" s="524"/>
      <c r="G553" s="524"/>
      <c r="H553" s="524"/>
      <c r="I553" s="524"/>
      <c r="J553" s="524"/>
      <c r="K553" s="524"/>
      <c r="L553" s="524"/>
      <c r="M553" s="524"/>
      <c r="N553" s="524"/>
      <c r="O553" s="524"/>
      <c r="P553" s="524"/>
      <c r="Q553" s="524"/>
      <c r="R553" s="524"/>
      <c r="S553" s="524"/>
      <c r="T553" s="524"/>
      <c r="U553" s="524"/>
      <c r="V553" s="524"/>
      <c r="W553" s="524"/>
      <c r="X553" s="524"/>
      <c r="Y553" s="524"/>
      <c r="Z553" s="524"/>
    </row>
    <row r="554" ht="13.5" customHeight="1">
      <c r="A554" s="524"/>
      <c r="B554" s="525"/>
      <c r="C554" s="524"/>
      <c r="D554" s="524"/>
      <c r="E554" s="524"/>
      <c r="F554" s="524"/>
      <c r="G554" s="524"/>
      <c r="H554" s="524"/>
      <c r="I554" s="524"/>
      <c r="J554" s="524"/>
      <c r="K554" s="524"/>
      <c r="L554" s="524"/>
      <c r="M554" s="524"/>
      <c r="N554" s="524"/>
      <c r="O554" s="524"/>
      <c r="P554" s="524"/>
      <c r="Q554" s="524"/>
      <c r="R554" s="524"/>
      <c r="S554" s="524"/>
      <c r="T554" s="524"/>
      <c r="U554" s="524"/>
      <c r="V554" s="524"/>
      <c r="W554" s="524"/>
      <c r="X554" s="524"/>
      <c r="Y554" s="524"/>
      <c r="Z554" s="524"/>
    </row>
    <row r="555" ht="13.5" customHeight="1">
      <c r="A555" s="524"/>
      <c r="B555" s="525"/>
      <c r="C555" s="524"/>
      <c r="D555" s="524"/>
      <c r="E555" s="524"/>
      <c r="F555" s="524"/>
      <c r="G555" s="524"/>
      <c r="H555" s="524"/>
      <c r="I555" s="524"/>
      <c r="J555" s="524"/>
      <c r="K555" s="524"/>
      <c r="L555" s="524"/>
      <c r="M555" s="524"/>
      <c r="N555" s="524"/>
      <c r="O555" s="524"/>
      <c r="P555" s="524"/>
      <c r="Q555" s="524"/>
      <c r="R555" s="524"/>
      <c r="S555" s="524"/>
      <c r="T555" s="524"/>
      <c r="U555" s="524"/>
      <c r="V555" s="524"/>
      <c r="W555" s="524"/>
      <c r="X555" s="524"/>
      <c r="Y555" s="524"/>
      <c r="Z555" s="524"/>
    </row>
    <row r="556" ht="13.5" customHeight="1">
      <c r="A556" s="524"/>
      <c r="B556" s="525"/>
      <c r="C556" s="524"/>
      <c r="D556" s="524"/>
      <c r="E556" s="524"/>
      <c r="F556" s="524"/>
      <c r="G556" s="524"/>
      <c r="H556" s="524"/>
      <c r="I556" s="524"/>
      <c r="J556" s="524"/>
      <c r="K556" s="524"/>
      <c r="L556" s="524"/>
      <c r="M556" s="524"/>
      <c r="N556" s="524"/>
      <c r="O556" s="524"/>
      <c r="P556" s="524"/>
      <c r="Q556" s="524"/>
      <c r="R556" s="524"/>
      <c r="S556" s="524"/>
      <c r="T556" s="524"/>
      <c r="U556" s="524"/>
      <c r="V556" s="524"/>
      <c r="W556" s="524"/>
      <c r="X556" s="524"/>
      <c r="Y556" s="524"/>
      <c r="Z556" s="524"/>
    </row>
    <row r="557" ht="13.5" customHeight="1">
      <c r="A557" s="524"/>
      <c r="B557" s="525"/>
      <c r="C557" s="524"/>
      <c r="D557" s="524"/>
      <c r="E557" s="524"/>
      <c r="F557" s="524"/>
      <c r="G557" s="524"/>
      <c r="H557" s="524"/>
      <c r="I557" s="524"/>
      <c r="J557" s="524"/>
      <c r="K557" s="524"/>
      <c r="L557" s="524"/>
      <c r="M557" s="524"/>
      <c r="N557" s="524"/>
      <c r="O557" s="524"/>
      <c r="P557" s="524"/>
      <c r="Q557" s="524"/>
      <c r="R557" s="524"/>
      <c r="S557" s="524"/>
      <c r="T557" s="524"/>
      <c r="U557" s="524"/>
      <c r="V557" s="524"/>
      <c r="W557" s="524"/>
      <c r="X557" s="524"/>
      <c r="Y557" s="524"/>
      <c r="Z557" s="524"/>
    </row>
    <row r="558" ht="13.5" customHeight="1">
      <c r="A558" s="524"/>
      <c r="B558" s="525"/>
      <c r="C558" s="524"/>
      <c r="D558" s="524"/>
      <c r="E558" s="524"/>
      <c r="F558" s="524"/>
      <c r="G558" s="524"/>
      <c r="H558" s="524"/>
      <c r="I558" s="524"/>
      <c r="J558" s="524"/>
      <c r="K558" s="524"/>
      <c r="L558" s="524"/>
      <c r="M558" s="524"/>
      <c r="N558" s="524"/>
      <c r="O558" s="524"/>
      <c r="P558" s="524"/>
      <c r="Q558" s="524"/>
      <c r="R558" s="524"/>
      <c r="S558" s="524"/>
      <c r="T558" s="524"/>
      <c r="U558" s="524"/>
      <c r="V558" s="524"/>
      <c r="W558" s="524"/>
      <c r="X558" s="524"/>
      <c r="Y558" s="524"/>
      <c r="Z558" s="524"/>
    </row>
    <row r="559" ht="13.5" customHeight="1">
      <c r="A559" s="524"/>
      <c r="B559" s="525"/>
      <c r="C559" s="524"/>
      <c r="D559" s="524"/>
      <c r="E559" s="524"/>
      <c r="F559" s="524"/>
      <c r="G559" s="524"/>
      <c r="H559" s="524"/>
      <c r="I559" s="524"/>
      <c r="J559" s="524"/>
      <c r="K559" s="524"/>
      <c r="L559" s="524"/>
      <c r="M559" s="524"/>
      <c r="N559" s="524"/>
      <c r="O559" s="524"/>
      <c r="P559" s="524"/>
      <c r="Q559" s="524"/>
      <c r="R559" s="524"/>
      <c r="S559" s="524"/>
      <c r="T559" s="524"/>
      <c r="U559" s="524"/>
      <c r="V559" s="524"/>
      <c r="W559" s="524"/>
      <c r="X559" s="524"/>
      <c r="Y559" s="524"/>
      <c r="Z559" s="524"/>
    </row>
    <row r="560" ht="13.5" customHeight="1">
      <c r="A560" s="524"/>
      <c r="B560" s="525"/>
      <c r="C560" s="524"/>
      <c r="D560" s="524"/>
      <c r="E560" s="524"/>
      <c r="F560" s="524"/>
      <c r="G560" s="524"/>
      <c r="H560" s="524"/>
      <c r="I560" s="524"/>
      <c r="J560" s="524"/>
      <c r="K560" s="524"/>
      <c r="L560" s="524"/>
      <c r="M560" s="524"/>
      <c r="N560" s="524"/>
      <c r="O560" s="524"/>
      <c r="P560" s="524"/>
      <c r="Q560" s="524"/>
      <c r="R560" s="524"/>
      <c r="S560" s="524"/>
      <c r="T560" s="524"/>
      <c r="U560" s="524"/>
      <c r="V560" s="524"/>
      <c r="W560" s="524"/>
      <c r="X560" s="524"/>
      <c r="Y560" s="524"/>
      <c r="Z560" s="524"/>
    </row>
    <row r="561" ht="13.5" customHeight="1">
      <c r="A561" s="524"/>
      <c r="B561" s="525"/>
      <c r="C561" s="524"/>
      <c r="D561" s="524"/>
      <c r="E561" s="524"/>
      <c r="F561" s="524"/>
      <c r="G561" s="524"/>
      <c r="H561" s="524"/>
      <c r="I561" s="524"/>
      <c r="J561" s="524"/>
      <c r="K561" s="524"/>
      <c r="L561" s="524"/>
      <c r="M561" s="524"/>
      <c r="N561" s="524"/>
      <c r="O561" s="524"/>
      <c r="P561" s="524"/>
      <c r="Q561" s="524"/>
      <c r="R561" s="524"/>
      <c r="S561" s="524"/>
      <c r="T561" s="524"/>
      <c r="U561" s="524"/>
      <c r="V561" s="524"/>
      <c r="W561" s="524"/>
      <c r="X561" s="524"/>
      <c r="Y561" s="524"/>
      <c r="Z561" s="524"/>
    </row>
    <row r="562" ht="13.5" customHeight="1">
      <c r="A562" s="524"/>
      <c r="B562" s="525"/>
      <c r="C562" s="524"/>
      <c r="D562" s="524"/>
      <c r="E562" s="524"/>
      <c r="F562" s="524"/>
      <c r="G562" s="524"/>
      <c r="H562" s="524"/>
      <c r="I562" s="524"/>
      <c r="J562" s="524"/>
      <c r="K562" s="524"/>
      <c r="L562" s="524"/>
      <c r="M562" s="524"/>
      <c r="N562" s="524"/>
      <c r="O562" s="524"/>
      <c r="P562" s="524"/>
      <c r="Q562" s="524"/>
      <c r="R562" s="524"/>
      <c r="S562" s="524"/>
      <c r="T562" s="524"/>
      <c r="U562" s="524"/>
      <c r="V562" s="524"/>
      <c r="W562" s="524"/>
      <c r="X562" s="524"/>
      <c r="Y562" s="524"/>
      <c r="Z562" s="524"/>
    </row>
    <row r="563" ht="13.5" customHeight="1">
      <c r="A563" s="524"/>
      <c r="B563" s="525"/>
      <c r="C563" s="524"/>
      <c r="D563" s="524"/>
      <c r="E563" s="524"/>
      <c r="F563" s="524"/>
      <c r="G563" s="524"/>
      <c r="H563" s="524"/>
      <c r="I563" s="524"/>
      <c r="J563" s="524"/>
      <c r="K563" s="524"/>
      <c r="L563" s="524"/>
      <c r="M563" s="524"/>
      <c r="N563" s="524"/>
      <c r="O563" s="524"/>
      <c r="P563" s="524"/>
      <c r="Q563" s="524"/>
      <c r="R563" s="524"/>
      <c r="S563" s="524"/>
      <c r="T563" s="524"/>
      <c r="U563" s="524"/>
      <c r="V563" s="524"/>
      <c r="W563" s="524"/>
      <c r="X563" s="524"/>
      <c r="Y563" s="524"/>
      <c r="Z563" s="524"/>
    </row>
    <row r="564" ht="13.5" customHeight="1">
      <c r="A564" s="524"/>
      <c r="B564" s="525"/>
      <c r="C564" s="524"/>
      <c r="D564" s="524"/>
      <c r="E564" s="524"/>
      <c r="F564" s="524"/>
      <c r="G564" s="524"/>
      <c r="H564" s="524"/>
      <c r="I564" s="524"/>
      <c r="J564" s="524"/>
      <c r="K564" s="524"/>
      <c r="L564" s="524"/>
      <c r="M564" s="524"/>
      <c r="N564" s="524"/>
      <c r="O564" s="524"/>
      <c r="P564" s="524"/>
      <c r="Q564" s="524"/>
      <c r="R564" s="524"/>
      <c r="S564" s="524"/>
      <c r="T564" s="524"/>
      <c r="U564" s="524"/>
      <c r="V564" s="524"/>
      <c r="W564" s="524"/>
      <c r="X564" s="524"/>
      <c r="Y564" s="524"/>
      <c r="Z564" s="524"/>
    </row>
    <row r="565" ht="13.5" customHeight="1">
      <c r="A565" s="524"/>
      <c r="B565" s="525"/>
      <c r="C565" s="524"/>
      <c r="D565" s="524"/>
      <c r="E565" s="524"/>
      <c r="F565" s="524"/>
      <c r="G565" s="524"/>
      <c r="H565" s="524"/>
      <c r="I565" s="524"/>
      <c r="J565" s="524"/>
      <c r="K565" s="524"/>
      <c r="L565" s="524"/>
      <c r="M565" s="524"/>
      <c r="N565" s="524"/>
      <c r="O565" s="524"/>
      <c r="P565" s="524"/>
      <c r="Q565" s="524"/>
      <c r="R565" s="524"/>
      <c r="S565" s="524"/>
      <c r="T565" s="524"/>
      <c r="U565" s="524"/>
      <c r="V565" s="524"/>
      <c r="W565" s="524"/>
      <c r="X565" s="524"/>
      <c r="Y565" s="524"/>
      <c r="Z565" s="524"/>
    </row>
    <row r="566" ht="13.5" customHeight="1">
      <c r="A566" s="524"/>
      <c r="B566" s="525"/>
      <c r="C566" s="524"/>
      <c r="D566" s="524"/>
      <c r="E566" s="524"/>
      <c r="F566" s="524"/>
      <c r="G566" s="524"/>
      <c r="H566" s="524"/>
      <c r="I566" s="524"/>
      <c r="J566" s="524"/>
      <c r="K566" s="524"/>
      <c r="L566" s="524"/>
      <c r="M566" s="524"/>
      <c r="N566" s="524"/>
      <c r="O566" s="524"/>
      <c r="P566" s="524"/>
      <c r="Q566" s="524"/>
      <c r="R566" s="524"/>
      <c r="S566" s="524"/>
      <c r="T566" s="524"/>
      <c r="U566" s="524"/>
      <c r="V566" s="524"/>
      <c r="W566" s="524"/>
      <c r="X566" s="524"/>
      <c r="Y566" s="524"/>
      <c r="Z566" s="524"/>
    </row>
    <row r="567" ht="13.5" customHeight="1">
      <c r="A567" s="524"/>
      <c r="B567" s="525"/>
      <c r="C567" s="524"/>
      <c r="D567" s="524"/>
      <c r="E567" s="524"/>
      <c r="F567" s="524"/>
      <c r="G567" s="524"/>
      <c r="H567" s="524"/>
      <c r="I567" s="524"/>
      <c r="J567" s="524"/>
      <c r="K567" s="524"/>
      <c r="L567" s="524"/>
      <c r="M567" s="524"/>
      <c r="N567" s="524"/>
      <c r="O567" s="524"/>
      <c r="P567" s="524"/>
      <c r="Q567" s="524"/>
      <c r="R567" s="524"/>
      <c r="S567" s="524"/>
      <c r="T567" s="524"/>
      <c r="U567" s="524"/>
      <c r="V567" s="524"/>
      <c r="W567" s="524"/>
      <c r="X567" s="524"/>
      <c r="Y567" s="524"/>
      <c r="Z567" s="524"/>
    </row>
    <row r="568" ht="13.5" customHeight="1">
      <c r="A568" s="524"/>
      <c r="B568" s="525"/>
      <c r="C568" s="524"/>
      <c r="D568" s="524"/>
      <c r="E568" s="524"/>
      <c r="F568" s="524"/>
      <c r="G568" s="524"/>
      <c r="H568" s="524"/>
      <c r="I568" s="524"/>
      <c r="J568" s="524"/>
      <c r="K568" s="524"/>
      <c r="L568" s="524"/>
      <c r="M568" s="524"/>
      <c r="N568" s="524"/>
      <c r="O568" s="524"/>
      <c r="P568" s="524"/>
      <c r="Q568" s="524"/>
      <c r="R568" s="524"/>
      <c r="S568" s="524"/>
      <c r="T568" s="524"/>
      <c r="U568" s="524"/>
      <c r="V568" s="524"/>
      <c r="W568" s="524"/>
      <c r="X568" s="524"/>
      <c r="Y568" s="524"/>
      <c r="Z568" s="524"/>
    </row>
    <row r="569" ht="13.5" customHeight="1">
      <c r="A569" s="524"/>
      <c r="B569" s="525"/>
      <c r="C569" s="524"/>
      <c r="D569" s="524"/>
      <c r="E569" s="524"/>
      <c r="F569" s="524"/>
      <c r="G569" s="524"/>
      <c r="H569" s="524"/>
      <c r="I569" s="524"/>
      <c r="J569" s="524"/>
      <c r="K569" s="524"/>
      <c r="L569" s="524"/>
      <c r="M569" s="524"/>
      <c r="N569" s="524"/>
      <c r="O569" s="524"/>
      <c r="P569" s="524"/>
      <c r="Q569" s="524"/>
      <c r="R569" s="524"/>
      <c r="S569" s="524"/>
      <c r="T569" s="524"/>
      <c r="U569" s="524"/>
      <c r="V569" s="524"/>
      <c r="W569" s="524"/>
      <c r="X569" s="524"/>
      <c r="Y569" s="524"/>
      <c r="Z569" s="524"/>
    </row>
    <row r="570" ht="13.5" customHeight="1">
      <c r="A570" s="524"/>
      <c r="B570" s="525"/>
      <c r="C570" s="524"/>
      <c r="D570" s="524"/>
      <c r="E570" s="524"/>
      <c r="F570" s="524"/>
      <c r="G570" s="524"/>
      <c r="H570" s="524"/>
      <c r="I570" s="524"/>
      <c r="J570" s="524"/>
      <c r="K570" s="524"/>
      <c r="L570" s="524"/>
      <c r="M570" s="524"/>
      <c r="N570" s="524"/>
      <c r="O570" s="524"/>
      <c r="P570" s="524"/>
      <c r="Q570" s="524"/>
      <c r="R570" s="524"/>
      <c r="S570" s="524"/>
      <c r="T570" s="524"/>
      <c r="U570" s="524"/>
      <c r="V570" s="524"/>
      <c r="W570" s="524"/>
      <c r="X570" s="524"/>
      <c r="Y570" s="524"/>
      <c r="Z570" s="524"/>
    </row>
    <row r="571" ht="13.5" customHeight="1">
      <c r="A571" s="524"/>
      <c r="B571" s="525"/>
      <c r="C571" s="524"/>
      <c r="D571" s="524"/>
      <c r="E571" s="524"/>
      <c r="F571" s="524"/>
      <c r="G571" s="524"/>
      <c r="H571" s="524"/>
      <c r="I571" s="524"/>
      <c r="J571" s="524"/>
      <c r="K571" s="524"/>
      <c r="L571" s="524"/>
      <c r="M571" s="524"/>
      <c r="N571" s="524"/>
      <c r="O571" s="524"/>
      <c r="P571" s="524"/>
      <c r="Q571" s="524"/>
      <c r="R571" s="524"/>
      <c r="S571" s="524"/>
      <c r="T571" s="524"/>
      <c r="U571" s="524"/>
      <c r="V571" s="524"/>
      <c r="W571" s="524"/>
      <c r="X571" s="524"/>
      <c r="Y571" s="524"/>
      <c r="Z571" s="524"/>
    </row>
    <row r="572" ht="13.5" customHeight="1">
      <c r="A572" s="524"/>
      <c r="B572" s="525"/>
      <c r="C572" s="524"/>
      <c r="D572" s="524"/>
      <c r="E572" s="524"/>
      <c r="F572" s="524"/>
      <c r="G572" s="524"/>
      <c r="H572" s="524"/>
      <c r="I572" s="524"/>
      <c r="J572" s="524"/>
      <c r="K572" s="524"/>
      <c r="L572" s="524"/>
      <c r="M572" s="524"/>
      <c r="N572" s="524"/>
      <c r="O572" s="524"/>
      <c r="P572" s="524"/>
      <c r="Q572" s="524"/>
      <c r="R572" s="524"/>
      <c r="S572" s="524"/>
      <c r="T572" s="524"/>
      <c r="U572" s="524"/>
      <c r="V572" s="524"/>
      <c r="W572" s="524"/>
      <c r="X572" s="524"/>
      <c r="Y572" s="524"/>
      <c r="Z572" s="524"/>
    </row>
    <row r="573" ht="13.5" customHeight="1">
      <c r="A573" s="524"/>
      <c r="B573" s="525"/>
      <c r="C573" s="524"/>
      <c r="D573" s="524"/>
      <c r="E573" s="524"/>
      <c r="F573" s="524"/>
      <c r="G573" s="524"/>
      <c r="H573" s="524"/>
      <c r="I573" s="524"/>
      <c r="J573" s="524"/>
      <c r="K573" s="524"/>
      <c r="L573" s="524"/>
      <c r="M573" s="524"/>
      <c r="N573" s="524"/>
      <c r="O573" s="524"/>
      <c r="P573" s="524"/>
      <c r="Q573" s="524"/>
      <c r="R573" s="524"/>
      <c r="S573" s="524"/>
      <c r="T573" s="524"/>
      <c r="U573" s="524"/>
      <c r="V573" s="524"/>
      <c r="W573" s="524"/>
      <c r="X573" s="524"/>
      <c r="Y573" s="524"/>
      <c r="Z573" s="524"/>
    </row>
    <row r="574" ht="13.5" customHeight="1">
      <c r="A574" s="524"/>
      <c r="B574" s="525"/>
      <c r="C574" s="524"/>
      <c r="D574" s="524"/>
      <c r="E574" s="524"/>
      <c r="F574" s="524"/>
      <c r="G574" s="524"/>
      <c r="H574" s="524"/>
      <c r="I574" s="524"/>
      <c r="J574" s="524"/>
      <c r="K574" s="524"/>
      <c r="L574" s="524"/>
      <c r="M574" s="524"/>
      <c r="N574" s="524"/>
      <c r="O574" s="524"/>
      <c r="P574" s="524"/>
      <c r="Q574" s="524"/>
      <c r="R574" s="524"/>
      <c r="S574" s="524"/>
      <c r="T574" s="524"/>
      <c r="U574" s="524"/>
      <c r="V574" s="524"/>
      <c r="W574" s="524"/>
      <c r="X574" s="524"/>
      <c r="Y574" s="524"/>
      <c r="Z574" s="524"/>
    </row>
    <row r="575" ht="13.5" customHeight="1">
      <c r="A575" s="524"/>
      <c r="B575" s="525"/>
      <c r="C575" s="524"/>
      <c r="D575" s="524"/>
      <c r="E575" s="524"/>
      <c r="F575" s="524"/>
      <c r="G575" s="524"/>
      <c r="H575" s="524"/>
      <c r="I575" s="524"/>
      <c r="J575" s="524"/>
      <c r="K575" s="524"/>
      <c r="L575" s="524"/>
      <c r="M575" s="524"/>
      <c r="N575" s="524"/>
      <c r="O575" s="524"/>
      <c r="P575" s="524"/>
      <c r="Q575" s="524"/>
      <c r="R575" s="524"/>
      <c r="S575" s="524"/>
      <c r="T575" s="524"/>
      <c r="U575" s="524"/>
      <c r="V575" s="524"/>
      <c r="W575" s="524"/>
      <c r="X575" s="524"/>
      <c r="Y575" s="524"/>
      <c r="Z575" s="524"/>
    </row>
    <row r="576" ht="13.5" customHeight="1">
      <c r="A576" s="524"/>
      <c r="B576" s="525"/>
      <c r="C576" s="524"/>
      <c r="D576" s="524"/>
      <c r="E576" s="524"/>
      <c r="F576" s="524"/>
      <c r="G576" s="524"/>
      <c r="H576" s="524"/>
      <c r="I576" s="524"/>
      <c r="J576" s="524"/>
      <c r="K576" s="524"/>
      <c r="L576" s="524"/>
      <c r="M576" s="524"/>
      <c r="N576" s="524"/>
      <c r="O576" s="524"/>
      <c r="P576" s="524"/>
      <c r="Q576" s="524"/>
      <c r="R576" s="524"/>
      <c r="S576" s="524"/>
      <c r="T576" s="524"/>
      <c r="U576" s="524"/>
      <c r="V576" s="524"/>
      <c r="W576" s="524"/>
      <c r="X576" s="524"/>
      <c r="Y576" s="524"/>
      <c r="Z576" s="524"/>
    </row>
    <row r="577" ht="13.5" customHeight="1">
      <c r="A577" s="524"/>
      <c r="B577" s="525"/>
      <c r="C577" s="524"/>
      <c r="D577" s="524"/>
      <c r="E577" s="524"/>
      <c r="F577" s="524"/>
      <c r="G577" s="524"/>
      <c r="H577" s="524"/>
      <c r="I577" s="524"/>
      <c r="J577" s="524"/>
      <c r="K577" s="524"/>
      <c r="L577" s="524"/>
      <c r="M577" s="524"/>
      <c r="N577" s="524"/>
      <c r="O577" s="524"/>
      <c r="P577" s="524"/>
      <c r="Q577" s="524"/>
      <c r="R577" s="524"/>
      <c r="S577" s="524"/>
      <c r="T577" s="524"/>
      <c r="U577" s="524"/>
      <c r="V577" s="524"/>
      <c r="W577" s="524"/>
      <c r="X577" s="524"/>
      <c r="Y577" s="524"/>
      <c r="Z577" s="524"/>
    </row>
    <row r="578" ht="13.5" customHeight="1">
      <c r="A578" s="524"/>
      <c r="B578" s="525"/>
      <c r="C578" s="524"/>
      <c r="D578" s="524"/>
      <c r="E578" s="524"/>
      <c r="F578" s="524"/>
      <c r="G578" s="524"/>
      <c r="H578" s="524"/>
      <c r="I578" s="524"/>
      <c r="J578" s="524"/>
      <c r="K578" s="524"/>
      <c r="L578" s="524"/>
      <c r="M578" s="524"/>
      <c r="N578" s="524"/>
      <c r="O578" s="524"/>
      <c r="P578" s="524"/>
      <c r="Q578" s="524"/>
      <c r="R578" s="524"/>
      <c r="S578" s="524"/>
      <c r="T578" s="524"/>
      <c r="U578" s="524"/>
      <c r="V578" s="524"/>
      <c r="W578" s="524"/>
      <c r="X578" s="524"/>
      <c r="Y578" s="524"/>
      <c r="Z578" s="524"/>
    </row>
    <row r="579" ht="13.5" customHeight="1">
      <c r="A579" s="524"/>
      <c r="B579" s="525"/>
      <c r="C579" s="524"/>
      <c r="D579" s="524"/>
      <c r="E579" s="524"/>
      <c r="F579" s="524"/>
      <c r="G579" s="524"/>
      <c r="H579" s="524"/>
      <c r="I579" s="524"/>
      <c r="J579" s="524"/>
      <c r="K579" s="524"/>
      <c r="L579" s="524"/>
      <c r="M579" s="524"/>
      <c r="N579" s="524"/>
      <c r="O579" s="524"/>
      <c r="P579" s="524"/>
      <c r="Q579" s="524"/>
      <c r="R579" s="524"/>
      <c r="S579" s="524"/>
      <c r="T579" s="524"/>
      <c r="U579" s="524"/>
      <c r="V579" s="524"/>
      <c r="W579" s="524"/>
      <c r="X579" s="524"/>
      <c r="Y579" s="524"/>
      <c r="Z579" s="524"/>
    </row>
    <row r="580" ht="13.5" customHeight="1">
      <c r="A580" s="524"/>
      <c r="B580" s="525"/>
      <c r="C580" s="524"/>
      <c r="D580" s="524"/>
      <c r="E580" s="524"/>
      <c r="F580" s="524"/>
      <c r="G580" s="524"/>
      <c r="H580" s="524"/>
      <c r="I580" s="524"/>
      <c r="J580" s="524"/>
      <c r="K580" s="524"/>
      <c r="L580" s="524"/>
      <c r="M580" s="524"/>
      <c r="N580" s="524"/>
      <c r="O580" s="524"/>
      <c r="P580" s="524"/>
      <c r="Q580" s="524"/>
      <c r="R580" s="524"/>
      <c r="S580" s="524"/>
      <c r="T580" s="524"/>
      <c r="U580" s="524"/>
      <c r="V580" s="524"/>
      <c r="W580" s="524"/>
      <c r="X580" s="524"/>
      <c r="Y580" s="524"/>
      <c r="Z580" s="524"/>
    </row>
    <row r="581" ht="13.5" customHeight="1">
      <c r="A581" s="524"/>
      <c r="B581" s="525"/>
      <c r="C581" s="524"/>
      <c r="D581" s="524"/>
      <c r="E581" s="524"/>
      <c r="F581" s="524"/>
      <c r="G581" s="524"/>
      <c r="H581" s="524"/>
      <c r="I581" s="524"/>
      <c r="J581" s="524"/>
      <c r="K581" s="524"/>
      <c r="L581" s="524"/>
      <c r="M581" s="524"/>
      <c r="N581" s="524"/>
      <c r="O581" s="524"/>
      <c r="P581" s="524"/>
      <c r="Q581" s="524"/>
      <c r="R581" s="524"/>
      <c r="S581" s="524"/>
      <c r="T581" s="524"/>
      <c r="U581" s="524"/>
      <c r="V581" s="524"/>
      <c r="W581" s="524"/>
      <c r="X581" s="524"/>
      <c r="Y581" s="524"/>
      <c r="Z581" s="524"/>
    </row>
    <row r="582" ht="13.5" customHeight="1">
      <c r="A582" s="524"/>
      <c r="B582" s="525"/>
      <c r="C582" s="524"/>
      <c r="D582" s="524"/>
      <c r="E582" s="524"/>
      <c r="F582" s="524"/>
      <c r="G582" s="524"/>
      <c r="H582" s="524"/>
      <c r="I582" s="524"/>
      <c r="J582" s="524"/>
      <c r="K582" s="524"/>
      <c r="L582" s="524"/>
      <c r="M582" s="524"/>
      <c r="N582" s="524"/>
      <c r="O582" s="524"/>
      <c r="P582" s="524"/>
      <c r="Q582" s="524"/>
      <c r="R582" s="524"/>
      <c r="S582" s="524"/>
      <c r="T582" s="524"/>
      <c r="U582" s="524"/>
      <c r="V582" s="524"/>
      <c r="W582" s="524"/>
      <c r="X582" s="524"/>
      <c r="Y582" s="524"/>
      <c r="Z582" s="524"/>
    </row>
    <row r="583" ht="13.5" customHeight="1">
      <c r="A583" s="524"/>
      <c r="B583" s="525"/>
      <c r="C583" s="524"/>
      <c r="D583" s="524"/>
      <c r="E583" s="524"/>
      <c r="F583" s="524"/>
      <c r="G583" s="524"/>
      <c r="H583" s="524"/>
      <c r="I583" s="524"/>
      <c r="J583" s="524"/>
      <c r="K583" s="524"/>
      <c r="L583" s="524"/>
      <c r="M583" s="524"/>
      <c r="N583" s="524"/>
      <c r="O583" s="524"/>
      <c r="P583" s="524"/>
      <c r="Q583" s="524"/>
      <c r="R583" s="524"/>
      <c r="S583" s="524"/>
      <c r="T583" s="524"/>
      <c r="U583" s="524"/>
      <c r="V583" s="524"/>
      <c r="W583" s="524"/>
      <c r="X583" s="524"/>
      <c r="Y583" s="524"/>
      <c r="Z583" s="524"/>
    </row>
    <row r="584" ht="13.5" customHeight="1">
      <c r="A584" s="524"/>
      <c r="B584" s="525"/>
      <c r="C584" s="524"/>
      <c r="D584" s="524"/>
      <c r="E584" s="524"/>
      <c r="F584" s="524"/>
      <c r="G584" s="524"/>
      <c r="H584" s="524"/>
      <c r="I584" s="524"/>
      <c r="J584" s="524"/>
      <c r="K584" s="524"/>
      <c r="L584" s="524"/>
      <c r="M584" s="524"/>
      <c r="N584" s="524"/>
      <c r="O584" s="524"/>
      <c r="P584" s="524"/>
      <c r="Q584" s="524"/>
      <c r="R584" s="524"/>
      <c r="S584" s="524"/>
      <c r="T584" s="524"/>
      <c r="U584" s="524"/>
      <c r="V584" s="524"/>
      <c r="W584" s="524"/>
      <c r="X584" s="524"/>
      <c r="Y584" s="524"/>
      <c r="Z584" s="524"/>
    </row>
    <row r="585" ht="13.5" customHeight="1">
      <c r="A585" s="524"/>
      <c r="B585" s="525"/>
      <c r="C585" s="524"/>
      <c r="D585" s="524"/>
      <c r="E585" s="524"/>
      <c r="F585" s="524"/>
      <c r="G585" s="524"/>
      <c r="H585" s="524"/>
      <c r="I585" s="524"/>
      <c r="J585" s="524"/>
      <c r="K585" s="524"/>
      <c r="L585" s="524"/>
      <c r="M585" s="524"/>
      <c r="N585" s="524"/>
      <c r="O585" s="524"/>
      <c r="P585" s="524"/>
      <c r="Q585" s="524"/>
      <c r="R585" s="524"/>
      <c r="S585" s="524"/>
      <c r="T585" s="524"/>
      <c r="U585" s="524"/>
      <c r="V585" s="524"/>
      <c r="W585" s="524"/>
      <c r="X585" s="524"/>
      <c r="Y585" s="524"/>
      <c r="Z585" s="524"/>
    </row>
    <row r="586" ht="13.5" customHeight="1">
      <c r="A586" s="524"/>
      <c r="B586" s="525"/>
      <c r="C586" s="524"/>
      <c r="D586" s="524"/>
      <c r="E586" s="524"/>
      <c r="F586" s="524"/>
      <c r="G586" s="524"/>
      <c r="H586" s="524"/>
      <c r="I586" s="524"/>
      <c r="J586" s="524"/>
      <c r="K586" s="524"/>
      <c r="L586" s="524"/>
      <c r="M586" s="524"/>
      <c r="N586" s="524"/>
      <c r="O586" s="524"/>
      <c r="P586" s="524"/>
      <c r="Q586" s="524"/>
      <c r="R586" s="524"/>
      <c r="S586" s="524"/>
      <c r="T586" s="524"/>
      <c r="U586" s="524"/>
      <c r="V586" s="524"/>
      <c r="W586" s="524"/>
      <c r="X586" s="524"/>
      <c r="Y586" s="524"/>
      <c r="Z586" s="524"/>
    </row>
    <row r="587" ht="13.5" customHeight="1">
      <c r="A587" s="524"/>
      <c r="B587" s="525"/>
      <c r="C587" s="524"/>
      <c r="D587" s="524"/>
      <c r="E587" s="524"/>
      <c r="F587" s="524"/>
      <c r="G587" s="524"/>
      <c r="H587" s="524"/>
      <c r="I587" s="524"/>
      <c r="J587" s="524"/>
      <c r="K587" s="524"/>
      <c r="L587" s="524"/>
      <c r="M587" s="524"/>
      <c r="N587" s="524"/>
      <c r="O587" s="524"/>
      <c r="P587" s="524"/>
      <c r="Q587" s="524"/>
      <c r="R587" s="524"/>
      <c r="S587" s="524"/>
      <c r="T587" s="524"/>
      <c r="U587" s="524"/>
      <c r="V587" s="524"/>
      <c r="W587" s="524"/>
      <c r="X587" s="524"/>
      <c r="Y587" s="524"/>
      <c r="Z587" s="524"/>
    </row>
    <row r="588" ht="13.5" customHeight="1">
      <c r="A588" s="524"/>
      <c r="B588" s="525"/>
      <c r="C588" s="524"/>
      <c r="D588" s="524"/>
      <c r="E588" s="524"/>
      <c r="F588" s="524"/>
      <c r="G588" s="524"/>
      <c r="H588" s="524"/>
      <c r="I588" s="524"/>
      <c r="J588" s="524"/>
      <c r="K588" s="524"/>
      <c r="L588" s="524"/>
      <c r="M588" s="524"/>
      <c r="N588" s="524"/>
      <c r="O588" s="524"/>
      <c r="P588" s="524"/>
      <c r="Q588" s="524"/>
      <c r="R588" s="524"/>
      <c r="S588" s="524"/>
      <c r="T588" s="524"/>
      <c r="U588" s="524"/>
      <c r="V588" s="524"/>
      <c r="W588" s="524"/>
      <c r="X588" s="524"/>
      <c r="Y588" s="524"/>
      <c r="Z588" s="524"/>
    </row>
    <row r="589" ht="13.5" customHeight="1">
      <c r="A589" s="524"/>
      <c r="B589" s="525"/>
      <c r="C589" s="524"/>
      <c r="D589" s="524"/>
      <c r="E589" s="524"/>
      <c r="F589" s="524"/>
      <c r="G589" s="524"/>
      <c r="H589" s="524"/>
      <c r="I589" s="524"/>
      <c r="J589" s="524"/>
      <c r="K589" s="524"/>
      <c r="L589" s="524"/>
      <c r="M589" s="524"/>
      <c r="N589" s="524"/>
      <c r="O589" s="524"/>
      <c r="P589" s="524"/>
      <c r="Q589" s="524"/>
      <c r="R589" s="524"/>
      <c r="S589" s="524"/>
      <c r="T589" s="524"/>
      <c r="U589" s="524"/>
      <c r="V589" s="524"/>
      <c r="W589" s="524"/>
      <c r="X589" s="524"/>
      <c r="Y589" s="524"/>
      <c r="Z589" s="524"/>
    </row>
    <row r="590" ht="13.5" customHeight="1">
      <c r="A590" s="524"/>
      <c r="B590" s="525"/>
      <c r="C590" s="524"/>
      <c r="D590" s="524"/>
      <c r="E590" s="524"/>
      <c r="F590" s="524"/>
      <c r="G590" s="524"/>
      <c r="H590" s="524"/>
      <c r="I590" s="524"/>
      <c r="J590" s="524"/>
      <c r="K590" s="524"/>
      <c r="L590" s="524"/>
      <c r="M590" s="524"/>
      <c r="N590" s="524"/>
      <c r="O590" s="524"/>
      <c r="P590" s="524"/>
      <c r="Q590" s="524"/>
      <c r="R590" s="524"/>
      <c r="S590" s="524"/>
      <c r="T590" s="524"/>
      <c r="U590" s="524"/>
      <c r="V590" s="524"/>
      <c r="W590" s="524"/>
      <c r="X590" s="524"/>
      <c r="Y590" s="524"/>
      <c r="Z590" s="524"/>
    </row>
    <row r="591" ht="13.5" customHeight="1">
      <c r="A591" s="524"/>
      <c r="B591" s="525"/>
      <c r="C591" s="524"/>
      <c r="D591" s="524"/>
      <c r="E591" s="524"/>
      <c r="F591" s="524"/>
      <c r="G591" s="524"/>
      <c r="H591" s="524"/>
      <c r="I591" s="524"/>
      <c r="J591" s="524"/>
      <c r="K591" s="524"/>
      <c r="L591" s="524"/>
      <c r="M591" s="524"/>
      <c r="N591" s="524"/>
      <c r="O591" s="524"/>
      <c r="P591" s="524"/>
      <c r="Q591" s="524"/>
      <c r="R591" s="524"/>
      <c r="S591" s="524"/>
      <c r="T591" s="524"/>
      <c r="U591" s="524"/>
      <c r="V591" s="524"/>
      <c r="W591" s="524"/>
      <c r="X591" s="524"/>
      <c r="Y591" s="524"/>
      <c r="Z591" s="524"/>
    </row>
    <row r="592" ht="13.5" customHeight="1">
      <c r="A592" s="524"/>
      <c r="B592" s="525"/>
      <c r="C592" s="524"/>
      <c r="D592" s="524"/>
      <c r="E592" s="524"/>
      <c r="F592" s="524"/>
      <c r="G592" s="524"/>
      <c r="H592" s="524"/>
      <c r="I592" s="524"/>
      <c r="J592" s="524"/>
      <c r="K592" s="524"/>
      <c r="L592" s="524"/>
      <c r="M592" s="524"/>
      <c r="N592" s="524"/>
      <c r="O592" s="524"/>
      <c r="P592" s="524"/>
      <c r="Q592" s="524"/>
      <c r="R592" s="524"/>
      <c r="S592" s="524"/>
      <c r="T592" s="524"/>
      <c r="U592" s="524"/>
      <c r="V592" s="524"/>
      <c r="W592" s="524"/>
      <c r="X592" s="524"/>
      <c r="Y592" s="524"/>
      <c r="Z592" s="524"/>
    </row>
    <row r="593" ht="13.5" customHeight="1">
      <c r="A593" s="524"/>
      <c r="B593" s="525"/>
      <c r="C593" s="524"/>
      <c r="D593" s="524"/>
      <c r="E593" s="524"/>
      <c r="F593" s="524"/>
      <c r="G593" s="524"/>
      <c r="H593" s="524"/>
      <c r="I593" s="524"/>
      <c r="J593" s="524"/>
      <c r="K593" s="524"/>
      <c r="L593" s="524"/>
      <c r="M593" s="524"/>
      <c r="N593" s="524"/>
      <c r="O593" s="524"/>
      <c r="P593" s="524"/>
      <c r="Q593" s="524"/>
      <c r="R593" s="524"/>
      <c r="S593" s="524"/>
      <c r="T593" s="524"/>
      <c r="U593" s="524"/>
      <c r="V593" s="524"/>
      <c r="W593" s="524"/>
      <c r="X593" s="524"/>
      <c r="Y593" s="524"/>
      <c r="Z593" s="524"/>
    </row>
    <row r="594" ht="13.5" customHeight="1">
      <c r="A594" s="524"/>
      <c r="B594" s="525"/>
      <c r="C594" s="524"/>
      <c r="D594" s="524"/>
      <c r="E594" s="524"/>
      <c r="F594" s="524"/>
      <c r="G594" s="524"/>
      <c r="H594" s="524"/>
      <c r="I594" s="524"/>
      <c r="J594" s="524"/>
      <c r="K594" s="524"/>
      <c r="L594" s="524"/>
      <c r="M594" s="524"/>
      <c r="N594" s="524"/>
      <c r="O594" s="524"/>
      <c r="P594" s="524"/>
      <c r="Q594" s="524"/>
      <c r="R594" s="524"/>
      <c r="S594" s="524"/>
      <c r="T594" s="524"/>
      <c r="U594" s="524"/>
      <c r="V594" s="524"/>
      <c r="W594" s="524"/>
      <c r="X594" s="524"/>
      <c r="Y594" s="524"/>
      <c r="Z594" s="524"/>
    </row>
    <row r="595" ht="13.5" customHeight="1">
      <c r="A595" s="524"/>
      <c r="B595" s="525"/>
      <c r="C595" s="524"/>
      <c r="D595" s="524"/>
      <c r="E595" s="524"/>
      <c r="F595" s="524"/>
      <c r="G595" s="524"/>
      <c r="H595" s="524"/>
      <c r="I595" s="524"/>
      <c r="J595" s="524"/>
      <c r="K595" s="524"/>
      <c r="L595" s="524"/>
      <c r="M595" s="524"/>
      <c r="N595" s="524"/>
      <c r="O595" s="524"/>
      <c r="P595" s="524"/>
      <c r="Q595" s="524"/>
      <c r="R595" s="524"/>
      <c r="S595" s="524"/>
      <c r="T595" s="524"/>
      <c r="U595" s="524"/>
      <c r="V595" s="524"/>
      <c r="W595" s="524"/>
      <c r="X595" s="524"/>
      <c r="Y595" s="524"/>
      <c r="Z595" s="524"/>
    </row>
    <row r="596" ht="13.5" customHeight="1">
      <c r="A596" s="524"/>
      <c r="B596" s="525"/>
      <c r="C596" s="524"/>
      <c r="D596" s="524"/>
      <c r="E596" s="524"/>
      <c r="F596" s="524"/>
      <c r="G596" s="524"/>
      <c r="H596" s="524"/>
      <c r="I596" s="524"/>
      <c r="J596" s="524"/>
      <c r="K596" s="524"/>
      <c r="L596" s="524"/>
      <c r="M596" s="524"/>
      <c r="N596" s="524"/>
      <c r="O596" s="524"/>
      <c r="P596" s="524"/>
      <c r="Q596" s="524"/>
      <c r="R596" s="524"/>
      <c r="S596" s="524"/>
      <c r="T596" s="524"/>
      <c r="U596" s="524"/>
      <c r="V596" s="524"/>
      <c r="W596" s="524"/>
      <c r="X596" s="524"/>
      <c r="Y596" s="524"/>
      <c r="Z596" s="524"/>
    </row>
    <row r="597" ht="13.5" customHeight="1">
      <c r="A597" s="524"/>
      <c r="B597" s="525"/>
      <c r="C597" s="524"/>
      <c r="D597" s="524"/>
      <c r="E597" s="524"/>
      <c r="F597" s="524"/>
      <c r="G597" s="524"/>
      <c r="H597" s="524"/>
      <c r="I597" s="524"/>
      <c r="J597" s="524"/>
      <c r="K597" s="524"/>
      <c r="L597" s="524"/>
      <c r="M597" s="524"/>
      <c r="N597" s="524"/>
      <c r="O597" s="524"/>
      <c r="P597" s="524"/>
      <c r="Q597" s="524"/>
      <c r="R597" s="524"/>
      <c r="S597" s="524"/>
      <c r="T597" s="524"/>
      <c r="U597" s="524"/>
      <c r="V597" s="524"/>
      <c r="W597" s="524"/>
      <c r="X597" s="524"/>
      <c r="Y597" s="524"/>
      <c r="Z597" s="524"/>
    </row>
    <row r="598" ht="13.5" customHeight="1">
      <c r="A598" s="524"/>
      <c r="B598" s="525"/>
      <c r="C598" s="524"/>
      <c r="D598" s="524"/>
      <c r="E598" s="524"/>
      <c r="F598" s="524"/>
      <c r="G598" s="524"/>
      <c r="H598" s="524"/>
      <c r="I598" s="524"/>
      <c r="J598" s="524"/>
      <c r="K598" s="524"/>
      <c r="L598" s="524"/>
      <c r="M598" s="524"/>
      <c r="N598" s="524"/>
      <c r="O598" s="524"/>
      <c r="P598" s="524"/>
      <c r="Q598" s="524"/>
      <c r="R598" s="524"/>
      <c r="S598" s="524"/>
      <c r="T598" s="524"/>
      <c r="U598" s="524"/>
      <c r="V598" s="524"/>
      <c r="W598" s="524"/>
      <c r="X598" s="524"/>
      <c r="Y598" s="524"/>
      <c r="Z598" s="524"/>
    </row>
    <row r="599" ht="13.5" customHeight="1">
      <c r="A599" s="524"/>
      <c r="B599" s="525"/>
      <c r="C599" s="524"/>
      <c r="D599" s="524"/>
      <c r="E599" s="524"/>
      <c r="F599" s="524"/>
      <c r="G599" s="524"/>
      <c r="H599" s="524"/>
      <c r="I599" s="524"/>
      <c r="J599" s="524"/>
      <c r="K599" s="524"/>
      <c r="L599" s="524"/>
      <c r="M599" s="524"/>
      <c r="N599" s="524"/>
      <c r="O599" s="524"/>
      <c r="P599" s="524"/>
      <c r="Q599" s="524"/>
      <c r="R599" s="524"/>
      <c r="S599" s="524"/>
      <c r="T599" s="524"/>
      <c r="U599" s="524"/>
      <c r="V599" s="524"/>
      <c r="W599" s="524"/>
      <c r="X599" s="524"/>
      <c r="Y599" s="524"/>
      <c r="Z599" s="524"/>
    </row>
    <row r="600" ht="13.5" customHeight="1">
      <c r="A600" s="524"/>
      <c r="B600" s="525"/>
      <c r="C600" s="524"/>
      <c r="D600" s="524"/>
      <c r="E600" s="524"/>
      <c r="F600" s="524"/>
      <c r="G600" s="524"/>
      <c r="H600" s="524"/>
      <c r="I600" s="524"/>
      <c r="J600" s="524"/>
      <c r="K600" s="524"/>
      <c r="L600" s="524"/>
      <c r="M600" s="524"/>
      <c r="N600" s="524"/>
      <c r="O600" s="524"/>
      <c r="P600" s="524"/>
      <c r="Q600" s="524"/>
      <c r="R600" s="524"/>
      <c r="S600" s="524"/>
      <c r="T600" s="524"/>
      <c r="U600" s="524"/>
      <c r="V600" s="524"/>
      <c r="W600" s="524"/>
      <c r="X600" s="524"/>
      <c r="Y600" s="524"/>
      <c r="Z600" s="524"/>
    </row>
    <row r="601" ht="13.5" customHeight="1">
      <c r="A601" s="524"/>
      <c r="B601" s="525"/>
      <c r="C601" s="524"/>
      <c r="D601" s="524"/>
      <c r="E601" s="524"/>
      <c r="F601" s="524"/>
      <c r="G601" s="524"/>
      <c r="H601" s="524"/>
      <c r="I601" s="524"/>
      <c r="J601" s="524"/>
      <c r="K601" s="524"/>
      <c r="L601" s="524"/>
      <c r="M601" s="524"/>
      <c r="N601" s="524"/>
      <c r="O601" s="524"/>
      <c r="P601" s="524"/>
      <c r="Q601" s="524"/>
      <c r="R601" s="524"/>
      <c r="S601" s="524"/>
      <c r="T601" s="524"/>
      <c r="U601" s="524"/>
      <c r="V601" s="524"/>
      <c r="W601" s="524"/>
      <c r="X601" s="524"/>
      <c r="Y601" s="524"/>
      <c r="Z601" s="524"/>
    </row>
    <row r="602" ht="13.5" customHeight="1">
      <c r="A602" s="524"/>
      <c r="B602" s="525"/>
      <c r="C602" s="524"/>
      <c r="D602" s="524"/>
      <c r="E602" s="524"/>
      <c r="F602" s="524"/>
      <c r="G602" s="524"/>
      <c r="H602" s="524"/>
      <c r="I602" s="524"/>
      <c r="J602" s="524"/>
      <c r="K602" s="524"/>
      <c r="L602" s="524"/>
      <c r="M602" s="524"/>
      <c r="N602" s="524"/>
      <c r="O602" s="524"/>
      <c r="P602" s="524"/>
      <c r="Q602" s="524"/>
      <c r="R602" s="524"/>
      <c r="S602" s="524"/>
      <c r="T602" s="524"/>
      <c r="U602" s="524"/>
      <c r="V602" s="524"/>
      <c r="W602" s="524"/>
      <c r="X602" s="524"/>
      <c r="Y602" s="524"/>
      <c r="Z602" s="524"/>
    </row>
    <row r="603" ht="13.5" customHeight="1">
      <c r="A603" s="524"/>
      <c r="B603" s="525"/>
      <c r="C603" s="524"/>
      <c r="D603" s="524"/>
      <c r="E603" s="524"/>
      <c r="F603" s="524"/>
      <c r="G603" s="524"/>
      <c r="H603" s="524"/>
      <c r="I603" s="524"/>
      <c r="J603" s="524"/>
      <c r="K603" s="524"/>
      <c r="L603" s="524"/>
      <c r="M603" s="524"/>
      <c r="N603" s="524"/>
      <c r="O603" s="524"/>
      <c r="P603" s="524"/>
      <c r="Q603" s="524"/>
      <c r="R603" s="524"/>
      <c r="S603" s="524"/>
      <c r="T603" s="524"/>
      <c r="U603" s="524"/>
      <c r="V603" s="524"/>
      <c r="W603" s="524"/>
      <c r="X603" s="524"/>
      <c r="Y603" s="524"/>
      <c r="Z603" s="524"/>
    </row>
    <row r="604" ht="13.5" customHeight="1">
      <c r="A604" s="524"/>
      <c r="B604" s="525"/>
      <c r="C604" s="524"/>
      <c r="D604" s="524"/>
      <c r="E604" s="524"/>
      <c r="F604" s="524"/>
      <c r="G604" s="524"/>
      <c r="H604" s="524"/>
      <c r="I604" s="524"/>
      <c r="J604" s="524"/>
      <c r="K604" s="524"/>
      <c r="L604" s="524"/>
      <c r="M604" s="524"/>
      <c r="N604" s="524"/>
      <c r="O604" s="524"/>
      <c r="P604" s="524"/>
      <c r="Q604" s="524"/>
      <c r="R604" s="524"/>
      <c r="S604" s="524"/>
      <c r="T604" s="524"/>
      <c r="U604" s="524"/>
      <c r="V604" s="524"/>
      <c r="W604" s="524"/>
      <c r="X604" s="524"/>
      <c r="Y604" s="524"/>
      <c r="Z604" s="524"/>
    </row>
    <row r="605" ht="13.5" customHeight="1">
      <c r="A605" s="524"/>
      <c r="B605" s="525"/>
      <c r="C605" s="524"/>
      <c r="D605" s="524"/>
      <c r="E605" s="524"/>
      <c r="F605" s="524"/>
      <c r="G605" s="524"/>
      <c r="H605" s="524"/>
      <c r="I605" s="524"/>
      <c r="J605" s="524"/>
      <c r="K605" s="524"/>
      <c r="L605" s="524"/>
      <c r="M605" s="524"/>
      <c r="N605" s="524"/>
      <c r="O605" s="524"/>
      <c r="P605" s="524"/>
      <c r="Q605" s="524"/>
      <c r="R605" s="524"/>
      <c r="S605" s="524"/>
      <c r="T605" s="524"/>
      <c r="U605" s="524"/>
      <c r="V605" s="524"/>
      <c r="W605" s="524"/>
      <c r="X605" s="524"/>
      <c r="Y605" s="524"/>
      <c r="Z605" s="524"/>
    </row>
    <row r="606" ht="13.5" customHeight="1">
      <c r="A606" s="524"/>
      <c r="B606" s="525"/>
      <c r="C606" s="524"/>
      <c r="D606" s="524"/>
      <c r="E606" s="524"/>
      <c r="F606" s="524"/>
      <c r="G606" s="524"/>
      <c r="H606" s="524"/>
      <c r="I606" s="524"/>
      <c r="J606" s="524"/>
      <c r="K606" s="524"/>
      <c r="L606" s="524"/>
      <c r="M606" s="524"/>
      <c r="N606" s="524"/>
      <c r="O606" s="524"/>
      <c r="P606" s="524"/>
      <c r="Q606" s="524"/>
      <c r="R606" s="524"/>
      <c r="S606" s="524"/>
      <c r="T606" s="524"/>
      <c r="U606" s="524"/>
      <c r="V606" s="524"/>
      <c r="W606" s="524"/>
      <c r="X606" s="524"/>
      <c r="Y606" s="524"/>
      <c r="Z606" s="524"/>
    </row>
    <row r="607" ht="13.5" customHeight="1">
      <c r="A607" s="524"/>
      <c r="B607" s="525"/>
      <c r="C607" s="524"/>
      <c r="D607" s="524"/>
      <c r="E607" s="524"/>
      <c r="F607" s="524"/>
      <c r="G607" s="524"/>
      <c r="H607" s="524"/>
      <c r="I607" s="524"/>
      <c r="J607" s="524"/>
      <c r="K607" s="524"/>
      <c r="L607" s="524"/>
      <c r="M607" s="524"/>
      <c r="N607" s="524"/>
      <c r="O607" s="524"/>
      <c r="P607" s="524"/>
      <c r="Q607" s="524"/>
      <c r="R607" s="524"/>
      <c r="S607" s="524"/>
      <c r="T607" s="524"/>
      <c r="U607" s="524"/>
      <c r="V607" s="524"/>
      <c r="W607" s="524"/>
      <c r="X607" s="524"/>
      <c r="Y607" s="524"/>
      <c r="Z607" s="524"/>
    </row>
    <row r="608" ht="13.5" customHeight="1">
      <c r="A608" s="524"/>
      <c r="B608" s="525"/>
      <c r="C608" s="524"/>
      <c r="D608" s="524"/>
      <c r="E608" s="524"/>
      <c r="F608" s="524"/>
      <c r="G608" s="524"/>
      <c r="H608" s="524"/>
      <c r="I608" s="524"/>
      <c r="J608" s="524"/>
      <c r="K608" s="524"/>
      <c r="L608" s="524"/>
      <c r="M608" s="524"/>
      <c r="N608" s="524"/>
      <c r="O608" s="524"/>
      <c r="P608" s="524"/>
      <c r="Q608" s="524"/>
      <c r="R608" s="524"/>
      <c r="S608" s="524"/>
      <c r="T608" s="524"/>
      <c r="U608" s="524"/>
      <c r="V608" s="524"/>
      <c r="W608" s="524"/>
      <c r="X608" s="524"/>
      <c r="Y608" s="524"/>
      <c r="Z608" s="524"/>
    </row>
    <row r="609" ht="13.5" customHeight="1">
      <c r="A609" s="524"/>
      <c r="B609" s="525"/>
      <c r="C609" s="524"/>
      <c r="D609" s="524"/>
      <c r="E609" s="524"/>
      <c r="F609" s="524"/>
      <c r="G609" s="524"/>
      <c r="H609" s="524"/>
      <c r="I609" s="524"/>
      <c r="J609" s="524"/>
      <c r="K609" s="524"/>
      <c r="L609" s="524"/>
      <c r="M609" s="524"/>
      <c r="N609" s="524"/>
      <c r="O609" s="524"/>
      <c r="P609" s="524"/>
      <c r="Q609" s="524"/>
      <c r="R609" s="524"/>
      <c r="S609" s="524"/>
      <c r="T609" s="524"/>
      <c r="U609" s="524"/>
      <c r="V609" s="524"/>
      <c r="W609" s="524"/>
      <c r="X609" s="524"/>
      <c r="Y609" s="524"/>
      <c r="Z609" s="524"/>
    </row>
    <row r="610" ht="13.5" customHeight="1">
      <c r="A610" s="524"/>
      <c r="B610" s="525"/>
      <c r="C610" s="524"/>
      <c r="D610" s="524"/>
      <c r="E610" s="524"/>
      <c r="F610" s="524"/>
      <c r="G610" s="524"/>
      <c r="H610" s="524"/>
      <c r="I610" s="524"/>
      <c r="J610" s="524"/>
      <c r="K610" s="524"/>
      <c r="L610" s="524"/>
      <c r="M610" s="524"/>
      <c r="N610" s="524"/>
      <c r="O610" s="524"/>
      <c r="P610" s="524"/>
      <c r="Q610" s="524"/>
      <c r="R610" s="524"/>
      <c r="S610" s="524"/>
      <c r="T610" s="524"/>
      <c r="U610" s="524"/>
      <c r="V610" s="524"/>
      <c r="W610" s="524"/>
      <c r="X610" s="524"/>
      <c r="Y610" s="524"/>
      <c r="Z610" s="524"/>
    </row>
    <row r="611" ht="13.5" customHeight="1">
      <c r="A611" s="524"/>
      <c r="B611" s="525"/>
      <c r="C611" s="524"/>
      <c r="D611" s="524"/>
      <c r="E611" s="524"/>
      <c r="F611" s="524"/>
      <c r="G611" s="524"/>
      <c r="H611" s="524"/>
      <c r="I611" s="524"/>
      <c r="J611" s="524"/>
      <c r="K611" s="524"/>
      <c r="L611" s="524"/>
      <c r="M611" s="524"/>
      <c r="N611" s="524"/>
      <c r="O611" s="524"/>
      <c r="P611" s="524"/>
      <c r="Q611" s="524"/>
      <c r="R611" s="524"/>
      <c r="S611" s="524"/>
      <c r="T611" s="524"/>
      <c r="U611" s="524"/>
      <c r="V611" s="524"/>
      <c r="W611" s="524"/>
      <c r="X611" s="524"/>
      <c r="Y611" s="524"/>
      <c r="Z611" s="524"/>
    </row>
    <row r="612" ht="13.5" customHeight="1">
      <c r="A612" s="524"/>
      <c r="B612" s="525"/>
      <c r="C612" s="524"/>
      <c r="D612" s="524"/>
      <c r="E612" s="524"/>
      <c r="F612" s="524"/>
      <c r="G612" s="524"/>
      <c r="H612" s="524"/>
      <c r="I612" s="524"/>
      <c r="J612" s="524"/>
      <c r="K612" s="524"/>
      <c r="L612" s="524"/>
      <c r="M612" s="524"/>
      <c r="N612" s="524"/>
      <c r="O612" s="524"/>
      <c r="P612" s="524"/>
      <c r="Q612" s="524"/>
      <c r="R612" s="524"/>
      <c r="S612" s="524"/>
      <c r="T612" s="524"/>
      <c r="U612" s="524"/>
      <c r="V612" s="524"/>
      <c r="W612" s="524"/>
      <c r="X612" s="524"/>
      <c r="Y612" s="524"/>
      <c r="Z612" s="524"/>
    </row>
    <row r="613" ht="13.5" customHeight="1">
      <c r="A613" s="524"/>
      <c r="B613" s="525"/>
      <c r="C613" s="524"/>
      <c r="D613" s="524"/>
      <c r="E613" s="524"/>
      <c r="F613" s="524"/>
      <c r="G613" s="524"/>
      <c r="H613" s="524"/>
      <c r="I613" s="524"/>
      <c r="J613" s="524"/>
      <c r="K613" s="524"/>
      <c r="L613" s="524"/>
      <c r="M613" s="524"/>
      <c r="N613" s="524"/>
      <c r="O613" s="524"/>
      <c r="P613" s="524"/>
      <c r="Q613" s="524"/>
      <c r="R613" s="524"/>
      <c r="S613" s="524"/>
      <c r="T613" s="524"/>
      <c r="U613" s="524"/>
      <c r="V613" s="524"/>
      <c r="W613" s="524"/>
      <c r="X613" s="524"/>
      <c r="Y613" s="524"/>
      <c r="Z613" s="524"/>
    </row>
    <row r="614" ht="13.5" customHeight="1">
      <c r="A614" s="524"/>
      <c r="B614" s="525"/>
      <c r="C614" s="524"/>
      <c r="D614" s="524"/>
      <c r="E614" s="524"/>
      <c r="F614" s="524"/>
      <c r="G614" s="524"/>
      <c r="H614" s="524"/>
      <c r="I614" s="524"/>
      <c r="J614" s="524"/>
      <c r="K614" s="524"/>
      <c r="L614" s="524"/>
      <c r="M614" s="524"/>
      <c r="N614" s="524"/>
      <c r="O614" s="524"/>
      <c r="P614" s="524"/>
      <c r="Q614" s="524"/>
      <c r="R614" s="524"/>
      <c r="S614" s="524"/>
      <c r="T614" s="524"/>
      <c r="U614" s="524"/>
      <c r="V614" s="524"/>
      <c r="W614" s="524"/>
      <c r="X614" s="524"/>
      <c r="Y614" s="524"/>
      <c r="Z614" s="524"/>
    </row>
    <row r="615" ht="13.5" customHeight="1">
      <c r="A615" s="524"/>
      <c r="B615" s="525"/>
      <c r="C615" s="524"/>
      <c r="D615" s="524"/>
      <c r="E615" s="524"/>
      <c r="F615" s="524"/>
      <c r="G615" s="524"/>
      <c r="H615" s="524"/>
      <c r="I615" s="524"/>
      <c r="J615" s="524"/>
      <c r="K615" s="524"/>
      <c r="L615" s="524"/>
      <c r="M615" s="524"/>
      <c r="N615" s="524"/>
      <c r="O615" s="524"/>
      <c r="P615" s="524"/>
      <c r="Q615" s="524"/>
      <c r="R615" s="524"/>
      <c r="S615" s="524"/>
      <c r="T615" s="524"/>
      <c r="U615" s="524"/>
      <c r="V615" s="524"/>
      <c r="W615" s="524"/>
      <c r="X615" s="524"/>
      <c r="Y615" s="524"/>
      <c r="Z615" s="524"/>
    </row>
    <row r="616" ht="13.5" customHeight="1">
      <c r="A616" s="524"/>
      <c r="B616" s="525"/>
      <c r="C616" s="524"/>
      <c r="D616" s="524"/>
      <c r="E616" s="524"/>
      <c r="F616" s="524"/>
      <c r="G616" s="524"/>
      <c r="H616" s="524"/>
      <c r="I616" s="524"/>
      <c r="J616" s="524"/>
      <c r="K616" s="524"/>
      <c r="L616" s="524"/>
      <c r="M616" s="524"/>
      <c r="N616" s="524"/>
      <c r="O616" s="524"/>
      <c r="P616" s="524"/>
      <c r="Q616" s="524"/>
      <c r="R616" s="524"/>
      <c r="S616" s="524"/>
      <c r="T616" s="524"/>
      <c r="U616" s="524"/>
      <c r="V616" s="524"/>
      <c r="W616" s="524"/>
      <c r="X616" s="524"/>
      <c r="Y616" s="524"/>
      <c r="Z616" s="524"/>
    </row>
    <row r="617" ht="13.5" customHeight="1">
      <c r="A617" s="524"/>
      <c r="B617" s="525"/>
      <c r="C617" s="524"/>
      <c r="D617" s="524"/>
      <c r="E617" s="524"/>
      <c r="F617" s="524"/>
      <c r="G617" s="524"/>
      <c r="H617" s="524"/>
      <c r="I617" s="524"/>
      <c r="J617" s="524"/>
      <c r="K617" s="524"/>
      <c r="L617" s="524"/>
      <c r="M617" s="524"/>
      <c r="N617" s="524"/>
      <c r="O617" s="524"/>
      <c r="P617" s="524"/>
      <c r="Q617" s="524"/>
      <c r="R617" s="524"/>
      <c r="S617" s="524"/>
      <c r="T617" s="524"/>
      <c r="U617" s="524"/>
      <c r="V617" s="524"/>
      <c r="W617" s="524"/>
      <c r="X617" s="524"/>
      <c r="Y617" s="524"/>
      <c r="Z617" s="524"/>
    </row>
    <row r="618" ht="13.5" customHeight="1">
      <c r="A618" s="524"/>
      <c r="B618" s="525"/>
      <c r="C618" s="524"/>
      <c r="D618" s="524"/>
      <c r="E618" s="524"/>
      <c r="F618" s="524"/>
      <c r="G618" s="524"/>
      <c r="H618" s="524"/>
      <c r="I618" s="524"/>
      <c r="J618" s="524"/>
      <c r="K618" s="524"/>
      <c r="L618" s="524"/>
      <c r="M618" s="524"/>
      <c r="N618" s="524"/>
      <c r="O618" s="524"/>
      <c r="P618" s="524"/>
      <c r="Q618" s="524"/>
      <c r="R618" s="524"/>
      <c r="S618" s="524"/>
      <c r="T618" s="524"/>
      <c r="U618" s="524"/>
      <c r="V618" s="524"/>
      <c r="W618" s="524"/>
      <c r="X618" s="524"/>
      <c r="Y618" s="524"/>
      <c r="Z618" s="524"/>
    </row>
    <row r="619" ht="13.5" customHeight="1">
      <c r="A619" s="524"/>
      <c r="B619" s="525"/>
      <c r="C619" s="524"/>
      <c r="D619" s="524"/>
      <c r="E619" s="524"/>
      <c r="F619" s="524"/>
      <c r="G619" s="524"/>
      <c r="H619" s="524"/>
      <c r="I619" s="524"/>
      <c r="J619" s="524"/>
      <c r="K619" s="524"/>
      <c r="L619" s="524"/>
      <c r="M619" s="524"/>
      <c r="N619" s="524"/>
      <c r="O619" s="524"/>
      <c r="P619" s="524"/>
      <c r="Q619" s="524"/>
      <c r="R619" s="524"/>
      <c r="S619" s="524"/>
      <c r="T619" s="524"/>
      <c r="U619" s="524"/>
      <c r="V619" s="524"/>
      <c r="W619" s="524"/>
      <c r="X619" s="524"/>
      <c r="Y619" s="524"/>
      <c r="Z619" s="524"/>
    </row>
    <row r="620" ht="13.5" customHeight="1">
      <c r="A620" s="524"/>
      <c r="B620" s="525"/>
      <c r="C620" s="524"/>
      <c r="D620" s="524"/>
      <c r="E620" s="524"/>
      <c r="F620" s="524"/>
      <c r="G620" s="524"/>
      <c r="H620" s="524"/>
      <c r="I620" s="524"/>
      <c r="J620" s="524"/>
      <c r="K620" s="524"/>
      <c r="L620" s="524"/>
      <c r="M620" s="524"/>
      <c r="N620" s="524"/>
      <c r="O620" s="524"/>
      <c r="P620" s="524"/>
      <c r="Q620" s="524"/>
      <c r="R620" s="524"/>
      <c r="S620" s="524"/>
      <c r="T620" s="524"/>
      <c r="U620" s="524"/>
      <c r="V620" s="524"/>
      <c r="W620" s="524"/>
      <c r="X620" s="524"/>
      <c r="Y620" s="524"/>
      <c r="Z620" s="524"/>
    </row>
    <row r="621" ht="13.5" customHeight="1">
      <c r="A621" s="524"/>
      <c r="B621" s="525"/>
      <c r="C621" s="524"/>
      <c r="D621" s="524"/>
      <c r="E621" s="524"/>
      <c r="F621" s="524"/>
      <c r="G621" s="524"/>
      <c r="H621" s="524"/>
      <c r="I621" s="524"/>
      <c r="J621" s="524"/>
      <c r="K621" s="524"/>
      <c r="L621" s="524"/>
      <c r="M621" s="524"/>
      <c r="N621" s="524"/>
      <c r="O621" s="524"/>
      <c r="P621" s="524"/>
      <c r="Q621" s="524"/>
      <c r="R621" s="524"/>
      <c r="S621" s="524"/>
      <c r="T621" s="524"/>
      <c r="U621" s="524"/>
      <c r="V621" s="524"/>
      <c r="W621" s="524"/>
      <c r="X621" s="524"/>
      <c r="Y621" s="524"/>
      <c r="Z621" s="524"/>
    </row>
    <row r="622" ht="13.5" customHeight="1">
      <c r="A622" s="524"/>
      <c r="B622" s="525"/>
      <c r="C622" s="524"/>
      <c r="D622" s="524"/>
      <c r="E622" s="524"/>
      <c r="F622" s="524"/>
      <c r="G622" s="524"/>
      <c r="H622" s="524"/>
      <c r="I622" s="524"/>
      <c r="J622" s="524"/>
      <c r="K622" s="524"/>
      <c r="L622" s="524"/>
      <c r="M622" s="524"/>
      <c r="N622" s="524"/>
      <c r="O622" s="524"/>
      <c r="P622" s="524"/>
      <c r="Q622" s="524"/>
      <c r="R622" s="524"/>
      <c r="S622" s="524"/>
      <c r="T622" s="524"/>
      <c r="U622" s="524"/>
      <c r="V622" s="524"/>
      <c r="W622" s="524"/>
      <c r="X622" s="524"/>
      <c r="Y622" s="524"/>
      <c r="Z622" s="524"/>
    </row>
    <row r="623" ht="13.5" customHeight="1">
      <c r="A623" s="524"/>
      <c r="B623" s="525"/>
      <c r="C623" s="524"/>
      <c r="D623" s="524"/>
      <c r="E623" s="524"/>
      <c r="F623" s="524"/>
      <c r="G623" s="524"/>
      <c r="H623" s="524"/>
      <c r="I623" s="524"/>
      <c r="J623" s="524"/>
      <c r="K623" s="524"/>
      <c r="L623" s="524"/>
      <c r="M623" s="524"/>
      <c r="N623" s="524"/>
      <c r="O623" s="524"/>
      <c r="P623" s="524"/>
      <c r="Q623" s="524"/>
      <c r="R623" s="524"/>
      <c r="S623" s="524"/>
      <c r="T623" s="524"/>
      <c r="U623" s="524"/>
      <c r="V623" s="524"/>
      <c r="W623" s="524"/>
      <c r="X623" s="524"/>
      <c r="Y623" s="524"/>
      <c r="Z623" s="524"/>
    </row>
    <row r="624" ht="13.5" customHeight="1">
      <c r="A624" s="524"/>
      <c r="B624" s="525"/>
      <c r="C624" s="524"/>
      <c r="D624" s="524"/>
      <c r="E624" s="524"/>
      <c r="F624" s="524"/>
      <c r="G624" s="524"/>
      <c r="H624" s="524"/>
      <c r="I624" s="524"/>
      <c r="J624" s="524"/>
      <c r="K624" s="524"/>
      <c r="L624" s="524"/>
      <c r="M624" s="524"/>
      <c r="N624" s="524"/>
      <c r="O624" s="524"/>
      <c r="P624" s="524"/>
      <c r="Q624" s="524"/>
      <c r="R624" s="524"/>
      <c r="S624" s="524"/>
      <c r="T624" s="524"/>
      <c r="U624" s="524"/>
      <c r="V624" s="524"/>
      <c r="W624" s="524"/>
      <c r="X624" s="524"/>
      <c r="Y624" s="524"/>
      <c r="Z624" s="524"/>
    </row>
    <row r="625" ht="13.5" customHeight="1">
      <c r="A625" s="524"/>
      <c r="B625" s="525"/>
      <c r="C625" s="524"/>
      <c r="D625" s="524"/>
      <c r="E625" s="524"/>
      <c r="F625" s="524"/>
      <c r="G625" s="524"/>
      <c r="H625" s="524"/>
      <c r="I625" s="524"/>
      <c r="J625" s="524"/>
      <c r="K625" s="524"/>
      <c r="L625" s="524"/>
      <c r="M625" s="524"/>
      <c r="N625" s="524"/>
      <c r="O625" s="524"/>
      <c r="P625" s="524"/>
      <c r="Q625" s="524"/>
      <c r="R625" s="524"/>
      <c r="S625" s="524"/>
      <c r="T625" s="524"/>
      <c r="U625" s="524"/>
      <c r="V625" s="524"/>
      <c r="W625" s="524"/>
      <c r="X625" s="524"/>
      <c r="Y625" s="524"/>
      <c r="Z625" s="524"/>
    </row>
    <row r="626" ht="13.5" customHeight="1">
      <c r="A626" s="524"/>
      <c r="B626" s="525"/>
      <c r="C626" s="524"/>
      <c r="D626" s="524"/>
      <c r="E626" s="524"/>
      <c r="F626" s="524"/>
      <c r="G626" s="524"/>
      <c r="H626" s="524"/>
      <c r="I626" s="524"/>
      <c r="J626" s="524"/>
      <c r="K626" s="524"/>
      <c r="L626" s="524"/>
      <c r="M626" s="524"/>
      <c r="N626" s="524"/>
      <c r="O626" s="524"/>
      <c r="P626" s="524"/>
      <c r="Q626" s="524"/>
      <c r="R626" s="524"/>
      <c r="S626" s="524"/>
      <c r="T626" s="524"/>
      <c r="U626" s="524"/>
      <c r="V626" s="524"/>
      <c r="W626" s="524"/>
      <c r="X626" s="524"/>
      <c r="Y626" s="524"/>
      <c r="Z626" s="524"/>
    </row>
    <row r="627" ht="13.5" customHeight="1">
      <c r="A627" s="524"/>
      <c r="B627" s="525"/>
      <c r="C627" s="524"/>
      <c r="D627" s="524"/>
      <c r="E627" s="524"/>
      <c r="F627" s="524"/>
      <c r="G627" s="524"/>
      <c r="H627" s="524"/>
      <c r="I627" s="524"/>
      <c r="J627" s="524"/>
      <c r="K627" s="524"/>
      <c r="L627" s="524"/>
      <c r="M627" s="524"/>
      <c r="N627" s="524"/>
      <c r="O627" s="524"/>
      <c r="P627" s="524"/>
      <c r="Q627" s="524"/>
      <c r="R627" s="524"/>
      <c r="S627" s="524"/>
      <c r="T627" s="524"/>
      <c r="U627" s="524"/>
      <c r="V627" s="524"/>
      <c r="W627" s="524"/>
      <c r="X627" s="524"/>
      <c r="Y627" s="524"/>
      <c r="Z627" s="524"/>
    </row>
    <row r="628" ht="13.5" customHeight="1">
      <c r="A628" s="524"/>
      <c r="B628" s="525"/>
      <c r="C628" s="524"/>
      <c r="D628" s="524"/>
      <c r="E628" s="524"/>
      <c r="F628" s="524"/>
      <c r="G628" s="524"/>
      <c r="H628" s="524"/>
      <c r="I628" s="524"/>
      <c r="J628" s="524"/>
      <c r="K628" s="524"/>
      <c r="L628" s="524"/>
      <c r="M628" s="524"/>
      <c r="N628" s="524"/>
      <c r="O628" s="524"/>
      <c r="P628" s="524"/>
      <c r="Q628" s="524"/>
      <c r="R628" s="524"/>
      <c r="S628" s="524"/>
      <c r="T628" s="524"/>
      <c r="U628" s="524"/>
      <c r="V628" s="524"/>
      <c r="W628" s="524"/>
      <c r="X628" s="524"/>
      <c r="Y628" s="524"/>
      <c r="Z628" s="524"/>
    </row>
    <row r="629" ht="13.5" customHeight="1">
      <c r="A629" s="524"/>
      <c r="B629" s="525"/>
      <c r="C629" s="524"/>
      <c r="D629" s="524"/>
      <c r="E629" s="524"/>
      <c r="F629" s="524"/>
      <c r="G629" s="524"/>
      <c r="H629" s="524"/>
      <c r="I629" s="524"/>
      <c r="J629" s="524"/>
      <c r="K629" s="524"/>
      <c r="L629" s="524"/>
      <c r="M629" s="524"/>
      <c r="N629" s="524"/>
      <c r="O629" s="524"/>
      <c r="P629" s="524"/>
      <c r="Q629" s="524"/>
      <c r="R629" s="524"/>
      <c r="S629" s="524"/>
      <c r="T629" s="524"/>
      <c r="U629" s="524"/>
      <c r="V629" s="524"/>
      <c r="W629" s="524"/>
      <c r="X629" s="524"/>
      <c r="Y629" s="524"/>
      <c r="Z629" s="524"/>
    </row>
    <row r="630" ht="13.5" customHeight="1">
      <c r="A630" s="524"/>
      <c r="B630" s="525"/>
      <c r="C630" s="524"/>
      <c r="D630" s="524"/>
      <c r="E630" s="524"/>
      <c r="F630" s="524"/>
      <c r="G630" s="524"/>
      <c r="H630" s="524"/>
      <c r="I630" s="524"/>
      <c r="J630" s="524"/>
      <c r="K630" s="524"/>
      <c r="L630" s="524"/>
      <c r="M630" s="524"/>
      <c r="N630" s="524"/>
      <c r="O630" s="524"/>
      <c r="P630" s="524"/>
      <c r="Q630" s="524"/>
      <c r="R630" s="524"/>
      <c r="S630" s="524"/>
      <c r="T630" s="524"/>
      <c r="U630" s="524"/>
      <c r="V630" s="524"/>
      <c r="W630" s="524"/>
      <c r="X630" s="524"/>
      <c r="Y630" s="524"/>
      <c r="Z630" s="524"/>
    </row>
    <row r="631" ht="13.5" customHeight="1">
      <c r="A631" s="524"/>
      <c r="B631" s="525"/>
      <c r="C631" s="524"/>
      <c r="D631" s="524"/>
      <c r="E631" s="524"/>
      <c r="F631" s="524"/>
      <c r="G631" s="524"/>
      <c r="H631" s="524"/>
      <c r="I631" s="524"/>
      <c r="J631" s="524"/>
      <c r="K631" s="524"/>
      <c r="L631" s="524"/>
      <c r="M631" s="524"/>
      <c r="N631" s="524"/>
      <c r="O631" s="524"/>
      <c r="P631" s="524"/>
      <c r="Q631" s="524"/>
      <c r="R631" s="524"/>
      <c r="S631" s="524"/>
      <c r="T631" s="524"/>
      <c r="U631" s="524"/>
      <c r="V631" s="524"/>
      <c r="W631" s="524"/>
      <c r="X631" s="524"/>
      <c r="Y631" s="524"/>
      <c r="Z631" s="524"/>
    </row>
    <row r="632" ht="13.5" customHeight="1">
      <c r="A632" s="524"/>
      <c r="B632" s="525"/>
      <c r="C632" s="524"/>
      <c r="D632" s="524"/>
      <c r="E632" s="524"/>
      <c r="F632" s="524"/>
      <c r="G632" s="524"/>
      <c r="H632" s="524"/>
      <c r="I632" s="524"/>
      <c r="J632" s="524"/>
      <c r="K632" s="524"/>
      <c r="L632" s="524"/>
      <c r="M632" s="524"/>
      <c r="N632" s="524"/>
      <c r="O632" s="524"/>
      <c r="P632" s="524"/>
      <c r="Q632" s="524"/>
      <c r="R632" s="524"/>
      <c r="S632" s="524"/>
      <c r="T632" s="524"/>
      <c r="U632" s="524"/>
      <c r="V632" s="524"/>
      <c r="W632" s="524"/>
      <c r="X632" s="524"/>
      <c r="Y632" s="524"/>
      <c r="Z632" s="524"/>
    </row>
    <row r="633" ht="13.5" customHeight="1">
      <c r="A633" s="524"/>
      <c r="B633" s="525"/>
      <c r="C633" s="524"/>
      <c r="D633" s="524"/>
      <c r="E633" s="524"/>
      <c r="F633" s="524"/>
      <c r="G633" s="524"/>
      <c r="H633" s="524"/>
      <c r="I633" s="524"/>
      <c r="J633" s="524"/>
      <c r="K633" s="524"/>
      <c r="L633" s="524"/>
      <c r="M633" s="524"/>
      <c r="N633" s="524"/>
      <c r="O633" s="524"/>
      <c r="P633" s="524"/>
      <c r="Q633" s="524"/>
      <c r="R633" s="524"/>
      <c r="S633" s="524"/>
      <c r="T633" s="524"/>
      <c r="U633" s="524"/>
      <c r="V633" s="524"/>
      <c r="W633" s="524"/>
      <c r="X633" s="524"/>
      <c r="Y633" s="524"/>
      <c r="Z633" s="524"/>
    </row>
    <row r="634" ht="13.5" customHeight="1">
      <c r="A634" s="524"/>
      <c r="B634" s="525"/>
      <c r="C634" s="524"/>
      <c r="D634" s="524"/>
      <c r="E634" s="524"/>
      <c r="F634" s="524"/>
      <c r="G634" s="524"/>
      <c r="H634" s="524"/>
      <c r="I634" s="524"/>
      <c r="J634" s="524"/>
      <c r="K634" s="524"/>
      <c r="L634" s="524"/>
      <c r="M634" s="524"/>
      <c r="N634" s="524"/>
      <c r="O634" s="524"/>
      <c r="P634" s="524"/>
      <c r="Q634" s="524"/>
      <c r="R634" s="524"/>
      <c r="S634" s="524"/>
      <c r="T634" s="524"/>
      <c r="U634" s="524"/>
      <c r="V634" s="524"/>
      <c r="W634" s="524"/>
      <c r="X634" s="524"/>
      <c r="Y634" s="524"/>
      <c r="Z634" s="524"/>
    </row>
    <row r="635" ht="13.5" customHeight="1">
      <c r="A635" s="524"/>
      <c r="B635" s="525"/>
      <c r="C635" s="524"/>
      <c r="D635" s="524"/>
      <c r="E635" s="524"/>
      <c r="F635" s="524"/>
      <c r="G635" s="524"/>
      <c r="H635" s="524"/>
      <c r="I635" s="524"/>
      <c r="J635" s="524"/>
      <c r="K635" s="524"/>
      <c r="L635" s="524"/>
      <c r="M635" s="524"/>
      <c r="N635" s="524"/>
      <c r="O635" s="524"/>
      <c r="P635" s="524"/>
      <c r="Q635" s="524"/>
      <c r="R635" s="524"/>
      <c r="S635" s="524"/>
      <c r="T635" s="524"/>
      <c r="U635" s="524"/>
      <c r="V635" s="524"/>
      <c r="W635" s="524"/>
      <c r="X635" s="524"/>
      <c r="Y635" s="524"/>
      <c r="Z635" s="524"/>
    </row>
    <row r="636" ht="13.5" customHeight="1">
      <c r="A636" s="524"/>
      <c r="B636" s="525"/>
      <c r="C636" s="524"/>
      <c r="D636" s="524"/>
      <c r="E636" s="524"/>
      <c r="F636" s="524"/>
      <c r="G636" s="524"/>
      <c r="H636" s="524"/>
      <c r="I636" s="524"/>
      <c r="J636" s="524"/>
      <c r="K636" s="524"/>
      <c r="L636" s="524"/>
      <c r="M636" s="524"/>
      <c r="N636" s="524"/>
      <c r="O636" s="524"/>
      <c r="P636" s="524"/>
      <c r="Q636" s="524"/>
      <c r="R636" s="524"/>
      <c r="S636" s="524"/>
      <c r="T636" s="524"/>
      <c r="U636" s="524"/>
      <c r="V636" s="524"/>
      <c r="W636" s="524"/>
      <c r="X636" s="524"/>
      <c r="Y636" s="524"/>
      <c r="Z636" s="524"/>
    </row>
    <row r="637" ht="13.5" customHeight="1">
      <c r="A637" s="524"/>
      <c r="B637" s="525"/>
      <c r="C637" s="524"/>
      <c r="D637" s="524"/>
      <c r="E637" s="524"/>
      <c r="F637" s="524"/>
      <c r="G637" s="524"/>
      <c r="H637" s="524"/>
      <c r="I637" s="524"/>
      <c r="J637" s="524"/>
      <c r="K637" s="524"/>
      <c r="L637" s="524"/>
      <c r="M637" s="524"/>
      <c r="N637" s="524"/>
      <c r="O637" s="524"/>
      <c r="P637" s="524"/>
      <c r="Q637" s="524"/>
      <c r="R637" s="524"/>
      <c r="S637" s="524"/>
      <c r="T637" s="524"/>
      <c r="U637" s="524"/>
      <c r="V637" s="524"/>
      <c r="W637" s="524"/>
      <c r="X637" s="524"/>
      <c r="Y637" s="524"/>
      <c r="Z637" s="524"/>
    </row>
    <row r="638" ht="13.5" customHeight="1">
      <c r="A638" s="524"/>
      <c r="B638" s="525"/>
      <c r="C638" s="524"/>
      <c r="D638" s="524"/>
      <c r="E638" s="524"/>
      <c r="F638" s="524"/>
      <c r="G638" s="524"/>
      <c r="H638" s="524"/>
      <c r="I638" s="524"/>
      <c r="J638" s="524"/>
      <c r="K638" s="524"/>
      <c r="L638" s="524"/>
      <c r="M638" s="524"/>
      <c r="N638" s="524"/>
      <c r="O638" s="524"/>
      <c r="P638" s="524"/>
      <c r="Q638" s="524"/>
      <c r="R638" s="524"/>
      <c r="S638" s="524"/>
      <c r="T638" s="524"/>
      <c r="U638" s="524"/>
      <c r="V638" s="524"/>
      <c r="W638" s="524"/>
      <c r="X638" s="524"/>
      <c r="Y638" s="524"/>
      <c r="Z638" s="524"/>
    </row>
    <row r="639" ht="13.5" customHeight="1">
      <c r="A639" s="524"/>
      <c r="B639" s="525"/>
      <c r="C639" s="524"/>
      <c r="D639" s="524"/>
      <c r="E639" s="524"/>
      <c r="F639" s="524"/>
      <c r="G639" s="524"/>
      <c r="H639" s="524"/>
      <c r="I639" s="524"/>
      <c r="J639" s="524"/>
      <c r="K639" s="524"/>
      <c r="L639" s="524"/>
      <c r="M639" s="524"/>
      <c r="N639" s="524"/>
      <c r="O639" s="524"/>
      <c r="P639" s="524"/>
      <c r="Q639" s="524"/>
      <c r="R639" s="524"/>
      <c r="S639" s="524"/>
      <c r="T639" s="524"/>
      <c r="U639" s="524"/>
      <c r="V639" s="524"/>
      <c r="W639" s="524"/>
      <c r="X639" s="524"/>
      <c r="Y639" s="524"/>
      <c r="Z639" s="524"/>
    </row>
    <row r="640" ht="13.5" customHeight="1">
      <c r="A640" s="524"/>
      <c r="B640" s="525"/>
      <c r="C640" s="524"/>
      <c r="D640" s="524"/>
      <c r="E640" s="524"/>
      <c r="F640" s="524"/>
      <c r="G640" s="524"/>
      <c r="H640" s="524"/>
      <c r="I640" s="524"/>
      <c r="J640" s="524"/>
      <c r="K640" s="524"/>
      <c r="L640" s="524"/>
      <c r="M640" s="524"/>
      <c r="N640" s="524"/>
      <c r="O640" s="524"/>
      <c r="P640" s="524"/>
      <c r="Q640" s="524"/>
      <c r="R640" s="524"/>
      <c r="S640" s="524"/>
      <c r="T640" s="524"/>
      <c r="U640" s="524"/>
      <c r="V640" s="524"/>
      <c r="W640" s="524"/>
      <c r="X640" s="524"/>
      <c r="Y640" s="524"/>
      <c r="Z640" s="524"/>
    </row>
    <row r="641" ht="13.5" customHeight="1">
      <c r="A641" s="524"/>
      <c r="B641" s="525"/>
      <c r="C641" s="524"/>
      <c r="D641" s="524"/>
      <c r="E641" s="524"/>
      <c r="F641" s="524"/>
      <c r="G641" s="524"/>
      <c r="H641" s="524"/>
      <c r="I641" s="524"/>
      <c r="J641" s="524"/>
      <c r="K641" s="524"/>
      <c r="L641" s="524"/>
      <c r="M641" s="524"/>
      <c r="N641" s="524"/>
      <c r="O641" s="524"/>
      <c r="P641" s="524"/>
      <c r="Q641" s="524"/>
      <c r="R641" s="524"/>
      <c r="S641" s="524"/>
      <c r="T641" s="524"/>
      <c r="U641" s="524"/>
      <c r="V641" s="524"/>
      <c r="W641" s="524"/>
      <c r="X641" s="524"/>
      <c r="Y641" s="524"/>
      <c r="Z641" s="524"/>
    </row>
    <row r="642" ht="13.5" customHeight="1">
      <c r="A642" s="524"/>
      <c r="B642" s="525"/>
      <c r="C642" s="524"/>
      <c r="D642" s="524"/>
      <c r="E642" s="524"/>
      <c r="F642" s="524"/>
      <c r="G642" s="524"/>
      <c r="H642" s="524"/>
      <c r="I642" s="524"/>
      <c r="J642" s="524"/>
      <c r="K642" s="524"/>
      <c r="L642" s="524"/>
      <c r="M642" s="524"/>
      <c r="N642" s="524"/>
      <c r="O642" s="524"/>
      <c r="P642" s="524"/>
      <c r="Q642" s="524"/>
      <c r="R642" s="524"/>
      <c r="S642" s="524"/>
      <c r="T642" s="524"/>
      <c r="U642" s="524"/>
      <c r="V642" s="524"/>
      <c r="W642" s="524"/>
      <c r="X642" s="524"/>
      <c r="Y642" s="524"/>
      <c r="Z642" s="524"/>
    </row>
    <row r="643" ht="13.5" customHeight="1">
      <c r="A643" s="524"/>
      <c r="B643" s="525"/>
      <c r="C643" s="524"/>
      <c r="D643" s="524"/>
      <c r="E643" s="524"/>
      <c r="F643" s="524"/>
      <c r="G643" s="524"/>
      <c r="H643" s="524"/>
      <c r="I643" s="524"/>
      <c r="J643" s="524"/>
      <c r="K643" s="524"/>
      <c r="L643" s="524"/>
      <c r="M643" s="524"/>
      <c r="N643" s="524"/>
      <c r="O643" s="524"/>
      <c r="P643" s="524"/>
      <c r="Q643" s="524"/>
      <c r="R643" s="524"/>
      <c r="S643" s="524"/>
      <c r="T643" s="524"/>
      <c r="U643" s="524"/>
      <c r="V643" s="524"/>
      <c r="W643" s="524"/>
      <c r="X643" s="524"/>
      <c r="Y643" s="524"/>
      <c r="Z643" s="524"/>
    </row>
    <row r="644" ht="13.5" customHeight="1">
      <c r="A644" s="524"/>
      <c r="B644" s="525"/>
      <c r="C644" s="524"/>
      <c r="D644" s="524"/>
      <c r="E644" s="524"/>
      <c r="F644" s="524"/>
      <c r="G644" s="524"/>
      <c r="H644" s="524"/>
      <c r="I644" s="524"/>
      <c r="J644" s="524"/>
      <c r="K644" s="524"/>
      <c r="L644" s="524"/>
      <c r="M644" s="524"/>
      <c r="N644" s="524"/>
      <c r="O644" s="524"/>
      <c r="P644" s="524"/>
      <c r="Q644" s="524"/>
      <c r="R644" s="524"/>
      <c r="S644" s="524"/>
      <c r="T644" s="524"/>
      <c r="U644" s="524"/>
      <c r="V644" s="524"/>
      <c r="W644" s="524"/>
      <c r="X644" s="524"/>
      <c r="Y644" s="524"/>
      <c r="Z644" s="524"/>
    </row>
    <row r="645" ht="13.5" customHeight="1">
      <c r="A645" s="524"/>
      <c r="B645" s="525"/>
      <c r="C645" s="524"/>
      <c r="D645" s="524"/>
      <c r="E645" s="524"/>
      <c r="F645" s="524"/>
      <c r="G645" s="524"/>
      <c r="H645" s="524"/>
      <c r="I645" s="524"/>
      <c r="J645" s="524"/>
      <c r="K645" s="524"/>
      <c r="L645" s="524"/>
      <c r="M645" s="524"/>
      <c r="N645" s="524"/>
      <c r="O645" s="524"/>
      <c r="P645" s="524"/>
      <c r="Q645" s="524"/>
      <c r="R645" s="524"/>
      <c r="S645" s="524"/>
      <c r="T645" s="524"/>
      <c r="U645" s="524"/>
      <c r="V645" s="524"/>
      <c r="W645" s="524"/>
      <c r="X645" s="524"/>
      <c r="Y645" s="524"/>
      <c r="Z645" s="524"/>
    </row>
    <row r="646" ht="13.5" customHeight="1">
      <c r="A646" s="524"/>
      <c r="B646" s="525"/>
      <c r="C646" s="524"/>
      <c r="D646" s="524"/>
      <c r="E646" s="524"/>
      <c r="F646" s="524"/>
      <c r="G646" s="524"/>
      <c r="H646" s="524"/>
      <c r="I646" s="524"/>
      <c r="J646" s="524"/>
      <c r="K646" s="524"/>
      <c r="L646" s="524"/>
      <c r="M646" s="524"/>
      <c r="N646" s="524"/>
      <c r="O646" s="524"/>
      <c r="P646" s="524"/>
      <c r="Q646" s="524"/>
      <c r="R646" s="524"/>
      <c r="S646" s="524"/>
      <c r="T646" s="524"/>
      <c r="U646" s="524"/>
      <c r="V646" s="524"/>
      <c r="W646" s="524"/>
      <c r="X646" s="524"/>
      <c r="Y646" s="524"/>
      <c r="Z646" s="524"/>
    </row>
    <row r="647" ht="13.5" customHeight="1">
      <c r="A647" s="524"/>
      <c r="B647" s="525"/>
      <c r="C647" s="524"/>
      <c r="D647" s="524"/>
      <c r="E647" s="524"/>
      <c r="F647" s="524"/>
      <c r="G647" s="524"/>
      <c r="H647" s="524"/>
      <c r="I647" s="524"/>
      <c r="J647" s="524"/>
      <c r="K647" s="524"/>
      <c r="L647" s="524"/>
      <c r="M647" s="524"/>
      <c r="N647" s="524"/>
      <c r="O647" s="524"/>
      <c r="P647" s="524"/>
      <c r="Q647" s="524"/>
      <c r="R647" s="524"/>
      <c r="S647" s="524"/>
      <c r="T647" s="524"/>
      <c r="U647" s="524"/>
      <c r="V647" s="524"/>
      <c r="W647" s="524"/>
      <c r="X647" s="524"/>
      <c r="Y647" s="524"/>
      <c r="Z647" s="524"/>
    </row>
    <row r="648" ht="13.5" customHeight="1">
      <c r="A648" s="524"/>
      <c r="B648" s="525"/>
      <c r="C648" s="524"/>
      <c r="D648" s="524"/>
      <c r="E648" s="524"/>
      <c r="F648" s="524"/>
      <c r="G648" s="524"/>
      <c r="H648" s="524"/>
      <c r="I648" s="524"/>
      <c r="J648" s="524"/>
      <c r="K648" s="524"/>
      <c r="L648" s="524"/>
      <c r="M648" s="524"/>
      <c r="N648" s="524"/>
      <c r="O648" s="524"/>
      <c r="P648" s="524"/>
      <c r="Q648" s="524"/>
      <c r="R648" s="524"/>
      <c r="S648" s="524"/>
      <c r="T648" s="524"/>
      <c r="U648" s="524"/>
      <c r="V648" s="524"/>
      <c r="W648" s="524"/>
      <c r="X648" s="524"/>
      <c r="Y648" s="524"/>
      <c r="Z648" s="524"/>
    </row>
    <row r="649" ht="13.5" customHeight="1">
      <c r="A649" s="524"/>
      <c r="B649" s="525"/>
      <c r="C649" s="524"/>
      <c r="D649" s="524"/>
      <c r="E649" s="524"/>
      <c r="F649" s="524"/>
      <c r="G649" s="524"/>
      <c r="H649" s="524"/>
      <c r="I649" s="524"/>
      <c r="J649" s="524"/>
      <c r="K649" s="524"/>
      <c r="L649" s="524"/>
      <c r="M649" s="524"/>
      <c r="N649" s="524"/>
      <c r="O649" s="524"/>
      <c r="P649" s="524"/>
      <c r="Q649" s="524"/>
      <c r="R649" s="524"/>
      <c r="S649" s="524"/>
      <c r="T649" s="524"/>
      <c r="U649" s="524"/>
      <c r="V649" s="524"/>
      <c r="W649" s="524"/>
      <c r="X649" s="524"/>
      <c r="Y649" s="524"/>
      <c r="Z649" s="524"/>
    </row>
    <row r="650" ht="13.5" customHeight="1">
      <c r="A650" s="524"/>
      <c r="B650" s="525"/>
      <c r="C650" s="524"/>
      <c r="D650" s="524"/>
      <c r="E650" s="524"/>
      <c r="F650" s="524"/>
      <c r="G650" s="524"/>
      <c r="H650" s="524"/>
      <c r="I650" s="524"/>
      <c r="J650" s="524"/>
      <c r="K650" s="524"/>
      <c r="L650" s="524"/>
      <c r="M650" s="524"/>
      <c r="N650" s="524"/>
      <c r="O650" s="524"/>
      <c r="P650" s="524"/>
      <c r="Q650" s="524"/>
      <c r="R650" s="524"/>
      <c r="S650" s="524"/>
      <c r="T650" s="524"/>
      <c r="U650" s="524"/>
      <c r="V650" s="524"/>
      <c r="W650" s="524"/>
      <c r="X650" s="524"/>
      <c r="Y650" s="524"/>
      <c r="Z650" s="524"/>
    </row>
    <row r="651" ht="13.5" customHeight="1">
      <c r="A651" s="524"/>
      <c r="B651" s="525"/>
      <c r="C651" s="524"/>
      <c r="D651" s="524"/>
      <c r="E651" s="524"/>
      <c r="F651" s="524"/>
      <c r="G651" s="524"/>
      <c r="H651" s="524"/>
      <c r="I651" s="524"/>
      <c r="J651" s="524"/>
      <c r="K651" s="524"/>
      <c r="L651" s="524"/>
      <c r="M651" s="524"/>
      <c r="N651" s="524"/>
      <c r="O651" s="524"/>
      <c r="P651" s="524"/>
      <c r="Q651" s="524"/>
      <c r="R651" s="524"/>
      <c r="S651" s="524"/>
      <c r="T651" s="524"/>
      <c r="U651" s="524"/>
      <c r="V651" s="524"/>
      <c r="W651" s="524"/>
      <c r="X651" s="524"/>
      <c r="Y651" s="524"/>
      <c r="Z651" s="524"/>
    </row>
    <row r="652" ht="13.5" customHeight="1">
      <c r="A652" s="524"/>
      <c r="B652" s="525"/>
      <c r="C652" s="524"/>
      <c r="D652" s="524"/>
      <c r="E652" s="524"/>
      <c r="F652" s="524"/>
      <c r="G652" s="524"/>
      <c r="H652" s="524"/>
      <c r="I652" s="524"/>
      <c r="J652" s="524"/>
      <c r="K652" s="524"/>
      <c r="L652" s="524"/>
      <c r="M652" s="524"/>
      <c r="N652" s="524"/>
      <c r="O652" s="524"/>
      <c r="P652" s="524"/>
      <c r="Q652" s="524"/>
      <c r="R652" s="524"/>
      <c r="S652" s="524"/>
      <c r="T652" s="524"/>
      <c r="U652" s="524"/>
      <c r="V652" s="524"/>
      <c r="W652" s="524"/>
      <c r="X652" s="524"/>
      <c r="Y652" s="524"/>
      <c r="Z652" s="524"/>
    </row>
    <row r="653" ht="13.5" customHeight="1">
      <c r="A653" s="524"/>
      <c r="B653" s="525"/>
      <c r="C653" s="524"/>
      <c r="D653" s="524"/>
      <c r="E653" s="524"/>
      <c r="F653" s="524"/>
      <c r="G653" s="524"/>
      <c r="H653" s="524"/>
      <c r="I653" s="524"/>
      <c r="J653" s="524"/>
      <c r="K653" s="524"/>
      <c r="L653" s="524"/>
      <c r="M653" s="524"/>
      <c r="N653" s="524"/>
      <c r="O653" s="524"/>
      <c r="P653" s="524"/>
      <c r="Q653" s="524"/>
      <c r="R653" s="524"/>
      <c r="S653" s="524"/>
      <c r="T653" s="524"/>
      <c r="U653" s="524"/>
      <c r="V653" s="524"/>
      <c r="W653" s="524"/>
      <c r="X653" s="524"/>
      <c r="Y653" s="524"/>
      <c r="Z653" s="524"/>
    </row>
    <row r="654" ht="13.5" customHeight="1">
      <c r="A654" s="524"/>
      <c r="B654" s="525"/>
      <c r="C654" s="524"/>
      <c r="D654" s="524"/>
      <c r="E654" s="524"/>
      <c r="F654" s="524"/>
      <c r="G654" s="524"/>
      <c r="H654" s="524"/>
      <c r="I654" s="524"/>
      <c r="J654" s="524"/>
      <c r="K654" s="524"/>
      <c r="L654" s="524"/>
      <c r="M654" s="524"/>
      <c r="N654" s="524"/>
      <c r="O654" s="524"/>
      <c r="P654" s="524"/>
      <c r="Q654" s="524"/>
      <c r="R654" s="524"/>
      <c r="S654" s="524"/>
      <c r="T654" s="524"/>
      <c r="U654" s="524"/>
      <c r="V654" s="524"/>
      <c r="W654" s="524"/>
      <c r="X654" s="524"/>
      <c r="Y654" s="524"/>
      <c r="Z654" s="524"/>
    </row>
    <row r="655" ht="13.5" customHeight="1">
      <c r="A655" s="524"/>
      <c r="B655" s="525"/>
      <c r="C655" s="524"/>
      <c r="D655" s="524"/>
      <c r="E655" s="524"/>
      <c r="F655" s="524"/>
      <c r="G655" s="524"/>
      <c r="H655" s="524"/>
      <c r="I655" s="524"/>
      <c r="J655" s="524"/>
      <c r="K655" s="524"/>
      <c r="L655" s="524"/>
      <c r="M655" s="524"/>
      <c r="N655" s="524"/>
      <c r="O655" s="524"/>
      <c r="P655" s="524"/>
      <c r="Q655" s="524"/>
      <c r="R655" s="524"/>
      <c r="S655" s="524"/>
      <c r="T655" s="524"/>
      <c r="U655" s="524"/>
      <c r="V655" s="524"/>
      <c r="W655" s="524"/>
      <c r="X655" s="524"/>
      <c r="Y655" s="524"/>
      <c r="Z655" s="524"/>
    </row>
    <row r="656" ht="13.5" customHeight="1">
      <c r="A656" s="524"/>
      <c r="B656" s="525"/>
      <c r="C656" s="524"/>
      <c r="D656" s="524"/>
      <c r="E656" s="524"/>
      <c r="F656" s="524"/>
      <c r="G656" s="524"/>
      <c r="H656" s="524"/>
      <c r="I656" s="524"/>
      <c r="J656" s="524"/>
      <c r="K656" s="524"/>
      <c r="L656" s="524"/>
      <c r="M656" s="524"/>
      <c r="N656" s="524"/>
      <c r="O656" s="524"/>
      <c r="P656" s="524"/>
      <c r="Q656" s="524"/>
      <c r="R656" s="524"/>
      <c r="S656" s="524"/>
      <c r="T656" s="524"/>
      <c r="U656" s="524"/>
      <c r="V656" s="524"/>
      <c r="W656" s="524"/>
      <c r="X656" s="524"/>
      <c r="Y656" s="524"/>
      <c r="Z656" s="524"/>
    </row>
    <row r="657" ht="13.5" customHeight="1">
      <c r="A657" s="524"/>
      <c r="B657" s="525"/>
      <c r="C657" s="524"/>
      <c r="D657" s="524"/>
      <c r="E657" s="524"/>
      <c r="F657" s="524"/>
      <c r="G657" s="524"/>
      <c r="H657" s="524"/>
      <c r="I657" s="524"/>
      <c r="J657" s="524"/>
      <c r="K657" s="524"/>
      <c r="L657" s="524"/>
      <c r="M657" s="524"/>
      <c r="N657" s="524"/>
      <c r="O657" s="524"/>
      <c r="P657" s="524"/>
      <c r="Q657" s="524"/>
      <c r="R657" s="524"/>
      <c r="S657" s="524"/>
      <c r="T657" s="524"/>
      <c r="U657" s="524"/>
      <c r="V657" s="524"/>
      <c r="W657" s="524"/>
      <c r="X657" s="524"/>
      <c r="Y657" s="524"/>
      <c r="Z657" s="524"/>
    </row>
    <row r="658" ht="13.5" customHeight="1">
      <c r="A658" s="524"/>
      <c r="B658" s="525"/>
      <c r="C658" s="524"/>
      <c r="D658" s="524"/>
      <c r="E658" s="524"/>
      <c r="F658" s="524"/>
      <c r="G658" s="524"/>
      <c r="H658" s="524"/>
      <c r="I658" s="524"/>
      <c r="J658" s="524"/>
      <c r="K658" s="524"/>
      <c r="L658" s="524"/>
      <c r="M658" s="524"/>
      <c r="N658" s="524"/>
      <c r="O658" s="524"/>
      <c r="P658" s="524"/>
      <c r="Q658" s="524"/>
      <c r="R658" s="524"/>
      <c r="S658" s="524"/>
      <c r="T658" s="524"/>
      <c r="U658" s="524"/>
      <c r="V658" s="524"/>
      <c r="W658" s="524"/>
      <c r="X658" s="524"/>
      <c r="Y658" s="524"/>
      <c r="Z658" s="524"/>
    </row>
    <row r="659" ht="13.5" customHeight="1">
      <c r="A659" s="524"/>
      <c r="B659" s="525"/>
      <c r="C659" s="524"/>
      <c r="D659" s="524"/>
      <c r="E659" s="524"/>
      <c r="F659" s="524"/>
      <c r="G659" s="524"/>
      <c r="H659" s="524"/>
      <c r="I659" s="524"/>
      <c r="J659" s="524"/>
      <c r="K659" s="524"/>
      <c r="L659" s="524"/>
      <c r="M659" s="524"/>
      <c r="N659" s="524"/>
      <c r="O659" s="524"/>
      <c r="P659" s="524"/>
      <c r="Q659" s="524"/>
      <c r="R659" s="524"/>
      <c r="S659" s="524"/>
      <c r="T659" s="524"/>
      <c r="U659" s="524"/>
      <c r="V659" s="524"/>
      <c r="W659" s="524"/>
      <c r="X659" s="524"/>
      <c r="Y659" s="524"/>
      <c r="Z659" s="524"/>
    </row>
    <row r="660" ht="13.5" customHeight="1">
      <c r="A660" s="524"/>
      <c r="B660" s="525"/>
      <c r="C660" s="524"/>
      <c r="D660" s="524"/>
      <c r="E660" s="524"/>
      <c r="F660" s="524"/>
      <c r="G660" s="524"/>
      <c r="H660" s="524"/>
      <c r="I660" s="524"/>
      <c r="J660" s="524"/>
      <c r="K660" s="524"/>
      <c r="L660" s="524"/>
      <c r="M660" s="524"/>
      <c r="N660" s="524"/>
      <c r="O660" s="524"/>
      <c r="P660" s="524"/>
      <c r="Q660" s="524"/>
      <c r="R660" s="524"/>
      <c r="S660" s="524"/>
      <c r="T660" s="524"/>
      <c r="U660" s="524"/>
      <c r="V660" s="524"/>
      <c r="W660" s="524"/>
      <c r="X660" s="524"/>
      <c r="Y660" s="524"/>
      <c r="Z660" s="524"/>
    </row>
    <row r="661" ht="13.5" customHeight="1">
      <c r="A661" s="524"/>
      <c r="B661" s="525"/>
      <c r="C661" s="524"/>
      <c r="D661" s="524"/>
      <c r="E661" s="524"/>
      <c r="F661" s="524"/>
      <c r="G661" s="524"/>
      <c r="H661" s="524"/>
      <c r="I661" s="524"/>
      <c r="J661" s="524"/>
      <c r="K661" s="524"/>
      <c r="L661" s="524"/>
      <c r="M661" s="524"/>
      <c r="N661" s="524"/>
      <c r="O661" s="524"/>
      <c r="P661" s="524"/>
      <c r="Q661" s="524"/>
      <c r="R661" s="524"/>
      <c r="S661" s="524"/>
      <c r="T661" s="524"/>
      <c r="U661" s="524"/>
      <c r="V661" s="524"/>
      <c r="W661" s="524"/>
      <c r="X661" s="524"/>
      <c r="Y661" s="524"/>
      <c r="Z661" s="524"/>
    </row>
    <row r="662" ht="13.5" customHeight="1">
      <c r="A662" s="524"/>
      <c r="B662" s="525"/>
      <c r="C662" s="524"/>
      <c r="D662" s="524"/>
      <c r="E662" s="524"/>
      <c r="F662" s="524"/>
      <c r="G662" s="524"/>
      <c r="H662" s="524"/>
      <c r="I662" s="524"/>
      <c r="J662" s="524"/>
      <c r="K662" s="524"/>
      <c r="L662" s="524"/>
      <c r="M662" s="524"/>
      <c r="N662" s="524"/>
      <c r="O662" s="524"/>
      <c r="P662" s="524"/>
      <c r="Q662" s="524"/>
      <c r="R662" s="524"/>
      <c r="S662" s="524"/>
      <c r="T662" s="524"/>
      <c r="U662" s="524"/>
      <c r="V662" s="524"/>
      <c r="W662" s="524"/>
      <c r="X662" s="524"/>
      <c r="Y662" s="524"/>
      <c r="Z662" s="524"/>
    </row>
    <row r="663" ht="13.5" customHeight="1">
      <c r="A663" s="524"/>
      <c r="B663" s="525"/>
      <c r="C663" s="524"/>
      <c r="D663" s="524"/>
      <c r="E663" s="524"/>
      <c r="F663" s="524"/>
      <c r="G663" s="524"/>
      <c r="H663" s="524"/>
      <c r="I663" s="524"/>
      <c r="J663" s="524"/>
      <c r="K663" s="524"/>
      <c r="L663" s="524"/>
      <c r="M663" s="524"/>
      <c r="N663" s="524"/>
      <c r="O663" s="524"/>
      <c r="P663" s="524"/>
      <c r="Q663" s="524"/>
      <c r="R663" s="524"/>
      <c r="S663" s="524"/>
      <c r="T663" s="524"/>
      <c r="U663" s="524"/>
      <c r="V663" s="524"/>
      <c r="W663" s="524"/>
      <c r="X663" s="524"/>
      <c r="Y663" s="524"/>
      <c r="Z663" s="524"/>
    </row>
    <row r="664" ht="13.5" customHeight="1">
      <c r="A664" s="524"/>
      <c r="B664" s="525"/>
      <c r="C664" s="524"/>
      <c r="D664" s="524"/>
      <c r="E664" s="524"/>
      <c r="F664" s="524"/>
      <c r="G664" s="524"/>
      <c r="H664" s="524"/>
      <c r="I664" s="524"/>
      <c r="J664" s="524"/>
      <c r="K664" s="524"/>
      <c r="L664" s="524"/>
      <c r="M664" s="524"/>
      <c r="N664" s="524"/>
      <c r="O664" s="524"/>
      <c r="P664" s="524"/>
      <c r="Q664" s="524"/>
      <c r="R664" s="524"/>
      <c r="S664" s="524"/>
      <c r="T664" s="524"/>
      <c r="U664" s="524"/>
      <c r="V664" s="524"/>
      <c r="W664" s="524"/>
      <c r="X664" s="524"/>
      <c r="Y664" s="524"/>
      <c r="Z664" s="524"/>
    </row>
    <row r="665" ht="13.5" customHeight="1">
      <c r="A665" s="524"/>
      <c r="B665" s="525"/>
      <c r="C665" s="524"/>
      <c r="D665" s="524"/>
      <c r="E665" s="524"/>
      <c r="F665" s="524"/>
      <c r="G665" s="524"/>
      <c r="H665" s="524"/>
      <c r="I665" s="524"/>
      <c r="J665" s="524"/>
      <c r="K665" s="524"/>
      <c r="L665" s="524"/>
      <c r="M665" s="524"/>
      <c r="N665" s="524"/>
      <c r="O665" s="524"/>
      <c r="P665" s="524"/>
      <c r="Q665" s="524"/>
      <c r="R665" s="524"/>
      <c r="S665" s="524"/>
      <c r="T665" s="524"/>
      <c r="U665" s="524"/>
      <c r="V665" s="524"/>
      <c r="W665" s="524"/>
      <c r="X665" s="524"/>
      <c r="Y665" s="524"/>
      <c r="Z665" s="524"/>
    </row>
    <row r="666" ht="13.5" customHeight="1">
      <c r="A666" s="524"/>
      <c r="B666" s="525"/>
      <c r="C666" s="524"/>
      <c r="D666" s="524"/>
      <c r="E666" s="524"/>
      <c r="F666" s="524"/>
      <c r="G666" s="524"/>
      <c r="H666" s="524"/>
      <c r="I666" s="524"/>
      <c r="J666" s="524"/>
      <c r="K666" s="524"/>
      <c r="L666" s="524"/>
      <c r="M666" s="524"/>
      <c r="N666" s="524"/>
      <c r="O666" s="524"/>
      <c r="P666" s="524"/>
      <c r="Q666" s="524"/>
      <c r="R666" s="524"/>
      <c r="S666" s="524"/>
      <c r="T666" s="524"/>
      <c r="U666" s="524"/>
      <c r="V666" s="524"/>
      <c r="W666" s="524"/>
      <c r="X666" s="524"/>
      <c r="Y666" s="524"/>
      <c r="Z666" s="524"/>
    </row>
    <row r="667" ht="13.5" customHeight="1">
      <c r="A667" s="524"/>
      <c r="B667" s="525"/>
      <c r="C667" s="524"/>
      <c r="D667" s="524"/>
      <c r="E667" s="524"/>
      <c r="F667" s="524"/>
      <c r="G667" s="524"/>
      <c r="H667" s="524"/>
      <c r="I667" s="524"/>
      <c r="J667" s="524"/>
      <c r="K667" s="524"/>
      <c r="L667" s="524"/>
      <c r="M667" s="524"/>
      <c r="N667" s="524"/>
      <c r="O667" s="524"/>
      <c r="P667" s="524"/>
      <c r="Q667" s="524"/>
      <c r="R667" s="524"/>
      <c r="S667" s="524"/>
      <c r="T667" s="524"/>
      <c r="U667" s="524"/>
      <c r="V667" s="524"/>
      <c r="W667" s="524"/>
      <c r="X667" s="524"/>
      <c r="Y667" s="524"/>
      <c r="Z667" s="524"/>
    </row>
    <row r="668" ht="13.5" customHeight="1">
      <c r="A668" s="524"/>
      <c r="B668" s="525"/>
      <c r="C668" s="524"/>
      <c r="D668" s="524"/>
      <c r="E668" s="524"/>
      <c r="F668" s="524"/>
      <c r="G668" s="524"/>
      <c r="H668" s="524"/>
      <c r="I668" s="524"/>
      <c r="J668" s="524"/>
      <c r="K668" s="524"/>
      <c r="L668" s="524"/>
      <c r="M668" s="524"/>
      <c r="N668" s="524"/>
      <c r="O668" s="524"/>
      <c r="P668" s="524"/>
      <c r="Q668" s="524"/>
      <c r="R668" s="524"/>
      <c r="S668" s="524"/>
      <c r="T668" s="524"/>
      <c r="U668" s="524"/>
      <c r="V668" s="524"/>
      <c r="W668" s="524"/>
      <c r="X668" s="524"/>
      <c r="Y668" s="524"/>
      <c r="Z668" s="524"/>
    </row>
    <row r="669" ht="13.5" customHeight="1">
      <c r="A669" s="524"/>
      <c r="B669" s="525"/>
      <c r="C669" s="524"/>
      <c r="D669" s="524"/>
      <c r="E669" s="524"/>
      <c r="F669" s="524"/>
      <c r="G669" s="524"/>
      <c r="H669" s="524"/>
      <c r="I669" s="524"/>
      <c r="J669" s="524"/>
      <c r="K669" s="524"/>
      <c r="L669" s="524"/>
      <c r="M669" s="524"/>
      <c r="N669" s="524"/>
      <c r="O669" s="524"/>
      <c r="P669" s="524"/>
      <c r="Q669" s="524"/>
      <c r="R669" s="524"/>
      <c r="S669" s="524"/>
      <c r="T669" s="524"/>
      <c r="U669" s="524"/>
      <c r="V669" s="524"/>
      <c r="W669" s="524"/>
      <c r="X669" s="524"/>
      <c r="Y669" s="524"/>
      <c r="Z669" s="524"/>
    </row>
    <row r="670" ht="13.5" customHeight="1">
      <c r="A670" s="524"/>
      <c r="B670" s="525"/>
      <c r="C670" s="524"/>
      <c r="D670" s="524"/>
      <c r="E670" s="524"/>
      <c r="F670" s="524"/>
      <c r="G670" s="524"/>
      <c r="H670" s="524"/>
      <c r="I670" s="524"/>
      <c r="J670" s="524"/>
      <c r="K670" s="524"/>
      <c r="L670" s="524"/>
      <c r="M670" s="524"/>
      <c r="N670" s="524"/>
      <c r="O670" s="524"/>
      <c r="P670" s="524"/>
      <c r="Q670" s="524"/>
      <c r="R670" s="524"/>
      <c r="S670" s="524"/>
      <c r="T670" s="524"/>
      <c r="U670" s="524"/>
      <c r="V670" s="524"/>
      <c r="W670" s="524"/>
      <c r="X670" s="524"/>
      <c r="Y670" s="524"/>
      <c r="Z670" s="524"/>
    </row>
    <row r="671" ht="13.5" customHeight="1">
      <c r="A671" s="524"/>
      <c r="B671" s="525"/>
      <c r="C671" s="524"/>
      <c r="D671" s="524"/>
      <c r="E671" s="524"/>
      <c r="F671" s="524"/>
      <c r="G671" s="524"/>
      <c r="H671" s="524"/>
      <c r="I671" s="524"/>
      <c r="J671" s="524"/>
      <c r="K671" s="524"/>
      <c r="L671" s="524"/>
      <c r="M671" s="524"/>
      <c r="N671" s="524"/>
      <c r="O671" s="524"/>
      <c r="P671" s="524"/>
      <c r="Q671" s="524"/>
      <c r="R671" s="524"/>
      <c r="S671" s="524"/>
      <c r="T671" s="524"/>
      <c r="U671" s="524"/>
      <c r="V671" s="524"/>
      <c r="W671" s="524"/>
      <c r="X671" s="524"/>
      <c r="Y671" s="524"/>
      <c r="Z671" s="524"/>
    </row>
    <row r="672" ht="13.5" customHeight="1">
      <c r="A672" s="524"/>
      <c r="B672" s="525"/>
      <c r="C672" s="524"/>
      <c r="D672" s="524"/>
      <c r="E672" s="524"/>
      <c r="F672" s="524"/>
      <c r="G672" s="524"/>
      <c r="H672" s="524"/>
      <c r="I672" s="524"/>
      <c r="J672" s="524"/>
      <c r="K672" s="524"/>
      <c r="L672" s="524"/>
      <c r="M672" s="524"/>
      <c r="N672" s="524"/>
      <c r="O672" s="524"/>
      <c r="P672" s="524"/>
      <c r="Q672" s="524"/>
      <c r="R672" s="524"/>
      <c r="S672" s="524"/>
      <c r="T672" s="524"/>
      <c r="U672" s="524"/>
      <c r="V672" s="524"/>
      <c r="W672" s="524"/>
      <c r="X672" s="524"/>
      <c r="Y672" s="524"/>
      <c r="Z672" s="524"/>
    </row>
    <row r="673" ht="13.5" customHeight="1">
      <c r="A673" s="524"/>
      <c r="B673" s="525"/>
      <c r="C673" s="524"/>
      <c r="D673" s="524"/>
      <c r="E673" s="524"/>
      <c r="F673" s="524"/>
      <c r="G673" s="524"/>
      <c r="H673" s="524"/>
      <c r="I673" s="524"/>
      <c r="J673" s="524"/>
      <c r="K673" s="524"/>
      <c r="L673" s="524"/>
      <c r="M673" s="524"/>
      <c r="N673" s="524"/>
      <c r="O673" s="524"/>
      <c r="P673" s="524"/>
      <c r="Q673" s="524"/>
      <c r="R673" s="524"/>
      <c r="S673" s="524"/>
      <c r="T673" s="524"/>
      <c r="U673" s="524"/>
      <c r="V673" s="524"/>
      <c r="W673" s="524"/>
      <c r="X673" s="524"/>
      <c r="Y673" s="524"/>
      <c r="Z673" s="524"/>
    </row>
    <row r="674" ht="13.5" customHeight="1">
      <c r="A674" s="524"/>
      <c r="B674" s="525"/>
      <c r="C674" s="524"/>
      <c r="D674" s="524"/>
      <c r="E674" s="524"/>
      <c r="F674" s="524"/>
      <c r="G674" s="524"/>
      <c r="H674" s="524"/>
      <c r="I674" s="524"/>
      <c r="J674" s="524"/>
      <c r="K674" s="524"/>
      <c r="L674" s="524"/>
      <c r="M674" s="524"/>
      <c r="N674" s="524"/>
      <c r="O674" s="524"/>
      <c r="P674" s="524"/>
      <c r="Q674" s="524"/>
      <c r="R674" s="524"/>
      <c r="S674" s="524"/>
      <c r="T674" s="524"/>
      <c r="U674" s="524"/>
      <c r="V674" s="524"/>
      <c r="W674" s="524"/>
      <c r="X674" s="524"/>
      <c r="Y674" s="524"/>
      <c r="Z674" s="524"/>
    </row>
    <row r="675" ht="13.5" customHeight="1">
      <c r="A675" s="524"/>
      <c r="B675" s="525"/>
      <c r="C675" s="524"/>
      <c r="D675" s="524"/>
      <c r="E675" s="524"/>
      <c r="F675" s="524"/>
      <c r="G675" s="524"/>
      <c r="H675" s="524"/>
      <c r="I675" s="524"/>
      <c r="J675" s="524"/>
      <c r="K675" s="524"/>
      <c r="L675" s="524"/>
      <c r="M675" s="524"/>
      <c r="N675" s="524"/>
      <c r="O675" s="524"/>
      <c r="P675" s="524"/>
      <c r="Q675" s="524"/>
      <c r="R675" s="524"/>
      <c r="S675" s="524"/>
      <c r="T675" s="524"/>
      <c r="U675" s="524"/>
      <c r="V675" s="524"/>
      <c r="W675" s="524"/>
      <c r="X675" s="524"/>
      <c r="Y675" s="524"/>
      <c r="Z675" s="524"/>
    </row>
    <row r="676" ht="13.5" customHeight="1">
      <c r="A676" s="524"/>
      <c r="B676" s="525"/>
      <c r="C676" s="524"/>
      <c r="D676" s="524"/>
      <c r="E676" s="524"/>
      <c r="F676" s="524"/>
      <c r="G676" s="524"/>
      <c r="H676" s="524"/>
      <c r="I676" s="524"/>
      <c r="J676" s="524"/>
      <c r="K676" s="524"/>
      <c r="L676" s="524"/>
      <c r="M676" s="524"/>
      <c r="N676" s="524"/>
      <c r="O676" s="524"/>
      <c r="P676" s="524"/>
      <c r="Q676" s="524"/>
      <c r="R676" s="524"/>
      <c r="S676" s="524"/>
      <c r="T676" s="524"/>
      <c r="U676" s="524"/>
      <c r="V676" s="524"/>
      <c r="W676" s="524"/>
      <c r="X676" s="524"/>
      <c r="Y676" s="524"/>
      <c r="Z676" s="524"/>
    </row>
    <row r="677" ht="13.5" customHeight="1">
      <c r="A677" s="524"/>
      <c r="B677" s="525"/>
      <c r="C677" s="524"/>
      <c r="D677" s="524"/>
      <c r="E677" s="524"/>
      <c r="F677" s="524"/>
      <c r="G677" s="524"/>
      <c r="H677" s="524"/>
      <c r="I677" s="524"/>
      <c r="J677" s="524"/>
      <c r="K677" s="524"/>
      <c r="L677" s="524"/>
      <c r="M677" s="524"/>
      <c r="N677" s="524"/>
      <c r="O677" s="524"/>
      <c r="P677" s="524"/>
      <c r="Q677" s="524"/>
      <c r="R677" s="524"/>
      <c r="S677" s="524"/>
      <c r="T677" s="524"/>
      <c r="U677" s="524"/>
      <c r="V677" s="524"/>
      <c r="W677" s="524"/>
      <c r="X677" s="524"/>
      <c r="Y677" s="524"/>
      <c r="Z677" s="524"/>
    </row>
    <row r="678" ht="13.5" customHeight="1">
      <c r="A678" s="524"/>
      <c r="B678" s="525"/>
      <c r="C678" s="524"/>
      <c r="D678" s="524"/>
      <c r="E678" s="524"/>
      <c r="F678" s="524"/>
      <c r="G678" s="524"/>
      <c r="H678" s="524"/>
      <c r="I678" s="524"/>
      <c r="J678" s="524"/>
      <c r="K678" s="524"/>
      <c r="L678" s="524"/>
      <c r="M678" s="524"/>
      <c r="N678" s="524"/>
      <c r="O678" s="524"/>
      <c r="P678" s="524"/>
      <c r="Q678" s="524"/>
      <c r="R678" s="524"/>
      <c r="S678" s="524"/>
      <c r="T678" s="524"/>
      <c r="U678" s="524"/>
      <c r="V678" s="524"/>
      <c r="W678" s="524"/>
      <c r="X678" s="524"/>
      <c r="Y678" s="524"/>
      <c r="Z678" s="524"/>
    </row>
    <row r="679" ht="13.5" customHeight="1">
      <c r="A679" s="524"/>
      <c r="B679" s="525"/>
      <c r="C679" s="524"/>
      <c r="D679" s="524"/>
      <c r="E679" s="524"/>
      <c r="F679" s="524"/>
      <c r="G679" s="524"/>
      <c r="H679" s="524"/>
      <c r="I679" s="524"/>
      <c r="J679" s="524"/>
      <c r="K679" s="524"/>
      <c r="L679" s="524"/>
      <c r="M679" s="524"/>
      <c r="N679" s="524"/>
      <c r="O679" s="524"/>
      <c r="P679" s="524"/>
      <c r="Q679" s="524"/>
      <c r="R679" s="524"/>
      <c r="S679" s="524"/>
      <c r="T679" s="524"/>
      <c r="U679" s="524"/>
      <c r="V679" s="524"/>
      <c r="W679" s="524"/>
      <c r="X679" s="524"/>
      <c r="Y679" s="524"/>
      <c r="Z679" s="524"/>
    </row>
    <row r="680" ht="13.5" customHeight="1">
      <c r="A680" s="524"/>
      <c r="B680" s="525"/>
      <c r="C680" s="524"/>
      <c r="D680" s="524"/>
      <c r="E680" s="524"/>
      <c r="F680" s="524"/>
      <c r="G680" s="524"/>
      <c r="H680" s="524"/>
      <c r="I680" s="524"/>
      <c r="J680" s="524"/>
      <c r="K680" s="524"/>
      <c r="L680" s="524"/>
      <c r="M680" s="524"/>
      <c r="N680" s="524"/>
      <c r="O680" s="524"/>
      <c r="P680" s="524"/>
      <c r="Q680" s="524"/>
      <c r="R680" s="524"/>
      <c r="S680" s="524"/>
      <c r="T680" s="524"/>
      <c r="U680" s="524"/>
      <c r="V680" s="524"/>
      <c r="W680" s="524"/>
      <c r="X680" s="524"/>
      <c r="Y680" s="524"/>
      <c r="Z680" s="524"/>
    </row>
    <row r="681" ht="13.5" customHeight="1">
      <c r="A681" s="524"/>
      <c r="B681" s="525"/>
      <c r="C681" s="524"/>
      <c r="D681" s="524"/>
      <c r="E681" s="524"/>
      <c r="F681" s="524"/>
      <c r="G681" s="524"/>
      <c r="H681" s="524"/>
      <c r="I681" s="524"/>
      <c r="J681" s="524"/>
      <c r="K681" s="524"/>
      <c r="L681" s="524"/>
      <c r="M681" s="524"/>
      <c r="N681" s="524"/>
      <c r="O681" s="524"/>
      <c r="P681" s="524"/>
      <c r="Q681" s="524"/>
      <c r="R681" s="524"/>
      <c r="S681" s="524"/>
      <c r="T681" s="524"/>
      <c r="U681" s="524"/>
      <c r="V681" s="524"/>
      <c r="W681" s="524"/>
      <c r="X681" s="524"/>
      <c r="Y681" s="524"/>
      <c r="Z681" s="524"/>
    </row>
    <row r="682" ht="13.5" customHeight="1">
      <c r="A682" s="524"/>
      <c r="B682" s="525"/>
      <c r="C682" s="524"/>
      <c r="D682" s="524"/>
      <c r="E682" s="524"/>
      <c r="F682" s="524"/>
      <c r="G682" s="524"/>
      <c r="H682" s="524"/>
      <c r="I682" s="524"/>
      <c r="J682" s="524"/>
      <c r="K682" s="524"/>
      <c r="L682" s="524"/>
      <c r="M682" s="524"/>
      <c r="N682" s="524"/>
      <c r="O682" s="524"/>
      <c r="P682" s="524"/>
      <c r="Q682" s="524"/>
      <c r="R682" s="524"/>
      <c r="S682" s="524"/>
      <c r="T682" s="524"/>
      <c r="U682" s="524"/>
      <c r="V682" s="524"/>
      <c r="W682" s="524"/>
      <c r="X682" s="524"/>
      <c r="Y682" s="524"/>
      <c r="Z682" s="524"/>
    </row>
    <row r="683" ht="13.5" customHeight="1">
      <c r="A683" s="524"/>
      <c r="B683" s="525"/>
      <c r="C683" s="524"/>
      <c r="D683" s="524"/>
      <c r="E683" s="524"/>
      <c r="F683" s="524"/>
      <c r="G683" s="524"/>
      <c r="H683" s="524"/>
      <c r="I683" s="524"/>
      <c r="J683" s="524"/>
      <c r="K683" s="524"/>
      <c r="L683" s="524"/>
      <c r="M683" s="524"/>
      <c r="N683" s="524"/>
      <c r="O683" s="524"/>
      <c r="P683" s="524"/>
      <c r="Q683" s="524"/>
      <c r="R683" s="524"/>
      <c r="S683" s="524"/>
      <c r="T683" s="524"/>
      <c r="U683" s="524"/>
      <c r="V683" s="524"/>
      <c r="W683" s="524"/>
      <c r="X683" s="524"/>
      <c r="Y683" s="524"/>
      <c r="Z683" s="524"/>
    </row>
    <row r="684" ht="13.5" customHeight="1">
      <c r="A684" s="524"/>
      <c r="B684" s="525"/>
      <c r="C684" s="524"/>
      <c r="D684" s="524"/>
      <c r="E684" s="524"/>
      <c r="F684" s="524"/>
      <c r="G684" s="524"/>
      <c r="H684" s="524"/>
      <c r="I684" s="524"/>
      <c r="J684" s="524"/>
      <c r="K684" s="524"/>
      <c r="L684" s="524"/>
      <c r="M684" s="524"/>
      <c r="N684" s="524"/>
      <c r="O684" s="524"/>
      <c r="P684" s="524"/>
      <c r="Q684" s="524"/>
      <c r="R684" s="524"/>
      <c r="S684" s="524"/>
      <c r="T684" s="524"/>
      <c r="U684" s="524"/>
      <c r="V684" s="524"/>
      <c r="W684" s="524"/>
      <c r="X684" s="524"/>
      <c r="Y684" s="524"/>
      <c r="Z684" s="524"/>
    </row>
    <row r="685" ht="13.5" customHeight="1">
      <c r="A685" s="524"/>
      <c r="B685" s="525"/>
      <c r="C685" s="524"/>
      <c r="D685" s="524"/>
      <c r="E685" s="524"/>
      <c r="F685" s="524"/>
      <c r="G685" s="524"/>
      <c r="H685" s="524"/>
      <c r="I685" s="524"/>
      <c r="J685" s="524"/>
      <c r="K685" s="524"/>
      <c r="L685" s="524"/>
      <c r="M685" s="524"/>
      <c r="N685" s="524"/>
      <c r="O685" s="524"/>
      <c r="P685" s="524"/>
      <c r="Q685" s="524"/>
      <c r="R685" s="524"/>
      <c r="S685" s="524"/>
      <c r="T685" s="524"/>
      <c r="U685" s="524"/>
      <c r="V685" s="524"/>
      <c r="W685" s="524"/>
      <c r="X685" s="524"/>
      <c r="Y685" s="524"/>
      <c r="Z685" s="524"/>
    </row>
    <row r="686" ht="13.5" customHeight="1">
      <c r="A686" s="524"/>
      <c r="B686" s="525"/>
      <c r="C686" s="524"/>
      <c r="D686" s="524"/>
      <c r="E686" s="524"/>
      <c r="F686" s="524"/>
      <c r="G686" s="524"/>
      <c r="H686" s="524"/>
      <c r="I686" s="524"/>
      <c r="J686" s="524"/>
      <c r="K686" s="524"/>
      <c r="L686" s="524"/>
      <c r="M686" s="524"/>
      <c r="N686" s="524"/>
      <c r="O686" s="524"/>
      <c r="P686" s="524"/>
      <c r="Q686" s="524"/>
      <c r="R686" s="524"/>
      <c r="S686" s="524"/>
      <c r="T686" s="524"/>
      <c r="U686" s="524"/>
      <c r="V686" s="524"/>
      <c r="W686" s="524"/>
      <c r="X686" s="524"/>
      <c r="Y686" s="524"/>
      <c r="Z686" s="524"/>
    </row>
    <row r="687" ht="13.5" customHeight="1">
      <c r="A687" s="524"/>
      <c r="B687" s="525"/>
      <c r="C687" s="524"/>
      <c r="D687" s="524"/>
      <c r="E687" s="524"/>
      <c r="F687" s="524"/>
      <c r="G687" s="524"/>
      <c r="H687" s="524"/>
      <c r="I687" s="524"/>
      <c r="J687" s="524"/>
      <c r="K687" s="524"/>
      <c r="L687" s="524"/>
      <c r="M687" s="524"/>
      <c r="N687" s="524"/>
      <c r="O687" s="524"/>
      <c r="P687" s="524"/>
      <c r="Q687" s="524"/>
      <c r="R687" s="524"/>
      <c r="S687" s="524"/>
      <c r="T687" s="524"/>
      <c r="U687" s="524"/>
      <c r="V687" s="524"/>
      <c r="W687" s="524"/>
      <c r="X687" s="524"/>
      <c r="Y687" s="524"/>
      <c r="Z687" s="524"/>
    </row>
    <row r="688" ht="13.5" customHeight="1">
      <c r="A688" s="524"/>
      <c r="B688" s="525"/>
      <c r="C688" s="524"/>
      <c r="D688" s="524"/>
      <c r="E688" s="524"/>
      <c r="F688" s="524"/>
      <c r="G688" s="524"/>
      <c r="H688" s="524"/>
      <c r="I688" s="524"/>
      <c r="J688" s="524"/>
      <c r="K688" s="524"/>
      <c r="L688" s="524"/>
      <c r="M688" s="524"/>
      <c r="N688" s="524"/>
      <c r="O688" s="524"/>
      <c r="P688" s="524"/>
      <c r="Q688" s="524"/>
      <c r="R688" s="524"/>
      <c r="S688" s="524"/>
      <c r="T688" s="524"/>
      <c r="U688" s="524"/>
      <c r="V688" s="524"/>
      <c r="W688" s="524"/>
      <c r="X688" s="524"/>
      <c r="Y688" s="524"/>
      <c r="Z688" s="524"/>
    </row>
    <row r="689" ht="13.5" customHeight="1">
      <c r="A689" s="524"/>
      <c r="B689" s="525"/>
      <c r="C689" s="524"/>
      <c r="D689" s="524"/>
      <c r="E689" s="524"/>
      <c r="F689" s="524"/>
      <c r="G689" s="524"/>
      <c r="H689" s="524"/>
      <c r="I689" s="524"/>
      <c r="J689" s="524"/>
      <c r="K689" s="524"/>
      <c r="L689" s="524"/>
      <c r="M689" s="524"/>
      <c r="N689" s="524"/>
      <c r="O689" s="524"/>
      <c r="P689" s="524"/>
      <c r="Q689" s="524"/>
      <c r="R689" s="524"/>
      <c r="S689" s="524"/>
      <c r="T689" s="524"/>
      <c r="U689" s="524"/>
      <c r="V689" s="524"/>
      <c r="W689" s="524"/>
      <c r="X689" s="524"/>
      <c r="Y689" s="524"/>
      <c r="Z689" s="524"/>
    </row>
    <row r="690" ht="13.5" customHeight="1">
      <c r="A690" s="524"/>
      <c r="B690" s="525"/>
      <c r="C690" s="524"/>
      <c r="D690" s="524"/>
      <c r="E690" s="524"/>
      <c r="F690" s="524"/>
      <c r="G690" s="524"/>
      <c r="H690" s="524"/>
      <c r="I690" s="524"/>
      <c r="J690" s="524"/>
      <c r="K690" s="524"/>
      <c r="L690" s="524"/>
      <c r="M690" s="524"/>
      <c r="N690" s="524"/>
      <c r="O690" s="524"/>
      <c r="P690" s="524"/>
      <c r="Q690" s="524"/>
      <c r="R690" s="524"/>
      <c r="S690" s="524"/>
      <c r="T690" s="524"/>
      <c r="U690" s="524"/>
      <c r="V690" s="524"/>
      <c r="W690" s="524"/>
      <c r="X690" s="524"/>
      <c r="Y690" s="524"/>
      <c r="Z690" s="524"/>
    </row>
    <row r="691" ht="13.5" customHeight="1">
      <c r="A691" s="524"/>
      <c r="B691" s="525"/>
      <c r="C691" s="524"/>
      <c r="D691" s="524"/>
      <c r="E691" s="524"/>
      <c r="F691" s="524"/>
      <c r="G691" s="524"/>
      <c r="H691" s="524"/>
      <c r="I691" s="524"/>
      <c r="J691" s="524"/>
      <c r="K691" s="524"/>
      <c r="L691" s="524"/>
      <c r="M691" s="524"/>
      <c r="N691" s="524"/>
      <c r="O691" s="524"/>
      <c r="P691" s="524"/>
      <c r="Q691" s="524"/>
      <c r="R691" s="524"/>
      <c r="S691" s="524"/>
      <c r="T691" s="524"/>
      <c r="U691" s="524"/>
      <c r="V691" s="524"/>
      <c r="W691" s="524"/>
      <c r="X691" s="524"/>
      <c r="Y691" s="524"/>
      <c r="Z691" s="524"/>
    </row>
    <row r="692" ht="13.5" customHeight="1">
      <c r="A692" s="524"/>
      <c r="B692" s="525"/>
      <c r="C692" s="524"/>
      <c r="D692" s="524"/>
      <c r="E692" s="524"/>
      <c r="F692" s="524"/>
      <c r="G692" s="524"/>
      <c r="H692" s="524"/>
      <c r="I692" s="524"/>
      <c r="J692" s="524"/>
      <c r="K692" s="524"/>
      <c r="L692" s="524"/>
      <c r="M692" s="524"/>
      <c r="N692" s="524"/>
      <c r="O692" s="524"/>
      <c r="P692" s="524"/>
      <c r="Q692" s="524"/>
      <c r="R692" s="524"/>
      <c r="S692" s="524"/>
      <c r="T692" s="524"/>
      <c r="U692" s="524"/>
      <c r="V692" s="524"/>
      <c r="W692" s="524"/>
      <c r="X692" s="524"/>
      <c r="Y692" s="524"/>
      <c r="Z692" s="524"/>
    </row>
    <row r="693" ht="13.5" customHeight="1">
      <c r="A693" s="524"/>
      <c r="B693" s="525"/>
      <c r="C693" s="524"/>
      <c r="D693" s="524"/>
      <c r="E693" s="524"/>
      <c r="F693" s="524"/>
      <c r="G693" s="524"/>
      <c r="H693" s="524"/>
      <c r="I693" s="524"/>
      <c r="J693" s="524"/>
      <c r="K693" s="524"/>
      <c r="L693" s="524"/>
      <c r="M693" s="524"/>
      <c r="N693" s="524"/>
      <c r="O693" s="524"/>
      <c r="P693" s="524"/>
      <c r="Q693" s="524"/>
      <c r="R693" s="524"/>
      <c r="S693" s="524"/>
      <c r="T693" s="524"/>
      <c r="U693" s="524"/>
      <c r="V693" s="524"/>
      <c r="W693" s="524"/>
      <c r="X693" s="524"/>
      <c r="Y693" s="524"/>
      <c r="Z693" s="524"/>
    </row>
    <row r="694" ht="13.5" customHeight="1">
      <c r="A694" s="524"/>
      <c r="B694" s="525"/>
      <c r="C694" s="524"/>
      <c r="D694" s="524"/>
      <c r="E694" s="524"/>
      <c r="F694" s="524"/>
      <c r="G694" s="524"/>
      <c r="H694" s="524"/>
      <c r="I694" s="524"/>
      <c r="J694" s="524"/>
      <c r="K694" s="524"/>
      <c r="L694" s="524"/>
      <c r="M694" s="524"/>
      <c r="N694" s="524"/>
      <c r="O694" s="524"/>
      <c r="P694" s="524"/>
      <c r="Q694" s="524"/>
      <c r="R694" s="524"/>
      <c r="S694" s="524"/>
      <c r="T694" s="524"/>
      <c r="U694" s="524"/>
      <c r="V694" s="524"/>
      <c r="W694" s="524"/>
      <c r="X694" s="524"/>
      <c r="Y694" s="524"/>
      <c r="Z694" s="524"/>
    </row>
    <row r="695" ht="13.5" customHeight="1">
      <c r="A695" s="524"/>
      <c r="B695" s="525"/>
      <c r="C695" s="524"/>
      <c r="D695" s="524"/>
      <c r="E695" s="524"/>
      <c r="F695" s="524"/>
      <c r="G695" s="524"/>
      <c r="H695" s="524"/>
      <c r="I695" s="524"/>
      <c r="J695" s="524"/>
      <c r="K695" s="524"/>
      <c r="L695" s="524"/>
      <c r="M695" s="524"/>
      <c r="N695" s="524"/>
      <c r="O695" s="524"/>
      <c r="P695" s="524"/>
      <c r="Q695" s="524"/>
      <c r="R695" s="524"/>
      <c r="S695" s="524"/>
      <c r="T695" s="524"/>
      <c r="U695" s="524"/>
      <c r="V695" s="524"/>
      <c r="W695" s="524"/>
      <c r="X695" s="524"/>
      <c r="Y695" s="524"/>
      <c r="Z695" s="524"/>
    </row>
    <row r="696" ht="13.5" customHeight="1">
      <c r="A696" s="524"/>
      <c r="B696" s="525"/>
      <c r="C696" s="524"/>
      <c r="D696" s="524"/>
      <c r="E696" s="524"/>
      <c r="F696" s="524"/>
      <c r="G696" s="524"/>
      <c r="H696" s="524"/>
      <c r="I696" s="524"/>
      <c r="J696" s="524"/>
      <c r="K696" s="524"/>
      <c r="L696" s="524"/>
      <c r="M696" s="524"/>
      <c r="N696" s="524"/>
      <c r="O696" s="524"/>
      <c r="P696" s="524"/>
      <c r="Q696" s="524"/>
      <c r="R696" s="524"/>
      <c r="S696" s="524"/>
      <c r="T696" s="524"/>
      <c r="U696" s="524"/>
      <c r="V696" s="524"/>
      <c r="W696" s="524"/>
      <c r="X696" s="524"/>
      <c r="Y696" s="524"/>
      <c r="Z696" s="524"/>
    </row>
    <row r="697" ht="13.5" customHeight="1">
      <c r="A697" s="524"/>
      <c r="B697" s="525"/>
      <c r="C697" s="524"/>
      <c r="D697" s="524"/>
      <c r="E697" s="524"/>
      <c r="F697" s="524"/>
      <c r="G697" s="524"/>
      <c r="H697" s="524"/>
      <c r="I697" s="524"/>
      <c r="J697" s="524"/>
      <c r="K697" s="524"/>
      <c r="L697" s="524"/>
      <c r="M697" s="524"/>
      <c r="N697" s="524"/>
      <c r="O697" s="524"/>
      <c r="P697" s="524"/>
      <c r="Q697" s="524"/>
      <c r="R697" s="524"/>
      <c r="S697" s="524"/>
      <c r="T697" s="524"/>
      <c r="U697" s="524"/>
      <c r="V697" s="524"/>
      <c r="W697" s="524"/>
      <c r="X697" s="524"/>
      <c r="Y697" s="524"/>
      <c r="Z697" s="524"/>
    </row>
    <row r="698" ht="13.5" customHeight="1">
      <c r="A698" s="524"/>
      <c r="B698" s="525"/>
      <c r="C698" s="524"/>
      <c r="D698" s="524"/>
      <c r="E698" s="524"/>
      <c r="F698" s="524"/>
      <c r="G698" s="524"/>
      <c r="H698" s="524"/>
      <c r="I698" s="524"/>
      <c r="J698" s="524"/>
      <c r="K698" s="524"/>
      <c r="L698" s="524"/>
      <c r="M698" s="524"/>
      <c r="N698" s="524"/>
      <c r="O698" s="524"/>
      <c r="P698" s="524"/>
      <c r="Q698" s="524"/>
      <c r="R698" s="524"/>
      <c r="S698" s="524"/>
      <c r="T698" s="524"/>
      <c r="U698" s="524"/>
      <c r="V698" s="524"/>
      <c r="W698" s="524"/>
      <c r="X698" s="524"/>
      <c r="Y698" s="524"/>
      <c r="Z698" s="524"/>
    </row>
    <row r="699" ht="13.5" customHeight="1">
      <c r="A699" s="524"/>
      <c r="B699" s="525"/>
      <c r="C699" s="524"/>
      <c r="D699" s="524"/>
      <c r="E699" s="524"/>
      <c r="F699" s="524"/>
      <c r="G699" s="524"/>
      <c r="H699" s="524"/>
      <c r="I699" s="524"/>
      <c r="J699" s="524"/>
      <c r="K699" s="524"/>
      <c r="L699" s="524"/>
      <c r="M699" s="524"/>
      <c r="N699" s="524"/>
      <c r="O699" s="524"/>
      <c r="P699" s="524"/>
      <c r="Q699" s="524"/>
      <c r="R699" s="524"/>
      <c r="S699" s="524"/>
      <c r="T699" s="524"/>
      <c r="U699" s="524"/>
      <c r="V699" s="524"/>
      <c r="W699" s="524"/>
      <c r="X699" s="524"/>
      <c r="Y699" s="524"/>
      <c r="Z699" s="524"/>
    </row>
    <row r="700" ht="13.5" customHeight="1">
      <c r="A700" s="524"/>
      <c r="B700" s="525"/>
      <c r="C700" s="524"/>
      <c r="D700" s="524"/>
      <c r="E700" s="524"/>
      <c r="F700" s="524"/>
      <c r="G700" s="524"/>
      <c r="H700" s="524"/>
      <c r="I700" s="524"/>
      <c r="J700" s="524"/>
      <c r="K700" s="524"/>
      <c r="L700" s="524"/>
      <c r="M700" s="524"/>
      <c r="N700" s="524"/>
      <c r="O700" s="524"/>
      <c r="P700" s="524"/>
      <c r="Q700" s="524"/>
      <c r="R700" s="524"/>
      <c r="S700" s="524"/>
      <c r="T700" s="524"/>
      <c r="U700" s="524"/>
      <c r="V700" s="524"/>
      <c r="W700" s="524"/>
      <c r="X700" s="524"/>
      <c r="Y700" s="524"/>
      <c r="Z700" s="524"/>
    </row>
    <row r="701" ht="13.5" customHeight="1">
      <c r="A701" s="524"/>
      <c r="B701" s="525"/>
      <c r="C701" s="524"/>
      <c r="D701" s="524"/>
      <c r="E701" s="524"/>
      <c r="F701" s="524"/>
      <c r="G701" s="524"/>
      <c r="H701" s="524"/>
      <c r="I701" s="524"/>
      <c r="J701" s="524"/>
      <c r="K701" s="524"/>
      <c r="L701" s="524"/>
      <c r="M701" s="524"/>
      <c r="N701" s="524"/>
      <c r="O701" s="524"/>
      <c r="P701" s="524"/>
      <c r="Q701" s="524"/>
      <c r="R701" s="524"/>
      <c r="S701" s="524"/>
      <c r="T701" s="524"/>
      <c r="U701" s="524"/>
      <c r="V701" s="524"/>
      <c r="W701" s="524"/>
      <c r="X701" s="524"/>
      <c r="Y701" s="524"/>
      <c r="Z701" s="524"/>
    </row>
    <row r="702" ht="13.5" customHeight="1">
      <c r="A702" s="524"/>
      <c r="B702" s="525"/>
      <c r="C702" s="524"/>
      <c r="D702" s="524"/>
      <c r="E702" s="524"/>
      <c r="F702" s="524"/>
      <c r="G702" s="524"/>
      <c r="H702" s="524"/>
      <c r="I702" s="524"/>
      <c r="J702" s="524"/>
      <c r="K702" s="524"/>
      <c r="L702" s="524"/>
      <c r="M702" s="524"/>
      <c r="N702" s="524"/>
      <c r="O702" s="524"/>
      <c r="P702" s="524"/>
      <c r="Q702" s="524"/>
      <c r="R702" s="524"/>
      <c r="S702" s="524"/>
      <c r="T702" s="524"/>
      <c r="U702" s="524"/>
      <c r="V702" s="524"/>
      <c r="W702" s="524"/>
      <c r="X702" s="524"/>
      <c r="Y702" s="524"/>
      <c r="Z702" s="524"/>
    </row>
    <row r="703" ht="13.5" customHeight="1">
      <c r="A703" s="524"/>
      <c r="B703" s="525"/>
      <c r="C703" s="524"/>
      <c r="D703" s="524"/>
      <c r="E703" s="524"/>
      <c r="F703" s="524"/>
      <c r="G703" s="524"/>
      <c r="H703" s="524"/>
      <c r="I703" s="524"/>
      <c r="J703" s="524"/>
      <c r="K703" s="524"/>
      <c r="L703" s="524"/>
      <c r="M703" s="524"/>
      <c r="N703" s="524"/>
      <c r="O703" s="524"/>
      <c r="P703" s="524"/>
      <c r="Q703" s="524"/>
      <c r="R703" s="524"/>
      <c r="S703" s="524"/>
      <c r="T703" s="524"/>
      <c r="U703" s="524"/>
      <c r="V703" s="524"/>
      <c r="W703" s="524"/>
      <c r="X703" s="524"/>
      <c r="Y703" s="524"/>
      <c r="Z703" s="524"/>
    </row>
    <row r="704" ht="13.5" customHeight="1">
      <c r="A704" s="524"/>
      <c r="B704" s="525"/>
      <c r="C704" s="524"/>
      <c r="D704" s="524"/>
      <c r="E704" s="524"/>
      <c r="F704" s="524"/>
      <c r="G704" s="524"/>
      <c r="H704" s="524"/>
      <c r="I704" s="524"/>
      <c r="J704" s="524"/>
      <c r="K704" s="524"/>
      <c r="L704" s="524"/>
      <c r="M704" s="524"/>
      <c r="N704" s="524"/>
      <c r="O704" s="524"/>
      <c r="P704" s="524"/>
      <c r="Q704" s="524"/>
      <c r="R704" s="524"/>
      <c r="S704" s="524"/>
      <c r="T704" s="524"/>
      <c r="U704" s="524"/>
      <c r="V704" s="524"/>
      <c r="W704" s="524"/>
      <c r="X704" s="524"/>
      <c r="Y704" s="524"/>
      <c r="Z704" s="524"/>
    </row>
    <row r="705" ht="13.5" customHeight="1">
      <c r="A705" s="524"/>
      <c r="B705" s="525"/>
      <c r="C705" s="524"/>
      <c r="D705" s="524"/>
      <c r="E705" s="524"/>
      <c r="F705" s="524"/>
      <c r="G705" s="524"/>
      <c r="H705" s="524"/>
      <c r="I705" s="524"/>
      <c r="J705" s="524"/>
      <c r="K705" s="524"/>
      <c r="L705" s="524"/>
      <c r="M705" s="524"/>
      <c r="N705" s="524"/>
      <c r="O705" s="524"/>
      <c r="P705" s="524"/>
      <c r="Q705" s="524"/>
      <c r="R705" s="524"/>
      <c r="S705" s="524"/>
      <c r="T705" s="524"/>
      <c r="U705" s="524"/>
      <c r="V705" s="524"/>
      <c r="W705" s="524"/>
      <c r="X705" s="524"/>
      <c r="Y705" s="524"/>
      <c r="Z705" s="524"/>
    </row>
    <row r="706" ht="13.5" customHeight="1">
      <c r="A706" s="524"/>
      <c r="B706" s="525"/>
      <c r="C706" s="524"/>
      <c r="D706" s="524"/>
      <c r="E706" s="524"/>
      <c r="F706" s="524"/>
      <c r="G706" s="524"/>
      <c r="H706" s="524"/>
      <c r="I706" s="524"/>
      <c r="J706" s="524"/>
      <c r="K706" s="524"/>
      <c r="L706" s="524"/>
      <c r="M706" s="524"/>
      <c r="N706" s="524"/>
      <c r="O706" s="524"/>
      <c r="P706" s="524"/>
      <c r="Q706" s="524"/>
      <c r="R706" s="524"/>
      <c r="S706" s="524"/>
      <c r="T706" s="524"/>
      <c r="U706" s="524"/>
      <c r="V706" s="524"/>
      <c r="W706" s="524"/>
      <c r="X706" s="524"/>
      <c r="Y706" s="524"/>
      <c r="Z706" s="524"/>
    </row>
    <row r="707" ht="13.5" customHeight="1">
      <c r="A707" s="524"/>
      <c r="B707" s="525"/>
      <c r="C707" s="524"/>
      <c r="D707" s="524"/>
      <c r="E707" s="524"/>
      <c r="F707" s="524"/>
      <c r="G707" s="524"/>
      <c r="H707" s="524"/>
      <c r="I707" s="524"/>
      <c r="J707" s="524"/>
      <c r="K707" s="524"/>
      <c r="L707" s="524"/>
      <c r="M707" s="524"/>
      <c r="N707" s="524"/>
      <c r="O707" s="524"/>
      <c r="P707" s="524"/>
      <c r="Q707" s="524"/>
      <c r="R707" s="524"/>
      <c r="S707" s="524"/>
      <c r="T707" s="524"/>
      <c r="U707" s="524"/>
      <c r="V707" s="524"/>
      <c r="W707" s="524"/>
      <c r="X707" s="524"/>
      <c r="Y707" s="524"/>
      <c r="Z707" s="524"/>
    </row>
    <row r="708" ht="13.5" customHeight="1">
      <c r="A708" s="524"/>
      <c r="B708" s="525"/>
      <c r="C708" s="524"/>
      <c r="D708" s="524"/>
      <c r="E708" s="524"/>
      <c r="F708" s="524"/>
      <c r="G708" s="524"/>
      <c r="H708" s="524"/>
      <c r="I708" s="524"/>
      <c r="J708" s="524"/>
      <c r="K708" s="524"/>
      <c r="L708" s="524"/>
      <c r="M708" s="524"/>
      <c r="N708" s="524"/>
      <c r="O708" s="524"/>
      <c r="P708" s="524"/>
      <c r="Q708" s="524"/>
      <c r="R708" s="524"/>
      <c r="S708" s="524"/>
      <c r="T708" s="524"/>
      <c r="U708" s="524"/>
      <c r="V708" s="524"/>
      <c r="W708" s="524"/>
      <c r="X708" s="524"/>
      <c r="Y708" s="524"/>
      <c r="Z708" s="524"/>
    </row>
    <row r="709" ht="13.5" customHeight="1">
      <c r="A709" s="524"/>
      <c r="B709" s="525"/>
      <c r="C709" s="524"/>
      <c r="D709" s="524"/>
      <c r="E709" s="524"/>
      <c r="F709" s="524"/>
      <c r="G709" s="524"/>
      <c r="H709" s="524"/>
      <c r="I709" s="524"/>
      <c r="J709" s="524"/>
      <c r="K709" s="524"/>
      <c r="L709" s="524"/>
      <c r="M709" s="524"/>
      <c r="N709" s="524"/>
      <c r="O709" s="524"/>
      <c r="P709" s="524"/>
      <c r="Q709" s="524"/>
      <c r="R709" s="524"/>
      <c r="S709" s="524"/>
      <c r="T709" s="524"/>
      <c r="U709" s="524"/>
      <c r="V709" s="524"/>
      <c r="W709" s="524"/>
      <c r="X709" s="524"/>
      <c r="Y709" s="524"/>
      <c r="Z709" s="524"/>
    </row>
    <row r="710" ht="13.5" customHeight="1">
      <c r="A710" s="524"/>
      <c r="B710" s="525"/>
      <c r="C710" s="524"/>
      <c r="D710" s="524"/>
      <c r="E710" s="524"/>
      <c r="F710" s="524"/>
      <c r="G710" s="524"/>
      <c r="H710" s="524"/>
      <c r="I710" s="524"/>
      <c r="J710" s="524"/>
      <c r="K710" s="524"/>
      <c r="L710" s="524"/>
      <c r="M710" s="524"/>
      <c r="N710" s="524"/>
      <c r="O710" s="524"/>
      <c r="P710" s="524"/>
      <c r="Q710" s="524"/>
      <c r="R710" s="524"/>
      <c r="S710" s="524"/>
      <c r="T710" s="524"/>
      <c r="U710" s="524"/>
      <c r="V710" s="524"/>
      <c r="W710" s="524"/>
      <c r="X710" s="524"/>
      <c r="Y710" s="524"/>
      <c r="Z710" s="524"/>
    </row>
    <row r="711" ht="13.5" customHeight="1">
      <c r="A711" s="524"/>
      <c r="B711" s="525"/>
      <c r="C711" s="524"/>
      <c r="D711" s="524"/>
      <c r="E711" s="524"/>
      <c r="F711" s="524"/>
      <c r="G711" s="524"/>
      <c r="H711" s="524"/>
      <c r="I711" s="524"/>
      <c r="J711" s="524"/>
      <c r="K711" s="524"/>
      <c r="L711" s="524"/>
      <c r="M711" s="524"/>
      <c r="N711" s="524"/>
      <c r="O711" s="524"/>
      <c r="P711" s="524"/>
      <c r="Q711" s="524"/>
      <c r="R711" s="524"/>
      <c r="S711" s="524"/>
      <c r="T711" s="524"/>
      <c r="U711" s="524"/>
      <c r="V711" s="524"/>
      <c r="W711" s="524"/>
      <c r="X711" s="524"/>
      <c r="Y711" s="524"/>
      <c r="Z711" s="524"/>
    </row>
    <row r="712" ht="13.5" customHeight="1">
      <c r="A712" s="524"/>
      <c r="B712" s="525"/>
      <c r="C712" s="524"/>
      <c r="D712" s="524"/>
      <c r="E712" s="524"/>
      <c r="F712" s="524"/>
      <c r="G712" s="524"/>
      <c r="H712" s="524"/>
      <c r="I712" s="524"/>
      <c r="J712" s="524"/>
      <c r="K712" s="524"/>
      <c r="L712" s="524"/>
      <c r="M712" s="524"/>
      <c r="N712" s="524"/>
      <c r="O712" s="524"/>
      <c r="P712" s="524"/>
      <c r="Q712" s="524"/>
      <c r="R712" s="524"/>
      <c r="S712" s="524"/>
      <c r="T712" s="524"/>
      <c r="U712" s="524"/>
      <c r="V712" s="524"/>
      <c r="W712" s="524"/>
      <c r="X712" s="524"/>
      <c r="Y712" s="524"/>
      <c r="Z712" s="524"/>
    </row>
    <row r="713" ht="13.5" customHeight="1">
      <c r="A713" s="524"/>
      <c r="B713" s="525"/>
      <c r="C713" s="524"/>
      <c r="D713" s="524"/>
      <c r="E713" s="524"/>
      <c r="F713" s="524"/>
      <c r="G713" s="524"/>
      <c r="H713" s="524"/>
      <c r="I713" s="524"/>
      <c r="J713" s="524"/>
      <c r="K713" s="524"/>
      <c r="L713" s="524"/>
      <c r="M713" s="524"/>
      <c r="N713" s="524"/>
      <c r="O713" s="524"/>
      <c r="P713" s="524"/>
      <c r="Q713" s="524"/>
      <c r="R713" s="524"/>
      <c r="S713" s="524"/>
      <c r="T713" s="524"/>
      <c r="U713" s="524"/>
      <c r="V713" s="524"/>
      <c r="W713" s="524"/>
      <c r="X713" s="524"/>
      <c r="Y713" s="524"/>
      <c r="Z713" s="524"/>
    </row>
    <row r="714" ht="13.5" customHeight="1">
      <c r="A714" s="524"/>
      <c r="B714" s="525"/>
      <c r="C714" s="524"/>
      <c r="D714" s="524"/>
      <c r="E714" s="524"/>
      <c r="F714" s="524"/>
      <c r="G714" s="524"/>
      <c r="H714" s="524"/>
      <c r="I714" s="524"/>
      <c r="J714" s="524"/>
      <c r="K714" s="524"/>
      <c r="L714" s="524"/>
      <c r="M714" s="524"/>
      <c r="N714" s="524"/>
      <c r="O714" s="524"/>
      <c r="P714" s="524"/>
      <c r="Q714" s="524"/>
      <c r="R714" s="524"/>
      <c r="S714" s="524"/>
      <c r="T714" s="524"/>
      <c r="U714" s="524"/>
      <c r="V714" s="524"/>
      <c r="W714" s="524"/>
      <c r="X714" s="524"/>
      <c r="Y714" s="524"/>
      <c r="Z714" s="524"/>
    </row>
    <row r="715" ht="13.5" customHeight="1">
      <c r="A715" s="524"/>
      <c r="B715" s="525"/>
      <c r="C715" s="524"/>
      <c r="D715" s="524"/>
      <c r="E715" s="524"/>
      <c r="F715" s="524"/>
      <c r="G715" s="524"/>
      <c r="H715" s="524"/>
      <c r="I715" s="524"/>
      <c r="J715" s="524"/>
      <c r="K715" s="524"/>
      <c r="L715" s="524"/>
      <c r="M715" s="524"/>
      <c r="N715" s="524"/>
      <c r="O715" s="524"/>
      <c r="P715" s="524"/>
      <c r="Q715" s="524"/>
      <c r="R715" s="524"/>
      <c r="S715" s="524"/>
      <c r="T715" s="524"/>
      <c r="U715" s="524"/>
      <c r="V715" s="524"/>
      <c r="W715" s="524"/>
      <c r="X715" s="524"/>
      <c r="Y715" s="524"/>
      <c r="Z715" s="524"/>
    </row>
    <row r="716" ht="13.5" customHeight="1">
      <c r="A716" s="524"/>
      <c r="B716" s="525"/>
      <c r="C716" s="524"/>
      <c r="D716" s="524"/>
      <c r="E716" s="524"/>
      <c r="F716" s="524"/>
      <c r="G716" s="524"/>
      <c r="H716" s="524"/>
      <c r="I716" s="524"/>
      <c r="J716" s="524"/>
      <c r="K716" s="524"/>
      <c r="L716" s="524"/>
      <c r="M716" s="524"/>
      <c r="N716" s="524"/>
      <c r="O716" s="524"/>
      <c r="P716" s="524"/>
      <c r="Q716" s="524"/>
      <c r="R716" s="524"/>
      <c r="S716" s="524"/>
      <c r="T716" s="524"/>
      <c r="U716" s="524"/>
      <c r="V716" s="524"/>
      <c r="W716" s="524"/>
      <c r="X716" s="524"/>
      <c r="Y716" s="524"/>
      <c r="Z716" s="524"/>
    </row>
    <row r="717" ht="13.5" customHeight="1">
      <c r="A717" s="524"/>
      <c r="B717" s="525"/>
      <c r="C717" s="524"/>
      <c r="D717" s="524"/>
      <c r="E717" s="524"/>
      <c r="F717" s="524"/>
      <c r="G717" s="524"/>
      <c r="H717" s="524"/>
      <c r="I717" s="524"/>
      <c r="J717" s="524"/>
      <c r="K717" s="524"/>
      <c r="L717" s="524"/>
      <c r="M717" s="524"/>
      <c r="N717" s="524"/>
      <c r="O717" s="524"/>
      <c r="P717" s="524"/>
      <c r="Q717" s="524"/>
      <c r="R717" s="524"/>
      <c r="S717" s="524"/>
      <c r="T717" s="524"/>
      <c r="U717" s="524"/>
      <c r="V717" s="524"/>
      <c r="W717" s="524"/>
      <c r="X717" s="524"/>
      <c r="Y717" s="524"/>
      <c r="Z717" s="524"/>
    </row>
    <row r="718" ht="13.5" customHeight="1">
      <c r="A718" s="524"/>
      <c r="B718" s="525"/>
      <c r="C718" s="524"/>
      <c r="D718" s="524"/>
      <c r="E718" s="524"/>
      <c r="F718" s="524"/>
      <c r="G718" s="524"/>
      <c r="H718" s="524"/>
      <c r="I718" s="524"/>
      <c r="J718" s="524"/>
      <c r="K718" s="524"/>
      <c r="L718" s="524"/>
      <c r="M718" s="524"/>
      <c r="N718" s="524"/>
      <c r="O718" s="524"/>
      <c r="P718" s="524"/>
      <c r="Q718" s="524"/>
      <c r="R718" s="524"/>
      <c r="S718" s="524"/>
      <c r="T718" s="524"/>
      <c r="U718" s="524"/>
      <c r="V718" s="524"/>
      <c r="W718" s="524"/>
      <c r="X718" s="524"/>
      <c r="Y718" s="524"/>
      <c r="Z718" s="524"/>
    </row>
    <row r="719" ht="13.5" customHeight="1">
      <c r="A719" s="524"/>
      <c r="B719" s="525"/>
      <c r="C719" s="524"/>
      <c r="D719" s="524"/>
      <c r="E719" s="524"/>
      <c r="F719" s="524"/>
      <c r="G719" s="524"/>
      <c r="H719" s="524"/>
      <c r="I719" s="524"/>
      <c r="J719" s="524"/>
      <c r="K719" s="524"/>
      <c r="L719" s="524"/>
      <c r="M719" s="524"/>
      <c r="N719" s="524"/>
      <c r="O719" s="524"/>
      <c r="P719" s="524"/>
      <c r="Q719" s="524"/>
      <c r="R719" s="524"/>
      <c r="S719" s="524"/>
      <c r="T719" s="524"/>
      <c r="U719" s="524"/>
      <c r="V719" s="524"/>
      <c r="W719" s="524"/>
      <c r="X719" s="524"/>
      <c r="Y719" s="524"/>
      <c r="Z719" s="524"/>
    </row>
    <row r="720" ht="13.5" customHeight="1">
      <c r="A720" s="524"/>
      <c r="B720" s="525"/>
      <c r="C720" s="524"/>
      <c r="D720" s="524"/>
      <c r="E720" s="524"/>
      <c r="F720" s="524"/>
      <c r="G720" s="524"/>
      <c r="H720" s="524"/>
      <c r="I720" s="524"/>
      <c r="J720" s="524"/>
      <c r="K720" s="524"/>
      <c r="L720" s="524"/>
      <c r="M720" s="524"/>
      <c r="N720" s="524"/>
      <c r="O720" s="524"/>
      <c r="P720" s="524"/>
      <c r="Q720" s="524"/>
      <c r="R720" s="524"/>
      <c r="S720" s="524"/>
      <c r="T720" s="524"/>
      <c r="U720" s="524"/>
      <c r="V720" s="524"/>
      <c r="W720" s="524"/>
      <c r="X720" s="524"/>
      <c r="Y720" s="524"/>
      <c r="Z720" s="524"/>
    </row>
    <row r="721" ht="13.5" customHeight="1">
      <c r="A721" s="524"/>
      <c r="B721" s="525"/>
      <c r="C721" s="524"/>
      <c r="D721" s="524"/>
      <c r="E721" s="524"/>
      <c r="F721" s="524"/>
      <c r="G721" s="524"/>
      <c r="H721" s="524"/>
      <c r="I721" s="524"/>
      <c r="J721" s="524"/>
      <c r="K721" s="524"/>
      <c r="L721" s="524"/>
      <c r="M721" s="524"/>
      <c r="N721" s="524"/>
      <c r="O721" s="524"/>
      <c r="P721" s="524"/>
      <c r="Q721" s="524"/>
      <c r="R721" s="524"/>
      <c r="S721" s="524"/>
      <c r="T721" s="524"/>
      <c r="U721" s="524"/>
      <c r="V721" s="524"/>
      <c r="W721" s="524"/>
      <c r="X721" s="524"/>
      <c r="Y721" s="524"/>
      <c r="Z721" s="524"/>
    </row>
    <row r="722" ht="13.5" customHeight="1">
      <c r="A722" s="524"/>
      <c r="B722" s="525"/>
      <c r="C722" s="524"/>
      <c r="D722" s="524"/>
      <c r="E722" s="524"/>
      <c r="F722" s="524"/>
      <c r="G722" s="524"/>
      <c r="H722" s="524"/>
      <c r="I722" s="524"/>
      <c r="J722" s="524"/>
      <c r="K722" s="524"/>
      <c r="L722" s="524"/>
      <c r="M722" s="524"/>
      <c r="N722" s="524"/>
      <c r="O722" s="524"/>
      <c r="P722" s="524"/>
      <c r="Q722" s="524"/>
      <c r="R722" s="524"/>
      <c r="S722" s="524"/>
      <c r="T722" s="524"/>
      <c r="U722" s="524"/>
      <c r="V722" s="524"/>
      <c r="W722" s="524"/>
      <c r="X722" s="524"/>
      <c r="Y722" s="524"/>
      <c r="Z722" s="524"/>
    </row>
    <row r="723" ht="13.5" customHeight="1">
      <c r="A723" s="524"/>
      <c r="B723" s="525"/>
      <c r="C723" s="524"/>
      <c r="D723" s="524"/>
      <c r="E723" s="524"/>
      <c r="F723" s="524"/>
      <c r="G723" s="524"/>
      <c r="H723" s="524"/>
      <c r="I723" s="524"/>
      <c r="J723" s="524"/>
      <c r="K723" s="524"/>
      <c r="L723" s="524"/>
      <c r="M723" s="524"/>
      <c r="N723" s="524"/>
      <c r="O723" s="524"/>
      <c r="P723" s="524"/>
      <c r="Q723" s="524"/>
      <c r="R723" s="524"/>
      <c r="S723" s="524"/>
      <c r="T723" s="524"/>
      <c r="U723" s="524"/>
      <c r="V723" s="524"/>
      <c r="W723" s="524"/>
      <c r="X723" s="524"/>
      <c r="Y723" s="524"/>
      <c r="Z723" s="524"/>
    </row>
    <row r="724" ht="13.5" customHeight="1">
      <c r="A724" s="524"/>
      <c r="B724" s="525"/>
      <c r="C724" s="524"/>
      <c r="D724" s="524"/>
      <c r="E724" s="524"/>
      <c r="F724" s="524"/>
      <c r="G724" s="524"/>
      <c r="H724" s="524"/>
      <c r="I724" s="524"/>
      <c r="J724" s="524"/>
      <c r="K724" s="524"/>
      <c r="L724" s="524"/>
      <c r="M724" s="524"/>
      <c r="N724" s="524"/>
      <c r="O724" s="524"/>
      <c r="P724" s="524"/>
      <c r="Q724" s="524"/>
      <c r="R724" s="524"/>
      <c r="S724" s="524"/>
      <c r="T724" s="524"/>
      <c r="U724" s="524"/>
      <c r="V724" s="524"/>
      <c r="W724" s="524"/>
      <c r="X724" s="524"/>
      <c r="Y724" s="524"/>
      <c r="Z724" s="524"/>
    </row>
    <row r="725" ht="13.5" customHeight="1">
      <c r="A725" s="524"/>
      <c r="B725" s="525"/>
      <c r="C725" s="524"/>
      <c r="D725" s="524"/>
      <c r="E725" s="524"/>
      <c r="F725" s="524"/>
      <c r="G725" s="524"/>
      <c r="H725" s="524"/>
      <c r="I725" s="524"/>
      <c r="J725" s="524"/>
      <c r="K725" s="524"/>
      <c r="L725" s="524"/>
      <c r="M725" s="524"/>
      <c r="N725" s="524"/>
      <c r="O725" s="524"/>
      <c r="P725" s="524"/>
      <c r="Q725" s="524"/>
      <c r="R725" s="524"/>
      <c r="S725" s="524"/>
      <c r="T725" s="524"/>
      <c r="U725" s="524"/>
      <c r="V725" s="524"/>
      <c r="W725" s="524"/>
      <c r="X725" s="524"/>
      <c r="Y725" s="524"/>
      <c r="Z725" s="524"/>
    </row>
    <row r="726" ht="13.5" customHeight="1">
      <c r="A726" s="524"/>
      <c r="B726" s="525"/>
      <c r="C726" s="524"/>
      <c r="D726" s="524"/>
      <c r="E726" s="524"/>
      <c r="F726" s="524"/>
      <c r="G726" s="524"/>
      <c r="H726" s="524"/>
      <c r="I726" s="524"/>
      <c r="J726" s="524"/>
      <c r="K726" s="524"/>
      <c r="L726" s="524"/>
      <c r="M726" s="524"/>
      <c r="N726" s="524"/>
      <c r="O726" s="524"/>
      <c r="P726" s="524"/>
      <c r="Q726" s="524"/>
      <c r="R726" s="524"/>
      <c r="S726" s="524"/>
      <c r="T726" s="524"/>
      <c r="U726" s="524"/>
      <c r="V726" s="524"/>
      <c r="W726" s="524"/>
      <c r="X726" s="524"/>
      <c r="Y726" s="524"/>
      <c r="Z726" s="524"/>
    </row>
    <row r="727" ht="13.5" customHeight="1">
      <c r="A727" s="524"/>
      <c r="B727" s="525"/>
      <c r="C727" s="524"/>
      <c r="D727" s="524"/>
      <c r="E727" s="524"/>
      <c r="F727" s="524"/>
      <c r="G727" s="524"/>
      <c r="H727" s="524"/>
      <c r="I727" s="524"/>
      <c r="J727" s="524"/>
      <c r="K727" s="524"/>
      <c r="L727" s="524"/>
      <c r="M727" s="524"/>
      <c r="N727" s="524"/>
      <c r="O727" s="524"/>
      <c r="P727" s="524"/>
      <c r="Q727" s="524"/>
      <c r="R727" s="524"/>
      <c r="S727" s="524"/>
      <c r="T727" s="524"/>
      <c r="U727" s="524"/>
      <c r="V727" s="524"/>
      <c r="W727" s="524"/>
      <c r="X727" s="524"/>
      <c r="Y727" s="524"/>
      <c r="Z727" s="524"/>
    </row>
    <row r="728" ht="13.5" customHeight="1">
      <c r="A728" s="524"/>
      <c r="B728" s="525"/>
      <c r="C728" s="524"/>
      <c r="D728" s="524"/>
      <c r="E728" s="524"/>
      <c r="F728" s="524"/>
      <c r="G728" s="524"/>
      <c r="H728" s="524"/>
      <c r="I728" s="524"/>
      <c r="J728" s="524"/>
      <c r="K728" s="524"/>
      <c r="L728" s="524"/>
      <c r="M728" s="524"/>
      <c r="N728" s="524"/>
      <c r="O728" s="524"/>
      <c r="P728" s="524"/>
      <c r="Q728" s="524"/>
      <c r="R728" s="524"/>
      <c r="S728" s="524"/>
      <c r="T728" s="524"/>
      <c r="U728" s="524"/>
      <c r="V728" s="524"/>
      <c r="W728" s="524"/>
      <c r="X728" s="524"/>
      <c r="Y728" s="524"/>
      <c r="Z728" s="524"/>
    </row>
    <row r="729" ht="13.5" customHeight="1">
      <c r="A729" s="524"/>
      <c r="B729" s="525"/>
      <c r="C729" s="524"/>
      <c r="D729" s="524"/>
      <c r="E729" s="524"/>
      <c r="F729" s="524"/>
      <c r="G729" s="524"/>
      <c r="H729" s="524"/>
      <c r="I729" s="524"/>
      <c r="J729" s="524"/>
      <c r="K729" s="524"/>
      <c r="L729" s="524"/>
      <c r="M729" s="524"/>
      <c r="N729" s="524"/>
      <c r="O729" s="524"/>
      <c r="P729" s="524"/>
      <c r="Q729" s="524"/>
      <c r="R729" s="524"/>
      <c r="S729" s="524"/>
      <c r="T729" s="524"/>
      <c r="U729" s="524"/>
      <c r="V729" s="524"/>
      <c r="W729" s="524"/>
      <c r="X729" s="524"/>
      <c r="Y729" s="524"/>
      <c r="Z729" s="524"/>
    </row>
    <row r="730" ht="13.5" customHeight="1">
      <c r="A730" s="524"/>
      <c r="B730" s="525"/>
      <c r="C730" s="524"/>
      <c r="D730" s="524"/>
      <c r="E730" s="524"/>
      <c r="F730" s="524"/>
      <c r="G730" s="524"/>
      <c r="H730" s="524"/>
      <c r="I730" s="524"/>
      <c r="J730" s="524"/>
      <c r="K730" s="524"/>
      <c r="L730" s="524"/>
      <c r="M730" s="524"/>
      <c r="N730" s="524"/>
      <c r="O730" s="524"/>
      <c r="P730" s="524"/>
      <c r="Q730" s="524"/>
      <c r="R730" s="524"/>
      <c r="S730" s="524"/>
      <c r="T730" s="524"/>
      <c r="U730" s="524"/>
      <c r="V730" s="524"/>
      <c r="W730" s="524"/>
      <c r="X730" s="524"/>
      <c r="Y730" s="524"/>
      <c r="Z730" s="524"/>
    </row>
    <row r="731" ht="13.5" customHeight="1">
      <c r="A731" s="524"/>
      <c r="B731" s="525"/>
      <c r="C731" s="524"/>
      <c r="D731" s="524"/>
      <c r="E731" s="524"/>
      <c r="F731" s="524"/>
      <c r="G731" s="524"/>
      <c r="H731" s="524"/>
      <c r="I731" s="524"/>
      <c r="J731" s="524"/>
      <c r="K731" s="524"/>
      <c r="L731" s="524"/>
      <c r="M731" s="524"/>
      <c r="N731" s="524"/>
      <c r="O731" s="524"/>
      <c r="P731" s="524"/>
      <c r="Q731" s="524"/>
      <c r="R731" s="524"/>
      <c r="S731" s="524"/>
      <c r="T731" s="524"/>
      <c r="U731" s="524"/>
      <c r="V731" s="524"/>
      <c r="W731" s="524"/>
      <c r="X731" s="524"/>
      <c r="Y731" s="524"/>
      <c r="Z731" s="524"/>
    </row>
    <row r="732" ht="13.5" customHeight="1">
      <c r="A732" s="524"/>
      <c r="B732" s="525"/>
      <c r="C732" s="524"/>
      <c r="D732" s="524"/>
      <c r="E732" s="524"/>
      <c r="F732" s="524"/>
      <c r="G732" s="524"/>
      <c r="H732" s="524"/>
      <c r="I732" s="524"/>
      <c r="J732" s="524"/>
      <c r="K732" s="524"/>
      <c r="L732" s="524"/>
      <c r="M732" s="524"/>
      <c r="N732" s="524"/>
      <c r="O732" s="524"/>
      <c r="P732" s="524"/>
      <c r="Q732" s="524"/>
      <c r="R732" s="524"/>
      <c r="S732" s="524"/>
      <c r="T732" s="524"/>
      <c r="U732" s="524"/>
      <c r="V732" s="524"/>
      <c r="W732" s="524"/>
      <c r="X732" s="524"/>
      <c r="Y732" s="524"/>
      <c r="Z732" s="524"/>
    </row>
    <row r="733" ht="13.5" customHeight="1">
      <c r="A733" s="524"/>
      <c r="B733" s="525"/>
      <c r="C733" s="524"/>
      <c r="D733" s="524"/>
      <c r="E733" s="524"/>
      <c r="F733" s="524"/>
      <c r="G733" s="524"/>
      <c r="H733" s="524"/>
      <c r="I733" s="524"/>
      <c r="J733" s="524"/>
      <c r="K733" s="524"/>
      <c r="L733" s="524"/>
      <c r="M733" s="524"/>
      <c r="N733" s="524"/>
      <c r="O733" s="524"/>
      <c r="P733" s="524"/>
      <c r="Q733" s="524"/>
      <c r="R733" s="524"/>
      <c r="S733" s="524"/>
      <c r="T733" s="524"/>
      <c r="U733" s="524"/>
      <c r="V733" s="524"/>
      <c r="W733" s="524"/>
      <c r="X733" s="524"/>
      <c r="Y733" s="524"/>
      <c r="Z733" s="524"/>
    </row>
    <row r="734" ht="13.5" customHeight="1">
      <c r="A734" s="524"/>
      <c r="B734" s="525"/>
      <c r="C734" s="524"/>
      <c r="D734" s="524"/>
      <c r="E734" s="524"/>
      <c r="F734" s="524"/>
      <c r="G734" s="524"/>
      <c r="H734" s="524"/>
      <c r="I734" s="524"/>
      <c r="J734" s="524"/>
      <c r="K734" s="524"/>
      <c r="L734" s="524"/>
      <c r="M734" s="524"/>
      <c r="N734" s="524"/>
      <c r="O734" s="524"/>
      <c r="P734" s="524"/>
      <c r="Q734" s="524"/>
      <c r="R734" s="524"/>
      <c r="S734" s="524"/>
      <c r="T734" s="524"/>
      <c r="U734" s="524"/>
      <c r="V734" s="524"/>
      <c r="W734" s="524"/>
      <c r="X734" s="524"/>
      <c r="Y734" s="524"/>
      <c r="Z734" s="524"/>
    </row>
    <row r="735" ht="13.5" customHeight="1">
      <c r="A735" s="524"/>
      <c r="B735" s="525"/>
      <c r="C735" s="524"/>
      <c r="D735" s="524"/>
      <c r="E735" s="524"/>
      <c r="F735" s="524"/>
      <c r="G735" s="524"/>
      <c r="H735" s="524"/>
      <c r="I735" s="524"/>
      <c r="J735" s="524"/>
      <c r="K735" s="524"/>
      <c r="L735" s="524"/>
      <c r="M735" s="524"/>
      <c r="N735" s="524"/>
      <c r="O735" s="524"/>
      <c r="P735" s="524"/>
      <c r="Q735" s="524"/>
      <c r="R735" s="524"/>
      <c r="S735" s="524"/>
      <c r="T735" s="524"/>
      <c r="U735" s="524"/>
      <c r="V735" s="524"/>
      <c r="W735" s="524"/>
      <c r="X735" s="524"/>
      <c r="Y735" s="524"/>
      <c r="Z735" s="524"/>
    </row>
    <row r="736" ht="13.5" customHeight="1">
      <c r="A736" s="524"/>
      <c r="B736" s="525"/>
      <c r="C736" s="524"/>
      <c r="D736" s="524"/>
      <c r="E736" s="524"/>
      <c r="F736" s="524"/>
      <c r="G736" s="524"/>
      <c r="H736" s="524"/>
      <c r="I736" s="524"/>
      <c r="J736" s="524"/>
      <c r="K736" s="524"/>
      <c r="L736" s="524"/>
      <c r="M736" s="524"/>
      <c r="N736" s="524"/>
      <c r="O736" s="524"/>
      <c r="P736" s="524"/>
      <c r="Q736" s="524"/>
      <c r="R736" s="524"/>
      <c r="S736" s="524"/>
      <c r="T736" s="524"/>
      <c r="U736" s="524"/>
      <c r="V736" s="524"/>
      <c r="W736" s="524"/>
      <c r="X736" s="524"/>
      <c r="Y736" s="524"/>
      <c r="Z736" s="524"/>
    </row>
    <row r="737" ht="13.5" customHeight="1">
      <c r="A737" s="524"/>
      <c r="B737" s="525"/>
      <c r="C737" s="524"/>
      <c r="D737" s="524"/>
      <c r="E737" s="524"/>
      <c r="F737" s="524"/>
      <c r="G737" s="524"/>
      <c r="H737" s="524"/>
      <c r="I737" s="524"/>
      <c r="J737" s="524"/>
      <c r="K737" s="524"/>
      <c r="L737" s="524"/>
      <c r="M737" s="524"/>
      <c r="N737" s="524"/>
      <c r="O737" s="524"/>
      <c r="P737" s="524"/>
      <c r="Q737" s="524"/>
      <c r="R737" s="524"/>
      <c r="S737" s="524"/>
      <c r="T737" s="524"/>
      <c r="U737" s="524"/>
      <c r="V737" s="524"/>
      <c r="W737" s="524"/>
      <c r="X737" s="524"/>
      <c r="Y737" s="524"/>
      <c r="Z737" s="524"/>
    </row>
    <row r="738" ht="13.5" customHeight="1">
      <c r="A738" s="524"/>
      <c r="B738" s="525"/>
      <c r="C738" s="524"/>
      <c r="D738" s="524"/>
      <c r="E738" s="524"/>
      <c r="F738" s="524"/>
      <c r="G738" s="524"/>
      <c r="H738" s="524"/>
      <c r="I738" s="524"/>
      <c r="J738" s="524"/>
      <c r="K738" s="524"/>
      <c r="L738" s="524"/>
      <c r="M738" s="524"/>
      <c r="N738" s="524"/>
      <c r="O738" s="524"/>
      <c r="P738" s="524"/>
      <c r="Q738" s="524"/>
      <c r="R738" s="524"/>
      <c r="S738" s="524"/>
      <c r="T738" s="524"/>
      <c r="U738" s="524"/>
      <c r="V738" s="524"/>
      <c r="W738" s="524"/>
      <c r="X738" s="524"/>
      <c r="Y738" s="524"/>
      <c r="Z738" s="524"/>
    </row>
    <row r="739" ht="13.5" customHeight="1">
      <c r="A739" s="524"/>
      <c r="B739" s="525"/>
      <c r="C739" s="524"/>
      <c r="D739" s="524"/>
      <c r="E739" s="524"/>
      <c r="F739" s="524"/>
      <c r="G739" s="524"/>
      <c r="H739" s="524"/>
      <c r="I739" s="524"/>
      <c r="J739" s="524"/>
      <c r="K739" s="524"/>
      <c r="L739" s="524"/>
      <c r="M739" s="524"/>
      <c r="N739" s="524"/>
      <c r="O739" s="524"/>
      <c r="P739" s="524"/>
      <c r="Q739" s="524"/>
      <c r="R739" s="524"/>
      <c r="S739" s="524"/>
      <c r="T739" s="524"/>
      <c r="U739" s="524"/>
      <c r="V739" s="524"/>
      <c r="W739" s="524"/>
      <c r="X739" s="524"/>
      <c r="Y739" s="524"/>
      <c r="Z739" s="524"/>
    </row>
    <row r="740" ht="13.5" customHeight="1">
      <c r="A740" s="524"/>
      <c r="B740" s="525"/>
      <c r="C740" s="524"/>
      <c r="D740" s="524"/>
      <c r="E740" s="524"/>
      <c r="F740" s="524"/>
      <c r="G740" s="524"/>
      <c r="H740" s="524"/>
      <c r="I740" s="524"/>
      <c r="J740" s="524"/>
      <c r="K740" s="524"/>
      <c r="L740" s="524"/>
      <c r="M740" s="524"/>
      <c r="N740" s="524"/>
      <c r="O740" s="524"/>
      <c r="P740" s="524"/>
      <c r="Q740" s="524"/>
      <c r="R740" s="524"/>
      <c r="S740" s="524"/>
      <c r="T740" s="524"/>
      <c r="U740" s="524"/>
      <c r="V740" s="524"/>
      <c r="W740" s="524"/>
      <c r="X740" s="524"/>
      <c r="Y740" s="524"/>
      <c r="Z740" s="524"/>
    </row>
    <row r="741" ht="13.5" customHeight="1">
      <c r="A741" s="524"/>
      <c r="B741" s="525"/>
      <c r="C741" s="524"/>
      <c r="D741" s="524"/>
      <c r="E741" s="524"/>
      <c r="F741" s="524"/>
      <c r="G741" s="524"/>
      <c r="H741" s="524"/>
      <c r="I741" s="524"/>
      <c r="J741" s="524"/>
      <c r="K741" s="524"/>
      <c r="L741" s="524"/>
      <c r="M741" s="524"/>
      <c r="N741" s="524"/>
      <c r="O741" s="524"/>
      <c r="P741" s="524"/>
      <c r="Q741" s="524"/>
      <c r="R741" s="524"/>
      <c r="S741" s="524"/>
      <c r="T741" s="524"/>
      <c r="U741" s="524"/>
      <c r="V741" s="524"/>
      <c r="W741" s="524"/>
      <c r="X741" s="524"/>
      <c r="Y741" s="524"/>
      <c r="Z741" s="524"/>
    </row>
    <row r="742" ht="13.5" customHeight="1">
      <c r="A742" s="524"/>
      <c r="B742" s="525"/>
      <c r="C742" s="524"/>
      <c r="D742" s="524"/>
      <c r="E742" s="524"/>
      <c r="F742" s="524"/>
      <c r="G742" s="524"/>
      <c r="H742" s="524"/>
      <c r="I742" s="524"/>
      <c r="J742" s="524"/>
      <c r="K742" s="524"/>
      <c r="L742" s="524"/>
      <c r="M742" s="524"/>
      <c r="N742" s="524"/>
      <c r="O742" s="524"/>
      <c r="P742" s="524"/>
      <c r="Q742" s="524"/>
      <c r="R742" s="524"/>
      <c r="S742" s="524"/>
      <c r="T742" s="524"/>
      <c r="U742" s="524"/>
      <c r="V742" s="524"/>
      <c r="W742" s="524"/>
      <c r="X742" s="524"/>
      <c r="Y742" s="524"/>
      <c r="Z742" s="524"/>
    </row>
    <row r="743" ht="13.5" customHeight="1">
      <c r="A743" s="524"/>
      <c r="B743" s="525"/>
      <c r="C743" s="524"/>
      <c r="D743" s="524"/>
      <c r="E743" s="524"/>
      <c r="F743" s="524"/>
      <c r="G743" s="524"/>
      <c r="H743" s="524"/>
      <c r="I743" s="524"/>
      <c r="J743" s="524"/>
      <c r="K743" s="524"/>
      <c r="L743" s="524"/>
      <c r="M743" s="524"/>
      <c r="N743" s="524"/>
      <c r="O743" s="524"/>
      <c r="P743" s="524"/>
      <c r="Q743" s="524"/>
      <c r="R743" s="524"/>
      <c r="S743" s="524"/>
      <c r="T743" s="524"/>
      <c r="U743" s="524"/>
      <c r="V743" s="524"/>
      <c r="W743" s="524"/>
      <c r="X743" s="524"/>
      <c r="Y743" s="524"/>
      <c r="Z743" s="524"/>
    </row>
    <row r="744" ht="13.5" customHeight="1">
      <c r="A744" s="524"/>
      <c r="B744" s="525"/>
      <c r="C744" s="524"/>
      <c r="D744" s="524"/>
      <c r="E744" s="524"/>
      <c r="F744" s="524"/>
      <c r="G744" s="524"/>
      <c r="H744" s="524"/>
      <c r="I744" s="524"/>
      <c r="J744" s="524"/>
      <c r="K744" s="524"/>
      <c r="L744" s="524"/>
      <c r="M744" s="524"/>
      <c r="N744" s="524"/>
      <c r="O744" s="524"/>
      <c r="P744" s="524"/>
      <c r="Q744" s="524"/>
      <c r="R744" s="524"/>
      <c r="S744" s="524"/>
      <c r="T744" s="524"/>
      <c r="U744" s="524"/>
      <c r="V744" s="524"/>
      <c r="W744" s="524"/>
      <c r="X744" s="524"/>
      <c r="Y744" s="524"/>
      <c r="Z744" s="524"/>
    </row>
    <row r="745" ht="13.5" customHeight="1">
      <c r="A745" s="524"/>
      <c r="B745" s="525"/>
      <c r="C745" s="524"/>
      <c r="D745" s="524"/>
      <c r="E745" s="524"/>
      <c r="F745" s="524"/>
      <c r="G745" s="524"/>
      <c r="H745" s="524"/>
      <c r="I745" s="524"/>
      <c r="J745" s="524"/>
      <c r="K745" s="524"/>
      <c r="L745" s="524"/>
      <c r="M745" s="524"/>
      <c r="N745" s="524"/>
      <c r="O745" s="524"/>
      <c r="P745" s="524"/>
      <c r="Q745" s="524"/>
      <c r="R745" s="524"/>
      <c r="S745" s="524"/>
      <c r="T745" s="524"/>
      <c r="U745" s="524"/>
      <c r="V745" s="524"/>
      <c r="W745" s="524"/>
      <c r="X745" s="524"/>
      <c r="Y745" s="524"/>
      <c r="Z745" s="524"/>
    </row>
    <row r="746" ht="13.5" customHeight="1">
      <c r="A746" s="524"/>
      <c r="B746" s="525"/>
      <c r="C746" s="524"/>
      <c r="D746" s="524"/>
      <c r="E746" s="524"/>
      <c r="F746" s="524"/>
      <c r="G746" s="524"/>
      <c r="H746" s="524"/>
      <c r="I746" s="524"/>
      <c r="J746" s="524"/>
      <c r="K746" s="524"/>
      <c r="L746" s="524"/>
      <c r="M746" s="524"/>
      <c r="N746" s="524"/>
      <c r="O746" s="524"/>
      <c r="P746" s="524"/>
      <c r="Q746" s="524"/>
      <c r="R746" s="524"/>
      <c r="S746" s="524"/>
      <c r="T746" s="524"/>
      <c r="U746" s="524"/>
      <c r="V746" s="524"/>
      <c r="W746" s="524"/>
      <c r="X746" s="524"/>
      <c r="Y746" s="524"/>
      <c r="Z746" s="524"/>
    </row>
    <row r="747" ht="13.5" customHeight="1">
      <c r="A747" s="524"/>
      <c r="B747" s="525"/>
      <c r="C747" s="524"/>
      <c r="D747" s="524"/>
      <c r="E747" s="524"/>
      <c r="F747" s="524"/>
      <c r="G747" s="524"/>
      <c r="H747" s="524"/>
      <c r="I747" s="524"/>
      <c r="J747" s="524"/>
      <c r="K747" s="524"/>
      <c r="L747" s="524"/>
      <c r="M747" s="524"/>
      <c r="N747" s="524"/>
      <c r="O747" s="524"/>
      <c r="P747" s="524"/>
      <c r="Q747" s="524"/>
      <c r="R747" s="524"/>
      <c r="S747" s="524"/>
      <c r="T747" s="524"/>
      <c r="U747" s="524"/>
      <c r="V747" s="524"/>
      <c r="W747" s="524"/>
      <c r="X747" s="524"/>
      <c r="Y747" s="524"/>
      <c r="Z747" s="524"/>
    </row>
    <row r="748" ht="13.5" customHeight="1">
      <c r="A748" s="524"/>
      <c r="B748" s="525"/>
      <c r="C748" s="524"/>
      <c r="D748" s="524"/>
      <c r="E748" s="524"/>
      <c r="F748" s="524"/>
      <c r="G748" s="524"/>
      <c r="H748" s="524"/>
      <c r="I748" s="524"/>
      <c r="J748" s="524"/>
      <c r="K748" s="524"/>
      <c r="L748" s="524"/>
      <c r="M748" s="524"/>
      <c r="N748" s="524"/>
      <c r="O748" s="524"/>
      <c r="P748" s="524"/>
      <c r="Q748" s="524"/>
      <c r="R748" s="524"/>
      <c r="S748" s="524"/>
      <c r="T748" s="524"/>
      <c r="U748" s="524"/>
      <c r="V748" s="524"/>
      <c r="W748" s="524"/>
      <c r="X748" s="524"/>
      <c r="Y748" s="524"/>
      <c r="Z748" s="524"/>
    </row>
    <row r="749" ht="13.5" customHeight="1">
      <c r="A749" s="524"/>
      <c r="B749" s="525"/>
      <c r="C749" s="524"/>
      <c r="D749" s="524"/>
      <c r="E749" s="524"/>
      <c r="F749" s="524"/>
      <c r="G749" s="524"/>
      <c r="H749" s="524"/>
      <c r="I749" s="524"/>
      <c r="J749" s="524"/>
      <c r="K749" s="524"/>
      <c r="L749" s="524"/>
      <c r="M749" s="524"/>
      <c r="N749" s="524"/>
      <c r="O749" s="524"/>
      <c r="P749" s="524"/>
      <c r="Q749" s="524"/>
      <c r="R749" s="524"/>
      <c r="S749" s="524"/>
      <c r="T749" s="524"/>
      <c r="U749" s="524"/>
      <c r="V749" s="524"/>
      <c r="W749" s="524"/>
      <c r="X749" s="524"/>
      <c r="Y749" s="524"/>
      <c r="Z749" s="524"/>
    </row>
    <row r="750" ht="13.5" customHeight="1">
      <c r="A750" s="524"/>
      <c r="B750" s="525"/>
      <c r="C750" s="524"/>
      <c r="D750" s="524"/>
      <c r="E750" s="524"/>
      <c r="F750" s="524"/>
      <c r="G750" s="524"/>
      <c r="H750" s="524"/>
      <c r="I750" s="524"/>
      <c r="J750" s="524"/>
      <c r="K750" s="524"/>
      <c r="L750" s="524"/>
      <c r="M750" s="524"/>
      <c r="N750" s="524"/>
      <c r="O750" s="524"/>
      <c r="P750" s="524"/>
      <c r="Q750" s="524"/>
      <c r="R750" s="524"/>
      <c r="S750" s="524"/>
      <c r="T750" s="524"/>
      <c r="U750" s="524"/>
      <c r="V750" s="524"/>
      <c r="W750" s="524"/>
      <c r="X750" s="524"/>
      <c r="Y750" s="524"/>
      <c r="Z750" s="524"/>
    </row>
    <row r="751" ht="13.5" customHeight="1">
      <c r="A751" s="524"/>
      <c r="B751" s="525"/>
      <c r="C751" s="524"/>
      <c r="D751" s="524"/>
      <c r="E751" s="524"/>
      <c r="F751" s="524"/>
      <c r="G751" s="524"/>
      <c r="H751" s="524"/>
      <c r="I751" s="524"/>
      <c r="J751" s="524"/>
      <c r="K751" s="524"/>
      <c r="L751" s="524"/>
      <c r="M751" s="524"/>
      <c r="N751" s="524"/>
      <c r="O751" s="524"/>
      <c r="P751" s="524"/>
      <c r="Q751" s="524"/>
      <c r="R751" s="524"/>
      <c r="S751" s="524"/>
      <c r="T751" s="524"/>
      <c r="U751" s="524"/>
      <c r="V751" s="524"/>
      <c r="W751" s="524"/>
      <c r="X751" s="524"/>
      <c r="Y751" s="524"/>
      <c r="Z751" s="524"/>
    </row>
    <row r="752" ht="13.5" customHeight="1">
      <c r="A752" s="524"/>
      <c r="B752" s="525"/>
      <c r="C752" s="524"/>
      <c r="D752" s="524"/>
      <c r="E752" s="524"/>
      <c r="F752" s="524"/>
      <c r="G752" s="524"/>
      <c r="H752" s="524"/>
      <c r="I752" s="524"/>
      <c r="J752" s="524"/>
      <c r="K752" s="524"/>
      <c r="L752" s="524"/>
      <c r="M752" s="524"/>
      <c r="N752" s="524"/>
      <c r="O752" s="524"/>
      <c r="P752" s="524"/>
      <c r="Q752" s="524"/>
      <c r="R752" s="524"/>
      <c r="S752" s="524"/>
      <c r="T752" s="524"/>
      <c r="U752" s="524"/>
      <c r="V752" s="524"/>
      <c r="W752" s="524"/>
      <c r="X752" s="524"/>
      <c r="Y752" s="524"/>
      <c r="Z752" s="524"/>
    </row>
    <row r="753" ht="13.5" customHeight="1">
      <c r="A753" s="524"/>
      <c r="B753" s="525"/>
      <c r="C753" s="524"/>
      <c r="D753" s="524"/>
      <c r="E753" s="524"/>
      <c r="F753" s="524"/>
      <c r="G753" s="524"/>
      <c r="H753" s="524"/>
      <c r="I753" s="524"/>
      <c r="J753" s="524"/>
      <c r="K753" s="524"/>
      <c r="L753" s="524"/>
      <c r="M753" s="524"/>
      <c r="N753" s="524"/>
      <c r="O753" s="524"/>
      <c r="P753" s="524"/>
      <c r="Q753" s="524"/>
      <c r="R753" s="524"/>
      <c r="S753" s="524"/>
      <c r="T753" s="524"/>
      <c r="U753" s="524"/>
      <c r="V753" s="524"/>
      <c r="W753" s="524"/>
      <c r="X753" s="524"/>
      <c r="Y753" s="524"/>
      <c r="Z753" s="524"/>
    </row>
    <row r="754" ht="13.5" customHeight="1">
      <c r="A754" s="524"/>
      <c r="B754" s="525"/>
      <c r="C754" s="524"/>
      <c r="D754" s="524"/>
      <c r="E754" s="524"/>
      <c r="F754" s="524"/>
      <c r="G754" s="524"/>
      <c r="H754" s="524"/>
      <c r="I754" s="524"/>
      <c r="J754" s="524"/>
      <c r="K754" s="524"/>
      <c r="L754" s="524"/>
      <c r="M754" s="524"/>
      <c r="N754" s="524"/>
      <c r="O754" s="524"/>
      <c r="P754" s="524"/>
      <c r="Q754" s="524"/>
      <c r="R754" s="524"/>
      <c r="S754" s="524"/>
      <c r="T754" s="524"/>
      <c r="U754" s="524"/>
      <c r="V754" s="524"/>
      <c r="W754" s="524"/>
      <c r="X754" s="524"/>
      <c r="Y754" s="524"/>
      <c r="Z754" s="524"/>
    </row>
    <row r="755" ht="13.5" customHeight="1">
      <c r="A755" s="524"/>
      <c r="B755" s="525"/>
      <c r="C755" s="524"/>
      <c r="D755" s="524"/>
      <c r="E755" s="524"/>
      <c r="F755" s="524"/>
      <c r="G755" s="524"/>
      <c r="H755" s="524"/>
      <c r="I755" s="524"/>
      <c r="J755" s="524"/>
      <c r="K755" s="524"/>
      <c r="L755" s="524"/>
      <c r="M755" s="524"/>
      <c r="N755" s="524"/>
      <c r="O755" s="524"/>
      <c r="P755" s="524"/>
      <c r="Q755" s="524"/>
      <c r="R755" s="524"/>
      <c r="S755" s="524"/>
      <c r="T755" s="524"/>
      <c r="U755" s="524"/>
      <c r="V755" s="524"/>
      <c r="W755" s="524"/>
      <c r="X755" s="524"/>
      <c r="Y755" s="524"/>
      <c r="Z755" s="524"/>
    </row>
    <row r="756" ht="13.5" customHeight="1">
      <c r="A756" s="524"/>
      <c r="B756" s="525"/>
      <c r="C756" s="524"/>
      <c r="D756" s="524"/>
      <c r="E756" s="524"/>
      <c r="F756" s="524"/>
      <c r="G756" s="524"/>
      <c r="H756" s="524"/>
      <c r="I756" s="524"/>
      <c r="J756" s="524"/>
      <c r="K756" s="524"/>
      <c r="L756" s="524"/>
      <c r="M756" s="524"/>
      <c r="N756" s="524"/>
      <c r="O756" s="524"/>
      <c r="P756" s="524"/>
      <c r="Q756" s="524"/>
      <c r="R756" s="524"/>
      <c r="S756" s="524"/>
      <c r="T756" s="524"/>
      <c r="U756" s="524"/>
      <c r="V756" s="524"/>
      <c r="W756" s="524"/>
      <c r="X756" s="524"/>
      <c r="Y756" s="524"/>
      <c r="Z756" s="524"/>
    </row>
    <row r="757" ht="13.5" customHeight="1">
      <c r="A757" s="524"/>
      <c r="B757" s="525"/>
      <c r="C757" s="524"/>
      <c r="D757" s="524"/>
      <c r="E757" s="524"/>
      <c r="F757" s="524"/>
      <c r="G757" s="524"/>
      <c r="H757" s="524"/>
      <c r="I757" s="524"/>
      <c r="J757" s="524"/>
      <c r="K757" s="524"/>
      <c r="L757" s="524"/>
      <c r="M757" s="524"/>
      <c r="N757" s="524"/>
      <c r="O757" s="524"/>
      <c r="P757" s="524"/>
      <c r="Q757" s="524"/>
      <c r="R757" s="524"/>
      <c r="S757" s="524"/>
      <c r="T757" s="524"/>
      <c r="U757" s="524"/>
      <c r="V757" s="524"/>
      <c r="W757" s="524"/>
      <c r="X757" s="524"/>
      <c r="Y757" s="524"/>
      <c r="Z757" s="524"/>
    </row>
    <row r="758" ht="13.5" customHeight="1">
      <c r="A758" s="524"/>
      <c r="B758" s="525"/>
      <c r="C758" s="524"/>
      <c r="D758" s="524"/>
      <c r="E758" s="524"/>
      <c r="F758" s="524"/>
      <c r="G758" s="524"/>
      <c r="H758" s="524"/>
      <c r="I758" s="524"/>
      <c r="J758" s="524"/>
      <c r="K758" s="524"/>
      <c r="L758" s="524"/>
      <c r="M758" s="524"/>
      <c r="N758" s="524"/>
      <c r="O758" s="524"/>
      <c r="P758" s="524"/>
      <c r="Q758" s="524"/>
      <c r="R758" s="524"/>
      <c r="S758" s="524"/>
      <c r="T758" s="524"/>
      <c r="U758" s="524"/>
      <c r="V758" s="524"/>
      <c r="W758" s="524"/>
      <c r="X758" s="524"/>
      <c r="Y758" s="524"/>
      <c r="Z758" s="524"/>
    </row>
    <row r="759" ht="13.5" customHeight="1">
      <c r="A759" s="524"/>
      <c r="B759" s="525"/>
      <c r="C759" s="524"/>
      <c r="D759" s="524"/>
      <c r="E759" s="524"/>
      <c r="F759" s="524"/>
      <c r="G759" s="524"/>
      <c r="H759" s="524"/>
      <c r="I759" s="524"/>
      <c r="J759" s="524"/>
      <c r="K759" s="524"/>
      <c r="L759" s="524"/>
      <c r="M759" s="524"/>
      <c r="N759" s="524"/>
      <c r="O759" s="524"/>
      <c r="P759" s="524"/>
      <c r="Q759" s="524"/>
      <c r="R759" s="524"/>
      <c r="S759" s="524"/>
      <c r="T759" s="524"/>
      <c r="U759" s="524"/>
      <c r="V759" s="524"/>
      <c r="W759" s="524"/>
      <c r="X759" s="524"/>
      <c r="Y759" s="524"/>
      <c r="Z759" s="524"/>
    </row>
    <row r="760" ht="13.5" customHeight="1">
      <c r="A760" s="524"/>
      <c r="B760" s="525"/>
      <c r="C760" s="524"/>
      <c r="D760" s="524"/>
      <c r="E760" s="524"/>
      <c r="F760" s="524"/>
      <c r="G760" s="524"/>
      <c r="H760" s="524"/>
      <c r="I760" s="524"/>
      <c r="J760" s="524"/>
      <c r="K760" s="524"/>
      <c r="L760" s="524"/>
      <c r="M760" s="524"/>
      <c r="N760" s="524"/>
      <c r="O760" s="524"/>
      <c r="P760" s="524"/>
      <c r="Q760" s="524"/>
      <c r="R760" s="524"/>
      <c r="S760" s="524"/>
      <c r="T760" s="524"/>
      <c r="U760" s="524"/>
      <c r="V760" s="524"/>
      <c r="W760" s="524"/>
      <c r="X760" s="524"/>
      <c r="Y760" s="524"/>
      <c r="Z760" s="524"/>
    </row>
    <row r="761" ht="13.5" customHeight="1">
      <c r="A761" s="524"/>
      <c r="B761" s="525"/>
      <c r="C761" s="524"/>
      <c r="D761" s="524"/>
      <c r="E761" s="524"/>
      <c r="F761" s="524"/>
      <c r="G761" s="524"/>
      <c r="H761" s="524"/>
      <c r="I761" s="524"/>
      <c r="J761" s="524"/>
      <c r="K761" s="524"/>
      <c r="L761" s="524"/>
      <c r="M761" s="524"/>
      <c r="N761" s="524"/>
      <c r="O761" s="524"/>
      <c r="P761" s="524"/>
      <c r="Q761" s="524"/>
      <c r="R761" s="524"/>
      <c r="S761" s="524"/>
      <c r="T761" s="524"/>
      <c r="U761" s="524"/>
      <c r="V761" s="524"/>
      <c r="W761" s="524"/>
      <c r="X761" s="524"/>
      <c r="Y761" s="524"/>
      <c r="Z761" s="524"/>
    </row>
    <row r="762" ht="13.5" customHeight="1">
      <c r="A762" s="524"/>
      <c r="B762" s="525"/>
      <c r="C762" s="524"/>
      <c r="D762" s="524"/>
      <c r="E762" s="524"/>
      <c r="F762" s="524"/>
      <c r="G762" s="524"/>
      <c r="H762" s="524"/>
      <c r="I762" s="524"/>
      <c r="J762" s="524"/>
      <c r="K762" s="524"/>
      <c r="L762" s="524"/>
      <c r="M762" s="524"/>
      <c r="N762" s="524"/>
      <c r="O762" s="524"/>
      <c r="P762" s="524"/>
      <c r="Q762" s="524"/>
      <c r="R762" s="524"/>
      <c r="S762" s="524"/>
      <c r="T762" s="524"/>
      <c r="U762" s="524"/>
      <c r="V762" s="524"/>
      <c r="W762" s="524"/>
      <c r="X762" s="524"/>
      <c r="Y762" s="524"/>
      <c r="Z762" s="524"/>
    </row>
    <row r="763" ht="13.5" customHeight="1">
      <c r="A763" s="524"/>
      <c r="B763" s="525"/>
      <c r="C763" s="524"/>
      <c r="D763" s="524"/>
      <c r="E763" s="524"/>
      <c r="F763" s="524"/>
      <c r="G763" s="524"/>
      <c r="H763" s="524"/>
      <c r="I763" s="524"/>
      <c r="J763" s="524"/>
      <c r="K763" s="524"/>
      <c r="L763" s="524"/>
      <c r="M763" s="524"/>
      <c r="N763" s="524"/>
      <c r="O763" s="524"/>
      <c r="P763" s="524"/>
      <c r="Q763" s="524"/>
      <c r="R763" s="524"/>
      <c r="S763" s="524"/>
      <c r="T763" s="524"/>
      <c r="U763" s="524"/>
      <c r="V763" s="524"/>
      <c r="W763" s="524"/>
      <c r="X763" s="524"/>
      <c r="Y763" s="524"/>
      <c r="Z763" s="524"/>
    </row>
    <row r="764" ht="13.5" customHeight="1">
      <c r="A764" s="524"/>
      <c r="B764" s="525"/>
      <c r="C764" s="524"/>
      <c r="D764" s="524"/>
      <c r="E764" s="524"/>
      <c r="F764" s="524"/>
      <c r="G764" s="524"/>
      <c r="H764" s="524"/>
      <c r="I764" s="524"/>
      <c r="J764" s="524"/>
      <c r="K764" s="524"/>
      <c r="L764" s="524"/>
      <c r="M764" s="524"/>
      <c r="N764" s="524"/>
      <c r="O764" s="524"/>
      <c r="P764" s="524"/>
      <c r="Q764" s="524"/>
      <c r="R764" s="524"/>
      <c r="S764" s="524"/>
      <c r="T764" s="524"/>
      <c r="U764" s="524"/>
      <c r="V764" s="524"/>
      <c r="W764" s="524"/>
      <c r="X764" s="524"/>
      <c r="Y764" s="524"/>
      <c r="Z764" s="524"/>
    </row>
    <row r="765" ht="13.5" customHeight="1">
      <c r="A765" s="524"/>
      <c r="B765" s="525"/>
      <c r="C765" s="524"/>
      <c r="D765" s="524"/>
      <c r="E765" s="524"/>
      <c r="F765" s="524"/>
      <c r="G765" s="524"/>
      <c r="H765" s="524"/>
      <c r="I765" s="524"/>
      <c r="J765" s="524"/>
      <c r="K765" s="524"/>
      <c r="L765" s="524"/>
      <c r="M765" s="524"/>
      <c r="N765" s="524"/>
      <c r="O765" s="524"/>
      <c r="P765" s="524"/>
      <c r="Q765" s="524"/>
      <c r="R765" s="524"/>
      <c r="S765" s="524"/>
      <c r="T765" s="524"/>
      <c r="U765" s="524"/>
      <c r="V765" s="524"/>
      <c r="W765" s="524"/>
      <c r="X765" s="524"/>
      <c r="Y765" s="524"/>
      <c r="Z765" s="524"/>
    </row>
    <row r="766" ht="13.5" customHeight="1">
      <c r="A766" s="524"/>
      <c r="B766" s="525"/>
      <c r="C766" s="524"/>
      <c r="D766" s="524"/>
      <c r="E766" s="524"/>
      <c r="F766" s="524"/>
      <c r="G766" s="524"/>
      <c r="H766" s="524"/>
      <c r="I766" s="524"/>
      <c r="J766" s="524"/>
      <c r="K766" s="524"/>
      <c r="L766" s="524"/>
      <c r="M766" s="524"/>
      <c r="N766" s="524"/>
      <c r="O766" s="524"/>
      <c r="P766" s="524"/>
      <c r="Q766" s="524"/>
      <c r="R766" s="524"/>
      <c r="S766" s="524"/>
      <c r="T766" s="524"/>
      <c r="U766" s="524"/>
      <c r="V766" s="524"/>
      <c r="W766" s="524"/>
      <c r="X766" s="524"/>
      <c r="Y766" s="524"/>
      <c r="Z766" s="524"/>
    </row>
    <row r="767" ht="13.5" customHeight="1">
      <c r="A767" s="524"/>
      <c r="B767" s="525"/>
      <c r="C767" s="524"/>
      <c r="D767" s="524"/>
      <c r="E767" s="524"/>
      <c r="F767" s="524"/>
      <c r="G767" s="524"/>
      <c r="H767" s="524"/>
      <c r="I767" s="524"/>
      <c r="J767" s="524"/>
      <c r="K767" s="524"/>
      <c r="L767" s="524"/>
      <c r="M767" s="524"/>
      <c r="N767" s="524"/>
      <c r="O767" s="524"/>
      <c r="P767" s="524"/>
      <c r="Q767" s="524"/>
      <c r="R767" s="524"/>
      <c r="S767" s="524"/>
      <c r="T767" s="524"/>
      <c r="U767" s="524"/>
      <c r="V767" s="524"/>
      <c r="W767" s="524"/>
      <c r="X767" s="524"/>
      <c r="Y767" s="524"/>
      <c r="Z767" s="524"/>
    </row>
    <row r="768" ht="13.5" customHeight="1">
      <c r="A768" s="524"/>
      <c r="B768" s="525"/>
      <c r="C768" s="524"/>
      <c r="D768" s="524"/>
      <c r="E768" s="524"/>
      <c r="F768" s="524"/>
      <c r="G768" s="524"/>
      <c r="H768" s="524"/>
      <c r="I768" s="524"/>
      <c r="J768" s="524"/>
      <c r="K768" s="524"/>
      <c r="L768" s="524"/>
      <c r="M768" s="524"/>
      <c r="N768" s="524"/>
      <c r="O768" s="524"/>
      <c r="P768" s="524"/>
      <c r="Q768" s="524"/>
      <c r="R768" s="524"/>
      <c r="S768" s="524"/>
      <c r="T768" s="524"/>
      <c r="U768" s="524"/>
      <c r="V768" s="524"/>
      <c r="W768" s="524"/>
      <c r="X768" s="524"/>
      <c r="Y768" s="524"/>
      <c r="Z768" s="524"/>
    </row>
    <row r="769" ht="13.5" customHeight="1">
      <c r="A769" s="524"/>
      <c r="B769" s="525"/>
      <c r="C769" s="524"/>
      <c r="D769" s="524"/>
      <c r="E769" s="524"/>
      <c r="F769" s="524"/>
      <c r="G769" s="524"/>
      <c r="H769" s="524"/>
      <c r="I769" s="524"/>
      <c r="J769" s="524"/>
      <c r="K769" s="524"/>
      <c r="L769" s="524"/>
      <c r="M769" s="524"/>
      <c r="N769" s="524"/>
      <c r="O769" s="524"/>
      <c r="P769" s="524"/>
      <c r="Q769" s="524"/>
      <c r="R769" s="524"/>
      <c r="S769" s="524"/>
      <c r="T769" s="524"/>
      <c r="U769" s="524"/>
      <c r="V769" s="524"/>
      <c r="W769" s="524"/>
      <c r="X769" s="524"/>
      <c r="Y769" s="524"/>
      <c r="Z769" s="524"/>
    </row>
    <row r="770" ht="13.5" customHeight="1">
      <c r="A770" s="524"/>
      <c r="B770" s="525"/>
      <c r="C770" s="524"/>
      <c r="D770" s="524"/>
      <c r="E770" s="524"/>
      <c r="F770" s="524"/>
      <c r="G770" s="524"/>
      <c r="H770" s="524"/>
      <c r="I770" s="524"/>
      <c r="J770" s="524"/>
      <c r="K770" s="524"/>
      <c r="L770" s="524"/>
      <c r="M770" s="524"/>
      <c r="N770" s="524"/>
      <c r="O770" s="524"/>
      <c r="P770" s="524"/>
      <c r="Q770" s="524"/>
      <c r="R770" s="524"/>
      <c r="S770" s="524"/>
      <c r="T770" s="524"/>
      <c r="U770" s="524"/>
      <c r="V770" s="524"/>
      <c r="W770" s="524"/>
      <c r="X770" s="524"/>
      <c r="Y770" s="524"/>
      <c r="Z770" s="524"/>
    </row>
    <row r="771" ht="13.5" customHeight="1">
      <c r="A771" s="524"/>
      <c r="B771" s="525"/>
      <c r="C771" s="524"/>
      <c r="D771" s="524"/>
      <c r="E771" s="524"/>
      <c r="F771" s="524"/>
      <c r="G771" s="524"/>
      <c r="H771" s="524"/>
      <c r="I771" s="524"/>
      <c r="J771" s="524"/>
      <c r="K771" s="524"/>
      <c r="L771" s="524"/>
      <c r="M771" s="524"/>
      <c r="N771" s="524"/>
      <c r="O771" s="524"/>
      <c r="P771" s="524"/>
      <c r="Q771" s="524"/>
      <c r="R771" s="524"/>
      <c r="S771" s="524"/>
      <c r="T771" s="524"/>
      <c r="U771" s="524"/>
      <c r="V771" s="524"/>
      <c r="W771" s="524"/>
      <c r="X771" s="524"/>
      <c r="Y771" s="524"/>
      <c r="Z771" s="524"/>
    </row>
    <row r="772" ht="13.5" customHeight="1">
      <c r="A772" s="524"/>
      <c r="B772" s="525"/>
      <c r="C772" s="524"/>
      <c r="D772" s="524"/>
      <c r="E772" s="524"/>
      <c r="F772" s="524"/>
      <c r="G772" s="524"/>
      <c r="H772" s="524"/>
      <c r="I772" s="524"/>
      <c r="J772" s="524"/>
      <c r="K772" s="524"/>
      <c r="L772" s="524"/>
      <c r="M772" s="524"/>
      <c r="N772" s="524"/>
      <c r="O772" s="524"/>
      <c r="P772" s="524"/>
      <c r="Q772" s="524"/>
      <c r="R772" s="524"/>
      <c r="S772" s="524"/>
      <c r="T772" s="524"/>
      <c r="U772" s="524"/>
      <c r="V772" s="524"/>
      <c r="W772" s="524"/>
      <c r="X772" s="524"/>
      <c r="Y772" s="524"/>
      <c r="Z772" s="524"/>
    </row>
    <row r="773" ht="13.5" customHeight="1">
      <c r="A773" s="524"/>
      <c r="B773" s="525"/>
      <c r="C773" s="524"/>
      <c r="D773" s="524"/>
      <c r="E773" s="524"/>
      <c r="F773" s="524"/>
      <c r="G773" s="524"/>
      <c r="H773" s="524"/>
      <c r="I773" s="524"/>
      <c r="J773" s="524"/>
      <c r="K773" s="524"/>
      <c r="L773" s="524"/>
      <c r="M773" s="524"/>
      <c r="N773" s="524"/>
      <c r="O773" s="524"/>
      <c r="P773" s="524"/>
      <c r="Q773" s="524"/>
      <c r="R773" s="524"/>
      <c r="S773" s="524"/>
      <c r="T773" s="524"/>
      <c r="U773" s="524"/>
      <c r="V773" s="524"/>
      <c r="W773" s="524"/>
      <c r="X773" s="524"/>
      <c r="Y773" s="524"/>
      <c r="Z773" s="524"/>
    </row>
    <row r="774" ht="13.5" customHeight="1">
      <c r="A774" s="524"/>
      <c r="B774" s="525"/>
      <c r="C774" s="524"/>
      <c r="D774" s="524"/>
      <c r="E774" s="524"/>
      <c r="F774" s="524"/>
      <c r="G774" s="524"/>
      <c r="H774" s="524"/>
      <c r="I774" s="524"/>
      <c r="J774" s="524"/>
      <c r="K774" s="524"/>
      <c r="L774" s="524"/>
      <c r="M774" s="524"/>
      <c r="N774" s="524"/>
      <c r="O774" s="524"/>
      <c r="P774" s="524"/>
      <c r="Q774" s="524"/>
      <c r="R774" s="524"/>
      <c r="S774" s="524"/>
      <c r="T774" s="524"/>
      <c r="U774" s="524"/>
      <c r="V774" s="524"/>
      <c r="W774" s="524"/>
      <c r="X774" s="524"/>
      <c r="Y774" s="524"/>
      <c r="Z774" s="524"/>
    </row>
    <row r="775" ht="13.5" customHeight="1">
      <c r="A775" s="524"/>
      <c r="B775" s="525"/>
      <c r="C775" s="524"/>
      <c r="D775" s="524"/>
      <c r="E775" s="524"/>
      <c r="F775" s="524"/>
      <c r="G775" s="524"/>
      <c r="H775" s="524"/>
      <c r="I775" s="524"/>
      <c r="J775" s="524"/>
      <c r="K775" s="524"/>
      <c r="L775" s="524"/>
      <c r="M775" s="524"/>
      <c r="N775" s="524"/>
      <c r="O775" s="524"/>
      <c r="P775" s="524"/>
      <c r="Q775" s="524"/>
      <c r="R775" s="524"/>
      <c r="S775" s="524"/>
      <c r="T775" s="524"/>
      <c r="U775" s="524"/>
      <c r="V775" s="524"/>
      <c r="W775" s="524"/>
      <c r="X775" s="524"/>
      <c r="Y775" s="524"/>
      <c r="Z775" s="524"/>
    </row>
    <row r="776" ht="13.5" customHeight="1">
      <c r="A776" s="524"/>
      <c r="B776" s="525"/>
      <c r="C776" s="524"/>
      <c r="D776" s="524"/>
      <c r="E776" s="524"/>
      <c r="F776" s="524"/>
      <c r="G776" s="524"/>
      <c r="H776" s="524"/>
      <c r="I776" s="524"/>
      <c r="J776" s="524"/>
      <c r="K776" s="524"/>
      <c r="L776" s="524"/>
      <c r="M776" s="524"/>
      <c r="N776" s="524"/>
      <c r="O776" s="524"/>
      <c r="P776" s="524"/>
      <c r="Q776" s="524"/>
      <c r="R776" s="524"/>
      <c r="S776" s="524"/>
      <c r="T776" s="524"/>
      <c r="U776" s="524"/>
      <c r="V776" s="524"/>
      <c r="W776" s="524"/>
      <c r="X776" s="524"/>
      <c r="Y776" s="524"/>
      <c r="Z776" s="524"/>
    </row>
    <row r="777" ht="13.5" customHeight="1">
      <c r="A777" s="524"/>
      <c r="B777" s="525"/>
      <c r="C777" s="524"/>
      <c r="D777" s="524"/>
      <c r="E777" s="524"/>
      <c r="F777" s="524"/>
      <c r="G777" s="524"/>
      <c r="H777" s="524"/>
      <c r="I777" s="524"/>
      <c r="J777" s="524"/>
      <c r="K777" s="524"/>
      <c r="L777" s="524"/>
      <c r="M777" s="524"/>
      <c r="N777" s="524"/>
      <c r="O777" s="524"/>
      <c r="P777" s="524"/>
      <c r="Q777" s="524"/>
      <c r="R777" s="524"/>
      <c r="S777" s="524"/>
      <c r="T777" s="524"/>
      <c r="U777" s="524"/>
      <c r="V777" s="524"/>
      <c r="W777" s="524"/>
      <c r="X777" s="524"/>
      <c r="Y777" s="524"/>
      <c r="Z777" s="524"/>
    </row>
    <row r="778" ht="13.5" customHeight="1">
      <c r="A778" s="524"/>
      <c r="B778" s="525"/>
      <c r="C778" s="524"/>
      <c r="D778" s="524"/>
      <c r="E778" s="524"/>
      <c r="F778" s="524"/>
      <c r="G778" s="524"/>
      <c r="H778" s="524"/>
      <c r="I778" s="524"/>
      <c r="J778" s="524"/>
      <c r="K778" s="524"/>
      <c r="L778" s="524"/>
      <c r="M778" s="524"/>
      <c r="N778" s="524"/>
      <c r="O778" s="524"/>
      <c r="P778" s="524"/>
      <c r="Q778" s="524"/>
      <c r="R778" s="524"/>
      <c r="S778" s="524"/>
      <c r="T778" s="524"/>
      <c r="U778" s="524"/>
      <c r="V778" s="524"/>
      <c r="W778" s="524"/>
      <c r="X778" s="524"/>
      <c r="Y778" s="524"/>
      <c r="Z778" s="524"/>
    </row>
    <row r="779" ht="13.5" customHeight="1">
      <c r="A779" s="524"/>
      <c r="B779" s="525"/>
      <c r="C779" s="524"/>
      <c r="D779" s="524"/>
      <c r="E779" s="524"/>
      <c r="F779" s="524"/>
      <c r="G779" s="524"/>
      <c r="H779" s="524"/>
      <c r="I779" s="524"/>
      <c r="J779" s="524"/>
      <c r="K779" s="524"/>
      <c r="L779" s="524"/>
      <c r="M779" s="524"/>
      <c r="N779" s="524"/>
      <c r="O779" s="524"/>
      <c r="P779" s="524"/>
      <c r="Q779" s="524"/>
      <c r="R779" s="524"/>
      <c r="S779" s="524"/>
      <c r="T779" s="524"/>
      <c r="U779" s="524"/>
      <c r="V779" s="524"/>
      <c r="W779" s="524"/>
      <c r="X779" s="524"/>
      <c r="Y779" s="524"/>
      <c r="Z779" s="524"/>
    </row>
    <row r="780" ht="13.5" customHeight="1">
      <c r="A780" s="524"/>
      <c r="B780" s="525"/>
      <c r="C780" s="524"/>
      <c r="D780" s="524"/>
      <c r="E780" s="524"/>
      <c r="F780" s="524"/>
      <c r="G780" s="524"/>
      <c r="H780" s="524"/>
      <c r="I780" s="524"/>
      <c r="J780" s="524"/>
      <c r="K780" s="524"/>
      <c r="L780" s="524"/>
      <c r="M780" s="524"/>
      <c r="N780" s="524"/>
      <c r="O780" s="524"/>
      <c r="P780" s="524"/>
      <c r="Q780" s="524"/>
      <c r="R780" s="524"/>
      <c r="S780" s="524"/>
      <c r="T780" s="524"/>
      <c r="U780" s="524"/>
      <c r="V780" s="524"/>
      <c r="W780" s="524"/>
      <c r="X780" s="524"/>
      <c r="Y780" s="524"/>
      <c r="Z780" s="524"/>
    </row>
    <row r="781" ht="13.5" customHeight="1">
      <c r="A781" s="524"/>
      <c r="B781" s="525"/>
      <c r="C781" s="524"/>
      <c r="D781" s="524"/>
      <c r="E781" s="524"/>
      <c r="F781" s="524"/>
      <c r="G781" s="524"/>
      <c r="H781" s="524"/>
      <c r="I781" s="524"/>
      <c r="J781" s="524"/>
      <c r="K781" s="524"/>
      <c r="L781" s="524"/>
      <c r="M781" s="524"/>
      <c r="N781" s="524"/>
      <c r="O781" s="524"/>
      <c r="P781" s="524"/>
      <c r="Q781" s="524"/>
      <c r="R781" s="524"/>
      <c r="S781" s="524"/>
      <c r="T781" s="524"/>
      <c r="U781" s="524"/>
      <c r="V781" s="524"/>
      <c r="W781" s="524"/>
      <c r="X781" s="524"/>
      <c r="Y781" s="524"/>
      <c r="Z781" s="524"/>
    </row>
    <row r="782" ht="13.5" customHeight="1">
      <c r="A782" s="524"/>
      <c r="B782" s="525"/>
      <c r="C782" s="524"/>
      <c r="D782" s="524"/>
      <c r="E782" s="524"/>
      <c r="F782" s="524"/>
      <c r="G782" s="524"/>
      <c r="H782" s="524"/>
      <c r="I782" s="524"/>
      <c r="J782" s="524"/>
      <c r="K782" s="524"/>
      <c r="L782" s="524"/>
      <c r="M782" s="524"/>
      <c r="N782" s="524"/>
      <c r="O782" s="524"/>
      <c r="P782" s="524"/>
      <c r="Q782" s="524"/>
      <c r="R782" s="524"/>
      <c r="S782" s="524"/>
      <c r="T782" s="524"/>
      <c r="U782" s="524"/>
      <c r="V782" s="524"/>
      <c r="W782" s="524"/>
      <c r="X782" s="524"/>
      <c r="Y782" s="524"/>
      <c r="Z782" s="524"/>
    </row>
    <row r="783" ht="13.5" customHeight="1">
      <c r="A783" s="524"/>
      <c r="B783" s="525"/>
      <c r="C783" s="524"/>
      <c r="D783" s="524"/>
      <c r="E783" s="524"/>
      <c r="F783" s="524"/>
      <c r="G783" s="524"/>
      <c r="H783" s="524"/>
      <c r="I783" s="524"/>
      <c r="J783" s="524"/>
      <c r="K783" s="524"/>
      <c r="L783" s="524"/>
      <c r="M783" s="524"/>
      <c r="N783" s="524"/>
      <c r="O783" s="524"/>
      <c r="P783" s="524"/>
      <c r="Q783" s="524"/>
      <c r="R783" s="524"/>
      <c r="S783" s="524"/>
      <c r="T783" s="524"/>
      <c r="U783" s="524"/>
      <c r="V783" s="524"/>
      <c r="W783" s="524"/>
      <c r="X783" s="524"/>
      <c r="Y783" s="524"/>
      <c r="Z783" s="524"/>
    </row>
    <row r="784" ht="13.5" customHeight="1">
      <c r="A784" s="524"/>
      <c r="B784" s="525"/>
      <c r="C784" s="524"/>
      <c r="D784" s="524"/>
      <c r="E784" s="524"/>
      <c r="F784" s="524"/>
      <c r="G784" s="524"/>
      <c r="H784" s="524"/>
      <c r="I784" s="524"/>
      <c r="J784" s="524"/>
      <c r="K784" s="524"/>
      <c r="L784" s="524"/>
      <c r="M784" s="524"/>
      <c r="N784" s="524"/>
      <c r="O784" s="524"/>
      <c r="P784" s="524"/>
      <c r="Q784" s="524"/>
      <c r="R784" s="524"/>
      <c r="S784" s="524"/>
      <c r="T784" s="524"/>
      <c r="U784" s="524"/>
      <c r="V784" s="524"/>
      <c r="W784" s="524"/>
      <c r="X784" s="524"/>
      <c r="Y784" s="524"/>
      <c r="Z784" s="524"/>
    </row>
    <row r="785" ht="13.5" customHeight="1">
      <c r="A785" s="524"/>
      <c r="B785" s="525"/>
      <c r="C785" s="524"/>
      <c r="D785" s="524"/>
      <c r="E785" s="524"/>
      <c r="F785" s="524"/>
      <c r="G785" s="524"/>
      <c r="H785" s="524"/>
      <c r="I785" s="524"/>
      <c r="J785" s="524"/>
      <c r="K785" s="524"/>
      <c r="L785" s="524"/>
      <c r="M785" s="524"/>
      <c r="N785" s="524"/>
      <c r="O785" s="524"/>
      <c r="P785" s="524"/>
      <c r="Q785" s="524"/>
      <c r="R785" s="524"/>
      <c r="S785" s="524"/>
      <c r="T785" s="524"/>
      <c r="U785" s="524"/>
      <c r="V785" s="524"/>
      <c r="W785" s="524"/>
      <c r="X785" s="524"/>
      <c r="Y785" s="524"/>
      <c r="Z785" s="524"/>
    </row>
    <row r="786" ht="13.5" customHeight="1">
      <c r="A786" s="524"/>
      <c r="B786" s="525"/>
      <c r="C786" s="524"/>
      <c r="D786" s="524"/>
      <c r="E786" s="524"/>
      <c r="F786" s="524"/>
      <c r="G786" s="524"/>
      <c r="H786" s="524"/>
      <c r="I786" s="524"/>
      <c r="J786" s="524"/>
      <c r="K786" s="524"/>
      <c r="L786" s="524"/>
      <c r="M786" s="524"/>
      <c r="N786" s="524"/>
      <c r="O786" s="524"/>
      <c r="P786" s="524"/>
      <c r="Q786" s="524"/>
      <c r="R786" s="524"/>
      <c r="S786" s="524"/>
      <c r="T786" s="524"/>
      <c r="U786" s="524"/>
      <c r="V786" s="524"/>
      <c r="W786" s="524"/>
      <c r="X786" s="524"/>
      <c r="Y786" s="524"/>
      <c r="Z786" s="524"/>
    </row>
    <row r="787" ht="13.5" customHeight="1">
      <c r="A787" s="524"/>
      <c r="B787" s="525"/>
      <c r="C787" s="524"/>
      <c r="D787" s="524"/>
      <c r="E787" s="524"/>
      <c r="F787" s="524"/>
      <c r="G787" s="524"/>
      <c r="H787" s="524"/>
      <c r="I787" s="524"/>
      <c r="J787" s="524"/>
      <c r="K787" s="524"/>
      <c r="L787" s="524"/>
      <c r="M787" s="524"/>
      <c r="N787" s="524"/>
      <c r="O787" s="524"/>
      <c r="P787" s="524"/>
      <c r="Q787" s="524"/>
      <c r="R787" s="524"/>
      <c r="S787" s="524"/>
      <c r="T787" s="524"/>
      <c r="U787" s="524"/>
      <c r="V787" s="524"/>
      <c r="W787" s="524"/>
      <c r="X787" s="524"/>
      <c r="Y787" s="524"/>
      <c r="Z787" s="524"/>
    </row>
    <row r="788" ht="13.5" customHeight="1">
      <c r="A788" s="524"/>
      <c r="B788" s="525"/>
      <c r="C788" s="524"/>
      <c r="D788" s="524"/>
      <c r="E788" s="524"/>
      <c r="F788" s="524"/>
      <c r="G788" s="524"/>
      <c r="H788" s="524"/>
      <c r="I788" s="524"/>
      <c r="J788" s="524"/>
      <c r="K788" s="524"/>
      <c r="L788" s="524"/>
      <c r="M788" s="524"/>
      <c r="N788" s="524"/>
      <c r="O788" s="524"/>
      <c r="P788" s="524"/>
      <c r="Q788" s="524"/>
      <c r="R788" s="524"/>
      <c r="S788" s="524"/>
      <c r="T788" s="524"/>
      <c r="U788" s="524"/>
      <c r="V788" s="524"/>
      <c r="W788" s="524"/>
      <c r="X788" s="524"/>
      <c r="Y788" s="524"/>
      <c r="Z788" s="524"/>
    </row>
    <row r="789" ht="13.5" customHeight="1">
      <c r="A789" s="524"/>
      <c r="B789" s="525"/>
      <c r="C789" s="524"/>
      <c r="D789" s="524"/>
      <c r="E789" s="524"/>
      <c r="F789" s="524"/>
      <c r="G789" s="524"/>
      <c r="H789" s="524"/>
      <c r="I789" s="524"/>
      <c r="J789" s="524"/>
      <c r="K789" s="524"/>
      <c r="L789" s="524"/>
      <c r="M789" s="524"/>
      <c r="N789" s="524"/>
      <c r="O789" s="524"/>
      <c r="P789" s="524"/>
      <c r="Q789" s="524"/>
      <c r="R789" s="524"/>
      <c r="S789" s="524"/>
      <c r="T789" s="524"/>
      <c r="U789" s="524"/>
      <c r="V789" s="524"/>
      <c r="W789" s="524"/>
      <c r="X789" s="524"/>
      <c r="Y789" s="524"/>
      <c r="Z789" s="524"/>
    </row>
    <row r="790" ht="13.5" customHeight="1">
      <c r="A790" s="524"/>
      <c r="B790" s="525"/>
      <c r="C790" s="524"/>
      <c r="D790" s="524"/>
      <c r="E790" s="524"/>
      <c r="F790" s="524"/>
      <c r="G790" s="524"/>
      <c r="H790" s="524"/>
      <c r="I790" s="524"/>
      <c r="J790" s="524"/>
      <c r="K790" s="524"/>
      <c r="L790" s="524"/>
      <c r="M790" s="524"/>
      <c r="N790" s="524"/>
      <c r="O790" s="524"/>
      <c r="P790" s="524"/>
      <c r="Q790" s="524"/>
      <c r="R790" s="524"/>
      <c r="S790" s="524"/>
      <c r="T790" s="524"/>
      <c r="U790" s="524"/>
      <c r="V790" s="524"/>
      <c r="W790" s="524"/>
      <c r="X790" s="524"/>
      <c r="Y790" s="524"/>
      <c r="Z790" s="524"/>
    </row>
    <row r="791" ht="13.5" customHeight="1">
      <c r="A791" s="524"/>
      <c r="B791" s="525"/>
      <c r="C791" s="524"/>
      <c r="D791" s="524"/>
      <c r="E791" s="524"/>
      <c r="F791" s="524"/>
      <c r="G791" s="524"/>
      <c r="H791" s="524"/>
      <c r="I791" s="524"/>
      <c r="J791" s="524"/>
      <c r="K791" s="524"/>
      <c r="L791" s="524"/>
      <c r="M791" s="524"/>
      <c r="N791" s="524"/>
      <c r="O791" s="524"/>
      <c r="P791" s="524"/>
      <c r="Q791" s="524"/>
      <c r="R791" s="524"/>
      <c r="S791" s="524"/>
      <c r="T791" s="524"/>
      <c r="U791" s="524"/>
      <c r="V791" s="524"/>
      <c r="W791" s="524"/>
      <c r="X791" s="524"/>
      <c r="Y791" s="524"/>
      <c r="Z791" s="524"/>
    </row>
    <row r="792" ht="13.5" customHeight="1">
      <c r="A792" s="524"/>
      <c r="B792" s="525"/>
      <c r="C792" s="524"/>
      <c r="D792" s="524"/>
      <c r="E792" s="524"/>
      <c r="F792" s="524"/>
      <c r="G792" s="524"/>
      <c r="H792" s="524"/>
      <c r="I792" s="524"/>
      <c r="J792" s="524"/>
      <c r="K792" s="524"/>
      <c r="L792" s="524"/>
      <c r="M792" s="524"/>
      <c r="N792" s="524"/>
      <c r="O792" s="524"/>
      <c r="P792" s="524"/>
      <c r="Q792" s="524"/>
      <c r="R792" s="524"/>
      <c r="S792" s="524"/>
      <c r="T792" s="524"/>
      <c r="U792" s="524"/>
      <c r="V792" s="524"/>
      <c r="W792" s="524"/>
      <c r="X792" s="524"/>
      <c r="Y792" s="524"/>
      <c r="Z792" s="524"/>
    </row>
    <row r="793" ht="13.5" customHeight="1">
      <c r="A793" s="524"/>
      <c r="B793" s="525"/>
      <c r="C793" s="524"/>
      <c r="D793" s="524"/>
      <c r="E793" s="524"/>
      <c r="F793" s="524"/>
      <c r="G793" s="524"/>
      <c r="H793" s="524"/>
      <c r="I793" s="524"/>
      <c r="J793" s="524"/>
      <c r="K793" s="524"/>
      <c r="L793" s="524"/>
      <c r="M793" s="524"/>
      <c r="N793" s="524"/>
      <c r="O793" s="524"/>
      <c r="P793" s="524"/>
      <c r="Q793" s="524"/>
      <c r="R793" s="524"/>
      <c r="S793" s="524"/>
      <c r="T793" s="524"/>
      <c r="U793" s="524"/>
      <c r="V793" s="524"/>
      <c r="W793" s="524"/>
      <c r="X793" s="524"/>
      <c r="Y793" s="524"/>
      <c r="Z793" s="524"/>
    </row>
    <row r="794" ht="13.5" customHeight="1">
      <c r="A794" s="524"/>
      <c r="B794" s="525"/>
      <c r="C794" s="524"/>
      <c r="D794" s="524"/>
      <c r="E794" s="524"/>
      <c r="F794" s="524"/>
      <c r="G794" s="524"/>
      <c r="H794" s="524"/>
      <c r="I794" s="524"/>
      <c r="J794" s="524"/>
      <c r="K794" s="524"/>
      <c r="L794" s="524"/>
      <c r="M794" s="524"/>
      <c r="N794" s="524"/>
      <c r="O794" s="524"/>
      <c r="P794" s="524"/>
      <c r="Q794" s="524"/>
      <c r="R794" s="524"/>
      <c r="S794" s="524"/>
      <c r="T794" s="524"/>
      <c r="U794" s="524"/>
      <c r="V794" s="524"/>
      <c r="W794" s="524"/>
      <c r="X794" s="524"/>
      <c r="Y794" s="524"/>
      <c r="Z794" s="524"/>
    </row>
    <row r="795" ht="13.5" customHeight="1">
      <c r="A795" s="524"/>
      <c r="B795" s="525"/>
      <c r="C795" s="524"/>
      <c r="D795" s="524"/>
      <c r="E795" s="524"/>
      <c r="F795" s="524"/>
      <c r="G795" s="524"/>
      <c r="H795" s="524"/>
      <c r="I795" s="524"/>
      <c r="J795" s="524"/>
      <c r="K795" s="524"/>
      <c r="L795" s="524"/>
      <c r="M795" s="524"/>
      <c r="N795" s="524"/>
      <c r="O795" s="524"/>
      <c r="P795" s="524"/>
      <c r="Q795" s="524"/>
      <c r="R795" s="524"/>
      <c r="S795" s="524"/>
      <c r="T795" s="524"/>
      <c r="U795" s="524"/>
      <c r="V795" s="524"/>
      <c r="W795" s="524"/>
      <c r="X795" s="524"/>
      <c r="Y795" s="524"/>
      <c r="Z795" s="524"/>
    </row>
    <row r="796" ht="13.5" customHeight="1">
      <c r="A796" s="524"/>
      <c r="B796" s="525"/>
      <c r="C796" s="524"/>
      <c r="D796" s="524"/>
      <c r="E796" s="524"/>
      <c r="F796" s="524"/>
      <c r="G796" s="524"/>
      <c r="H796" s="524"/>
      <c r="I796" s="524"/>
      <c r="J796" s="524"/>
      <c r="K796" s="524"/>
      <c r="L796" s="524"/>
      <c r="M796" s="524"/>
      <c r="N796" s="524"/>
      <c r="O796" s="524"/>
      <c r="P796" s="524"/>
      <c r="Q796" s="524"/>
      <c r="R796" s="524"/>
      <c r="S796" s="524"/>
      <c r="T796" s="524"/>
      <c r="U796" s="524"/>
      <c r="V796" s="524"/>
      <c r="W796" s="524"/>
      <c r="X796" s="524"/>
      <c r="Y796" s="524"/>
      <c r="Z796" s="524"/>
    </row>
    <row r="797" ht="13.5" customHeight="1">
      <c r="A797" s="524"/>
      <c r="B797" s="525"/>
      <c r="C797" s="524"/>
      <c r="D797" s="524"/>
      <c r="E797" s="524"/>
      <c r="F797" s="524"/>
      <c r="G797" s="524"/>
      <c r="H797" s="524"/>
      <c r="I797" s="524"/>
      <c r="J797" s="524"/>
      <c r="K797" s="524"/>
      <c r="L797" s="524"/>
      <c r="M797" s="524"/>
      <c r="N797" s="524"/>
      <c r="O797" s="524"/>
      <c r="P797" s="524"/>
      <c r="Q797" s="524"/>
      <c r="R797" s="524"/>
      <c r="S797" s="524"/>
      <c r="T797" s="524"/>
      <c r="U797" s="524"/>
      <c r="V797" s="524"/>
      <c r="W797" s="524"/>
      <c r="X797" s="524"/>
      <c r="Y797" s="524"/>
      <c r="Z797" s="524"/>
    </row>
    <row r="798" ht="13.5" customHeight="1">
      <c r="A798" s="524"/>
      <c r="B798" s="525"/>
      <c r="C798" s="524"/>
      <c r="D798" s="524"/>
      <c r="E798" s="524"/>
      <c r="F798" s="524"/>
      <c r="G798" s="524"/>
      <c r="H798" s="524"/>
      <c r="I798" s="524"/>
      <c r="J798" s="524"/>
      <c r="K798" s="524"/>
      <c r="L798" s="524"/>
      <c r="M798" s="524"/>
      <c r="N798" s="524"/>
      <c r="O798" s="524"/>
      <c r="P798" s="524"/>
      <c r="Q798" s="524"/>
      <c r="R798" s="524"/>
      <c r="S798" s="524"/>
      <c r="T798" s="524"/>
      <c r="U798" s="524"/>
      <c r="V798" s="524"/>
      <c r="W798" s="524"/>
      <c r="X798" s="524"/>
      <c r="Y798" s="524"/>
      <c r="Z798" s="524"/>
    </row>
    <row r="799" ht="13.5" customHeight="1">
      <c r="A799" s="524"/>
      <c r="B799" s="525"/>
      <c r="C799" s="524"/>
      <c r="D799" s="524"/>
      <c r="E799" s="524"/>
      <c r="F799" s="524"/>
      <c r="G799" s="524"/>
      <c r="H799" s="524"/>
      <c r="I799" s="524"/>
      <c r="J799" s="524"/>
      <c r="K799" s="524"/>
      <c r="L799" s="524"/>
      <c r="M799" s="524"/>
      <c r="N799" s="524"/>
      <c r="O799" s="524"/>
      <c r="P799" s="524"/>
      <c r="Q799" s="524"/>
      <c r="R799" s="524"/>
      <c r="S799" s="524"/>
      <c r="T799" s="524"/>
      <c r="U799" s="524"/>
      <c r="V799" s="524"/>
      <c r="W799" s="524"/>
      <c r="X799" s="524"/>
      <c r="Y799" s="524"/>
      <c r="Z799" s="524"/>
    </row>
    <row r="800" ht="13.5" customHeight="1">
      <c r="A800" s="524"/>
      <c r="B800" s="525"/>
      <c r="C800" s="524"/>
      <c r="D800" s="524"/>
      <c r="E800" s="524"/>
      <c r="F800" s="524"/>
      <c r="G800" s="524"/>
      <c r="H800" s="524"/>
      <c r="I800" s="524"/>
      <c r="J800" s="524"/>
      <c r="K800" s="524"/>
      <c r="L800" s="524"/>
      <c r="M800" s="524"/>
      <c r="N800" s="524"/>
      <c r="O800" s="524"/>
      <c r="P800" s="524"/>
      <c r="Q800" s="524"/>
      <c r="R800" s="524"/>
      <c r="S800" s="524"/>
      <c r="T800" s="524"/>
      <c r="U800" s="524"/>
      <c r="V800" s="524"/>
      <c r="W800" s="524"/>
      <c r="X800" s="524"/>
      <c r="Y800" s="524"/>
      <c r="Z800" s="524"/>
    </row>
    <row r="801" ht="13.5" customHeight="1">
      <c r="A801" s="524"/>
      <c r="B801" s="525"/>
      <c r="C801" s="524"/>
      <c r="D801" s="524"/>
      <c r="E801" s="524"/>
      <c r="F801" s="524"/>
      <c r="G801" s="524"/>
      <c r="H801" s="524"/>
      <c r="I801" s="524"/>
      <c r="J801" s="524"/>
      <c r="K801" s="524"/>
      <c r="L801" s="524"/>
      <c r="M801" s="524"/>
      <c r="N801" s="524"/>
      <c r="O801" s="524"/>
      <c r="P801" s="524"/>
      <c r="Q801" s="524"/>
      <c r="R801" s="524"/>
      <c r="S801" s="524"/>
      <c r="T801" s="524"/>
      <c r="U801" s="524"/>
      <c r="V801" s="524"/>
      <c r="W801" s="524"/>
      <c r="X801" s="524"/>
      <c r="Y801" s="524"/>
      <c r="Z801" s="524"/>
    </row>
    <row r="802" ht="13.5" customHeight="1">
      <c r="A802" s="524"/>
      <c r="B802" s="525"/>
      <c r="C802" s="524"/>
      <c r="D802" s="524"/>
      <c r="E802" s="524"/>
      <c r="F802" s="524"/>
      <c r="G802" s="524"/>
      <c r="H802" s="524"/>
      <c r="I802" s="524"/>
      <c r="J802" s="524"/>
      <c r="K802" s="524"/>
      <c r="L802" s="524"/>
      <c r="M802" s="524"/>
      <c r="N802" s="524"/>
      <c r="O802" s="524"/>
      <c r="P802" s="524"/>
      <c r="Q802" s="524"/>
      <c r="R802" s="524"/>
      <c r="S802" s="524"/>
      <c r="T802" s="524"/>
      <c r="U802" s="524"/>
      <c r="V802" s="524"/>
      <c r="W802" s="524"/>
      <c r="X802" s="524"/>
      <c r="Y802" s="524"/>
      <c r="Z802" s="524"/>
    </row>
    <row r="803" ht="13.5" customHeight="1">
      <c r="A803" s="524"/>
      <c r="B803" s="525"/>
      <c r="C803" s="524"/>
      <c r="D803" s="524"/>
      <c r="E803" s="524"/>
      <c r="F803" s="524"/>
      <c r="G803" s="524"/>
      <c r="H803" s="524"/>
      <c r="I803" s="524"/>
      <c r="J803" s="524"/>
      <c r="K803" s="524"/>
      <c r="L803" s="524"/>
      <c r="M803" s="524"/>
      <c r="N803" s="524"/>
      <c r="O803" s="524"/>
      <c r="P803" s="524"/>
      <c r="Q803" s="524"/>
      <c r="R803" s="524"/>
      <c r="S803" s="524"/>
      <c r="T803" s="524"/>
      <c r="U803" s="524"/>
      <c r="V803" s="524"/>
      <c r="W803" s="524"/>
      <c r="X803" s="524"/>
      <c r="Y803" s="524"/>
      <c r="Z803" s="524"/>
    </row>
    <row r="804" ht="13.5" customHeight="1">
      <c r="A804" s="524"/>
      <c r="B804" s="525"/>
      <c r="C804" s="524"/>
      <c r="D804" s="524"/>
      <c r="E804" s="524"/>
      <c r="F804" s="524"/>
      <c r="G804" s="524"/>
      <c r="H804" s="524"/>
      <c r="I804" s="524"/>
      <c r="J804" s="524"/>
      <c r="K804" s="524"/>
      <c r="L804" s="524"/>
      <c r="M804" s="524"/>
      <c r="N804" s="524"/>
      <c r="O804" s="524"/>
      <c r="P804" s="524"/>
      <c r="Q804" s="524"/>
      <c r="R804" s="524"/>
      <c r="S804" s="524"/>
      <c r="T804" s="524"/>
      <c r="U804" s="524"/>
      <c r="V804" s="524"/>
      <c r="W804" s="524"/>
      <c r="X804" s="524"/>
      <c r="Y804" s="524"/>
      <c r="Z804" s="524"/>
    </row>
    <row r="805" ht="13.5" customHeight="1">
      <c r="A805" s="524"/>
      <c r="B805" s="525"/>
      <c r="C805" s="524"/>
      <c r="D805" s="524"/>
      <c r="E805" s="524"/>
      <c r="F805" s="524"/>
      <c r="G805" s="524"/>
      <c r="H805" s="524"/>
      <c r="I805" s="524"/>
      <c r="J805" s="524"/>
      <c r="K805" s="524"/>
      <c r="L805" s="524"/>
      <c r="M805" s="524"/>
      <c r="N805" s="524"/>
      <c r="O805" s="524"/>
      <c r="P805" s="524"/>
      <c r="Q805" s="524"/>
      <c r="R805" s="524"/>
      <c r="S805" s="524"/>
      <c r="T805" s="524"/>
      <c r="U805" s="524"/>
      <c r="V805" s="524"/>
      <c r="W805" s="524"/>
      <c r="X805" s="524"/>
      <c r="Y805" s="524"/>
      <c r="Z805" s="524"/>
    </row>
    <row r="806" ht="13.5" customHeight="1">
      <c r="A806" s="524"/>
      <c r="B806" s="525"/>
      <c r="C806" s="524"/>
      <c r="D806" s="524"/>
      <c r="E806" s="524"/>
      <c r="F806" s="524"/>
      <c r="G806" s="524"/>
      <c r="H806" s="524"/>
      <c r="I806" s="524"/>
      <c r="J806" s="524"/>
      <c r="K806" s="524"/>
      <c r="L806" s="524"/>
      <c r="M806" s="524"/>
      <c r="N806" s="524"/>
      <c r="O806" s="524"/>
      <c r="P806" s="524"/>
      <c r="Q806" s="524"/>
      <c r="R806" s="524"/>
      <c r="S806" s="524"/>
      <c r="T806" s="524"/>
      <c r="U806" s="524"/>
      <c r="V806" s="524"/>
      <c r="W806" s="524"/>
      <c r="X806" s="524"/>
      <c r="Y806" s="524"/>
      <c r="Z806" s="524"/>
    </row>
    <row r="807" ht="13.5" customHeight="1">
      <c r="A807" s="524"/>
      <c r="B807" s="525"/>
      <c r="C807" s="524"/>
      <c r="D807" s="524"/>
      <c r="E807" s="524"/>
      <c r="F807" s="524"/>
      <c r="G807" s="524"/>
      <c r="H807" s="524"/>
      <c r="I807" s="524"/>
      <c r="J807" s="524"/>
      <c r="K807" s="524"/>
      <c r="L807" s="524"/>
      <c r="M807" s="524"/>
      <c r="N807" s="524"/>
      <c r="O807" s="524"/>
      <c r="P807" s="524"/>
      <c r="Q807" s="524"/>
      <c r="R807" s="524"/>
      <c r="S807" s="524"/>
      <c r="T807" s="524"/>
      <c r="U807" s="524"/>
      <c r="V807" s="524"/>
      <c r="W807" s="524"/>
      <c r="X807" s="524"/>
      <c r="Y807" s="524"/>
      <c r="Z807" s="524"/>
    </row>
    <row r="808" ht="13.5" customHeight="1">
      <c r="A808" s="524"/>
      <c r="B808" s="525"/>
      <c r="C808" s="524"/>
      <c r="D808" s="524"/>
      <c r="E808" s="524"/>
      <c r="F808" s="524"/>
      <c r="G808" s="524"/>
      <c r="H808" s="524"/>
      <c r="I808" s="524"/>
      <c r="J808" s="524"/>
      <c r="K808" s="524"/>
      <c r="L808" s="524"/>
      <c r="M808" s="524"/>
      <c r="N808" s="524"/>
      <c r="O808" s="524"/>
      <c r="P808" s="524"/>
      <c r="Q808" s="524"/>
      <c r="R808" s="524"/>
      <c r="S808" s="524"/>
      <c r="T808" s="524"/>
      <c r="U808" s="524"/>
      <c r="V808" s="524"/>
      <c r="W808" s="524"/>
      <c r="X808" s="524"/>
      <c r="Y808" s="524"/>
      <c r="Z808" s="524"/>
    </row>
    <row r="809" ht="13.5" customHeight="1">
      <c r="A809" s="524"/>
      <c r="B809" s="525"/>
      <c r="C809" s="524"/>
      <c r="D809" s="524"/>
      <c r="E809" s="524"/>
      <c r="F809" s="524"/>
      <c r="G809" s="524"/>
      <c r="H809" s="524"/>
      <c r="I809" s="524"/>
      <c r="J809" s="524"/>
      <c r="K809" s="524"/>
      <c r="L809" s="524"/>
      <c r="M809" s="524"/>
      <c r="N809" s="524"/>
      <c r="O809" s="524"/>
      <c r="P809" s="524"/>
      <c r="Q809" s="524"/>
      <c r="R809" s="524"/>
      <c r="S809" s="524"/>
      <c r="T809" s="524"/>
      <c r="U809" s="524"/>
      <c r="V809" s="524"/>
      <c r="W809" s="524"/>
      <c r="X809" s="524"/>
      <c r="Y809" s="524"/>
      <c r="Z809" s="524"/>
    </row>
    <row r="810" ht="13.5" customHeight="1">
      <c r="A810" s="524"/>
      <c r="B810" s="525"/>
      <c r="C810" s="524"/>
      <c r="D810" s="524"/>
      <c r="E810" s="524"/>
      <c r="F810" s="524"/>
      <c r="G810" s="524"/>
      <c r="H810" s="524"/>
      <c r="I810" s="524"/>
      <c r="J810" s="524"/>
      <c r="K810" s="524"/>
      <c r="L810" s="524"/>
      <c r="M810" s="524"/>
      <c r="N810" s="524"/>
      <c r="O810" s="524"/>
      <c r="P810" s="524"/>
      <c r="Q810" s="524"/>
      <c r="R810" s="524"/>
      <c r="S810" s="524"/>
      <c r="T810" s="524"/>
      <c r="U810" s="524"/>
      <c r="V810" s="524"/>
      <c r="W810" s="524"/>
      <c r="X810" s="524"/>
      <c r="Y810" s="524"/>
      <c r="Z810" s="524"/>
    </row>
    <row r="811" ht="13.5" customHeight="1">
      <c r="A811" s="524"/>
      <c r="B811" s="525"/>
      <c r="C811" s="524"/>
      <c r="D811" s="524"/>
      <c r="E811" s="524"/>
      <c r="F811" s="524"/>
      <c r="G811" s="524"/>
      <c r="H811" s="524"/>
      <c r="I811" s="524"/>
      <c r="J811" s="524"/>
      <c r="K811" s="524"/>
      <c r="L811" s="524"/>
      <c r="M811" s="524"/>
      <c r="N811" s="524"/>
      <c r="O811" s="524"/>
      <c r="P811" s="524"/>
      <c r="Q811" s="524"/>
      <c r="R811" s="524"/>
      <c r="S811" s="524"/>
      <c r="T811" s="524"/>
      <c r="U811" s="524"/>
      <c r="V811" s="524"/>
      <c r="W811" s="524"/>
      <c r="X811" s="524"/>
      <c r="Y811" s="524"/>
      <c r="Z811" s="524"/>
    </row>
    <row r="812" ht="13.5" customHeight="1">
      <c r="A812" s="524"/>
      <c r="B812" s="525"/>
      <c r="C812" s="524"/>
      <c r="D812" s="524"/>
      <c r="E812" s="524"/>
      <c r="F812" s="524"/>
      <c r="G812" s="524"/>
      <c r="H812" s="524"/>
      <c r="I812" s="524"/>
      <c r="J812" s="524"/>
      <c r="K812" s="524"/>
      <c r="L812" s="524"/>
      <c r="M812" s="524"/>
      <c r="N812" s="524"/>
      <c r="O812" s="524"/>
      <c r="P812" s="524"/>
      <c r="Q812" s="524"/>
      <c r="R812" s="524"/>
      <c r="S812" s="524"/>
      <c r="T812" s="524"/>
      <c r="U812" s="524"/>
      <c r="V812" s="524"/>
      <c r="W812" s="524"/>
      <c r="X812" s="524"/>
      <c r="Y812" s="524"/>
      <c r="Z812" s="524"/>
    </row>
    <row r="813" ht="13.5" customHeight="1">
      <c r="A813" s="524"/>
      <c r="B813" s="525"/>
      <c r="C813" s="524"/>
      <c r="D813" s="524"/>
      <c r="E813" s="524"/>
      <c r="F813" s="524"/>
      <c r="G813" s="524"/>
      <c r="H813" s="524"/>
      <c r="I813" s="524"/>
      <c r="J813" s="524"/>
      <c r="K813" s="524"/>
      <c r="L813" s="524"/>
      <c r="M813" s="524"/>
      <c r="N813" s="524"/>
      <c r="O813" s="524"/>
      <c r="P813" s="524"/>
      <c r="Q813" s="524"/>
      <c r="R813" s="524"/>
      <c r="S813" s="524"/>
      <c r="T813" s="524"/>
      <c r="U813" s="524"/>
      <c r="V813" s="524"/>
      <c r="W813" s="524"/>
      <c r="X813" s="524"/>
      <c r="Y813" s="524"/>
      <c r="Z813" s="524"/>
    </row>
    <row r="814" ht="13.5" customHeight="1">
      <c r="A814" s="524"/>
      <c r="B814" s="525"/>
      <c r="C814" s="524"/>
      <c r="D814" s="524"/>
      <c r="E814" s="524"/>
      <c r="F814" s="524"/>
      <c r="G814" s="524"/>
      <c r="H814" s="524"/>
      <c r="I814" s="524"/>
      <c r="J814" s="524"/>
      <c r="K814" s="524"/>
      <c r="L814" s="524"/>
      <c r="M814" s="524"/>
      <c r="N814" s="524"/>
      <c r="O814" s="524"/>
      <c r="P814" s="524"/>
      <c r="Q814" s="524"/>
      <c r="R814" s="524"/>
      <c r="S814" s="524"/>
      <c r="T814" s="524"/>
      <c r="U814" s="524"/>
      <c r="V814" s="524"/>
      <c r="W814" s="524"/>
      <c r="X814" s="524"/>
      <c r="Y814" s="524"/>
      <c r="Z814" s="524"/>
    </row>
    <row r="815" ht="13.5" customHeight="1">
      <c r="A815" s="524"/>
      <c r="B815" s="525"/>
      <c r="C815" s="524"/>
      <c r="D815" s="524"/>
      <c r="E815" s="524"/>
      <c r="F815" s="524"/>
      <c r="G815" s="524"/>
      <c r="H815" s="524"/>
      <c r="I815" s="524"/>
      <c r="J815" s="524"/>
      <c r="K815" s="524"/>
      <c r="L815" s="524"/>
      <c r="M815" s="524"/>
      <c r="N815" s="524"/>
      <c r="O815" s="524"/>
      <c r="P815" s="524"/>
      <c r="Q815" s="524"/>
      <c r="R815" s="524"/>
      <c r="S815" s="524"/>
      <c r="T815" s="524"/>
      <c r="U815" s="524"/>
      <c r="V815" s="524"/>
      <c r="W815" s="524"/>
      <c r="X815" s="524"/>
      <c r="Y815" s="524"/>
      <c r="Z815" s="524"/>
    </row>
    <row r="816" ht="13.5" customHeight="1">
      <c r="A816" s="524"/>
      <c r="B816" s="525"/>
      <c r="C816" s="524"/>
      <c r="D816" s="524"/>
      <c r="E816" s="524"/>
      <c r="F816" s="524"/>
      <c r="G816" s="524"/>
      <c r="H816" s="524"/>
      <c r="I816" s="524"/>
      <c r="J816" s="524"/>
      <c r="K816" s="524"/>
      <c r="L816" s="524"/>
      <c r="M816" s="524"/>
      <c r="N816" s="524"/>
      <c r="O816" s="524"/>
      <c r="P816" s="524"/>
      <c r="Q816" s="524"/>
      <c r="R816" s="524"/>
      <c r="S816" s="524"/>
      <c r="T816" s="524"/>
      <c r="U816" s="524"/>
      <c r="V816" s="524"/>
      <c r="W816" s="524"/>
      <c r="X816" s="524"/>
      <c r="Y816" s="524"/>
      <c r="Z816" s="524"/>
    </row>
    <row r="817" ht="13.5" customHeight="1">
      <c r="A817" s="524"/>
      <c r="B817" s="525"/>
      <c r="C817" s="524"/>
      <c r="D817" s="524"/>
      <c r="E817" s="524"/>
      <c r="F817" s="524"/>
      <c r="G817" s="524"/>
      <c r="H817" s="524"/>
      <c r="I817" s="524"/>
      <c r="J817" s="524"/>
      <c r="K817" s="524"/>
      <c r="L817" s="524"/>
      <c r="M817" s="524"/>
      <c r="N817" s="524"/>
      <c r="O817" s="524"/>
      <c r="P817" s="524"/>
      <c r="Q817" s="524"/>
      <c r="R817" s="524"/>
      <c r="S817" s="524"/>
      <c r="T817" s="524"/>
      <c r="U817" s="524"/>
      <c r="V817" s="524"/>
      <c r="W817" s="524"/>
      <c r="X817" s="524"/>
      <c r="Y817" s="524"/>
      <c r="Z817" s="524"/>
    </row>
    <row r="818" ht="13.5" customHeight="1">
      <c r="A818" s="524"/>
      <c r="B818" s="525"/>
      <c r="C818" s="524"/>
      <c r="D818" s="524"/>
      <c r="E818" s="524"/>
      <c r="F818" s="524"/>
      <c r="G818" s="524"/>
      <c r="H818" s="524"/>
      <c r="I818" s="524"/>
      <c r="J818" s="524"/>
      <c r="K818" s="524"/>
      <c r="L818" s="524"/>
      <c r="M818" s="524"/>
      <c r="N818" s="524"/>
      <c r="O818" s="524"/>
      <c r="P818" s="524"/>
      <c r="Q818" s="524"/>
      <c r="R818" s="524"/>
      <c r="S818" s="524"/>
      <c r="T818" s="524"/>
      <c r="U818" s="524"/>
      <c r="V818" s="524"/>
      <c r="W818" s="524"/>
      <c r="X818" s="524"/>
      <c r="Y818" s="524"/>
      <c r="Z818" s="524"/>
    </row>
    <row r="819" ht="13.5" customHeight="1">
      <c r="A819" s="524"/>
      <c r="B819" s="525"/>
      <c r="C819" s="524"/>
      <c r="D819" s="524"/>
      <c r="E819" s="524"/>
      <c r="F819" s="524"/>
      <c r="G819" s="524"/>
      <c r="H819" s="524"/>
      <c r="I819" s="524"/>
      <c r="J819" s="524"/>
      <c r="K819" s="524"/>
      <c r="L819" s="524"/>
      <c r="M819" s="524"/>
      <c r="N819" s="524"/>
      <c r="O819" s="524"/>
      <c r="P819" s="524"/>
      <c r="Q819" s="524"/>
      <c r="R819" s="524"/>
      <c r="S819" s="524"/>
      <c r="T819" s="524"/>
      <c r="U819" s="524"/>
      <c r="V819" s="524"/>
      <c r="W819" s="524"/>
      <c r="X819" s="524"/>
      <c r="Y819" s="524"/>
      <c r="Z819" s="524"/>
    </row>
    <row r="820" ht="13.5" customHeight="1">
      <c r="A820" s="524"/>
      <c r="B820" s="525"/>
      <c r="C820" s="524"/>
      <c r="D820" s="524"/>
      <c r="E820" s="524"/>
      <c r="F820" s="524"/>
      <c r="G820" s="524"/>
      <c r="H820" s="524"/>
      <c r="I820" s="524"/>
      <c r="J820" s="524"/>
      <c r="K820" s="524"/>
      <c r="L820" s="524"/>
      <c r="M820" s="524"/>
      <c r="N820" s="524"/>
      <c r="O820" s="524"/>
      <c r="P820" s="524"/>
      <c r="Q820" s="524"/>
      <c r="R820" s="524"/>
      <c r="S820" s="524"/>
      <c r="T820" s="524"/>
      <c r="U820" s="524"/>
      <c r="V820" s="524"/>
      <c r="W820" s="524"/>
      <c r="X820" s="524"/>
      <c r="Y820" s="524"/>
      <c r="Z820" s="524"/>
    </row>
    <row r="821" ht="13.5" customHeight="1">
      <c r="A821" s="524"/>
      <c r="B821" s="525"/>
      <c r="C821" s="524"/>
      <c r="D821" s="524"/>
      <c r="E821" s="524"/>
      <c r="F821" s="524"/>
      <c r="G821" s="524"/>
      <c r="H821" s="524"/>
      <c r="I821" s="524"/>
      <c r="J821" s="524"/>
      <c r="K821" s="524"/>
      <c r="L821" s="524"/>
      <c r="M821" s="524"/>
      <c r="N821" s="524"/>
      <c r="O821" s="524"/>
      <c r="P821" s="524"/>
      <c r="Q821" s="524"/>
      <c r="R821" s="524"/>
      <c r="S821" s="524"/>
      <c r="T821" s="524"/>
      <c r="U821" s="524"/>
      <c r="V821" s="524"/>
      <c r="W821" s="524"/>
      <c r="X821" s="524"/>
      <c r="Y821" s="524"/>
      <c r="Z821" s="524"/>
    </row>
    <row r="822" ht="13.5" customHeight="1">
      <c r="A822" s="524"/>
      <c r="B822" s="525"/>
      <c r="C822" s="524"/>
      <c r="D822" s="524"/>
      <c r="E822" s="524"/>
      <c r="F822" s="524"/>
      <c r="G822" s="524"/>
      <c r="H822" s="524"/>
      <c r="I822" s="524"/>
      <c r="J822" s="524"/>
      <c r="K822" s="524"/>
      <c r="L822" s="524"/>
      <c r="M822" s="524"/>
      <c r="N822" s="524"/>
      <c r="O822" s="524"/>
      <c r="P822" s="524"/>
      <c r="Q822" s="524"/>
      <c r="R822" s="524"/>
      <c r="S822" s="524"/>
      <c r="T822" s="524"/>
      <c r="U822" s="524"/>
      <c r="V822" s="524"/>
      <c r="W822" s="524"/>
      <c r="X822" s="524"/>
      <c r="Y822" s="524"/>
      <c r="Z822" s="524"/>
    </row>
    <row r="823" ht="13.5" customHeight="1">
      <c r="A823" s="524"/>
      <c r="B823" s="525"/>
      <c r="C823" s="524"/>
      <c r="D823" s="524"/>
      <c r="E823" s="524"/>
      <c r="F823" s="524"/>
      <c r="G823" s="524"/>
      <c r="H823" s="524"/>
      <c r="I823" s="524"/>
      <c r="J823" s="524"/>
      <c r="K823" s="524"/>
      <c r="L823" s="524"/>
      <c r="M823" s="524"/>
      <c r="N823" s="524"/>
      <c r="O823" s="524"/>
      <c r="P823" s="524"/>
      <c r="Q823" s="524"/>
      <c r="R823" s="524"/>
      <c r="S823" s="524"/>
      <c r="T823" s="524"/>
      <c r="U823" s="524"/>
      <c r="V823" s="524"/>
      <c r="W823" s="524"/>
      <c r="X823" s="524"/>
      <c r="Y823" s="524"/>
      <c r="Z823" s="524"/>
    </row>
    <row r="824" ht="13.5" customHeight="1">
      <c r="A824" s="524"/>
      <c r="B824" s="525"/>
      <c r="C824" s="524"/>
      <c r="D824" s="524"/>
      <c r="E824" s="524"/>
      <c r="F824" s="524"/>
      <c r="G824" s="524"/>
      <c r="H824" s="524"/>
      <c r="I824" s="524"/>
      <c r="J824" s="524"/>
      <c r="K824" s="524"/>
      <c r="L824" s="524"/>
      <c r="M824" s="524"/>
      <c r="N824" s="524"/>
      <c r="O824" s="524"/>
      <c r="P824" s="524"/>
      <c r="Q824" s="524"/>
      <c r="R824" s="524"/>
      <c r="S824" s="524"/>
      <c r="T824" s="524"/>
      <c r="U824" s="524"/>
      <c r="V824" s="524"/>
      <c r="W824" s="524"/>
      <c r="X824" s="524"/>
      <c r="Y824" s="524"/>
      <c r="Z824" s="524"/>
    </row>
    <row r="825" ht="13.5" customHeight="1">
      <c r="A825" s="524"/>
      <c r="B825" s="525"/>
      <c r="C825" s="524"/>
      <c r="D825" s="524"/>
      <c r="E825" s="524"/>
      <c r="F825" s="524"/>
      <c r="G825" s="524"/>
      <c r="H825" s="524"/>
      <c r="I825" s="524"/>
      <c r="J825" s="524"/>
      <c r="K825" s="524"/>
      <c r="L825" s="524"/>
      <c r="M825" s="524"/>
      <c r="N825" s="524"/>
      <c r="O825" s="524"/>
      <c r="P825" s="524"/>
      <c r="Q825" s="524"/>
      <c r="R825" s="524"/>
      <c r="S825" s="524"/>
      <c r="T825" s="524"/>
      <c r="U825" s="524"/>
      <c r="V825" s="524"/>
      <c r="W825" s="524"/>
      <c r="X825" s="524"/>
      <c r="Y825" s="524"/>
      <c r="Z825" s="524"/>
    </row>
    <row r="826" ht="13.5" customHeight="1">
      <c r="A826" s="524"/>
      <c r="B826" s="525"/>
      <c r="C826" s="524"/>
      <c r="D826" s="524"/>
      <c r="E826" s="524"/>
      <c r="F826" s="524"/>
      <c r="G826" s="524"/>
      <c r="H826" s="524"/>
      <c r="I826" s="524"/>
      <c r="J826" s="524"/>
      <c r="K826" s="524"/>
      <c r="L826" s="524"/>
      <c r="M826" s="524"/>
      <c r="N826" s="524"/>
      <c r="O826" s="524"/>
      <c r="P826" s="524"/>
      <c r="Q826" s="524"/>
      <c r="R826" s="524"/>
      <c r="S826" s="524"/>
      <c r="T826" s="524"/>
      <c r="U826" s="524"/>
      <c r="V826" s="524"/>
      <c r="W826" s="524"/>
      <c r="X826" s="524"/>
      <c r="Y826" s="524"/>
      <c r="Z826" s="524"/>
    </row>
    <row r="827" ht="13.5" customHeight="1">
      <c r="A827" s="524"/>
      <c r="B827" s="525"/>
      <c r="C827" s="524"/>
      <c r="D827" s="524"/>
      <c r="E827" s="524"/>
      <c r="F827" s="524"/>
      <c r="G827" s="524"/>
      <c r="H827" s="524"/>
      <c r="I827" s="524"/>
      <c r="J827" s="524"/>
      <c r="K827" s="524"/>
      <c r="L827" s="524"/>
      <c r="M827" s="524"/>
      <c r="N827" s="524"/>
      <c r="O827" s="524"/>
      <c r="P827" s="524"/>
      <c r="Q827" s="524"/>
      <c r="R827" s="524"/>
      <c r="S827" s="524"/>
      <c r="T827" s="524"/>
      <c r="U827" s="524"/>
      <c r="V827" s="524"/>
      <c r="W827" s="524"/>
      <c r="X827" s="524"/>
      <c r="Y827" s="524"/>
      <c r="Z827" s="524"/>
    </row>
    <row r="828" ht="13.5" customHeight="1">
      <c r="A828" s="524"/>
      <c r="B828" s="525"/>
      <c r="C828" s="524"/>
      <c r="D828" s="524"/>
      <c r="E828" s="524"/>
      <c r="F828" s="524"/>
      <c r="G828" s="524"/>
      <c r="H828" s="524"/>
      <c r="I828" s="524"/>
      <c r="J828" s="524"/>
      <c r="K828" s="524"/>
      <c r="L828" s="524"/>
      <c r="M828" s="524"/>
      <c r="N828" s="524"/>
      <c r="O828" s="524"/>
      <c r="P828" s="524"/>
      <c r="Q828" s="524"/>
      <c r="R828" s="524"/>
      <c r="S828" s="524"/>
      <c r="T828" s="524"/>
      <c r="U828" s="524"/>
      <c r="V828" s="524"/>
      <c r="W828" s="524"/>
      <c r="X828" s="524"/>
      <c r="Y828" s="524"/>
      <c r="Z828" s="524"/>
    </row>
    <row r="829" ht="13.5" customHeight="1">
      <c r="A829" s="524"/>
      <c r="B829" s="525"/>
      <c r="C829" s="524"/>
      <c r="D829" s="524"/>
      <c r="E829" s="524"/>
      <c r="F829" s="524"/>
      <c r="G829" s="524"/>
      <c r="H829" s="524"/>
      <c r="I829" s="524"/>
      <c r="J829" s="524"/>
      <c r="K829" s="524"/>
      <c r="L829" s="524"/>
      <c r="M829" s="524"/>
      <c r="N829" s="524"/>
      <c r="O829" s="524"/>
      <c r="P829" s="524"/>
      <c r="Q829" s="524"/>
      <c r="R829" s="524"/>
      <c r="S829" s="524"/>
      <c r="T829" s="524"/>
      <c r="U829" s="524"/>
      <c r="V829" s="524"/>
      <c r="W829" s="524"/>
      <c r="X829" s="524"/>
      <c r="Y829" s="524"/>
      <c r="Z829" s="524"/>
    </row>
    <row r="830" ht="13.5" customHeight="1">
      <c r="A830" s="524"/>
      <c r="B830" s="525"/>
      <c r="C830" s="524"/>
      <c r="D830" s="524"/>
      <c r="E830" s="524"/>
      <c r="F830" s="524"/>
      <c r="G830" s="524"/>
      <c r="H830" s="524"/>
      <c r="I830" s="524"/>
      <c r="J830" s="524"/>
      <c r="K830" s="524"/>
      <c r="L830" s="524"/>
      <c r="M830" s="524"/>
      <c r="N830" s="524"/>
      <c r="O830" s="524"/>
      <c r="P830" s="524"/>
      <c r="Q830" s="524"/>
      <c r="R830" s="524"/>
      <c r="S830" s="524"/>
      <c r="T830" s="524"/>
      <c r="U830" s="524"/>
      <c r="V830" s="524"/>
      <c r="W830" s="524"/>
      <c r="X830" s="524"/>
      <c r="Y830" s="524"/>
      <c r="Z830" s="524"/>
    </row>
    <row r="831" ht="13.5" customHeight="1">
      <c r="A831" s="524"/>
      <c r="B831" s="525"/>
      <c r="C831" s="524"/>
      <c r="D831" s="524"/>
      <c r="E831" s="524"/>
      <c r="F831" s="524"/>
      <c r="G831" s="524"/>
      <c r="H831" s="524"/>
      <c r="I831" s="524"/>
      <c r="J831" s="524"/>
      <c r="K831" s="524"/>
      <c r="L831" s="524"/>
      <c r="M831" s="524"/>
      <c r="N831" s="524"/>
      <c r="O831" s="524"/>
      <c r="P831" s="524"/>
      <c r="Q831" s="524"/>
      <c r="R831" s="524"/>
      <c r="S831" s="524"/>
      <c r="T831" s="524"/>
      <c r="U831" s="524"/>
      <c r="V831" s="524"/>
      <c r="W831" s="524"/>
      <c r="X831" s="524"/>
      <c r="Y831" s="524"/>
      <c r="Z831" s="524"/>
    </row>
    <row r="832" ht="13.5" customHeight="1">
      <c r="A832" s="524"/>
      <c r="B832" s="525"/>
      <c r="C832" s="524"/>
      <c r="D832" s="524"/>
      <c r="E832" s="524"/>
      <c r="F832" s="524"/>
      <c r="G832" s="524"/>
      <c r="H832" s="524"/>
      <c r="I832" s="524"/>
      <c r="J832" s="524"/>
      <c r="K832" s="524"/>
      <c r="L832" s="524"/>
      <c r="M832" s="524"/>
      <c r="N832" s="524"/>
      <c r="O832" s="524"/>
      <c r="P832" s="524"/>
      <c r="Q832" s="524"/>
      <c r="R832" s="524"/>
      <c r="S832" s="524"/>
      <c r="T832" s="524"/>
      <c r="U832" s="524"/>
      <c r="V832" s="524"/>
      <c r="W832" s="524"/>
      <c r="X832" s="524"/>
      <c r="Y832" s="524"/>
      <c r="Z832" s="524"/>
    </row>
    <row r="833" ht="13.5" customHeight="1">
      <c r="A833" s="524"/>
      <c r="B833" s="525"/>
      <c r="C833" s="524"/>
      <c r="D833" s="524"/>
      <c r="E833" s="524"/>
      <c r="F833" s="524"/>
      <c r="G833" s="524"/>
      <c r="H833" s="524"/>
      <c r="I833" s="524"/>
      <c r="J833" s="524"/>
      <c r="K833" s="524"/>
      <c r="L833" s="524"/>
      <c r="M833" s="524"/>
      <c r="N833" s="524"/>
      <c r="O833" s="524"/>
      <c r="P833" s="524"/>
      <c r="Q833" s="524"/>
      <c r="R833" s="524"/>
      <c r="S833" s="524"/>
      <c r="T833" s="524"/>
      <c r="U833" s="524"/>
      <c r="V833" s="524"/>
      <c r="W833" s="524"/>
      <c r="X833" s="524"/>
      <c r="Y833" s="524"/>
      <c r="Z833" s="524"/>
    </row>
    <row r="834" ht="13.5" customHeight="1">
      <c r="A834" s="524"/>
      <c r="B834" s="525"/>
      <c r="C834" s="524"/>
      <c r="D834" s="524"/>
      <c r="E834" s="524"/>
      <c r="F834" s="524"/>
      <c r="G834" s="524"/>
      <c r="H834" s="524"/>
      <c r="I834" s="524"/>
      <c r="J834" s="524"/>
      <c r="K834" s="524"/>
      <c r="L834" s="524"/>
      <c r="M834" s="524"/>
      <c r="N834" s="524"/>
      <c r="O834" s="524"/>
      <c r="P834" s="524"/>
      <c r="Q834" s="524"/>
      <c r="R834" s="524"/>
      <c r="S834" s="524"/>
      <c r="T834" s="524"/>
      <c r="U834" s="524"/>
      <c r="V834" s="524"/>
      <c r="W834" s="524"/>
      <c r="X834" s="524"/>
      <c r="Y834" s="524"/>
      <c r="Z834" s="524"/>
    </row>
    <row r="835" ht="13.5" customHeight="1">
      <c r="A835" s="524"/>
      <c r="B835" s="525"/>
      <c r="C835" s="524"/>
      <c r="D835" s="524"/>
      <c r="E835" s="524"/>
      <c r="F835" s="524"/>
      <c r="G835" s="524"/>
      <c r="H835" s="524"/>
      <c r="I835" s="524"/>
      <c r="J835" s="524"/>
      <c r="K835" s="524"/>
      <c r="L835" s="524"/>
      <c r="M835" s="524"/>
      <c r="N835" s="524"/>
      <c r="O835" s="524"/>
      <c r="P835" s="524"/>
      <c r="Q835" s="524"/>
      <c r="R835" s="524"/>
      <c r="S835" s="524"/>
      <c r="T835" s="524"/>
      <c r="U835" s="524"/>
      <c r="V835" s="524"/>
      <c r="W835" s="524"/>
      <c r="X835" s="524"/>
      <c r="Y835" s="524"/>
      <c r="Z835" s="524"/>
    </row>
    <row r="836" ht="13.5" customHeight="1">
      <c r="A836" s="524"/>
      <c r="B836" s="525"/>
      <c r="C836" s="524"/>
      <c r="D836" s="524"/>
      <c r="E836" s="524"/>
      <c r="F836" s="524"/>
      <c r="G836" s="524"/>
      <c r="H836" s="524"/>
      <c r="I836" s="524"/>
      <c r="J836" s="524"/>
      <c r="K836" s="524"/>
      <c r="L836" s="524"/>
      <c r="M836" s="524"/>
      <c r="N836" s="524"/>
      <c r="O836" s="524"/>
      <c r="P836" s="524"/>
      <c r="Q836" s="524"/>
      <c r="R836" s="524"/>
      <c r="S836" s="524"/>
      <c r="T836" s="524"/>
      <c r="U836" s="524"/>
      <c r="V836" s="524"/>
      <c r="W836" s="524"/>
      <c r="X836" s="524"/>
      <c r="Y836" s="524"/>
      <c r="Z836" s="524"/>
    </row>
    <row r="837" ht="13.5" customHeight="1">
      <c r="A837" s="524"/>
      <c r="B837" s="525"/>
      <c r="C837" s="524"/>
      <c r="D837" s="524"/>
      <c r="E837" s="524"/>
      <c r="F837" s="524"/>
      <c r="G837" s="524"/>
      <c r="H837" s="524"/>
      <c r="I837" s="524"/>
      <c r="J837" s="524"/>
      <c r="K837" s="524"/>
      <c r="L837" s="524"/>
      <c r="M837" s="524"/>
      <c r="N837" s="524"/>
      <c r="O837" s="524"/>
      <c r="P837" s="524"/>
      <c r="Q837" s="524"/>
      <c r="R837" s="524"/>
      <c r="S837" s="524"/>
      <c r="T837" s="524"/>
      <c r="U837" s="524"/>
      <c r="V837" s="524"/>
      <c r="W837" s="524"/>
      <c r="X837" s="524"/>
      <c r="Y837" s="524"/>
      <c r="Z837" s="524"/>
    </row>
    <row r="838" ht="13.5" customHeight="1">
      <c r="A838" s="524"/>
      <c r="B838" s="525"/>
      <c r="C838" s="524"/>
      <c r="D838" s="524"/>
      <c r="E838" s="524"/>
      <c r="F838" s="524"/>
      <c r="G838" s="524"/>
      <c r="H838" s="524"/>
      <c r="I838" s="524"/>
      <c r="J838" s="524"/>
      <c r="K838" s="524"/>
      <c r="L838" s="524"/>
      <c r="M838" s="524"/>
      <c r="N838" s="524"/>
      <c r="O838" s="524"/>
      <c r="P838" s="524"/>
      <c r="Q838" s="524"/>
      <c r="R838" s="524"/>
      <c r="S838" s="524"/>
      <c r="T838" s="524"/>
      <c r="U838" s="524"/>
      <c r="V838" s="524"/>
      <c r="W838" s="524"/>
      <c r="X838" s="524"/>
      <c r="Y838" s="524"/>
      <c r="Z838" s="524"/>
    </row>
    <row r="839" ht="13.5" customHeight="1">
      <c r="A839" s="524"/>
      <c r="B839" s="525"/>
      <c r="C839" s="524"/>
      <c r="D839" s="524"/>
      <c r="E839" s="524"/>
      <c r="F839" s="524"/>
      <c r="G839" s="524"/>
      <c r="H839" s="524"/>
      <c r="I839" s="524"/>
      <c r="J839" s="524"/>
      <c r="K839" s="524"/>
      <c r="L839" s="524"/>
      <c r="M839" s="524"/>
      <c r="N839" s="524"/>
      <c r="O839" s="524"/>
      <c r="P839" s="524"/>
      <c r="Q839" s="524"/>
      <c r="R839" s="524"/>
      <c r="S839" s="524"/>
      <c r="T839" s="524"/>
      <c r="U839" s="524"/>
      <c r="V839" s="524"/>
      <c r="W839" s="524"/>
      <c r="X839" s="524"/>
      <c r="Y839" s="524"/>
      <c r="Z839" s="524"/>
    </row>
    <row r="840" ht="13.5" customHeight="1">
      <c r="A840" s="524"/>
      <c r="B840" s="525"/>
      <c r="C840" s="524"/>
      <c r="D840" s="524"/>
      <c r="E840" s="524"/>
      <c r="F840" s="524"/>
      <c r="G840" s="524"/>
      <c r="H840" s="524"/>
      <c r="I840" s="524"/>
      <c r="J840" s="524"/>
      <c r="K840" s="524"/>
      <c r="L840" s="524"/>
      <c r="M840" s="524"/>
      <c r="N840" s="524"/>
      <c r="O840" s="524"/>
      <c r="P840" s="524"/>
      <c r="Q840" s="524"/>
      <c r="R840" s="524"/>
      <c r="S840" s="524"/>
      <c r="T840" s="524"/>
      <c r="U840" s="524"/>
      <c r="V840" s="524"/>
      <c r="W840" s="524"/>
      <c r="X840" s="524"/>
      <c r="Y840" s="524"/>
      <c r="Z840" s="524"/>
    </row>
    <row r="841" ht="13.5" customHeight="1">
      <c r="A841" s="524"/>
      <c r="B841" s="525"/>
      <c r="C841" s="524"/>
      <c r="D841" s="524"/>
      <c r="E841" s="524"/>
      <c r="F841" s="524"/>
      <c r="G841" s="524"/>
      <c r="H841" s="524"/>
      <c r="I841" s="524"/>
      <c r="J841" s="524"/>
      <c r="K841" s="524"/>
      <c r="L841" s="524"/>
      <c r="M841" s="524"/>
      <c r="N841" s="524"/>
      <c r="O841" s="524"/>
      <c r="P841" s="524"/>
      <c r="Q841" s="524"/>
      <c r="R841" s="524"/>
      <c r="S841" s="524"/>
      <c r="T841" s="524"/>
      <c r="U841" s="524"/>
      <c r="V841" s="524"/>
      <c r="W841" s="524"/>
      <c r="X841" s="524"/>
      <c r="Y841" s="524"/>
      <c r="Z841" s="524"/>
    </row>
    <row r="842" ht="13.5" customHeight="1">
      <c r="A842" s="524"/>
      <c r="B842" s="525"/>
      <c r="C842" s="524"/>
      <c r="D842" s="524"/>
      <c r="E842" s="524"/>
      <c r="F842" s="524"/>
      <c r="G842" s="524"/>
      <c r="H842" s="524"/>
      <c r="I842" s="524"/>
      <c r="J842" s="524"/>
      <c r="K842" s="524"/>
      <c r="L842" s="524"/>
      <c r="M842" s="524"/>
      <c r="N842" s="524"/>
      <c r="O842" s="524"/>
      <c r="P842" s="524"/>
      <c r="Q842" s="524"/>
      <c r="R842" s="524"/>
      <c r="S842" s="524"/>
      <c r="T842" s="524"/>
      <c r="U842" s="524"/>
      <c r="V842" s="524"/>
      <c r="W842" s="524"/>
      <c r="X842" s="524"/>
      <c r="Y842" s="524"/>
      <c r="Z842" s="524"/>
    </row>
    <row r="843" ht="13.5" customHeight="1">
      <c r="A843" s="524"/>
      <c r="B843" s="525"/>
      <c r="C843" s="524"/>
      <c r="D843" s="524"/>
      <c r="E843" s="524"/>
      <c r="F843" s="524"/>
      <c r="G843" s="524"/>
      <c r="H843" s="524"/>
      <c r="I843" s="524"/>
      <c r="J843" s="524"/>
      <c r="K843" s="524"/>
      <c r="L843" s="524"/>
      <c r="M843" s="524"/>
      <c r="N843" s="524"/>
      <c r="O843" s="524"/>
      <c r="P843" s="524"/>
      <c r="Q843" s="524"/>
      <c r="R843" s="524"/>
      <c r="S843" s="524"/>
      <c r="T843" s="524"/>
      <c r="U843" s="524"/>
      <c r="V843" s="524"/>
      <c r="W843" s="524"/>
      <c r="X843" s="524"/>
      <c r="Y843" s="524"/>
      <c r="Z843" s="524"/>
    </row>
    <row r="844" ht="13.5" customHeight="1">
      <c r="A844" s="524"/>
      <c r="B844" s="525"/>
      <c r="C844" s="524"/>
      <c r="D844" s="524"/>
      <c r="E844" s="524"/>
      <c r="F844" s="524"/>
      <c r="G844" s="524"/>
      <c r="H844" s="524"/>
      <c r="I844" s="524"/>
      <c r="J844" s="524"/>
      <c r="K844" s="524"/>
      <c r="L844" s="524"/>
      <c r="M844" s="524"/>
      <c r="N844" s="524"/>
      <c r="O844" s="524"/>
      <c r="P844" s="524"/>
      <c r="Q844" s="524"/>
      <c r="R844" s="524"/>
      <c r="S844" s="524"/>
      <c r="T844" s="524"/>
      <c r="U844" s="524"/>
      <c r="V844" s="524"/>
      <c r="W844" s="524"/>
      <c r="X844" s="524"/>
      <c r="Y844" s="524"/>
      <c r="Z844" s="524"/>
    </row>
    <row r="845" ht="13.5" customHeight="1">
      <c r="A845" s="524"/>
      <c r="B845" s="525"/>
      <c r="C845" s="524"/>
      <c r="D845" s="524"/>
      <c r="E845" s="524"/>
      <c r="F845" s="524"/>
      <c r="G845" s="524"/>
      <c r="H845" s="524"/>
      <c r="I845" s="524"/>
      <c r="J845" s="524"/>
      <c r="K845" s="524"/>
      <c r="L845" s="524"/>
      <c r="M845" s="524"/>
      <c r="N845" s="524"/>
      <c r="O845" s="524"/>
      <c r="P845" s="524"/>
      <c r="Q845" s="524"/>
      <c r="R845" s="524"/>
      <c r="S845" s="524"/>
      <c r="T845" s="524"/>
      <c r="U845" s="524"/>
      <c r="V845" s="524"/>
      <c r="W845" s="524"/>
      <c r="X845" s="524"/>
      <c r="Y845" s="524"/>
      <c r="Z845" s="524"/>
    </row>
    <row r="846" ht="13.5" customHeight="1">
      <c r="A846" s="524"/>
      <c r="B846" s="525"/>
      <c r="C846" s="524"/>
      <c r="D846" s="524"/>
      <c r="E846" s="524"/>
      <c r="F846" s="524"/>
      <c r="G846" s="524"/>
      <c r="H846" s="524"/>
      <c r="I846" s="524"/>
      <c r="J846" s="524"/>
      <c r="K846" s="524"/>
      <c r="L846" s="524"/>
      <c r="M846" s="524"/>
      <c r="N846" s="524"/>
      <c r="O846" s="524"/>
      <c r="P846" s="524"/>
      <c r="Q846" s="524"/>
      <c r="R846" s="524"/>
      <c r="S846" s="524"/>
      <c r="T846" s="524"/>
      <c r="U846" s="524"/>
      <c r="V846" s="524"/>
      <c r="W846" s="524"/>
      <c r="X846" s="524"/>
      <c r="Y846" s="524"/>
      <c r="Z846" s="524"/>
    </row>
    <row r="847" ht="13.5" customHeight="1">
      <c r="A847" s="524"/>
      <c r="B847" s="525"/>
      <c r="C847" s="524"/>
      <c r="D847" s="524"/>
      <c r="E847" s="524"/>
      <c r="F847" s="524"/>
      <c r="G847" s="524"/>
      <c r="H847" s="524"/>
      <c r="I847" s="524"/>
      <c r="J847" s="524"/>
      <c r="K847" s="524"/>
      <c r="L847" s="524"/>
      <c r="M847" s="524"/>
      <c r="N847" s="524"/>
      <c r="O847" s="524"/>
      <c r="P847" s="524"/>
      <c r="Q847" s="524"/>
      <c r="R847" s="524"/>
      <c r="S847" s="524"/>
      <c r="T847" s="524"/>
      <c r="U847" s="524"/>
      <c r="V847" s="524"/>
      <c r="W847" s="524"/>
      <c r="X847" s="524"/>
      <c r="Y847" s="524"/>
      <c r="Z847" s="524"/>
    </row>
    <row r="848" ht="13.5" customHeight="1">
      <c r="A848" s="524"/>
      <c r="B848" s="525"/>
      <c r="C848" s="524"/>
      <c r="D848" s="524"/>
      <c r="E848" s="524"/>
      <c r="F848" s="524"/>
      <c r="G848" s="524"/>
      <c r="H848" s="524"/>
      <c r="I848" s="524"/>
      <c r="J848" s="524"/>
      <c r="K848" s="524"/>
      <c r="L848" s="524"/>
      <c r="M848" s="524"/>
      <c r="N848" s="524"/>
      <c r="O848" s="524"/>
      <c r="P848" s="524"/>
      <c r="Q848" s="524"/>
      <c r="R848" s="524"/>
      <c r="S848" s="524"/>
      <c r="T848" s="524"/>
      <c r="U848" s="524"/>
      <c r="V848" s="524"/>
      <c r="W848" s="524"/>
      <c r="X848" s="524"/>
      <c r="Y848" s="524"/>
      <c r="Z848" s="524"/>
    </row>
    <row r="849" ht="13.5" customHeight="1">
      <c r="A849" s="524"/>
      <c r="B849" s="525"/>
      <c r="C849" s="524"/>
      <c r="D849" s="524"/>
      <c r="E849" s="524"/>
      <c r="F849" s="524"/>
      <c r="G849" s="524"/>
      <c r="H849" s="524"/>
      <c r="I849" s="524"/>
      <c r="J849" s="524"/>
      <c r="K849" s="524"/>
      <c r="L849" s="524"/>
      <c r="M849" s="524"/>
      <c r="N849" s="524"/>
      <c r="O849" s="524"/>
      <c r="P849" s="524"/>
      <c r="Q849" s="524"/>
      <c r="R849" s="524"/>
      <c r="S849" s="524"/>
      <c r="T849" s="524"/>
      <c r="U849" s="524"/>
      <c r="V849" s="524"/>
      <c r="W849" s="524"/>
      <c r="X849" s="524"/>
      <c r="Y849" s="524"/>
      <c r="Z849" s="524"/>
    </row>
    <row r="850" ht="13.5" customHeight="1">
      <c r="A850" s="524"/>
      <c r="B850" s="525"/>
      <c r="C850" s="524"/>
      <c r="D850" s="524"/>
      <c r="E850" s="524"/>
      <c r="F850" s="524"/>
      <c r="G850" s="524"/>
      <c r="H850" s="524"/>
      <c r="I850" s="524"/>
      <c r="J850" s="524"/>
      <c r="K850" s="524"/>
      <c r="L850" s="524"/>
      <c r="M850" s="524"/>
      <c r="N850" s="524"/>
      <c r="O850" s="524"/>
      <c r="P850" s="524"/>
      <c r="Q850" s="524"/>
      <c r="R850" s="524"/>
      <c r="S850" s="524"/>
      <c r="T850" s="524"/>
      <c r="U850" s="524"/>
      <c r="V850" s="524"/>
      <c r="W850" s="524"/>
      <c r="X850" s="524"/>
      <c r="Y850" s="524"/>
      <c r="Z850" s="524"/>
    </row>
    <row r="851" ht="13.5" customHeight="1">
      <c r="A851" s="524"/>
      <c r="B851" s="525"/>
      <c r="C851" s="524"/>
      <c r="D851" s="524"/>
      <c r="E851" s="524"/>
      <c r="F851" s="524"/>
      <c r="G851" s="524"/>
      <c r="H851" s="524"/>
      <c r="I851" s="524"/>
      <c r="J851" s="524"/>
      <c r="K851" s="524"/>
      <c r="L851" s="524"/>
      <c r="M851" s="524"/>
      <c r="N851" s="524"/>
      <c r="O851" s="524"/>
      <c r="P851" s="524"/>
      <c r="Q851" s="524"/>
      <c r="R851" s="524"/>
      <c r="S851" s="524"/>
      <c r="T851" s="524"/>
      <c r="U851" s="524"/>
      <c r="V851" s="524"/>
      <c r="W851" s="524"/>
      <c r="X851" s="524"/>
      <c r="Y851" s="524"/>
      <c r="Z851" s="524"/>
    </row>
    <row r="852" ht="13.5" customHeight="1">
      <c r="A852" s="524"/>
      <c r="B852" s="525"/>
      <c r="C852" s="524"/>
      <c r="D852" s="524"/>
      <c r="E852" s="524"/>
      <c r="F852" s="524"/>
      <c r="G852" s="524"/>
      <c r="H852" s="524"/>
      <c r="I852" s="524"/>
      <c r="J852" s="524"/>
      <c r="K852" s="524"/>
      <c r="L852" s="524"/>
      <c r="M852" s="524"/>
      <c r="N852" s="524"/>
      <c r="O852" s="524"/>
      <c r="P852" s="524"/>
      <c r="Q852" s="524"/>
      <c r="R852" s="524"/>
      <c r="S852" s="524"/>
      <c r="T852" s="524"/>
      <c r="U852" s="524"/>
      <c r="V852" s="524"/>
      <c r="W852" s="524"/>
      <c r="X852" s="524"/>
      <c r="Y852" s="524"/>
      <c r="Z852" s="524"/>
    </row>
    <row r="853" ht="13.5" customHeight="1">
      <c r="A853" s="524"/>
      <c r="B853" s="525"/>
      <c r="C853" s="524"/>
      <c r="D853" s="524"/>
      <c r="E853" s="524"/>
      <c r="F853" s="524"/>
      <c r="G853" s="524"/>
      <c r="H853" s="524"/>
      <c r="I853" s="524"/>
      <c r="J853" s="524"/>
      <c r="K853" s="524"/>
      <c r="L853" s="524"/>
      <c r="M853" s="524"/>
      <c r="N853" s="524"/>
      <c r="O853" s="524"/>
      <c r="P853" s="524"/>
      <c r="Q853" s="524"/>
      <c r="R853" s="524"/>
      <c r="S853" s="524"/>
      <c r="T853" s="524"/>
      <c r="U853" s="524"/>
      <c r="V853" s="524"/>
      <c r="W853" s="524"/>
      <c r="X853" s="524"/>
      <c r="Y853" s="524"/>
      <c r="Z853" s="524"/>
    </row>
    <row r="854" ht="13.5" customHeight="1">
      <c r="A854" s="524"/>
      <c r="B854" s="525"/>
      <c r="C854" s="524"/>
      <c r="D854" s="524"/>
      <c r="E854" s="524"/>
      <c r="F854" s="524"/>
      <c r="G854" s="524"/>
      <c r="H854" s="524"/>
      <c r="I854" s="524"/>
      <c r="J854" s="524"/>
      <c r="K854" s="524"/>
      <c r="L854" s="524"/>
      <c r="M854" s="524"/>
      <c r="N854" s="524"/>
      <c r="O854" s="524"/>
      <c r="P854" s="524"/>
      <c r="Q854" s="524"/>
      <c r="R854" s="524"/>
      <c r="S854" s="524"/>
      <c r="T854" s="524"/>
      <c r="U854" s="524"/>
      <c r="V854" s="524"/>
      <c r="W854" s="524"/>
      <c r="X854" s="524"/>
      <c r="Y854" s="524"/>
      <c r="Z854" s="524"/>
    </row>
    <row r="855" ht="13.5" customHeight="1">
      <c r="A855" s="524"/>
      <c r="B855" s="525"/>
      <c r="C855" s="524"/>
      <c r="D855" s="524"/>
      <c r="E855" s="524"/>
      <c r="F855" s="524"/>
      <c r="G855" s="524"/>
      <c r="H855" s="524"/>
      <c r="I855" s="524"/>
      <c r="J855" s="524"/>
      <c r="K855" s="524"/>
      <c r="L855" s="524"/>
      <c r="M855" s="524"/>
      <c r="N855" s="524"/>
      <c r="O855" s="524"/>
      <c r="P855" s="524"/>
      <c r="Q855" s="524"/>
      <c r="R855" s="524"/>
      <c r="S855" s="524"/>
      <c r="T855" s="524"/>
      <c r="U855" s="524"/>
      <c r="V855" s="524"/>
      <c r="W855" s="524"/>
      <c r="X855" s="524"/>
      <c r="Y855" s="524"/>
      <c r="Z855" s="524"/>
    </row>
    <row r="856" ht="13.5" customHeight="1">
      <c r="A856" s="524"/>
      <c r="B856" s="525"/>
      <c r="C856" s="524"/>
      <c r="D856" s="524"/>
      <c r="E856" s="524"/>
      <c r="F856" s="524"/>
      <c r="G856" s="524"/>
      <c r="H856" s="524"/>
      <c r="I856" s="524"/>
      <c r="J856" s="524"/>
      <c r="K856" s="524"/>
      <c r="L856" s="524"/>
      <c r="M856" s="524"/>
      <c r="N856" s="524"/>
      <c r="O856" s="524"/>
      <c r="P856" s="524"/>
      <c r="Q856" s="524"/>
      <c r="R856" s="524"/>
      <c r="S856" s="524"/>
      <c r="T856" s="524"/>
      <c r="U856" s="524"/>
      <c r="V856" s="524"/>
      <c r="W856" s="524"/>
      <c r="X856" s="524"/>
      <c r="Y856" s="524"/>
      <c r="Z856" s="524"/>
    </row>
    <row r="857" ht="13.5" customHeight="1">
      <c r="A857" s="524"/>
      <c r="B857" s="525"/>
      <c r="C857" s="524"/>
      <c r="D857" s="524"/>
      <c r="E857" s="524"/>
      <c r="F857" s="524"/>
      <c r="G857" s="524"/>
      <c r="H857" s="524"/>
      <c r="I857" s="524"/>
      <c r="J857" s="524"/>
      <c r="K857" s="524"/>
      <c r="L857" s="524"/>
      <c r="M857" s="524"/>
      <c r="N857" s="524"/>
      <c r="O857" s="524"/>
      <c r="P857" s="524"/>
      <c r="Q857" s="524"/>
      <c r="R857" s="524"/>
      <c r="S857" s="524"/>
      <c r="T857" s="524"/>
      <c r="U857" s="524"/>
      <c r="V857" s="524"/>
      <c r="W857" s="524"/>
      <c r="X857" s="524"/>
      <c r="Y857" s="524"/>
      <c r="Z857" s="524"/>
    </row>
    <row r="858" ht="13.5" customHeight="1">
      <c r="A858" s="524"/>
      <c r="B858" s="525"/>
      <c r="C858" s="524"/>
      <c r="D858" s="524"/>
      <c r="E858" s="524"/>
      <c r="F858" s="524"/>
      <c r="G858" s="524"/>
      <c r="H858" s="524"/>
      <c r="I858" s="524"/>
      <c r="J858" s="524"/>
      <c r="K858" s="524"/>
      <c r="L858" s="524"/>
      <c r="M858" s="524"/>
      <c r="N858" s="524"/>
      <c r="O858" s="524"/>
      <c r="P858" s="524"/>
      <c r="Q858" s="524"/>
      <c r="R858" s="524"/>
      <c r="S858" s="524"/>
      <c r="T858" s="524"/>
      <c r="U858" s="524"/>
      <c r="V858" s="524"/>
      <c r="W858" s="524"/>
      <c r="X858" s="524"/>
      <c r="Y858" s="524"/>
      <c r="Z858" s="524"/>
    </row>
    <row r="859" ht="13.5" customHeight="1">
      <c r="A859" s="524"/>
      <c r="B859" s="525"/>
      <c r="C859" s="524"/>
      <c r="D859" s="524"/>
      <c r="E859" s="524"/>
      <c r="F859" s="524"/>
      <c r="G859" s="524"/>
      <c r="H859" s="524"/>
      <c r="I859" s="524"/>
      <c r="J859" s="524"/>
      <c r="K859" s="524"/>
      <c r="L859" s="524"/>
      <c r="M859" s="524"/>
      <c r="N859" s="524"/>
      <c r="O859" s="524"/>
      <c r="P859" s="524"/>
      <c r="Q859" s="524"/>
      <c r="R859" s="524"/>
      <c r="S859" s="524"/>
      <c r="T859" s="524"/>
      <c r="U859" s="524"/>
      <c r="V859" s="524"/>
      <c r="W859" s="524"/>
      <c r="X859" s="524"/>
      <c r="Y859" s="524"/>
      <c r="Z859" s="524"/>
    </row>
    <row r="860" ht="13.5" customHeight="1">
      <c r="A860" s="524"/>
      <c r="B860" s="525"/>
      <c r="C860" s="524"/>
      <c r="D860" s="524"/>
      <c r="E860" s="524"/>
      <c r="F860" s="524"/>
      <c r="G860" s="524"/>
      <c r="H860" s="524"/>
      <c r="I860" s="524"/>
      <c r="J860" s="524"/>
      <c r="K860" s="524"/>
      <c r="L860" s="524"/>
      <c r="M860" s="524"/>
      <c r="N860" s="524"/>
      <c r="O860" s="524"/>
      <c r="P860" s="524"/>
      <c r="Q860" s="524"/>
      <c r="R860" s="524"/>
      <c r="S860" s="524"/>
      <c r="T860" s="524"/>
      <c r="U860" s="524"/>
      <c r="V860" s="524"/>
      <c r="W860" s="524"/>
      <c r="X860" s="524"/>
      <c r="Y860" s="524"/>
      <c r="Z860" s="524"/>
    </row>
    <row r="861" ht="13.5" customHeight="1">
      <c r="A861" s="524"/>
      <c r="B861" s="525"/>
      <c r="C861" s="524"/>
      <c r="D861" s="524"/>
      <c r="E861" s="524"/>
      <c r="F861" s="524"/>
      <c r="G861" s="524"/>
      <c r="H861" s="524"/>
      <c r="I861" s="524"/>
      <c r="J861" s="524"/>
      <c r="K861" s="524"/>
      <c r="L861" s="524"/>
      <c r="M861" s="524"/>
      <c r="N861" s="524"/>
      <c r="O861" s="524"/>
      <c r="P861" s="524"/>
      <c r="Q861" s="524"/>
      <c r="R861" s="524"/>
      <c r="S861" s="524"/>
      <c r="T861" s="524"/>
      <c r="U861" s="524"/>
      <c r="V861" s="524"/>
      <c r="W861" s="524"/>
      <c r="X861" s="524"/>
      <c r="Y861" s="524"/>
      <c r="Z861" s="524"/>
    </row>
    <row r="862" ht="13.5" customHeight="1">
      <c r="A862" s="524"/>
      <c r="B862" s="525"/>
      <c r="C862" s="524"/>
      <c r="D862" s="524"/>
      <c r="E862" s="524"/>
      <c r="F862" s="524"/>
      <c r="G862" s="524"/>
      <c r="H862" s="524"/>
      <c r="I862" s="524"/>
      <c r="J862" s="524"/>
      <c r="K862" s="524"/>
      <c r="L862" s="524"/>
      <c r="M862" s="524"/>
      <c r="N862" s="524"/>
      <c r="O862" s="524"/>
      <c r="P862" s="524"/>
      <c r="Q862" s="524"/>
      <c r="R862" s="524"/>
      <c r="S862" s="524"/>
      <c r="T862" s="524"/>
      <c r="U862" s="524"/>
      <c r="V862" s="524"/>
      <c r="W862" s="524"/>
      <c r="X862" s="524"/>
      <c r="Y862" s="524"/>
      <c r="Z862" s="524"/>
    </row>
    <row r="863" ht="13.5" customHeight="1">
      <c r="A863" s="524"/>
      <c r="B863" s="525"/>
      <c r="C863" s="524"/>
      <c r="D863" s="524"/>
      <c r="E863" s="524"/>
      <c r="F863" s="524"/>
      <c r="G863" s="524"/>
      <c r="H863" s="524"/>
      <c r="I863" s="524"/>
      <c r="J863" s="524"/>
      <c r="K863" s="524"/>
      <c r="L863" s="524"/>
      <c r="M863" s="524"/>
      <c r="N863" s="524"/>
      <c r="O863" s="524"/>
      <c r="P863" s="524"/>
      <c r="Q863" s="524"/>
      <c r="R863" s="524"/>
      <c r="S863" s="524"/>
      <c r="T863" s="524"/>
      <c r="U863" s="524"/>
      <c r="V863" s="524"/>
      <c r="W863" s="524"/>
      <c r="X863" s="524"/>
      <c r="Y863" s="524"/>
      <c r="Z863" s="524"/>
    </row>
    <row r="864" ht="13.5" customHeight="1">
      <c r="A864" s="524"/>
      <c r="B864" s="525"/>
      <c r="C864" s="524"/>
      <c r="D864" s="524"/>
      <c r="E864" s="524"/>
      <c r="F864" s="524"/>
      <c r="G864" s="524"/>
      <c r="H864" s="524"/>
      <c r="I864" s="524"/>
      <c r="J864" s="524"/>
      <c r="K864" s="524"/>
      <c r="L864" s="524"/>
      <c r="M864" s="524"/>
      <c r="N864" s="524"/>
      <c r="O864" s="524"/>
      <c r="P864" s="524"/>
      <c r="Q864" s="524"/>
      <c r="R864" s="524"/>
      <c r="S864" s="524"/>
      <c r="T864" s="524"/>
      <c r="U864" s="524"/>
      <c r="V864" s="524"/>
      <c r="W864" s="524"/>
      <c r="X864" s="524"/>
      <c r="Y864" s="524"/>
      <c r="Z864" s="524"/>
    </row>
    <row r="865" ht="13.5" customHeight="1">
      <c r="A865" s="524"/>
      <c r="B865" s="525"/>
      <c r="C865" s="524"/>
      <c r="D865" s="524"/>
      <c r="E865" s="524"/>
      <c r="F865" s="524"/>
      <c r="G865" s="524"/>
      <c r="H865" s="524"/>
      <c r="I865" s="524"/>
      <c r="J865" s="524"/>
      <c r="K865" s="524"/>
      <c r="L865" s="524"/>
      <c r="M865" s="524"/>
      <c r="N865" s="524"/>
      <c r="O865" s="524"/>
      <c r="P865" s="524"/>
      <c r="Q865" s="524"/>
      <c r="R865" s="524"/>
      <c r="S865" s="524"/>
      <c r="T865" s="524"/>
      <c r="U865" s="524"/>
      <c r="V865" s="524"/>
      <c r="W865" s="524"/>
      <c r="X865" s="524"/>
      <c r="Y865" s="524"/>
      <c r="Z865" s="524"/>
    </row>
    <row r="866" ht="13.5" customHeight="1">
      <c r="A866" s="524"/>
      <c r="B866" s="525"/>
      <c r="C866" s="524"/>
      <c r="D866" s="524"/>
      <c r="E866" s="524"/>
      <c r="F866" s="524"/>
      <c r="G866" s="524"/>
      <c r="H866" s="524"/>
      <c r="I866" s="524"/>
      <c r="J866" s="524"/>
      <c r="K866" s="524"/>
      <c r="L866" s="524"/>
      <c r="M866" s="524"/>
      <c r="N866" s="524"/>
      <c r="O866" s="524"/>
      <c r="P866" s="524"/>
      <c r="Q866" s="524"/>
      <c r="R866" s="524"/>
      <c r="S866" s="524"/>
      <c r="T866" s="524"/>
      <c r="U866" s="524"/>
      <c r="V866" s="524"/>
      <c r="W866" s="524"/>
      <c r="X866" s="524"/>
      <c r="Y866" s="524"/>
      <c r="Z866" s="524"/>
    </row>
    <row r="867" ht="13.5" customHeight="1">
      <c r="A867" s="524"/>
      <c r="B867" s="525"/>
      <c r="C867" s="524"/>
      <c r="D867" s="524"/>
      <c r="E867" s="524"/>
      <c r="F867" s="524"/>
      <c r="G867" s="524"/>
      <c r="H867" s="524"/>
      <c r="I867" s="524"/>
      <c r="J867" s="524"/>
      <c r="K867" s="524"/>
      <c r="L867" s="524"/>
      <c r="M867" s="524"/>
      <c r="N867" s="524"/>
      <c r="O867" s="524"/>
      <c r="P867" s="524"/>
      <c r="Q867" s="524"/>
      <c r="R867" s="524"/>
      <c r="S867" s="524"/>
      <c r="T867" s="524"/>
      <c r="U867" s="524"/>
      <c r="V867" s="524"/>
      <c r="W867" s="524"/>
      <c r="X867" s="524"/>
      <c r="Y867" s="524"/>
      <c r="Z867" s="524"/>
    </row>
    <row r="868" ht="13.5" customHeight="1">
      <c r="A868" s="524"/>
      <c r="B868" s="525"/>
      <c r="C868" s="524"/>
      <c r="D868" s="524"/>
      <c r="E868" s="524"/>
      <c r="F868" s="524"/>
      <c r="G868" s="524"/>
      <c r="H868" s="524"/>
      <c r="I868" s="524"/>
      <c r="J868" s="524"/>
      <c r="K868" s="524"/>
      <c r="L868" s="524"/>
      <c r="M868" s="524"/>
      <c r="N868" s="524"/>
      <c r="O868" s="524"/>
      <c r="P868" s="524"/>
      <c r="Q868" s="524"/>
      <c r="R868" s="524"/>
      <c r="S868" s="524"/>
      <c r="T868" s="524"/>
      <c r="U868" s="524"/>
      <c r="V868" s="524"/>
      <c r="W868" s="524"/>
      <c r="X868" s="524"/>
      <c r="Y868" s="524"/>
      <c r="Z868" s="524"/>
    </row>
    <row r="869" ht="13.5" customHeight="1">
      <c r="A869" s="524"/>
      <c r="B869" s="525"/>
      <c r="C869" s="524"/>
      <c r="D869" s="524"/>
      <c r="E869" s="524"/>
      <c r="F869" s="524"/>
      <c r="G869" s="524"/>
      <c r="H869" s="524"/>
      <c r="I869" s="524"/>
      <c r="J869" s="524"/>
      <c r="K869" s="524"/>
      <c r="L869" s="524"/>
      <c r="M869" s="524"/>
      <c r="N869" s="524"/>
      <c r="O869" s="524"/>
      <c r="P869" s="524"/>
      <c r="Q869" s="524"/>
      <c r="R869" s="524"/>
      <c r="S869" s="524"/>
      <c r="T869" s="524"/>
      <c r="U869" s="524"/>
      <c r="V869" s="524"/>
      <c r="W869" s="524"/>
      <c r="X869" s="524"/>
      <c r="Y869" s="524"/>
      <c r="Z869" s="524"/>
    </row>
    <row r="870" ht="13.5" customHeight="1">
      <c r="A870" s="524"/>
      <c r="B870" s="525"/>
      <c r="C870" s="524"/>
      <c r="D870" s="524"/>
      <c r="E870" s="524"/>
      <c r="F870" s="524"/>
      <c r="G870" s="524"/>
      <c r="H870" s="524"/>
      <c r="I870" s="524"/>
      <c r="J870" s="524"/>
      <c r="K870" s="524"/>
      <c r="L870" s="524"/>
      <c r="M870" s="524"/>
      <c r="N870" s="524"/>
      <c r="O870" s="524"/>
      <c r="P870" s="524"/>
      <c r="Q870" s="524"/>
      <c r="R870" s="524"/>
      <c r="S870" s="524"/>
      <c r="T870" s="524"/>
      <c r="U870" s="524"/>
      <c r="V870" s="524"/>
      <c r="W870" s="524"/>
      <c r="X870" s="524"/>
      <c r="Y870" s="524"/>
      <c r="Z870" s="524"/>
    </row>
    <row r="871" ht="13.5" customHeight="1">
      <c r="A871" s="524"/>
      <c r="B871" s="525"/>
      <c r="C871" s="524"/>
      <c r="D871" s="524"/>
      <c r="E871" s="524"/>
      <c r="F871" s="524"/>
      <c r="G871" s="524"/>
      <c r="H871" s="524"/>
      <c r="I871" s="524"/>
      <c r="J871" s="524"/>
      <c r="K871" s="524"/>
      <c r="L871" s="524"/>
      <c r="M871" s="524"/>
      <c r="N871" s="524"/>
      <c r="O871" s="524"/>
      <c r="P871" s="524"/>
      <c r="Q871" s="524"/>
      <c r="R871" s="524"/>
      <c r="S871" s="524"/>
      <c r="T871" s="524"/>
      <c r="U871" s="524"/>
      <c r="V871" s="524"/>
      <c r="W871" s="524"/>
      <c r="X871" s="524"/>
      <c r="Y871" s="524"/>
      <c r="Z871" s="524"/>
    </row>
    <row r="872" ht="13.5" customHeight="1">
      <c r="A872" s="524"/>
      <c r="B872" s="525"/>
      <c r="C872" s="524"/>
      <c r="D872" s="524"/>
      <c r="E872" s="524"/>
      <c r="F872" s="524"/>
      <c r="G872" s="524"/>
      <c r="H872" s="524"/>
      <c r="I872" s="524"/>
      <c r="J872" s="524"/>
      <c r="K872" s="524"/>
      <c r="L872" s="524"/>
      <c r="M872" s="524"/>
      <c r="N872" s="524"/>
      <c r="O872" s="524"/>
      <c r="P872" s="524"/>
      <c r="Q872" s="524"/>
      <c r="R872" s="524"/>
      <c r="S872" s="524"/>
      <c r="T872" s="524"/>
      <c r="U872" s="524"/>
      <c r="V872" s="524"/>
      <c r="W872" s="524"/>
      <c r="X872" s="524"/>
      <c r="Y872" s="524"/>
      <c r="Z872" s="524"/>
    </row>
    <row r="873" ht="13.5" customHeight="1">
      <c r="A873" s="524"/>
      <c r="B873" s="525"/>
      <c r="C873" s="524"/>
      <c r="D873" s="524"/>
      <c r="E873" s="524"/>
      <c r="F873" s="524"/>
      <c r="G873" s="524"/>
      <c r="H873" s="524"/>
      <c r="I873" s="524"/>
      <c r="J873" s="524"/>
      <c r="K873" s="524"/>
      <c r="L873" s="524"/>
      <c r="M873" s="524"/>
      <c r="N873" s="524"/>
      <c r="O873" s="524"/>
      <c r="P873" s="524"/>
      <c r="Q873" s="524"/>
      <c r="R873" s="524"/>
      <c r="S873" s="524"/>
      <c r="T873" s="524"/>
      <c r="U873" s="524"/>
      <c r="V873" s="524"/>
      <c r="W873" s="524"/>
      <c r="X873" s="524"/>
      <c r="Y873" s="524"/>
      <c r="Z873" s="524"/>
    </row>
    <row r="874" ht="13.5" customHeight="1">
      <c r="A874" s="524"/>
      <c r="B874" s="525"/>
      <c r="C874" s="524"/>
      <c r="D874" s="524"/>
      <c r="E874" s="524"/>
      <c r="F874" s="524"/>
      <c r="G874" s="524"/>
      <c r="H874" s="524"/>
      <c r="I874" s="524"/>
      <c r="J874" s="524"/>
      <c r="K874" s="524"/>
      <c r="L874" s="524"/>
      <c r="M874" s="524"/>
      <c r="N874" s="524"/>
      <c r="O874" s="524"/>
      <c r="P874" s="524"/>
      <c r="Q874" s="524"/>
      <c r="R874" s="524"/>
      <c r="S874" s="524"/>
      <c r="T874" s="524"/>
      <c r="U874" s="524"/>
      <c r="V874" s="524"/>
      <c r="W874" s="524"/>
      <c r="X874" s="524"/>
      <c r="Y874" s="524"/>
      <c r="Z874" s="524"/>
    </row>
    <row r="875" ht="13.5" customHeight="1">
      <c r="A875" s="524"/>
      <c r="B875" s="525"/>
      <c r="C875" s="524"/>
      <c r="D875" s="524"/>
      <c r="E875" s="524"/>
      <c r="F875" s="524"/>
      <c r="G875" s="524"/>
      <c r="H875" s="524"/>
      <c r="I875" s="524"/>
      <c r="J875" s="524"/>
      <c r="K875" s="524"/>
      <c r="L875" s="524"/>
      <c r="M875" s="524"/>
      <c r="N875" s="524"/>
      <c r="O875" s="524"/>
      <c r="P875" s="524"/>
      <c r="Q875" s="524"/>
      <c r="R875" s="524"/>
      <c r="S875" s="524"/>
      <c r="T875" s="524"/>
      <c r="U875" s="524"/>
      <c r="V875" s="524"/>
      <c r="W875" s="524"/>
      <c r="X875" s="524"/>
      <c r="Y875" s="524"/>
      <c r="Z875" s="524"/>
    </row>
    <row r="876" ht="13.5" customHeight="1">
      <c r="A876" s="524"/>
      <c r="B876" s="525"/>
      <c r="C876" s="524"/>
      <c r="D876" s="524"/>
      <c r="E876" s="524"/>
      <c r="F876" s="524"/>
      <c r="G876" s="524"/>
      <c r="H876" s="524"/>
      <c r="I876" s="524"/>
      <c r="J876" s="524"/>
      <c r="K876" s="524"/>
      <c r="L876" s="524"/>
      <c r="M876" s="524"/>
      <c r="N876" s="524"/>
      <c r="O876" s="524"/>
      <c r="P876" s="524"/>
      <c r="Q876" s="524"/>
      <c r="R876" s="524"/>
      <c r="S876" s="524"/>
      <c r="T876" s="524"/>
      <c r="U876" s="524"/>
      <c r="V876" s="524"/>
      <c r="W876" s="524"/>
      <c r="X876" s="524"/>
      <c r="Y876" s="524"/>
      <c r="Z876" s="524"/>
    </row>
    <row r="877" ht="13.5" customHeight="1">
      <c r="A877" s="524"/>
      <c r="B877" s="525"/>
      <c r="C877" s="524"/>
      <c r="D877" s="524"/>
      <c r="E877" s="524"/>
      <c r="F877" s="524"/>
      <c r="G877" s="524"/>
      <c r="H877" s="524"/>
      <c r="I877" s="524"/>
      <c r="J877" s="524"/>
      <c r="K877" s="524"/>
      <c r="L877" s="524"/>
      <c r="M877" s="524"/>
      <c r="N877" s="524"/>
      <c r="O877" s="524"/>
      <c r="P877" s="524"/>
      <c r="Q877" s="524"/>
      <c r="R877" s="524"/>
      <c r="S877" s="524"/>
      <c r="T877" s="524"/>
      <c r="U877" s="524"/>
      <c r="V877" s="524"/>
      <c r="W877" s="524"/>
      <c r="X877" s="524"/>
      <c r="Y877" s="524"/>
      <c r="Z877" s="524"/>
    </row>
    <row r="878" ht="13.5" customHeight="1">
      <c r="A878" s="524"/>
      <c r="B878" s="525"/>
      <c r="C878" s="524"/>
      <c r="D878" s="524"/>
      <c r="E878" s="524"/>
      <c r="F878" s="524"/>
      <c r="G878" s="524"/>
      <c r="H878" s="524"/>
      <c r="I878" s="524"/>
      <c r="J878" s="524"/>
      <c r="K878" s="524"/>
      <c r="L878" s="524"/>
      <c r="M878" s="524"/>
      <c r="N878" s="524"/>
      <c r="O878" s="524"/>
      <c r="P878" s="524"/>
      <c r="Q878" s="524"/>
      <c r="R878" s="524"/>
      <c r="S878" s="524"/>
      <c r="T878" s="524"/>
      <c r="U878" s="524"/>
      <c r="V878" s="524"/>
      <c r="W878" s="524"/>
      <c r="X878" s="524"/>
      <c r="Y878" s="524"/>
      <c r="Z878" s="524"/>
    </row>
    <row r="879" ht="13.5" customHeight="1">
      <c r="A879" s="524"/>
      <c r="B879" s="525"/>
      <c r="C879" s="524"/>
      <c r="D879" s="524"/>
      <c r="E879" s="524"/>
      <c r="F879" s="524"/>
      <c r="G879" s="524"/>
      <c r="H879" s="524"/>
      <c r="I879" s="524"/>
      <c r="J879" s="524"/>
      <c r="K879" s="524"/>
      <c r="L879" s="524"/>
      <c r="M879" s="524"/>
      <c r="N879" s="524"/>
      <c r="O879" s="524"/>
      <c r="P879" s="524"/>
      <c r="Q879" s="524"/>
      <c r="R879" s="524"/>
      <c r="S879" s="524"/>
      <c r="T879" s="524"/>
      <c r="U879" s="524"/>
      <c r="V879" s="524"/>
      <c r="W879" s="524"/>
      <c r="X879" s="524"/>
      <c r="Y879" s="524"/>
      <c r="Z879" s="524"/>
    </row>
    <row r="880" ht="13.5" customHeight="1">
      <c r="A880" s="524"/>
      <c r="B880" s="525"/>
      <c r="C880" s="524"/>
      <c r="D880" s="524"/>
      <c r="E880" s="524"/>
      <c r="F880" s="524"/>
      <c r="G880" s="524"/>
      <c r="H880" s="524"/>
      <c r="I880" s="524"/>
      <c r="J880" s="524"/>
      <c r="K880" s="524"/>
      <c r="L880" s="524"/>
      <c r="M880" s="524"/>
      <c r="N880" s="524"/>
      <c r="O880" s="524"/>
      <c r="P880" s="524"/>
      <c r="Q880" s="524"/>
      <c r="R880" s="524"/>
      <c r="S880" s="524"/>
      <c r="T880" s="524"/>
      <c r="U880" s="524"/>
      <c r="V880" s="524"/>
      <c r="W880" s="524"/>
      <c r="X880" s="524"/>
      <c r="Y880" s="524"/>
      <c r="Z880" s="524"/>
    </row>
    <row r="881" ht="13.5" customHeight="1">
      <c r="A881" s="524"/>
      <c r="B881" s="525"/>
      <c r="C881" s="524"/>
      <c r="D881" s="524"/>
      <c r="E881" s="524"/>
      <c r="F881" s="524"/>
      <c r="G881" s="524"/>
      <c r="H881" s="524"/>
      <c r="I881" s="524"/>
      <c r="J881" s="524"/>
      <c r="K881" s="524"/>
      <c r="L881" s="524"/>
      <c r="M881" s="524"/>
      <c r="N881" s="524"/>
      <c r="O881" s="524"/>
      <c r="P881" s="524"/>
      <c r="Q881" s="524"/>
      <c r="R881" s="524"/>
      <c r="S881" s="524"/>
      <c r="T881" s="524"/>
      <c r="U881" s="524"/>
      <c r="V881" s="524"/>
      <c r="W881" s="524"/>
      <c r="X881" s="524"/>
      <c r="Y881" s="524"/>
      <c r="Z881" s="524"/>
    </row>
    <row r="882" ht="13.5" customHeight="1">
      <c r="A882" s="524"/>
      <c r="B882" s="525"/>
      <c r="C882" s="524"/>
      <c r="D882" s="524"/>
      <c r="E882" s="524"/>
      <c r="F882" s="524"/>
      <c r="G882" s="524"/>
      <c r="H882" s="524"/>
      <c r="I882" s="524"/>
      <c r="J882" s="524"/>
      <c r="K882" s="524"/>
      <c r="L882" s="524"/>
      <c r="M882" s="524"/>
      <c r="N882" s="524"/>
      <c r="O882" s="524"/>
      <c r="P882" s="524"/>
      <c r="Q882" s="524"/>
      <c r="R882" s="524"/>
      <c r="S882" s="524"/>
      <c r="T882" s="524"/>
      <c r="U882" s="524"/>
      <c r="V882" s="524"/>
      <c r="W882" s="524"/>
      <c r="X882" s="524"/>
      <c r="Y882" s="524"/>
      <c r="Z882" s="524"/>
    </row>
    <row r="883" ht="13.5" customHeight="1">
      <c r="A883" s="524"/>
      <c r="B883" s="525"/>
      <c r="C883" s="524"/>
      <c r="D883" s="524"/>
      <c r="E883" s="524"/>
      <c r="F883" s="524"/>
      <c r="G883" s="524"/>
      <c r="H883" s="524"/>
      <c r="I883" s="524"/>
      <c r="J883" s="524"/>
      <c r="K883" s="524"/>
      <c r="L883" s="524"/>
      <c r="M883" s="524"/>
      <c r="N883" s="524"/>
      <c r="O883" s="524"/>
      <c r="P883" s="524"/>
      <c r="Q883" s="524"/>
      <c r="R883" s="524"/>
      <c r="S883" s="524"/>
      <c r="T883" s="524"/>
      <c r="U883" s="524"/>
      <c r="V883" s="524"/>
      <c r="W883" s="524"/>
      <c r="X883" s="524"/>
      <c r="Y883" s="524"/>
      <c r="Z883" s="524"/>
    </row>
    <row r="884" ht="13.5" customHeight="1">
      <c r="A884" s="524"/>
      <c r="B884" s="525"/>
      <c r="C884" s="524"/>
      <c r="D884" s="524"/>
      <c r="E884" s="524"/>
      <c r="F884" s="524"/>
      <c r="G884" s="524"/>
      <c r="H884" s="524"/>
      <c r="I884" s="524"/>
      <c r="J884" s="524"/>
      <c r="K884" s="524"/>
      <c r="L884" s="524"/>
      <c r="M884" s="524"/>
      <c r="N884" s="524"/>
      <c r="O884" s="524"/>
      <c r="P884" s="524"/>
      <c r="Q884" s="524"/>
      <c r="R884" s="524"/>
      <c r="S884" s="524"/>
      <c r="T884" s="524"/>
      <c r="U884" s="524"/>
      <c r="V884" s="524"/>
      <c r="W884" s="524"/>
      <c r="X884" s="524"/>
      <c r="Y884" s="524"/>
      <c r="Z884" s="524"/>
    </row>
    <row r="885" ht="13.5" customHeight="1">
      <c r="A885" s="524"/>
      <c r="B885" s="525"/>
      <c r="C885" s="524"/>
      <c r="D885" s="524"/>
      <c r="E885" s="524"/>
      <c r="F885" s="524"/>
      <c r="G885" s="524"/>
      <c r="H885" s="524"/>
      <c r="I885" s="524"/>
      <c r="J885" s="524"/>
      <c r="K885" s="524"/>
      <c r="L885" s="524"/>
      <c r="M885" s="524"/>
      <c r="N885" s="524"/>
      <c r="O885" s="524"/>
      <c r="P885" s="524"/>
      <c r="Q885" s="524"/>
      <c r="R885" s="524"/>
      <c r="S885" s="524"/>
      <c r="T885" s="524"/>
      <c r="U885" s="524"/>
      <c r="V885" s="524"/>
      <c r="W885" s="524"/>
      <c r="X885" s="524"/>
      <c r="Y885" s="524"/>
      <c r="Z885" s="524"/>
    </row>
    <row r="886" ht="13.5" customHeight="1">
      <c r="A886" s="524"/>
      <c r="B886" s="525"/>
      <c r="C886" s="524"/>
      <c r="D886" s="524"/>
      <c r="E886" s="524"/>
      <c r="F886" s="524"/>
      <c r="G886" s="524"/>
      <c r="H886" s="524"/>
      <c r="I886" s="524"/>
      <c r="J886" s="524"/>
      <c r="K886" s="524"/>
      <c r="L886" s="524"/>
      <c r="M886" s="524"/>
      <c r="N886" s="524"/>
      <c r="O886" s="524"/>
      <c r="P886" s="524"/>
      <c r="Q886" s="524"/>
      <c r="R886" s="524"/>
      <c r="S886" s="524"/>
      <c r="T886" s="524"/>
      <c r="U886" s="524"/>
      <c r="V886" s="524"/>
      <c r="W886" s="524"/>
      <c r="X886" s="524"/>
      <c r="Y886" s="524"/>
      <c r="Z886" s="524"/>
    </row>
    <row r="887" ht="13.5" customHeight="1">
      <c r="A887" s="524"/>
      <c r="B887" s="525"/>
      <c r="C887" s="524"/>
      <c r="D887" s="524"/>
      <c r="E887" s="524"/>
      <c r="F887" s="524"/>
      <c r="G887" s="524"/>
      <c r="H887" s="524"/>
      <c r="I887" s="524"/>
      <c r="J887" s="524"/>
      <c r="K887" s="524"/>
      <c r="L887" s="524"/>
      <c r="M887" s="524"/>
      <c r="N887" s="524"/>
      <c r="O887" s="524"/>
      <c r="P887" s="524"/>
      <c r="Q887" s="524"/>
      <c r="R887" s="524"/>
      <c r="S887" s="524"/>
      <c r="T887" s="524"/>
      <c r="U887" s="524"/>
      <c r="V887" s="524"/>
      <c r="W887" s="524"/>
      <c r="X887" s="524"/>
      <c r="Y887" s="524"/>
      <c r="Z887" s="524"/>
    </row>
    <row r="888" ht="13.5" customHeight="1">
      <c r="A888" s="524"/>
      <c r="B888" s="525"/>
      <c r="C888" s="524"/>
      <c r="D888" s="524"/>
      <c r="E888" s="524"/>
      <c r="F888" s="524"/>
      <c r="G888" s="524"/>
      <c r="H888" s="524"/>
      <c r="I888" s="524"/>
      <c r="J888" s="524"/>
      <c r="K888" s="524"/>
      <c r="L888" s="524"/>
      <c r="M888" s="524"/>
      <c r="N888" s="524"/>
      <c r="O888" s="524"/>
      <c r="P888" s="524"/>
      <c r="Q888" s="524"/>
      <c r="R888" s="524"/>
      <c r="S888" s="524"/>
      <c r="T888" s="524"/>
      <c r="U888" s="524"/>
      <c r="V888" s="524"/>
      <c r="W888" s="524"/>
      <c r="X888" s="524"/>
      <c r="Y888" s="524"/>
      <c r="Z888" s="524"/>
    </row>
    <row r="889" ht="13.5" customHeight="1">
      <c r="A889" s="524"/>
      <c r="B889" s="525"/>
      <c r="C889" s="524"/>
      <c r="D889" s="524"/>
      <c r="E889" s="524"/>
      <c r="F889" s="524"/>
      <c r="G889" s="524"/>
      <c r="H889" s="524"/>
      <c r="I889" s="524"/>
      <c r="J889" s="524"/>
      <c r="K889" s="524"/>
      <c r="L889" s="524"/>
      <c r="M889" s="524"/>
      <c r="N889" s="524"/>
      <c r="O889" s="524"/>
      <c r="P889" s="524"/>
      <c r="Q889" s="524"/>
      <c r="R889" s="524"/>
      <c r="S889" s="524"/>
      <c r="T889" s="524"/>
      <c r="U889" s="524"/>
      <c r="V889" s="524"/>
      <c r="W889" s="524"/>
      <c r="X889" s="524"/>
      <c r="Y889" s="524"/>
      <c r="Z889" s="524"/>
    </row>
    <row r="890" ht="13.5" customHeight="1">
      <c r="A890" s="524"/>
      <c r="B890" s="525"/>
      <c r="C890" s="524"/>
      <c r="D890" s="524"/>
      <c r="E890" s="524"/>
      <c r="F890" s="524"/>
      <c r="G890" s="524"/>
      <c r="H890" s="524"/>
      <c r="I890" s="524"/>
      <c r="J890" s="524"/>
      <c r="K890" s="524"/>
      <c r="L890" s="524"/>
      <c r="M890" s="524"/>
      <c r="N890" s="524"/>
      <c r="O890" s="524"/>
      <c r="P890" s="524"/>
      <c r="Q890" s="524"/>
      <c r="R890" s="524"/>
      <c r="S890" s="524"/>
      <c r="T890" s="524"/>
      <c r="U890" s="524"/>
      <c r="V890" s="524"/>
      <c r="W890" s="524"/>
      <c r="X890" s="524"/>
      <c r="Y890" s="524"/>
      <c r="Z890" s="524"/>
    </row>
    <row r="891" ht="13.5" customHeight="1">
      <c r="A891" s="524"/>
      <c r="B891" s="525"/>
      <c r="C891" s="524"/>
      <c r="D891" s="524"/>
      <c r="E891" s="524"/>
      <c r="F891" s="524"/>
      <c r="G891" s="524"/>
      <c r="H891" s="524"/>
      <c r="I891" s="524"/>
      <c r="J891" s="524"/>
      <c r="K891" s="524"/>
      <c r="L891" s="524"/>
      <c r="M891" s="524"/>
      <c r="N891" s="524"/>
      <c r="O891" s="524"/>
      <c r="P891" s="524"/>
      <c r="Q891" s="524"/>
      <c r="R891" s="524"/>
      <c r="S891" s="524"/>
      <c r="T891" s="524"/>
      <c r="U891" s="524"/>
      <c r="V891" s="524"/>
      <c r="W891" s="524"/>
      <c r="X891" s="524"/>
      <c r="Y891" s="524"/>
      <c r="Z891" s="524"/>
    </row>
    <row r="892" ht="13.5" customHeight="1">
      <c r="A892" s="524"/>
      <c r="B892" s="525"/>
      <c r="C892" s="524"/>
      <c r="D892" s="524"/>
      <c r="E892" s="524"/>
      <c r="F892" s="524"/>
      <c r="G892" s="524"/>
      <c r="H892" s="524"/>
      <c r="I892" s="524"/>
      <c r="J892" s="524"/>
      <c r="K892" s="524"/>
      <c r="L892" s="524"/>
      <c r="M892" s="524"/>
      <c r="N892" s="524"/>
      <c r="O892" s="524"/>
      <c r="P892" s="524"/>
      <c r="Q892" s="524"/>
      <c r="R892" s="524"/>
      <c r="S892" s="524"/>
      <c r="T892" s="524"/>
      <c r="U892" s="524"/>
      <c r="V892" s="524"/>
      <c r="W892" s="524"/>
      <c r="X892" s="524"/>
      <c r="Y892" s="524"/>
      <c r="Z892" s="524"/>
    </row>
    <row r="893" ht="13.5" customHeight="1">
      <c r="A893" s="524"/>
      <c r="B893" s="525"/>
      <c r="C893" s="524"/>
      <c r="D893" s="524"/>
      <c r="E893" s="524"/>
      <c r="F893" s="524"/>
      <c r="G893" s="524"/>
      <c r="H893" s="524"/>
      <c r="I893" s="524"/>
      <c r="J893" s="524"/>
      <c r="K893" s="524"/>
      <c r="L893" s="524"/>
      <c r="M893" s="524"/>
      <c r="N893" s="524"/>
      <c r="O893" s="524"/>
      <c r="P893" s="524"/>
      <c r="Q893" s="524"/>
      <c r="R893" s="524"/>
      <c r="S893" s="524"/>
      <c r="T893" s="524"/>
      <c r="U893" s="524"/>
      <c r="V893" s="524"/>
      <c r="W893" s="524"/>
      <c r="X893" s="524"/>
      <c r="Y893" s="524"/>
      <c r="Z893" s="524"/>
    </row>
    <row r="894" ht="13.5" customHeight="1">
      <c r="A894" s="524"/>
      <c r="B894" s="525"/>
      <c r="C894" s="524"/>
      <c r="D894" s="524"/>
      <c r="E894" s="524"/>
      <c r="F894" s="524"/>
      <c r="G894" s="524"/>
      <c r="H894" s="524"/>
      <c r="I894" s="524"/>
      <c r="J894" s="524"/>
      <c r="K894" s="524"/>
      <c r="L894" s="524"/>
      <c r="M894" s="524"/>
      <c r="N894" s="524"/>
      <c r="O894" s="524"/>
      <c r="P894" s="524"/>
      <c r="Q894" s="524"/>
      <c r="R894" s="524"/>
      <c r="S894" s="524"/>
      <c r="T894" s="524"/>
      <c r="U894" s="524"/>
      <c r="V894" s="524"/>
      <c r="W894" s="524"/>
      <c r="X894" s="524"/>
      <c r="Y894" s="524"/>
      <c r="Z894" s="524"/>
    </row>
    <row r="895" ht="13.5" customHeight="1">
      <c r="A895" s="524"/>
      <c r="B895" s="525"/>
      <c r="C895" s="524"/>
      <c r="D895" s="524"/>
      <c r="E895" s="524"/>
      <c r="F895" s="524"/>
      <c r="G895" s="524"/>
      <c r="H895" s="524"/>
      <c r="I895" s="524"/>
      <c r="J895" s="524"/>
      <c r="K895" s="524"/>
      <c r="L895" s="524"/>
      <c r="M895" s="524"/>
      <c r="N895" s="524"/>
      <c r="O895" s="524"/>
      <c r="P895" s="524"/>
      <c r="Q895" s="524"/>
      <c r="R895" s="524"/>
      <c r="S895" s="524"/>
      <c r="T895" s="524"/>
      <c r="U895" s="524"/>
      <c r="V895" s="524"/>
      <c r="W895" s="524"/>
      <c r="X895" s="524"/>
      <c r="Y895" s="524"/>
      <c r="Z895" s="524"/>
    </row>
    <row r="896" ht="13.5" customHeight="1">
      <c r="A896" s="524"/>
      <c r="B896" s="525"/>
      <c r="C896" s="524"/>
      <c r="D896" s="524"/>
      <c r="E896" s="524"/>
      <c r="F896" s="524"/>
      <c r="G896" s="524"/>
      <c r="H896" s="524"/>
      <c r="I896" s="524"/>
      <c r="J896" s="524"/>
      <c r="K896" s="524"/>
      <c r="L896" s="524"/>
      <c r="M896" s="524"/>
      <c r="N896" s="524"/>
      <c r="O896" s="524"/>
      <c r="P896" s="524"/>
      <c r="Q896" s="524"/>
      <c r="R896" s="524"/>
      <c r="S896" s="524"/>
      <c r="T896" s="524"/>
      <c r="U896" s="524"/>
      <c r="V896" s="524"/>
      <c r="W896" s="524"/>
      <c r="X896" s="524"/>
      <c r="Y896" s="524"/>
      <c r="Z896" s="524"/>
    </row>
    <row r="897" ht="13.5" customHeight="1">
      <c r="A897" s="524"/>
      <c r="B897" s="525"/>
      <c r="C897" s="524"/>
      <c r="D897" s="524"/>
      <c r="E897" s="524"/>
      <c r="F897" s="524"/>
      <c r="G897" s="524"/>
      <c r="H897" s="524"/>
      <c r="I897" s="524"/>
      <c r="J897" s="524"/>
      <c r="K897" s="524"/>
      <c r="L897" s="524"/>
      <c r="M897" s="524"/>
      <c r="N897" s="524"/>
      <c r="O897" s="524"/>
      <c r="P897" s="524"/>
      <c r="Q897" s="524"/>
      <c r="R897" s="524"/>
      <c r="S897" s="524"/>
      <c r="T897" s="524"/>
      <c r="U897" s="524"/>
      <c r="V897" s="524"/>
      <c r="W897" s="524"/>
      <c r="X897" s="524"/>
      <c r="Y897" s="524"/>
      <c r="Z897" s="524"/>
    </row>
    <row r="898" ht="13.5" customHeight="1">
      <c r="A898" s="524"/>
      <c r="B898" s="525"/>
      <c r="C898" s="524"/>
      <c r="D898" s="524"/>
      <c r="E898" s="524"/>
      <c r="F898" s="524"/>
      <c r="G898" s="524"/>
      <c r="H898" s="524"/>
      <c r="I898" s="524"/>
      <c r="J898" s="524"/>
      <c r="K898" s="524"/>
      <c r="L898" s="524"/>
      <c r="M898" s="524"/>
      <c r="N898" s="524"/>
      <c r="O898" s="524"/>
      <c r="P898" s="524"/>
      <c r="Q898" s="524"/>
      <c r="R898" s="524"/>
      <c r="S898" s="524"/>
      <c r="T898" s="524"/>
      <c r="U898" s="524"/>
      <c r="V898" s="524"/>
      <c r="W898" s="524"/>
      <c r="X898" s="524"/>
      <c r="Y898" s="524"/>
      <c r="Z898" s="524"/>
    </row>
    <row r="899" ht="13.5" customHeight="1">
      <c r="A899" s="524"/>
      <c r="B899" s="525"/>
      <c r="C899" s="524"/>
      <c r="D899" s="524"/>
      <c r="E899" s="524"/>
      <c r="F899" s="524"/>
      <c r="G899" s="524"/>
      <c r="H899" s="524"/>
      <c r="I899" s="524"/>
      <c r="J899" s="524"/>
      <c r="K899" s="524"/>
      <c r="L899" s="524"/>
      <c r="M899" s="524"/>
      <c r="N899" s="524"/>
      <c r="O899" s="524"/>
      <c r="P899" s="524"/>
      <c r="Q899" s="524"/>
      <c r="R899" s="524"/>
      <c r="S899" s="524"/>
      <c r="T899" s="524"/>
      <c r="U899" s="524"/>
      <c r="V899" s="524"/>
      <c r="W899" s="524"/>
      <c r="X899" s="524"/>
      <c r="Y899" s="524"/>
      <c r="Z899" s="524"/>
    </row>
    <row r="900" ht="13.5" customHeight="1">
      <c r="A900" s="524"/>
      <c r="B900" s="525"/>
      <c r="C900" s="524"/>
      <c r="D900" s="524"/>
      <c r="E900" s="524"/>
      <c r="F900" s="524"/>
      <c r="G900" s="524"/>
      <c r="H900" s="524"/>
      <c r="I900" s="524"/>
      <c r="J900" s="524"/>
      <c r="K900" s="524"/>
      <c r="L900" s="524"/>
      <c r="M900" s="524"/>
      <c r="N900" s="524"/>
      <c r="O900" s="524"/>
      <c r="P900" s="524"/>
      <c r="Q900" s="524"/>
      <c r="R900" s="524"/>
      <c r="S900" s="524"/>
      <c r="T900" s="524"/>
      <c r="U900" s="524"/>
      <c r="V900" s="524"/>
      <c r="W900" s="524"/>
      <c r="X900" s="524"/>
      <c r="Y900" s="524"/>
      <c r="Z900" s="524"/>
    </row>
    <row r="901" ht="13.5" customHeight="1">
      <c r="A901" s="524"/>
      <c r="B901" s="525"/>
      <c r="C901" s="524"/>
      <c r="D901" s="524"/>
      <c r="E901" s="524"/>
      <c r="F901" s="524"/>
      <c r="G901" s="524"/>
      <c r="H901" s="524"/>
      <c r="I901" s="524"/>
      <c r="J901" s="524"/>
      <c r="K901" s="524"/>
      <c r="L901" s="524"/>
      <c r="M901" s="524"/>
      <c r="N901" s="524"/>
      <c r="O901" s="524"/>
      <c r="P901" s="524"/>
      <c r="Q901" s="524"/>
      <c r="R901" s="524"/>
      <c r="S901" s="524"/>
      <c r="T901" s="524"/>
      <c r="U901" s="524"/>
      <c r="V901" s="524"/>
      <c r="W901" s="524"/>
      <c r="X901" s="524"/>
      <c r="Y901" s="524"/>
      <c r="Z901" s="524"/>
    </row>
    <row r="902" ht="13.5" customHeight="1">
      <c r="A902" s="524"/>
      <c r="B902" s="525"/>
      <c r="C902" s="524"/>
      <c r="D902" s="524"/>
      <c r="E902" s="524"/>
      <c r="F902" s="524"/>
      <c r="G902" s="524"/>
      <c r="H902" s="524"/>
      <c r="I902" s="524"/>
      <c r="J902" s="524"/>
      <c r="K902" s="524"/>
      <c r="L902" s="524"/>
      <c r="M902" s="524"/>
      <c r="N902" s="524"/>
      <c r="O902" s="524"/>
      <c r="P902" s="524"/>
      <c r="Q902" s="524"/>
      <c r="R902" s="524"/>
      <c r="S902" s="524"/>
      <c r="T902" s="524"/>
      <c r="U902" s="524"/>
      <c r="V902" s="524"/>
      <c r="W902" s="524"/>
      <c r="X902" s="524"/>
      <c r="Y902" s="524"/>
      <c r="Z902" s="524"/>
    </row>
    <row r="903" ht="13.5" customHeight="1">
      <c r="A903" s="524"/>
      <c r="B903" s="525"/>
      <c r="C903" s="524"/>
      <c r="D903" s="524"/>
      <c r="E903" s="524"/>
      <c r="F903" s="524"/>
      <c r="G903" s="524"/>
      <c r="H903" s="524"/>
      <c r="I903" s="524"/>
      <c r="J903" s="524"/>
      <c r="K903" s="524"/>
      <c r="L903" s="524"/>
      <c r="M903" s="524"/>
      <c r="N903" s="524"/>
      <c r="O903" s="524"/>
      <c r="P903" s="524"/>
      <c r="Q903" s="524"/>
      <c r="R903" s="524"/>
      <c r="S903" s="524"/>
      <c r="T903" s="524"/>
      <c r="U903" s="524"/>
      <c r="V903" s="524"/>
      <c r="W903" s="524"/>
      <c r="X903" s="524"/>
      <c r="Y903" s="524"/>
      <c r="Z903" s="524"/>
    </row>
    <row r="904" ht="13.5" customHeight="1">
      <c r="A904" s="524"/>
      <c r="B904" s="525"/>
      <c r="C904" s="524"/>
      <c r="D904" s="524"/>
      <c r="E904" s="524"/>
      <c r="F904" s="524"/>
      <c r="G904" s="524"/>
      <c r="H904" s="524"/>
      <c r="I904" s="524"/>
      <c r="J904" s="524"/>
      <c r="K904" s="524"/>
      <c r="L904" s="524"/>
      <c r="M904" s="524"/>
      <c r="N904" s="524"/>
      <c r="O904" s="524"/>
      <c r="P904" s="524"/>
      <c r="Q904" s="524"/>
      <c r="R904" s="524"/>
      <c r="S904" s="524"/>
      <c r="T904" s="524"/>
      <c r="U904" s="524"/>
      <c r="V904" s="524"/>
      <c r="W904" s="524"/>
      <c r="X904" s="524"/>
      <c r="Y904" s="524"/>
      <c r="Z904" s="524"/>
    </row>
    <row r="905" ht="13.5" customHeight="1">
      <c r="A905" s="524"/>
      <c r="B905" s="525"/>
      <c r="C905" s="524"/>
      <c r="D905" s="524"/>
      <c r="E905" s="524"/>
      <c r="F905" s="524"/>
      <c r="G905" s="524"/>
      <c r="H905" s="524"/>
      <c r="I905" s="524"/>
      <c r="J905" s="524"/>
      <c r="K905" s="524"/>
      <c r="L905" s="524"/>
      <c r="M905" s="524"/>
      <c r="N905" s="524"/>
      <c r="O905" s="524"/>
      <c r="P905" s="524"/>
      <c r="Q905" s="524"/>
      <c r="R905" s="524"/>
      <c r="S905" s="524"/>
      <c r="T905" s="524"/>
      <c r="U905" s="524"/>
      <c r="V905" s="524"/>
      <c r="W905" s="524"/>
      <c r="X905" s="524"/>
      <c r="Y905" s="524"/>
      <c r="Z905" s="524"/>
    </row>
    <row r="906" ht="13.5" customHeight="1">
      <c r="A906" s="524"/>
      <c r="B906" s="525"/>
      <c r="C906" s="524"/>
      <c r="D906" s="524"/>
      <c r="E906" s="524"/>
      <c r="F906" s="524"/>
      <c r="G906" s="524"/>
      <c r="H906" s="524"/>
      <c r="I906" s="524"/>
      <c r="J906" s="524"/>
      <c r="K906" s="524"/>
      <c r="L906" s="524"/>
      <c r="M906" s="524"/>
      <c r="N906" s="524"/>
      <c r="O906" s="524"/>
      <c r="P906" s="524"/>
      <c r="Q906" s="524"/>
      <c r="R906" s="524"/>
      <c r="S906" s="524"/>
      <c r="T906" s="524"/>
      <c r="U906" s="524"/>
      <c r="V906" s="524"/>
      <c r="W906" s="524"/>
      <c r="X906" s="524"/>
      <c r="Y906" s="524"/>
      <c r="Z906" s="524"/>
    </row>
    <row r="907" ht="13.5" customHeight="1">
      <c r="A907" s="524"/>
      <c r="B907" s="525"/>
      <c r="C907" s="524"/>
      <c r="D907" s="524"/>
      <c r="E907" s="524"/>
      <c r="F907" s="524"/>
      <c r="G907" s="524"/>
      <c r="H907" s="524"/>
      <c r="I907" s="524"/>
      <c r="J907" s="524"/>
      <c r="K907" s="524"/>
      <c r="L907" s="524"/>
      <c r="M907" s="524"/>
      <c r="N907" s="524"/>
      <c r="O907" s="524"/>
      <c r="P907" s="524"/>
      <c r="Q907" s="524"/>
      <c r="R907" s="524"/>
      <c r="S907" s="524"/>
      <c r="T907" s="524"/>
      <c r="U907" s="524"/>
      <c r="V907" s="524"/>
      <c r="W907" s="524"/>
      <c r="X907" s="524"/>
      <c r="Y907" s="524"/>
      <c r="Z907" s="524"/>
    </row>
    <row r="908" ht="13.5" customHeight="1">
      <c r="A908" s="524"/>
      <c r="B908" s="525"/>
      <c r="C908" s="524"/>
      <c r="D908" s="524"/>
      <c r="E908" s="524"/>
      <c r="F908" s="524"/>
      <c r="G908" s="524"/>
      <c r="H908" s="524"/>
      <c r="I908" s="524"/>
      <c r="J908" s="524"/>
      <c r="K908" s="524"/>
      <c r="L908" s="524"/>
      <c r="M908" s="524"/>
      <c r="N908" s="524"/>
      <c r="O908" s="524"/>
      <c r="P908" s="524"/>
      <c r="Q908" s="524"/>
      <c r="R908" s="524"/>
      <c r="S908" s="524"/>
      <c r="T908" s="524"/>
      <c r="U908" s="524"/>
      <c r="V908" s="524"/>
      <c r="W908" s="524"/>
      <c r="X908" s="524"/>
      <c r="Y908" s="524"/>
      <c r="Z908" s="524"/>
    </row>
    <row r="909" ht="13.5" customHeight="1">
      <c r="A909" s="524"/>
      <c r="B909" s="525"/>
      <c r="C909" s="524"/>
      <c r="D909" s="524"/>
      <c r="E909" s="524"/>
      <c r="F909" s="524"/>
      <c r="G909" s="524"/>
      <c r="H909" s="524"/>
      <c r="I909" s="524"/>
      <c r="J909" s="524"/>
      <c r="K909" s="524"/>
      <c r="L909" s="524"/>
      <c r="M909" s="524"/>
      <c r="N909" s="524"/>
      <c r="O909" s="524"/>
      <c r="P909" s="524"/>
      <c r="Q909" s="524"/>
      <c r="R909" s="524"/>
      <c r="S909" s="524"/>
      <c r="T909" s="524"/>
      <c r="U909" s="524"/>
      <c r="V909" s="524"/>
      <c r="W909" s="524"/>
      <c r="X909" s="524"/>
      <c r="Y909" s="524"/>
      <c r="Z909" s="524"/>
    </row>
    <row r="910" ht="13.5" customHeight="1">
      <c r="A910" s="524"/>
      <c r="B910" s="525"/>
      <c r="C910" s="524"/>
      <c r="D910" s="524"/>
      <c r="E910" s="524"/>
      <c r="F910" s="524"/>
      <c r="G910" s="524"/>
      <c r="H910" s="524"/>
      <c r="I910" s="524"/>
      <c r="J910" s="524"/>
      <c r="K910" s="524"/>
      <c r="L910" s="524"/>
      <c r="M910" s="524"/>
      <c r="N910" s="524"/>
      <c r="O910" s="524"/>
      <c r="P910" s="524"/>
      <c r="Q910" s="524"/>
      <c r="R910" s="524"/>
      <c r="S910" s="524"/>
      <c r="T910" s="524"/>
      <c r="U910" s="524"/>
      <c r="V910" s="524"/>
      <c r="W910" s="524"/>
      <c r="X910" s="524"/>
      <c r="Y910" s="524"/>
      <c r="Z910" s="524"/>
    </row>
    <row r="911" ht="13.5" customHeight="1">
      <c r="A911" s="524"/>
      <c r="B911" s="525"/>
      <c r="C911" s="524"/>
      <c r="D911" s="524"/>
      <c r="E911" s="524"/>
      <c r="F911" s="524"/>
      <c r="G911" s="524"/>
      <c r="H911" s="524"/>
      <c r="I911" s="524"/>
      <c r="J911" s="524"/>
      <c r="K911" s="524"/>
      <c r="L911" s="524"/>
      <c r="M911" s="524"/>
      <c r="N911" s="524"/>
      <c r="O911" s="524"/>
      <c r="P911" s="524"/>
      <c r="Q911" s="524"/>
      <c r="R911" s="524"/>
      <c r="S911" s="524"/>
      <c r="T911" s="524"/>
      <c r="U911" s="524"/>
      <c r="V911" s="524"/>
      <c r="W911" s="524"/>
      <c r="X911" s="524"/>
      <c r="Y911" s="524"/>
      <c r="Z911" s="524"/>
    </row>
    <row r="912" ht="13.5" customHeight="1">
      <c r="A912" s="524"/>
      <c r="B912" s="525"/>
      <c r="C912" s="524"/>
      <c r="D912" s="524"/>
      <c r="E912" s="524"/>
      <c r="F912" s="524"/>
      <c r="G912" s="524"/>
      <c r="H912" s="524"/>
      <c r="I912" s="524"/>
      <c r="J912" s="524"/>
      <c r="K912" s="524"/>
      <c r="L912" s="524"/>
      <c r="M912" s="524"/>
      <c r="N912" s="524"/>
      <c r="O912" s="524"/>
      <c r="P912" s="524"/>
      <c r="Q912" s="524"/>
      <c r="R912" s="524"/>
      <c r="S912" s="524"/>
      <c r="T912" s="524"/>
      <c r="U912" s="524"/>
      <c r="V912" s="524"/>
      <c r="W912" s="524"/>
      <c r="X912" s="524"/>
      <c r="Y912" s="524"/>
      <c r="Z912" s="524"/>
    </row>
    <row r="913" ht="13.5" customHeight="1">
      <c r="A913" s="524"/>
      <c r="B913" s="525"/>
      <c r="C913" s="524"/>
      <c r="D913" s="524"/>
      <c r="E913" s="524"/>
      <c r="F913" s="524"/>
      <c r="G913" s="524"/>
      <c r="H913" s="524"/>
      <c r="I913" s="524"/>
      <c r="J913" s="524"/>
      <c r="K913" s="524"/>
      <c r="L913" s="524"/>
      <c r="M913" s="524"/>
      <c r="N913" s="524"/>
      <c r="O913" s="524"/>
      <c r="P913" s="524"/>
      <c r="Q913" s="524"/>
      <c r="R913" s="524"/>
      <c r="S913" s="524"/>
      <c r="T913" s="524"/>
      <c r="U913" s="524"/>
      <c r="V913" s="524"/>
      <c r="W913" s="524"/>
      <c r="X913" s="524"/>
      <c r="Y913" s="524"/>
      <c r="Z913" s="524"/>
    </row>
    <row r="914" ht="13.5" customHeight="1">
      <c r="A914" s="524"/>
      <c r="B914" s="525"/>
      <c r="C914" s="524"/>
      <c r="D914" s="524"/>
      <c r="E914" s="524"/>
      <c r="F914" s="524"/>
      <c r="G914" s="524"/>
      <c r="H914" s="524"/>
      <c r="I914" s="524"/>
      <c r="J914" s="524"/>
      <c r="K914" s="524"/>
      <c r="L914" s="524"/>
      <c r="M914" s="524"/>
      <c r="N914" s="524"/>
      <c r="O914" s="524"/>
      <c r="P914" s="524"/>
      <c r="Q914" s="524"/>
      <c r="R914" s="524"/>
      <c r="S914" s="524"/>
      <c r="T914" s="524"/>
      <c r="U914" s="524"/>
      <c r="V914" s="524"/>
      <c r="W914" s="524"/>
      <c r="X914" s="524"/>
      <c r="Y914" s="524"/>
      <c r="Z914" s="524"/>
    </row>
    <row r="915" ht="13.5" customHeight="1">
      <c r="A915" s="524"/>
      <c r="B915" s="525"/>
      <c r="C915" s="524"/>
      <c r="D915" s="524"/>
      <c r="E915" s="524"/>
      <c r="F915" s="524"/>
      <c r="G915" s="524"/>
      <c r="H915" s="524"/>
      <c r="I915" s="524"/>
      <c r="J915" s="524"/>
      <c r="K915" s="524"/>
      <c r="L915" s="524"/>
      <c r="M915" s="524"/>
      <c r="N915" s="524"/>
      <c r="O915" s="524"/>
      <c r="P915" s="524"/>
      <c r="Q915" s="524"/>
      <c r="R915" s="524"/>
      <c r="S915" s="524"/>
      <c r="T915" s="524"/>
      <c r="U915" s="524"/>
      <c r="V915" s="524"/>
      <c r="W915" s="524"/>
      <c r="X915" s="524"/>
      <c r="Y915" s="524"/>
      <c r="Z915" s="524"/>
    </row>
    <row r="916" ht="13.5" customHeight="1">
      <c r="A916" s="524"/>
      <c r="B916" s="525"/>
      <c r="C916" s="524"/>
      <c r="D916" s="524"/>
      <c r="E916" s="524"/>
      <c r="F916" s="524"/>
      <c r="G916" s="524"/>
      <c r="H916" s="524"/>
      <c r="I916" s="524"/>
      <c r="J916" s="524"/>
      <c r="K916" s="524"/>
      <c r="L916" s="524"/>
      <c r="M916" s="524"/>
      <c r="N916" s="524"/>
      <c r="O916" s="524"/>
      <c r="P916" s="524"/>
      <c r="Q916" s="524"/>
      <c r="R916" s="524"/>
      <c r="S916" s="524"/>
      <c r="T916" s="524"/>
      <c r="U916" s="524"/>
      <c r="V916" s="524"/>
      <c r="W916" s="524"/>
      <c r="X916" s="524"/>
      <c r="Y916" s="524"/>
      <c r="Z916" s="524"/>
    </row>
    <row r="917" ht="13.5" customHeight="1">
      <c r="A917" s="524"/>
      <c r="B917" s="525"/>
      <c r="C917" s="524"/>
      <c r="D917" s="524"/>
      <c r="E917" s="524"/>
      <c r="F917" s="524"/>
      <c r="G917" s="524"/>
      <c r="H917" s="524"/>
      <c r="I917" s="524"/>
      <c r="J917" s="524"/>
      <c r="K917" s="524"/>
      <c r="L917" s="524"/>
      <c r="M917" s="524"/>
      <c r="N917" s="524"/>
      <c r="O917" s="524"/>
      <c r="P917" s="524"/>
      <c r="Q917" s="524"/>
      <c r="R917" s="524"/>
      <c r="S917" s="524"/>
      <c r="T917" s="524"/>
      <c r="U917" s="524"/>
      <c r="V917" s="524"/>
      <c r="W917" s="524"/>
      <c r="X917" s="524"/>
      <c r="Y917" s="524"/>
      <c r="Z917" s="524"/>
    </row>
    <row r="918" ht="13.5" customHeight="1">
      <c r="A918" s="524"/>
      <c r="B918" s="525"/>
      <c r="C918" s="524"/>
      <c r="D918" s="524"/>
      <c r="E918" s="524"/>
      <c r="F918" s="524"/>
      <c r="G918" s="524"/>
      <c r="H918" s="524"/>
      <c r="I918" s="524"/>
      <c r="J918" s="524"/>
      <c r="K918" s="524"/>
      <c r="L918" s="524"/>
      <c r="M918" s="524"/>
      <c r="N918" s="524"/>
      <c r="O918" s="524"/>
      <c r="P918" s="524"/>
      <c r="Q918" s="524"/>
      <c r="R918" s="524"/>
      <c r="S918" s="524"/>
      <c r="T918" s="524"/>
      <c r="U918" s="524"/>
      <c r="V918" s="524"/>
      <c r="W918" s="524"/>
      <c r="X918" s="524"/>
      <c r="Y918" s="524"/>
      <c r="Z918" s="524"/>
    </row>
    <row r="919" ht="13.5" customHeight="1">
      <c r="A919" s="524"/>
      <c r="B919" s="525"/>
      <c r="C919" s="524"/>
      <c r="D919" s="524"/>
      <c r="E919" s="524"/>
      <c r="F919" s="524"/>
      <c r="G919" s="524"/>
      <c r="H919" s="524"/>
      <c r="I919" s="524"/>
      <c r="J919" s="524"/>
      <c r="K919" s="524"/>
      <c r="L919" s="524"/>
      <c r="M919" s="524"/>
      <c r="N919" s="524"/>
      <c r="O919" s="524"/>
      <c r="P919" s="524"/>
      <c r="Q919" s="524"/>
      <c r="R919" s="524"/>
      <c r="S919" s="524"/>
      <c r="T919" s="524"/>
      <c r="U919" s="524"/>
      <c r="V919" s="524"/>
      <c r="W919" s="524"/>
      <c r="X919" s="524"/>
      <c r="Y919" s="524"/>
      <c r="Z919" s="524"/>
    </row>
    <row r="920" ht="13.5" customHeight="1">
      <c r="A920" s="524"/>
      <c r="B920" s="525"/>
      <c r="C920" s="524"/>
      <c r="D920" s="524"/>
      <c r="E920" s="524"/>
      <c r="F920" s="524"/>
      <c r="G920" s="524"/>
      <c r="H920" s="524"/>
      <c r="I920" s="524"/>
      <c r="J920" s="524"/>
      <c r="K920" s="524"/>
      <c r="L920" s="524"/>
      <c r="M920" s="524"/>
      <c r="N920" s="524"/>
      <c r="O920" s="524"/>
      <c r="P920" s="524"/>
      <c r="Q920" s="524"/>
      <c r="R920" s="524"/>
      <c r="S920" s="524"/>
      <c r="T920" s="524"/>
      <c r="U920" s="524"/>
      <c r="V920" s="524"/>
      <c r="W920" s="524"/>
      <c r="X920" s="524"/>
      <c r="Y920" s="524"/>
      <c r="Z920" s="524"/>
    </row>
    <row r="921" ht="13.5" customHeight="1">
      <c r="A921" s="524"/>
      <c r="B921" s="525"/>
      <c r="C921" s="524"/>
      <c r="D921" s="524"/>
      <c r="E921" s="524"/>
      <c r="F921" s="524"/>
      <c r="G921" s="524"/>
      <c r="H921" s="524"/>
      <c r="I921" s="524"/>
      <c r="J921" s="524"/>
      <c r="K921" s="524"/>
      <c r="L921" s="524"/>
      <c r="M921" s="524"/>
      <c r="N921" s="524"/>
      <c r="O921" s="524"/>
      <c r="P921" s="524"/>
      <c r="Q921" s="524"/>
      <c r="R921" s="524"/>
      <c r="S921" s="524"/>
      <c r="T921" s="524"/>
      <c r="U921" s="524"/>
      <c r="V921" s="524"/>
      <c r="W921" s="524"/>
      <c r="X921" s="524"/>
      <c r="Y921" s="524"/>
      <c r="Z921" s="524"/>
    </row>
    <row r="922" ht="13.5" customHeight="1">
      <c r="A922" s="524"/>
      <c r="B922" s="525"/>
      <c r="C922" s="524"/>
      <c r="D922" s="524"/>
      <c r="E922" s="524"/>
      <c r="F922" s="524"/>
      <c r="G922" s="524"/>
      <c r="H922" s="524"/>
      <c r="I922" s="524"/>
      <c r="J922" s="524"/>
      <c r="K922" s="524"/>
      <c r="L922" s="524"/>
      <c r="M922" s="524"/>
      <c r="N922" s="524"/>
      <c r="O922" s="524"/>
      <c r="P922" s="524"/>
      <c r="Q922" s="524"/>
      <c r="R922" s="524"/>
      <c r="S922" s="524"/>
      <c r="T922" s="524"/>
      <c r="U922" s="524"/>
      <c r="V922" s="524"/>
      <c r="W922" s="524"/>
      <c r="X922" s="524"/>
      <c r="Y922" s="524"/>
      <c r="Z922" s="524"/>
    </row>
    <row r="923" ht="13.5" customHeight="1">
      <c r="A923" s="524"/>
      <c r="B923" s="525"/>
      <c r="C923" s="524"/>
      <c r="D923" s="524"/>
      <c r="E923" s="524"/>
      <c r="F923" s="524"/>
      <c r="G923" s="524"/>
      <c r="H923" s="524"/>
      <c r="I923" s="524"/>
      <c r="J923" s="524"/>
      <c r="K923" s="524"/>
      <c r="L923" s="524"/>
      <c r="M923" s="524"/>
      <c r="N923" s="524"/>
      <c r="O923" s="524"/>
      <c r="P923" s="524"/>
      <c r="Q923" s="524"/>
      <c r="R923" s="524"/>
      <c r="S923" s="524"/>
      <c r="T923" s="524"/>
      <c r="U923" s="524"/>
      <c r="V923" s="524"/>
      <c r="W923" s="524"/>
      <c r="X923" s="524"/>
      <c r="Y923" s="524"/>
      <c r="Z923" s="524"/>
    </row>
    <row r="924" ht="13.5" customHeight="1">
      <c r="A924" s="524"/>
      <c r="B924" s="525"/>
      <c r="C924" s="524"/>
      <c r="D924" s="524"/>
      <c r="E924" s="524"/>
      <c r="F924" s="524"/>
      <c r="G924" s="524"/>
      <c r="H924" s="524"/>
      <c r="I924" s="524"/>
      <c r="J924" s="524"/>
      <c r="K924" s="524"/>
      <c r="L924" s="524"/>
      <c r="M924" s="524"/>
      <c r="N924" s="524"/>
      <c r="O924" s="524"/>
      <c r="P924" s="524"/>
      <c r="Q924" s="524"/>
      <c r="R924" s="524"/>
      <c r="S924" s="524"/>
      <c r="T924" s="524"/>
      <c r="U924" s="524"/>
      <c r="V924" s="524"/>
      <c r="W924" s="524"/>
      <c r="X924" s="524"/>
      <c r="Y924" s="524"/>
      <c r="Z924" s="524"/>
    </row>
    <row r="925" ht="13.5" customHeight="1">
      <c r="A925" s="524"/>
      <c r="B925" s="525"/>
      <c r="C925" s="524"/>
      <c r="D925" s="524"/>
      <c r="E925" s="524"/>
      <c r="F925" s="524"/>
      <c r="G925" s="524"/>
      <c r="H925" s="524"/>
      <c r="I925" s="524"/>
      <c r="J925" s="524"/>
      <c r="K925" s="524"/>
      <c r="L925" s="524"/>
      <c r="M925" s="524"/>
      <c r="N925" s="524"/>
      <c r="O925" s="524"/>
      <c r="P925" s="524"/>
      <c r="Q925" s="524"/>
      <c r="R925" s="524"/>
      <c r="S925" s="524"/>
      <c r="T925" s="524"/>
      <c r="U925" s="524"/>
      <c r="V925" s="524"/>
      <c r="W925" s="524"/>
      <c r="X925" s="524"/>
      <c r="Y925" s="524"/>
      <c r="Z925" s="524"/>
    </row>
    <row r="926" ht="13.5" customHeight="1">
      <c r="A926" s="524"/>
      <c r="B926" s="525"/>
      <c r="C926" s="524"/>
      <c r="D926" s="524"/>
      <c r="E926" s="524"/>
      <c r="F926" s="524"/>
      <c r="G926" s="524"/>
      <c r="H926" s="524"/>
      <c r="I926" s="524"/>
      <c r="J926" s="524"/>
      <c r="K926" s="524"/>
      <c r="L926" s="524"/>
      <c r="M926" s="524"/>
      <c r="N926" s="524"/>
      <c r="O926" s="524"/>
      <c r="P926" s="524"/>
      <c r="Q926" s="524"/>
      <c r="R926" s="524"/>
      <c r="S926" s="524"/>
      <c r="T926" s="524"/>
      <c r="U926" s="524"/>
      <c r="V926" s="524"/>
      <c r="W926" s="524"/>
      <c r="X926" s="524"/>
      <c r="Y926" s="524"/>
      <c r="Z926" s="524"/>
    </row>
    <row r="927" ht="13.5" customHeight="1">
      <c r="A927" s="524"/>
      <c r="B927" s="525"/>
      <c r="C927" s="524"/>
      <c r="D927" s="524"/>
      <c r="E927" s="524"/>
      <c r="F927" s="524"/>
      <c r="G927" s="524"/>
      <c r="H927" s="524"/>
      <c r="I927" s="524"/>
      <c r="J927" s="524"/>
      <c r="K927" s="524"/>
      <c r="L927" s="524"/>
      <c r="M927" s="524"/>
      <c r="N927" s="524"/>
      <c r="O927" s="524"/>
      <c r="P927" s="524"/>
      <c r="Q927" s="524"/>
      <c r="R927" s="524"/>
      <c r="S927" s="524"/>
      <c r="T927" s="524"/>
      <c r="U927" s="524"/>
      <c r="V927" s="524"/>
      <c r="W927" s="524"/>
      <c r="X927" s="524"/>
      <c r="Y927" s="524"/>
      <c r="Z927" s="524"/>
    </row>
    <row r="928" ht="13.5" customHeight="1">
      <c r="A928" s="524"/>
      <c r="B928" s="525"/>
      <c r="C928" s="524"/>
      <c r="D928" s="524"/>
      <c r="E928" s="524"/>
      <c r="F928" s="524"/>
      <c r="G928" s="524"/>
      <c r="H928" s="524"/>
      <c r="I928" s="524"/>
      <c r="J928" s="524"/>
      <c r="K928" s="524"/>
      <c r="L928" s="524"/>
      <c r="M928" s="524"/>
      <c r="N928" s="524"/>
      <c r="O928" s="524"/>
      <c r="P928" s="524"/>
      <c r="Q928" s="524"/>
      <c r="R928" s="524"/>
      <c r="S928" s="524"/>
      <c r="T928" s="524"/>
      <c r="U928" s="524"/>
      <c r="V928" s="524"/>
      <c r="W928" s="524"/>
      <c r="X928" s="524"/>
      <c r="Y928" s="524"/>
      <c r="Z928" s="524"/>
    </row>
    <row r="929" ht="13.5" customHeight="1">
      <c r="A929" s="524"/>
      <c r="B929" s="525"/>
      <c r="C929" s="524"/>
      <c r="D929" s="524"/>
      <c r="E929" s="524"/>
      <c r="F929" s="524"/>
      <c r="G929" s="524"/>
      <c r="H929" s="524"/>
      <c r="I929" s="524"/>
      <c r="J929" s="524"/>
      <c r="K929" s="524"/>
      <c r="L929" s="524"/>
      <c r="M929" s="524"/>
      <c r="N929" s="524"/>
      <c r="O929" s="524"/>
      <c r="P929" s="524"/>
      <c r="Q929" s="524"/>
      <c r="R929" s="524"/>
      <c r="S929" s="524"/>
      <c r="T929" s="524"/>
      <c r="U929" s="524"/>
      <c r="V929" s="524"/>
      <c r="W929" s="524"/>
      <c r="X929" s="524"/>
      <c r="Y929" s="524"/>
      <c r="Z929" s="524"/>
    </row>
    <row r="930" ht="13.5" customHeight="1">
      <c r="A930" s="524"/>
      <c r="B930" s="525"/>
      <c r="C930" s="524"/>
      <c r="D930" s="524"/>
      <c r="E930" s="524"/>
      <c r="F930" s="524"/>
      <c r="G930" s="524"/>
      <c r="H930" s="524"/>
      <c r="I930" s="524"/>
      <c r="J930" s="524"/>
      <c r="K930" s="524"/>
      <c r="L930" s="524"/>
      <c r="M930" s="524"/>
      <c r="N930" s="524"/>
      <c r="O930" s="524"/>
      <c r="P930" s="524"/>
      <c r="Q930" s="524"/>
      <c r="R930" s="524"/>
      <c r="S930" s="524"/>
      <c r="T930" s="524"/>
      <c r="U930" s="524"/>
      <c r="V930" s="524"/>
      <c r="W930" s="524"/>
      <c r="X930" s="524"/>
      <c r="Y930" s="524"/>
      <c r="Z930" s="524"/>
    </row>
    <row r="931" ht="13.5" customHeight="1">
      <c r="A931" s="524"/>
      <c r="B931" s="525"/>
      <c r="C931" s="524"/>
      <c r="D931" s="524"/>
      <c r="E931" s="524"/>
      <c r="F931" s="524"/>
      <c r="G931" s="524"/>
      <c r="H931" s="524"/>
      <c r="I931" s="524"/>
      <c r="J931" s="524"/>
      <c r="K931" s="524"/>
      <c r="L931" s="524"/>
      <c r="M931" s="524"/>
      <c r="N931" s="524"/>
      <c r="O931" s="524"/>
      <c r="P931" s="524"/>
      <c r="Q931" s="524"/>
      <c r="R931" s="524"/>
      <c r="S931" s="524"/>
      <c r="T931" s="524"/>
      <c r="U931" s="524"/>
      <c r="V931" s="524"/>
      <c r="W931" s="524"/>
      <c r="X931" s="524"/>
      <c r="Y931" s="524"/>
      <c r="Z931" s="524"/>
    </row>
    <row r="932" ht="13.5" customHeight="1">
      <c r="A932" s="524"/>
      <c r="B932" s="525"/>
      <c r="C932" s="524"/>
      <c r="D932" s="524"/>
      <c r="E932" s="524"/>
      <c r="F932" s="524"/>
      <c r="G932" s="524"/>
      <c r="H932" s="524"/>
      <c r="I932" s="524"/>
      <c r="J932" s="524"/>
      <c r="K932" s="524"/>
      <c r="L932" s="524"/>
      <c r="M932" s="524"/>
      <c r="N932" s="524"/>
      <c r="O932" s="524"/>
      <c r="P932" s="524"/>
      <c r="Q932" s="524"/>
      <c r="R932" s="524"/>
      <c r="S932" s="524"/>
      <c r="T932" s="524"/>
      <c r="U932" s="524"/>
      <c r="V932" s="524"/>
      <c r="W932" s="524"/>
      <c r="X932" s="524"/>
      <c r="Y932" s="524"/>
      <c r="Z932" s="524"/>
    </row>
    <row r="933" ht="13.5" customHeight="1">
      <c r="A933" s="524"/>
      <c r="B933" s="525"/>
      <c r="C933" s="524"/>
      <c r="D933" s="524"/>
      <c r="E933" s="524"/>
      <c r="F933" s="524"/>
      <c r="G933" s="524"/>
      <c r="H933" s="524"/>
      <c r="I933" s="524"/>
      <c r="J933" s="524"/>
      <c r="K933" s="524"/>
      <c r="L933" s="524"/>
      <c r="M933" s="524"/>
      <c r="N933" s="524"/>
      <c r="O933" s="524"/>
      <c r="P933" s="524"/>
      <c r="Q933" s="524"/>
      <c r="R933" s="524"/>
      <c r="S933" s="524"/>
      <c r="T933" s="524"/>
      <c r="U933" s="524"/>
      <c r="V933" s="524"/>
      <c r="W933" s="524"/>
      <c r="X933" s="524"/>
      <c r="Y933" s="524"/>
      <c r="Z933" s="524"/>
    </row>
    <row r="934" ht="13.5" customHeight="1">
      <c r="A934" s="524"/>
      <c r="B934" s="525"/>
      <c r="C934" s="524"/>
      <c r="D934" s="524"/>
      <c r="E934" s="524"/>
      <c r="F934" s="524"/>
      <c r="G934" s="524"/>
      <c r="H934" s="524"/>
      <c r="I934" s="524"/>
      <c r="J934" s="524"/>
      <c r="K934" s="524"/>
      <c r="L934" s="524"/>
      <c r="M934" s="524"/>
      <c r="N934" s="524"/>
      <c r="O934" s="524"/>
      <c r="P934" s="524"/>
      <c r="Q934" s="524"/>
      <c r="R934" s="524"/>
      <c r="S934" s="524"/>
      <c r="T934" s="524"/>
      <c r="U934" s="524"/>
      <c r="V934" s="524"/>
      <c r="W934" s="524"/>
      <c r="X934" s="524"/>
      <c r="Y934" s="524"/>
      <c r="Z934" s="524"/>
    </row>
    <row r="935" ht="13.5" customHeight="1">
      <c r="A935" s="524"/>
      <c r="B935" s="525"/>
      <c r="C935" s="524"/>
      <c r="D935" s="524"/>
      <c r="E935" s="524"/>
      <c r="F935" s="524"/>
      <c r="G935" s="524"/>
      <c r="H935" s="524"/>
      <c r="I935" s="524"/>
      <c r="J935" s="524"/>
      <c r="K935" s="524"/>
      <c r="L935" s="524"/>
      <c r="M935" s="524"/>
      <c r="N935" s="524"/>
      <c r="O935" s="524"/>
      <c r="P935" s="524"/>
      <c r="Q935" s="524"/>
      <c r="R935" s="524"/>
      <c r="S935" s="524"/>
      <c r="T935" s="524"/>
      <c r="U935" s="524"/>
      <c r="V935" s="524"/>
      <c r="W935" s="524"/>
      <c r="X935" s="524"/>
      <c r="Y935" s="524"/>
      <c r="Z935" s="524"/>
    </row>
    <row r="936" ht="13.5" customHeight="1">
      <c r="A936" s="524"/>
      <c r="B936" s="525"/>
      <c r="C936" s="524"/>
      <c r="D936" s="524"/>
      <c r="E936" s="524"/>
      <c r="F936" s="524"/>
      <c r="G936" s="524"/>
      <c r="H936" s="524"/>
      <c r="I936" s="524"/>
      <c r="J936" s="524"/>
      <c r="K936" s="524"/>
      <c r="L936" s="524"/>
      <c r="M936" s="524"/>
      <c r="N936" s="524"/>
      <c r="O936" s="524"/>
      <c r="P936" s="524"/>
      <c r="Q936" s="524"/>
      <c r="R936" s="524"/>
      <c r="S936" s="524"/>
      <c r="T936" s="524"/>
      <c r="U936" s="524"/>
      <c r="V936" s="524"/>
      <c r="W936" s="524"/>
      <c r="X936" s="524"/>
      <c r="Y936" s="524"/>
      <c r="Z936" s="524"/>
    </row>
    <row r="937" ht="13.5" customHeight="1">
      <c r="A937" s="524"/>
      <c r="B937" s="525"/>
      <c r="C937" s="524"/>
      <c r="D937" s="524"/>
      <c r="E937" s="524"/>
      <c r="F937" s="524"/>
      <c r="G937" s="524"/>
      <c r="H937" s="524"/>
      <c r="I937" s="524"/>
      <c r="J937" s="524"/>
      <c r="K937" s="524"/>
      <c r="L937" s="524"/>
      <c r="M937" s="524"/>
      <c r="N937" s="524"/>
      <c r="O937" s="524"/>
      <c r="P937" s="524"/>
      <c r="Q937" s="524"/>
      <c r="R937" s="524"/>
      <c r="S937" s="524"/>
      <c r="T937" s="524"/>
      <c r="U937" s="524"/>
      <c r="V937" s="524"/>
      <c r="W937" s="524"/>
      <c r="X937" s="524"/>
      <c r="Y937" s="524"/>
      <c r="Z937" s="524"/>
    </row>
    <row r="938" ht="13.5" customHeight="1">
      <c r="A938" s="524"/>
      <c r="B938" s="525"/>
      <c r="C938" s="524"/>
      <c r="D938" s="524"/>
      <c r="E938" s="524"/>
      <c r="F938" s="524"/>
      <c r="G938" s="524"/>
      <c r="H938" s="524"/>
      <c r="I938" s="524"/>
      <c r="J938" s="524"/>
      <c r="K938" s="524"/>
      <c r="L938" s="524"/>
      <c r="M938" s="524"/>
      <c r="N938" s="524"/>
      <c r="O938" s="524"/>
      <c r="P938" s="524"/>
      <c r="Q938" s="524"/>
      <c r="R938" s="524"/>
      <c r="S938" s="524"/>
      <c r="T938" s="524"/>
      <c r="U938" s="524"/>
      <c r="V938" s="524"/>
      <c r="W938" s="524"/>
      <c r="X938" s="524"/>
      <c r="Y938" s="524"/>
      <c r="Z938" s="524"/>
    </row>
    <row r="939" ht="13.5" customHeight="1">
      <c r="A939" s="524"/>
      <c r="B939" s="525"/>
      <c r="C939" s="524"/>
      <c r="D939" s="524"/>
      <c r="E939" s="524"/>
      <c r="F939" s="524"/>
      <c r="G939" s="524"/>
      <c r="H939" s="524"/>
      <c r="I939" s="524"/>
      <c r="J939" s="524"/>
      <c r="K939" s="524"/>
      <c r="L939" s="524"/>
      <c r="M939" s="524"/>
      <c r="N939" s="524"/>
      <c r="O939" s="524"/>
      <c r="P939" s="524"/>
      <c r="Q939" s="524"/>
      <c r="R939" s="524"/>
      <c r="S939" s="524"/>
      <c r="T939" s="524"/>
      <c r="U939" s="524"/>
      <c r="V939" s="524"/>
      <c r="W939" s="524"/>
      <c r="X939" s="524"/>
      <c r="Y939" s="524"/>
      <c r="Z939" s="524"/>
    </row>
    <row r="940" ht="13.5" customHeight="1">
      <c r="A940" s="524"/>
      <c r="B940" s="525"/>
      <c r="C940" s="524"/>
      <c r="D940" s="524"/>
      <c r="E940" s="524"/>
      <c r="F940" s="524"/>
      <c r="G940" s="524"/>
      <c r="H940" s="524"/>
      <c r="I940" s="524"/>
      <c r="J940" s="524"/>
      <c r="K940" s="524"/>
      <c r="L940" s="524"/>
      <c r="M940" s="524"/>
      <c r="N940" s="524"/>
      <c r="O940" s="524"/>
      <c r="P940" s="524"/>
      <c r="Q940" s="524"/>
      <c r="R940" s="524"/>
      <c r="S940" s="524"/>
      <c r="T940" s="524"/>
      <c r="U940" s="524"/>
      <c r="V940" s="524"/>
      <c r="W940" s="524"/>
      <c r="X940" s="524"/>
      <c r="Y940" s="524"/>
      <c r="Z940" s="524"/>
    </row>
    <row r="941" ht="13.5" customHeight="1">
      <c r="A941" s="524"/>
      <c r="B941" s="525"/>
      <c r="C941" s="524"/>
      <c r="D941" s="524"/>
      <c r="E941" s="524"/>
      <c r="F941" s="524"/>
      <c r="G941" s="524"/>
      <c r="H941" s="524"/>
      <c r="I941" s="524"/>
      <c r="J941" s="524"/>
      <c r="K941" s="524"/>
      <c r="L941" s="524"/>
      <c r="M941" s="524"/>
      <c r="N941" s="524"/>
      <c r="O941" s="524"/>
      <c r="P941" s="524"/>
      <c r="Q941" s="524"/>
      <c r="R941" s="524"/>
      <c r="S941" s="524"/>
      <c r="T941" s="524"/>
      <c r="U941" s="524"/>
      <c r="V941" s="524"/>
      <c r="W941" s="524"/>
      <c r="X941" s="524"/>
      <c r="Y941" s="524"/>
      <c r="Z941" s="524"/>
    </row>
    <row r="942" ht="13.5" customHeight="1">
      <c r="A942" s="524"/>
      <c r="B942" s="525"/>
      <c r="C942" s="524"/>
      <c r="D942" s="524"/>
      <c r="E942" s="524"/>
      <c r="F942" s="524"/>
      <c r="G942" s="524"/>
      <c r="H942" s="524"/>
      <c r="I942" s="524"/>
      <c r="J942" s="524"/>
      <c r="K942" s="524"/>
      <c r="L942" s="524"/>
      <c r="M942" s="524"/>
      <c r="N942" s="524"/>
      <c r="O942" s="524"/>
      <c r="P942" s="524"/>
      <c r="Q942" s="524"/>
      <c r="R942" s="524"/>
      <c r="S942" s="524"/>
      <c r="T942" s="524"/>
      <c r="U942" s="524"/>
      <c r="V942" s="524"/>
      <c r="W942" s="524"/>
      <c r="X942" s="524"/>
      <c r="Y942" s="524"/>
      <c r="Z942" s="524"/>
    </row>
    <row r="943" ht="13.5" customHeight="1">
      <c r="A943" s="524"/>
      <c r="B943" s="525"/>
      <c r="C943" s="524"/>
      <c r="D943" s="524"/>
      <c r="E943" s="524"/>
      <c r="F943" s="524"/>
      <c r="G943" s="524"/>
      <c r="H943" s="524"/>
      <c r="I943" s="524"/>
      <c r="J943" s="524"/>
      <c r="K943" s="524"/>
      <c r="L943" s="524"/>
      <c r="M943" s="524"/>
      <c r="N943" s="524"/>
      <c r="O943" s="524"/>
      <c r="P943" s="524"/>
      <c r="Q943" s="524"/>
      <c r="R943" s="524"/>
      <c r="S943" s="524"/>
      <c r="T943" s="524"/>
      <c r="U943" s="524"/>
      <c r="V943" s="524"/>
      <c r="W943" s="524"/>
      <c r="X943" s="524"/>
      <c r="Y943" s="524"/>
      <c r="Z943" s="524"/>
    </row>
    <row r="944" ht="13.5" customHeight="1">
      <c r="A944" s="524"/>
      <c r="B944" s="525"/>
      <c r="C944" s="524"/>
      <c r="D944" s="524"/>
      <c r="E944" s="524"/>
      <c r="F944" s="524"/>
      <c r="G944" s="524"/>
      <c r="H944" s="524"/>
      <c r="I944" s="524"/>
      <c r="J944" s="524"/>
      <c r="K944" s="524"/>
      <c r="L944" s="524"/>
      <c r="M944" s="524"/>
      <c r="N944" s="524"/>
      <c r="O944" s="524"/>
      <c r="P944" s="524"/>
      <c r="Q944" s="524"/>
      <c r="R944" s="524"/>
      <c r="S944" s="524"/>
      <c r="T944" s="524"/>
      <c r="U944" s="524"/>
      <c r="V944" s="524"/>
      <c r="W944" s="524"/>
      <c r="X944" s="524"/>
      <c r="Y944" s="524"/>
      <c r="Z944" s="524"/>
    </row>
    <row r="945" ht="13.5" customHeight="1">
      <c r="A945" s="524"/>
      <c r="B945" s="525"/>
      <c r="C945" s="524"/>
      <c r="D945" s="524"/>
      <c r="E945" s="524"/>
      <c r="F945" s="524"/>
      <c r="G945" s="524"/>
      <c r="H945" s="524"/>
      <c r="I945" s="524"/>
      <c r="J945" s="524"/>
      <c r="K945" s="524"/>
      <c r="L945" s="524"/>
      <c r="M945" s="524"/>
      <c r="N945" s="524"/>
      <c r="O945" s="524"/>
      <c r="P945" s="524"/>
      <c r="Q945" s="524"/>
      <c r="R945" s="524"/>
      <c r="S945" s="524"/>
      <c r="T945" s="524"/>
      <c r="U945" s="524"/>
      <c r="V945" s="524"/>
      <c r="W945" s="524"/>
      <c r="X945" s="524"/>
      <c r="Y945" s="524"/>
      <c r="Z945" s="524"/>
    </row>
    <row r="946" ht="13.5" customHeight="1">
      <c r="A946" s="524"/>
      <c r="B946" s="525"/>
      <c r="C946" s="524"/>
      <c r="D946" s="524"/>
      <c r="E946" s="524"/>
      <c r="F946" s="524"/>
      <c r="G946" s="524"/>
      <c r="H946" s="524"/>
      <c r="I946" s="524"/>
      <c r="J946" s="524"/>
      <c r="K946" s="524"/>
      <c r="L946" s="524"/>
      <c r="M946" s="524"/>
      <c r="N946" s="524"/>
      <c r="O946" s="524"/>
      <c r="P946" s="524"/>
      <c r="Q946" s="524"/>
      <c r="R946" s="524"/>
      <c r="S946" s="524"/>
      <c r="T946" s="524"/>
      <c r="U946" s="524"/>
      <c r="V946" s="524"/>
      <c r="W946" s="524"/>
      <c r="X946" s="524"/>
      <c r="Y946" s="524"/>
      <c r="Z946" s="524"/>
    </row>
    <row r="947" ht="13.5" customHeight="1">
      <c r="A947" s="524"/>
      <c r="B947" s="525"/>
      <c r="C947" s="524"/>
      <c r="D947" s="524"/>
      <c r="E947" s="524"/>
      <c r="F947" s="524"/>
      <c r="G947" s="524"/>
      <c r="H947" s="524"/>
      <c r="I947" s="524"/>
      <c r="J947" s="524"/>
      <c r="K947" s="524"/>
      <c r="L947" s="524"/>
      <c r="M947" s="524"/>
      <c r="N947" s="524"/>
      <c r="O947" s="524"/>
      <c r="P947" s="524"/>
      <c r="Q947" s="524"/>
      <c r="R947" s="524"/>
      <c r="S947" s="524"/>
      <c r="T947" s="524"/>
      <c r="U947" s="524"/>
      <c r="V947" s="524"/>
      <c r="W947" s="524"/>
      <c r="X947" s="524"/>
      <c r="Y947" s="524"/>
      <c r="Z947" s="524"/>
    </row>
    <row r="948" ht="13.5" customHeight="1">
      <c r="A948" s="524"/>
      <c r="B948" s="525"/>
      <c r="C948" s="524"/>
      <c r="D948" s="524"/>
      <c r="E948" s="524"/>
      <c r="F948" s="524"/>
      <c r="G948" s="524"/>
      <c r="H948" s="524"/>
      <c r="I948" s="524"/>
      <c r="J948" s="524"/>
      <c r="K948" s="524"/>
      <c r="L948" s="524"/>
      <c r="M948" s="524"/>
      <c r="N948" s="524"/>
      <c r="O948" s="524"/>
      <c r="P948" s="524"/>
      <c r="Q948" s="524"/>
      <c r="R948" s="524"/>
      <c r="S948" s="524"/>
      <c r="T948" s="524"/>
      <c r="U948" s="524"/>
      <c r="V948" s="524"/>
      <c r="W948" s="524"/>
      <c r="X948" s="524"/>
      <c r="Y948" s="524"/>
      <c r="Z948" s="524"/>
    </row>
    <row r="949" ht="13.5" customHeight="1">
      <c r="A949" s="524"/>
      <c r="B949" s="525"/>
      <c r="C949" s="524"/>
      <c r="D949" s="524"/>
      <c r="E949" s="524"/>
      <c r="F949" s="524"/>
      <c r="G949" s="524"/>
      <c r="H949" s="524"/>
      <c r="I949" s="524"/>
      <c r="J949" s="524"/>
      <c r="K949" s="524"/>
      <c r="L949" s="524"/>
      <c r="M949" s="524"/>
      <c r="N949" s="524"/>
      <c r="O949" s="524"/>
      <c r="P949" s="524"/>
      <c r="Q949" s="524"/>
      <c r="R949" s="524"/>
      <c r="S949" s="524"/>
      <c r="T949" s="524"/>
      <c r="U949" s="524"/>
      <c r="V949" s="524"/>
      <c r="W949" s="524"/>
      <c r="X949" s="524"/>
      <c r="Y949" s="524"/>
      <c r="Z949" s="524"/>
    </row>
    <row r="950" ht="13.5" customHeight="1">
      <c r="A950" s="524"/>
      <c r="B950" s="525"/>
      <c r="C950" s="524"/>
      <c r="D950" s="524"/>
      <c r="E950" s="524"/>
      <c r="F950" s="524"/>
      <c r="G950" s="524"/>
      <c r="H950" s="524"/>
      <c r="I950" s="524"/>
      <c r="J950" s="524"/>
      <c r="K950" s="524"/>
      <c r="L950" s="524"/>
      <c r="M950" s="524"/>
      <c r="N950" s="524"/>
      <c r="O950" s="524"/>
      <c r="P950" s="524"/>
      <c r="Q950" s="524"/>
      <c r="R950" s="524"/>
      <c r="S950" s="524"/>
      <c r="T950" s="524"/>
      <c r="U950" s="524"/>
      <c r="V950" s="524"/>
      <c r="W950" s="524"/>
      <c r="X950" s="524"/>
      <c r="Y950" s="524"/>
      <c r="Z950" s="524"/>
    </row>
    <row r="951" ht="13.5" customHeight="1">
      <c r="A951" s="524"/>
      <c r="B951" s="525"/>
      <c r="C951" s="524"/>
      <c r="D951" s="524"/>
      <c r="E951" s="524"/>
      <c r="F951" s="524"/>
      <c r="G951" s="524"/>
      <c r="H951" s="524"/>
      <c r="I951" s="524"/>
      <c r="J951" s="524"/>
      <c r="K951" s="524"/>
      <c r="L951" s="524"/>
      <c r="M951" s="524"/>
      <c r="N951" s="524"/>
      <c r="O951" s="524"/>
      <c r="P951" s="524"/>
      <c r="Q951" s="524"/>
      <c r="R951" s="524"/>
      <c r="S951" s="524"/>
      <c r="T951" s="524"/>
      <c r="U951" s="524"/>
      <c r="V951" s="524"/>
      <c r="W951" s="524"/>
      <c r="X951" s="524"/>
      <c r="Y951" s="524"/>
      <c r="Z951" s="524"/>
    </row>
    <row r="952" ht="13.5" customHeight="1">
      <c r="A952" s="524"/>
      <c r="B952" s="525"/>
      <c r="C952" s="524"/>
      <c r="D952" s="524"/>
      <c r="E952" s="524"/>
      <c r="F952" s="524"/>
      <c r="G952" s="524"/>
      <c r="H952" s="524"/>
      <c r="I952" s="524"/>
      <c r="J952" s="524"/>
      <c r="K952" s="524"/>
      <c r="L952" s="524"/>
      <c r="M952" s="524"/>
      <c r="N952" s="524"/>
      <c r="O952" s="524"/>
      <c r="P952" s="524"/>
      <c r="Q952" s="524"/>
      <c r="R952" s="524"/>
      <c r="S952" s="524"/>
      <c r="T952" s="524"/>
      <c r="U952" s="524"/>
      <c r="V952" s="524"/>
      <c r="W952" s="524"/>
      <c r="X952" s="524"/>
      <c r="Y952" s="524"/>
      <c r="Z952" s="524"/>
    </row>
    <row r="953" ht="13.5" customHeight="1">
      <c r="A953" s="524"/>
      <c r="B953" s="525"/>
      <c r="C953" s="524"/>
      <c r="D953" s="524"/>
      <c r="E953" s="524"/>
      <c r="F953" s="524"/>
      <c r="G953" s="524"/>
      <c r="H953" s="524"/>
      <c r="I953" s="524"/>
      <c r="J953" s="524"/>
      <c r="K953" s="524"/>
      <c r="L953" s="524"/>
      <c r="M953" s="524"/>
      <c r="N953" s="524"/>
      <c r="O953" s="524"/>
      <c r="P953" s="524"/>
      <c r="Q953" s="524"/>
      <c r="R953" s="524"/>
      <c r="S953" s="524"/>
      <c r="T953" s="524"/>
      <c r="U953" s="524"/>
      <c r="V953" s="524"/>
      <c r="W953" s="524"/>
      <c r="X953" s="524"/>
      <c r="Y953" s="524"/>
      <c r="Z953" s="524"/>
    </row>
    <row r="954" ht="13.5" customHeight="1">
      <c r="A954" s="524"/>
      <c r="B954" s="525"/>
      <c r="C954" s="524"/>
      <c r="D954" s="524"/>
      <c r="E954" s="524"/>
      <c r="F954" s="524"/>
      <c r="G954" s="524"/>
      <c r="H954" s="524"/>
      <c r="I954" s="524"/>
      <c r="J954" s="524"/>
      <c r="K954" s="524"/>
      <c r="L954" s="524"/>
      <c r="M954" s="524"/>
      <c r="N954" s="524"/>
      <c r="O954" s="524"/>
      <c r="P954" s="524"/>
      <c r="Q954" s="524"/>
      <c r="R954" s="524"/>
      <c r="S954" s="524"/>
      <c r="T954" s="524"/>
      <c r="U954" s="524"/>
      <c r="V954" s="524"/>
      <c r="W954" s="524"/>
      <c r="X954" s="524"/>
      <c r="Y954" s="524"/>
      <c r="Z954" s="524"/>
    </row>
    <row r="955" ht="13.5" customHeight="1">
      <c r="A955" s="524"/>
      <c r="B955" s="525"/>
      <c r="C955" s="524"/>
      <c r="D955" s="524"/>
      <c r="E955" s="524"/>
      <c r="F955" s="524"/>
      <c r="G955" s="524"/>
      <c r="H955" s="524"/>
      <c r="I955" s="524"/>
      <c r="J955" s="524"/>
      <c r="K955" s="524"/>
      <c r="L955" s="524"/>
      <c r="M955" s="524"/>
      <c r="N955" s="524"/>
      <c r="O955" s="524"/>
      <c r="P955" s="524"/>
      <c r="Q955" s="524"/>
      <c r="R955" s="524"/>
      <c r="S955" s="524"/>
      <c r="T955" s="524"/>
      <c r="U955" s="524"/>
      <c r="V955" s="524"/>
      <c r="W955" s="524"/>
      <c r="X955" s="524"/>
      <c r="Y955" s="524"/>
      <c r="Z955" s="524"/>
    </row>
    <row r="956" ht="13.5" customHeight="1">
      <c r="A956" s="524"/>
      <c r="B956" s="525"/>
      <c r="C956" s="524"/>
      <c r="D956" s="524"/>
      <c r="E956" s="524"/>
      <c r="F956" s="524"/>
      <c r="G956" s="524"/>
      <c r="H956" s="524"/>
      <c r="I956" s="524"/>
      <c r="J956" s="524"/>
      <c r="K956" s="524"/>
      <c r="L956" s="524"/>
      <c r="M956" s="524"/>
      <c r="N956" s="524"/>
      <c r="O956" s="524"/>
      <c r="P956" s="524"/>
      <c r="Q956" s="524"/>
      <c r="R956" s="524"/>
      <c r="S956" s="524"/>
      <c r="T956" s="524"/>
      <c r="U956" s="524"/>
      <c r="V956" s="524"/>
      <c r="W956" s="524"/>
      <c r="X956" s="524"/>
      <c r="Y956" s="524"/>
      <c r="Z956" s="524"/>
    </row>
    <row r="957" ht="13.5" customHeight="1">
      <c r="A957" s="524"/>
      <c r="B957" s="525"/>
      <c r="C957" s="524"/>
      <c r="D957" s="524"/>
      <c r="E957" s="524"/>
      <c r="F957" s="524"/>
      <c r="G957" s="524"/>
      <c r="H957" s="524"/>
      <c r="I957" s="524"/>
      <c r="J957" s="524"/>
      <c r="K957" s="524"/>
      <c r="L957" s="524"/>
      <c r="M957" s="524"/>
      <c r="N957" s="524"/>
      <c r="O957" s="524"/>
      <c r="P957" s="524"/>
      <c r="Q957" s="524"/>
      <c r="R957" s="524"/>
      <c r="S957" s="524"/>
      <c r="T957" s="524"/>
      <c r="U957" s="524"/>
      <c r="V957" s="524"/>
      <c r="W957" s="524"/>
      <c r="X957" s="524"/>
      <c r="Y957" s="524"/>
      <c r="Z957" s="524"/>
    </row>
    <row r="958" ht="13.5" customHeight="1">
      <c r="A958" s="524"/>
      <c r="B958" s="525"/>
      <c r="C958" s="524"/>
      <c r="D958" s="524"/>
      <c r="E958" s="524"/>
      <c r="F958" s="524"/>
      <c r="G958" s="524"/>
      <c r="H958" s="524"/>
      <c r="I958" s="524"/>
      <c r="J958" s="524"/>
      <c r="K958" s="524"/>
      <c r="L958" s="524"/>
      <c r="M958" s="524"/>
      <c r="N958" s="524"/>
      <c r="O958" s="524"/>
      <c r="P958" s="524"/>
      <c r="Q958" s="524"/>
      <c r="R958" s="524"/>
      <c r="S958" s="524"/>
      <c r="T958" s="524"/>
      <c r="U958" s="524"/>
      <c r="V958" s="524"/>
      <c r="W958" s="524"/>
      <c r="X958" s="524"/>
      <c r="Y958" s="524"/>
      <c r="Z958" s="524"/>
    </row>
    <row r="959" ht="13.5" customHeight="1">
      <c r="A959" s="524"/>
      <c r="B959" s="525"/>
      <c r="C959" s="524"/>
      <c r="D959" s="524"/>
      <c r="E959" s="524"/>
      <c r="F959" s="524"/>
      <c r="G959" s="524"/>
      <c r="H959" s="524"/>
      <c r="I959" s="524"/>
      <c r="J959" s="524"/>
      <c r="K959" s="524"/>
      <c r="L959" s="524"/>
      <c r="M959" s="524"/>
      <c r="N959" s="524"/>
      <c r="O959" s="524"/>
      <c r="P959" s="524"/>
      <c r="Q959" s="524"/>
      <c r="R959" s="524"/>
      <c r="S959" s="524"/>
      <c r="T959" s="524"/>
      <c r="U959" s="524"/>
      <c r="V959" s="524"/>
      <c r="W959" s="524"/>
      <c r="X959" s="524"/>
      <c r="Y959" s="524"/>
      <c r="Z959" s="524"/>
    </row>
    <row r="960" ht="13.5" customHeight="1">
      <c r="A960" s="524"/>
      <c r="B960" s="525"/>
      <c r="C960" s="524"/>
      <c r="D960" s="524"/>
      <c r="E960" s="524"/>
      <c r="F960" s="524"/>
      <c r="G960" s="524"/>
      <c r="H960" s="524"/>
      <c r="I960" s="524"/>
      <c r="J960" s="524"/>
      <c r="K960" s="524"/>
      <c r="L960" s="524"/>
      <c r="M960" s="524"/>
      <c r="N960" s="524"/>
      <c r="O960" s="524"/>
      <c r="P960" s="524"/>
      <c r="Q960" s="524"/>
      <c r="R960" s="524"/>
      <c r="S960" s="524"/>
      <c r="T960" s="524"/>
      <c r="U960" s="524"/>
      <c r="V960" s="524"/>
      <c r="W960" s="524"/>
      <c r="X960" s="524"/>
      <c r="Y960" s="524"/>
      <c r="Z960" s="524"/>
    </row>
    <row r="961" ht="13.5" customHeight="1">
      <c r="A961" s="524"/>
      <c r="B961" s="525"/>
      <c r="C961" s="524"/>
      <c r="D961" s="524"/>
      <c r="E961" s="524"/>
      <c r="F961" s="524"/>
      <c r="G961" s="524"/>
      <c r="H961" s="524"/>
      <c r="I961" s="524"/>
      <c r="J961" s="524"/>
      <c r="K961" s="524"/>
      <c r="L961" s="524"/>
      <c r="M961" s="524"/>
      <c r="N961" s="524"/>
      <c r="O961" s="524"/>
      <c r="P961" s="524"/>
      <c r="Q961" s="524"/>
      <c r="R961" s="524"/>
      <c r="S961" s="524"/>
      <c r="T961" s="524"/>
      <c r="U961" s="524"/>
      <c r="V961" s="524"/>
      <c r="W961" s="524"/>
      <c r="X961" s="524"/>
      <c r="Y961" s="524"/>
      <c r="Z961" s="524"/>
    </row>
    <row r="962" ht="13.5" customHeight="1">
      <c r="A962" s="524"/>
      <c r="B962" s="525"/>
      <c r="C962" s="524"/>
      <c r="D962" s="524"/>
      <c r="E962" s="524"/>
      <c r="F962" s="524"/>
      <c r="G962" s="524"/>
      <c r="H962" s="524"/>
      <c r="I962" s="524"/>
      <c r="J962" s="524"/>
      <c r="K962" s="524"/>
      <c r="L962" s="524"/>
      <c r="M962" s="524"/>
      <c r="N962" s="524"/>
      <c r="O962" s="524"/>
      <c r="P962" s="524"/>
      <c r="Q962" s="524"/>
      <c r="R962" s="524"/>
      <c r="S962" s="524"/>
      <c r="T962" s="524"/>
      <c r="U962" s="524"/>
      <c r="V962" s="524"/>
      <c r="W962" s="524"/>
      <c r="X962" s="524"/>
      <c r="Y962" s="524"/>
      <c r="Z962" s="524"/>
    </row>
    <row r="963" ht="13.5" customHeight="1">
      <c r="A963" s="524"/>
      <c r="B963" s="525"/>
      <c r="C963" s="524"/>
      <c r="D963" s="524"/>
      <c r="E963" s="524"/>
      <c r="F963" s="524"/>
      <c r="G963" s="524"/>
      <c r="H963" s="524"/>
      <c r="I963" s="524"/>
      <c r="J963" s="524"/>
      <c r="K963" s="524"/>
      <c r="L963" s="524"/>
      <c r="M963" s="524"/>
      <c r="N963" s="524"/>
      <c r="O963" s="524"/>
      <c r="P963" s="524"/>
      <c r="Q963" s="524"/>
      <c r="R963" s="524"/>
      <c r="S963" s="524"/>
      <c r="T963" s="524"/>
      <c r="U963" s="524"/>
      <c r="V963" s="524"/>
      <c r="W963" s="524"/>
      <c r="X963" s="524"/>
      <c r="Y963" s="524"/>
      <c r="Z963" s="524"/>
    </row>
    <row r="964" ht="13.5" customHeight="1">
      <c r="A964" s="524"/>
      <c r="B964" s="525"/>
      <c r="C964" s="524"/>
      <c r="D964" s="524"/>
      <c r="E964" s="524"/>
      <c r="F964" s="524"/>
      <c r="G964" s="524"/>
      <c r="H964" s="524"/>
      <c r="I964" s="524"/>
      <c r="J964" s="524"/>
      <c r="K964" s="524"/>
      <c r="L964" s="524"/>
      <c r="M964" s="524"/>
      <c r="N964" s="524"/>
      <c r="O964" s="524"/>
      <c r="P964" s="524"/>
      <c r="Q964" s="524"/>
      <c r="R964" s="524"/>
      <c r="S964" s="524"/>
      <c r="T964" s="524"/>
      <c r="U964" s="524"/>
      <c r="V964" s="524"/>
      <c r="W964" s="524"/>
      <c r="X964" s="524"/>
      <c r="Y964" s="524"/>
      <c r="Z964" s="524"/>
    </row>
    <row r="965" ht="13.5" customHeight="1">
      <c r="A965" s="524"/>
      <c r="B965" s="525"/>
      <c r="C965" s="524"/>
      <c r="D965" s="524"/>
      <c r="E965" s="524"/>
      <c r="F965" s="524"/>
      <c r="G965" s="524"/>
      <c r="H965" s="524"/>
      <c r="I965" s="524"/>
      <c r="J965" s="524"/>
      <c r="K965" s="524"/>
      <c r="L965" s="524"/>
      <c r="M965" s="524"/>
      <c r="N965" s="524"/>
      <c r="O965" s="524"/>
      <c r="P965" s="524"/>
      <c r="Q965" s="524"/>
      <c r="R965" s="524"/>
      <c r="S965" s="524"/>
      <c r="T965" s="524"/>
      <c r="U965" s="524"/>
      <c r="V965" s="524"/>
      <c r="W965" s="524"/>
      <c r="X965" s="524"/>
      <c r="Y965" s="524"/>
      <c r="Z965" s="524"/>
    </row>
    <row r="966" ht="13.5" customHeight="1">
      <c r="A966" s="524"/>
      <c r="B966" s="525"/>
      <c r="C966" s="524"/>
      <c r="D966" s="524"/>
      <c r="E966" s="524"/>
      <c r="F966" s="524"/>
      <c r="G966" s="524"/>
      <c r="H966" s="524"/>
      <c r="I966" s="524"/>
      <c r="J966" s="524"/>
      <c r="K966" s="524"/>
      <c r="L966" s="524"/>
      <c r="M966" s="524"/>
      <c r="N966" s="524"/>
      <c r="O966" s="524"/>
      <c r="P966" s="524"/>
      <c r="Q966" s="524"/>
      <c r="R966" s="524"/>
      <c r="S966" s="524"/>
      <c r="T966" s="524"/>
      <c r="U966" s="524"/>
      <c r="V966" s="524"/>
      <c r="W966" s="524"/>
      <c r="X966" s="524"/>
      <c r="Y966" s="524"/>
      <c r="Z966" s="524"/>
    </row>
    <row r="967" ht="13.5" customHeight="1">
      <c r="A967" s="524"/>
      <c r="B967" s="525"/>
      <c r="C967" s="524"/>
      <c r="D967" s="524"/>
      <c r="E967" s="524"/>
      <c r="F967" s="524"/>
      <c r="G967" s="524"/>
      <c r="H967" s="524"/>
      <c r="I967" s="524"/>
      <c r="J967" s="524"/>
      <c r="K967" s="524"/>
      <c r="L967" s="524"/>
      <c r="M967" s="524"/>
      <c r="N967" s="524"/>
      <c r="O967" s="524"/>
      <c r="P967" s="524"/>
      <c r="Q967" s="524"/>
      <c r="R967" s="524"/>
      <c r="S967" s="524"/>
      <c r="T967" s="524"/>
      <c r="U967" s="524"/>
      <c r="V967" s="524"/>
      <c r="W967" s="524"/>
      <c r="X967" s="524"/>
      <c r="Y967" s="524"/>
      <c r="Z967" s="524"/>
    </row>
    <row r="968" ht="13.5" customHeight="1">
      <c r="A968" s="524"/>
      <c r="B968" s="525"/>
      <c r="C968" s="524"/>
      <c r="D968" s="524"/>
      <c r="E968" s="524"/>
      <c r="F968" s="524"/>
      <c r="G968" s="524"/>
      <c r="H968" s="524"/>
      <c r="I968" s="524"/>
      <c r="J968" s="524"/>
      <c r="K968" s="524"/>
      <c r="L968" s="524"/>
      <c r="M968" s="524"/>
      <c r="N968" s="524"/>
      <c r="O968" s="524"/>
      <c r="P968" s="524"/>
      <c r="Q968" s="524"/>
      <c r="R968" s="524"/>
      <c r="S968" s="524"/>
      <c r="T968" s="524"/>
      <c r="U968" s="524"/>
      <c r="V968" s="524"/>
      <c r="W968" s="524"/>
      <c r="X968" s="524"/>
      <c r="Y968" s="524"/>
      <c r="Z968" s="524"/>
    </row>
    <row r="969" ht="13.5" customHeight="1">
      <c r="A969" s="524"/>
      <c r="B969" s="525"/>
      <c r="C969" s="524"/>
      <c r="D969" s="524"/>
      <c r="E969" s="524"/>
      <c r="F969" s="524"/>
      <c r="G969" s="524"/>
      <c r="H969" s="524"/>
      <c r="I969" s="524"/>
      <c r="J969" s="524"/>
      <c r="K969" s="524"/>
      <c r="L969" s="524"/>
      <c r="M969" s="524"/>
      <c r="N969" s="524"/>
      <c r="O969" s="524"/>
      <c r="P969" s="524"/>
      <c r="Q969" s="524"/>
      <c r="R969" s="524"/>
      <c r="S969" s="524"/>
      <c r="T969" s="524"/>
      <c r="U969" s="524"/>
      <c r="V969" s="524"/>
      <c r="W969" s="524"/>
      <c r="X969" s="524"/>
      <c r="Y969" s="524"/>
      <c r="Z969" s="524"/>
    </row>
    <row r="970" ht="13.5" customHeight="1">
      <c r="A970" s="524"/>
      <c r="B970" s="525"/>
      <c r="C970" s="524"/>
      <c r="D970" s="524"/>
      <c r="E970" s="524"/>
      <c r="F970" s="524"/>
      <c r="G970" s="524"/>
      <c r="H970" s="524"/>
      <c r="I970" s="524"/>
      <c r="J970" s="524"/>
      <c r="K970" s="524"/>
      <c r="L970" s="524"/>
      <c r="M970" s="524"/>
      <c r="N970" s="524"/>
      <c r="O970" s="524"/>
      <c r="P970" s="524"/>
      <c r="Q970" s="524"/>
      <c r="R970" s="524"/>
      <c r="S970" s="524"/>
      <c r="T970" s="524"/>
      <c r="U970" s="524"/>
      <c r="V970" s="524"/>
      <c r="W970" s="524"/>
      <c r="X970" s="524"/>
      <c r="Y970" s="524"/>
      <c r="Z970" s="524"/>
    </row>
    <row r="971" ht="13.5" customHeight="1">
      <c r="A971" s="524"/>
      <c r="B971" s="525"/>
      <c r="C971" s="524"/>
      <c r="D971" s="524"/>
      <c r="E971" s="524"/>
      <c r="F971" s="524"/>
      <c r="G971" s="524"/>
      <c r="H971" s="524"/>
      <c r="I971" s="524"/>
      <c r="J971" s="524"/>
      <c r="K971" s="524"/>
      <c r="L971" s="524"/>
      <c r="M971" s="524"/>
      <c r="N971" s="524"/>
      <c r="O971" s="524"/>
      <c r="P971" s="524"/>
      <c r="Q971" s="524"/>
      <c r="R971" s="524"/>
      <c r="S971" s="524"/>
      <c r="T971" s="524"/>
      <c r="U971" s="524"/>
      <c r="V971" s="524"/>
      <c r="W971" s="524"/>
      <c r="X971" s="524"/>
      <c r="Y971" s="524"/>
      <c r="Z971" s="524"/>
    </row>
    <row r="972" ht="13.5" customHeight="1">
      <c r="A972" s="524"/>
      <c r="B972" s="525"/>
      <c r="C972" s="524"/>
      <c r="D972" s="524"/>
      <c r="E972" s="524"/>
      <c r="F972" s="524"/>
      <c r="G972" s="524"/>
      <c r="H972" s="524"/>
      <c r="I972" s="524"/>
      <c r="J972" s="524"/>
      <c r="K972" s="524"/>
      <c r="L972" s="524"/>
      <c r="M972" s="524"/>
      <c r="N972" s="524"/>
      <c r="O972" s="524"/>
      <c r="P972" s="524"/>
      <c r="Q972" s="524"/>
      <c r="R972" s="524"/>
      <c r="S972" s="524"/>
      <c r="T972" s="524"/>
      <c r="U972" s="524"/>
      <c r="V972" s="524"/>
      <c r="W972" s="524"/>
      <c r="X972" s="524"/>
      <c r="Y972" s="524"/>
      <c r="Z972" s="524"/>
    </row>
    <row r="973" ht="13.5" customHeight="1">
      <c r="A973" s="524"/>
      <c r="B973" s="525"/>
      <c r="C973" s="524"/>
      <c r="D973" s="524"/>
      <c r="E973" s="524"/>
      <c r="F973" s="524"/>
      <c r="G973" s="524"/>
      <c r="H973" s="524"/>
      <c r="I973" s="524"/>
      <c r="J973" s="524"/>
      <c r="K973" s="524"/>
      <c r="L973" s="524"/>
      <c r="M973" s="524"/>
      <c r="N973" s="524"/>
      <c r="O973" s="524"/>
      <c r="P973" s="524"/>
      <c r="Q973" s="524"/>
      <c r="R973" s="524"/>
      <c r="S973" s="524"/>
      <c r="T973" s="524"/>
      <c r="U973" s="524"/>
      <c r="V973" s="524"/>
      <c r="W973" s="524"/>
      <c r="X973" s="524"/>
      <c r="Y973" s="524"/>
      <c r="Z973" s="524"/>
    </row>
    <row r="974" ht="13.5" customHeight="1">
      <c r="A974" s="524"/>
      <c r="B974" s="525"/>
      <c r="C974" s="524"/>
      <c r="D974" s="524"/>
      <c r="E974" s="524"/>
      <c r="F974" s="524"/>
      <c r="G974" s="524"/>
      <c r="H974" s="524"/>
      <c r="I974" s="524"/>
      <c r="J974" s="524"/>
      <c r="K974" s="524"/>
      <c r="L974" s="524"/>
      <c r="M974" s="524"/>
      <c r="N974" s="524"/>
      <c r="O974" s="524"/>
      <c r="P974" s="524"/>
      <c r="Q974" s="524"/>
      <c r="R974" s="524"/>
      <c r="S974" s="524"/>
      <c r="T974" s="524"/>
      <c r="U974" s="524"/>
      <c r="V974" s="524"/>
      <c r="W974" s="524"/>
      <c r="X974" s="524"/>
      <c r="Y974" s="524"/>
      <c r="Z974" s="524"/>
    </row>
    <row r="975" ht="13.5" customHeight="1">
      <c r="A975" s="524"/>
      <c r="B975" s="525"/>
      <c r="C975" s="524"/>
      <c r="D975" s="524"/>
      <c r="E975" s="524"/>
      <c r="F975" s="524"/>
      <c r="G975" s="524"/>
      <c r="H975" s="524"/>
      <c r="I975" s="524"/>
      <c r="J975" s="524"/>
      <c r="K975" s="524"/>
      <c r="L975" s="524"/>
      <c r="M975" s="524"/>
      <c r="N975" s="524"/>
      <c r="O975" s="524"/>
      <c r="P975" s="524"/>
      <c r="Q975" s="524"/>
      <c r="R975" s="524"/>
      <c r="S975" s="524"/>
      <c r="T975" s="524"/>
      <c r="U975" s="524"/>
      <c r="V975" s="524"/>
      <c r="W975" s="524"/>
      <c r="X975" s="524"/>
      <c r="Y975" s="524"/>
      <c r="Z975" s="524"/>
    </row>
    <row r="976" ht="13.5" customHeight="1">
      <c r="A976" s="524"/>
      <c r="B976" s="525"/>
      <c r="C976" s="524"/>
      <c r="D976" s="524"/>
      <c r="E976" s="524"/>
      <c r="F976" s="524"/>
      <c r="G976" s="524"/>
      <c r="H976" s="524"/>
      <c r="I976" s="524"/>
      <c r="J976" s="524"/>
      <c r="K976" s="524"/>
      <c r="L976" s="524"/>
      <c r="M976" s="524"/>
      <c r="N976" s="524"/>
      <c r="O976" s="524"/>
      <c r="P976" s="524"/>
      <c r="Q976" s="524"/>
      <c r="R976" s="524"/>
      <c r="S976" s="524"/>
      <c r="T976" s="524"/>
      <c r="U976" s="524"/>
      <c r="V976" s="524"/>
      <c r="W976" s="524"/>
      <c r="X976" s="524"/>
      <c r="Y976" s="524"/>
      <c r="Z976" s="524"/>
    </row>
    <row r="977" ht="13.5" customHeight="1">
      <c r="A977" s="524"/>
      <c r="B977" s="525"/>
      <c r="C977" s="524"/>
      <c r="D977" s="524"/>
      <c r="E977" s="524"/>
      <c r="F977" s="524"/>
      <c r="G977" s="524"/>
      <c r="H977" s="524"/>
      <c r="I977" s="524"/>
      <c r="J977" s="524"/>
      <c r="K977" s="524"/>
      <c r="L977" s="524"/>
      <c r="M977" s="524"/>
      <c r="N977" s="524"/>
      <c r="O977" s="524"/>
      <c r="P977" s="524"/>
      <c r="Q977" s="524"/>
      <c r="R977" s="524"/>
      <c r="S977" s="524"/>
      <c r="T977" s="524"/>
      <c r="U977" s="524"/>
      <c r="V977" s="524"/>
      <c r="W977" s="524"/>
      <c r="X977" s="524"/>
      <c r="Y977" s="524"/>
      <c r="Z977" s="524"/>
    </row>
    <row r="978" ht="13.5" customHeight="1">
      <c r="A978" s="524"/>
      <c r="B978" s="525"/>
      <c r="C978" s="524"/>
      <c r="D978" s="524"/>
      <c r="E978" s="524"/>
      <c r="F978" s="524"/>
      <c r="G978" s="524"/>
      <c r="H978" s="524"/>
      <c r="I978" s="524"/>
      <c r="J978" s="524"/>
      <c r="K978" s="524"/>
      <c r="L978" s="524"/>
      <c r="M978" s="524"/>
      <c r="N978" s="524"/>
      <c r="O978" s="524"/>
      <c r="P978" s="524"/>
      <c r="Q978" s="524"/>
      <c r="R978" s="524"/>
      <c r="S978" s="524"/>
      <c r="T978" s="524"/>
      <c r="U978" s="524"/>
      <c r="V978" s="524"/>
      <c r="W978" s="524"/>
      <c r="X978" s="524"/>
      <c r="Y978" s="524"/>
      <c r="Z978" s="524"/>
    </row>
    <row r="979" ht="13.5" customHeight="1">
      <c r="A979" s="524"/>
      <c r="B979" s="525"/>
      <c r="C979" s="524"/>
      <c r="D979" s="524"/>
      <c r="E979" s="524"/>
      <c r="F979" s="524"/>
      <c r="G979" s="524"/>
      <c r="H979" s="524"/>
      <c r="I979" s="524"/>
      <c r="J979" s="524"/>
      <c r="K979" s="524"/>
      <c r="L979" s="524"/>
      <c r="M979" s="524"/>
      <c r="N979" s="524"/>
      <c r="O979" s="524"/>
      <c r="P979" s="524"/>
      <c r="Q979" s="524"/>
      <c r="R979" s="524"/>
      <c r="S979" s="524"/>
      <c r="T979" s="524"/>
      <c r="U979" s="524"/>
      <c r="V979" s="524"/>
      <c r="W979" s="524"/>
      <c r="X979" s="524"/>
      <c r="Y979" s="524"/>
      <c r="Z979" s="524"/>
    </row>
    <row r="980" ht="13.5" customHeight="1">
      <c r="A980" s="524"/>
      <c r="B980" s="525"/>
      <c r="C980" s="524"/>
      <c r="D980" s="524"/>
      <c r="E980" s="524"/>
      <c r="F980" s="524"/>
      <c r="G980" s="524"/>
      <c r="H980" s="524"/>
      <c r="I980" s="524"/>
      <c r="J980" s="524"/>
      <c r="K980" s="524"/>
      <c r="L980" s="524"/>
      <c r="M980" s="524"/>
      <c r="N980" s="524"/>
      <c r="O980" s="524"/>
      <c r="P980" s="524"/>
      <c r="Q980" s="524"/>
      <c r="R980" s="524"/>
      <c r="S980" s="524"/>
      <c r="T980" s="524"/>
      <c r="U980" s="524"/>
      <c r="V980" s="524"/>
      <c r="W980" s="524"/>
      <c r="X980" s="524"/>
      <c r="Y980" s="524"/>
      <c r="Z980" s="524"/>
    </row>
    <row r="981" ht="13.5" customHeight="1">
      <c r="A981" s="524"/>
      <c r="B981" s="525"/>
      <c r="C981" s="524"/>
      <c r="D981" s="524"/>
      <c r="E981" s="524"/>
      <c r="F981" s="524"/>
      <c r="G981" s="524"/>
      <c r="H981" s="524"/>
      <c r="I981" s="524"/>
      <c r="J981" s="524"/>
      <c r="K981" s="524"/>
      <c r="L981" s="524"/>
      <c r="M981" s="524"/>
      <c r="N981" s="524"/>
      <c r="O981" s="524"/>
      <c r="P981" s="524"/>
      <c r="Q981" s="524"/>
      <c r="R981" s="524"/>
      <c r="S981" s="524"/>
      <c r="T981" s="524"/>
      <c r="U981" s="524"/>
      <c r="V981" s="524"/>
      <c r="W981" s="524"/>
      <c r="X981" s="524"/>
      <c r="Y981" s="524"/>
      <c r="Z981" s="524"/>
    </row>
    <row r="982" ht="13.5" customHeight="1">
      <c r="A982" s="524"/>
      <c r="B982" s="525"/>
      <c r="C982" s="524"/>
      <c r="D982" s="524"/>
      <c r="E982" s="524"/>
      <c r="F982" s="524"/>
      <c r="G982" s="524"/>
      <c r="H982" s="524"/>
      <c r="I982" s="524"/>
      <c r="J982" s="524"/>
      <c r="K982" s="524"/>
      <c r="L982" s="524"/>
      <c r="M982" s="524"/>
      <c r="N982" s="524"/>
      <c r="O982" s="524"/>
      <c r="P982" s="524"/>
      <c r="Q982" s="524"/>
      <c r="R982" s="524"/>
      <c r="S982" s="524"/>
      <c r="T982" s="524"/>
      <c r="U982" s="524"/>
      <c r="V982" s="524"/>
      <c r="W982" s="524"/>
      <c r="X982" s="524"/>
      <c r="Y982" s="524"/>
      <c r="Z982" s="524"/>
    </row>
    <row r="983" ht="13.5" customHeight="1">
      <c r="A983" s="524"/>
      <c r="B983" s="525"/>
      <c r="C983" s="524"/>
      <c r="D983" s="524"/>
      <c r="E983" s="524"/>
      <c r="F983" s="524"/>
      <c r="G983" s="524"/>
      <c r="H983" s="524"/>
      <c r="I983" s="524"/>
      <c r="J983" s="524"/>
      <c r="K983" s="524"/>
      <c r="L983" s="524"/>
      <c r="M983" s="524"/>
      <c r="N983" s="524"/>
      <c r="O983" s="524"/>
      <c r="P983" s="524"/>
      <c r="Q983" s="524"/>
      <c r="R983" s="524"/>
      <c r="S983" s="524"/>
      <c r="T983" s="524"/>
      <c r="U983" s="524"/>
      <c r="V983" s="524"/>
      <c r="W983" s="524"/>
      <c r="X983" s="524"/>
      <c r="Y983" s="524"/>
      <c r="Z983" s="524"/>
    </row>
    <row r="984" ht="13.5" customHeight="1">
      <c r="A984" s="524"/>
      <c r="B984" s="525"/>
      <c r="C984" s="524"/>
      <c r="D984" s="524"/>
      <c r="E984" s="524"/>
      <c r="F984" s="524"/>
      <c r="G984" s="524"/>
      <c r="H984" s="524"/>
      <c r="I984" s="524"/>
      <c r="J984" s="524"/>
      <c r="K984" s="524"/>
      <c r="L984" s="524"/>
      <c r="M984" s="524"/>
      <c r="N984" s="524"/>
      <c r="O984" s="524"/>
      <c r="P984" s="524"/>
      <c r="Q984" s="524"/>
      <c r="R984" s="524"/>
      <c r="S984" s="524"/>
      <c r="T984" s="524"/>
      <c r="U984" s="524"/>
      <c r="V984" s="524"/>
      <c r="W984" s="524"/>
      <c r="X984" s="524"/>
      <c r="Y984" s="524"/>
      <c r="Z984" s="524"/>
    </row>
    <row r="985" ht="13.5" customHeight="1">
      <c r="A985" s="524"/>
      <c r="B985" s="525"/>
      <c r="C985" s="524"/>
      <c r="D985" s="524"/>
      <c r="E985" s="524"/>
      <c r="F985" s="524"/>
      <c r="G985" s="524"/>
      <c r="H985" s="524"/>
      <c r="I985" s="524"/>
      <c r="J985" s="524"/>
      <c r="K985" s="524"/>
      <c r="L985" s="524"/>
      <c r="M985" s="524"/>
      <c r="N985" s="524"/>
      <c r="O985" s="524"/>
      <c r="P985" s="524"/>
      <c r="Q985" s="524"/>
      <c r="R985" s="524"/>
      <c r="S985" s="524"/>
      <c r="T985" s="524"/>
      <c r="U985" s="524"/>
      <c r="V985" s="524"/>
      <c r="W985" s="524"/>
      <c r="X985" s="524"/>
      <c r="Y985" s="524"/>
      <c r="Z985" s="524"/>
    </row>
    <row r="986" ht="13.5" customHeight="1">
      <c r="A986" s="524"/>
      <c r="B986" s="525"/>
      <c r="C986" s="524"/>
      <c r="D986" s="524"/>
      <c r="E986" s="524"/>
      <c r="F986" s="524"/>
      <c r="G986" s="524"/>
      <c r="H986" s="524"/>
      <c r="I986" s="524"/>
      <c r="J986" s="524"/>
      <c r="K986" s="524"/>
      <c r="L986" s="524"/>
      <c r="M986" s="524"/>
      <c r="N986" s="524"/>
      <c r="O986" s="524"/>
      <c r="P986" s="524"/>
      <c r="Q986" s="524"/>
      <c r="R986" s="524"/>
      <c r="S986" s="524"/>
      <c r="T986" s="524"/>
      <c r="U986" s="524"/>
      <c r="V986" s="524"/>
      <c r="W986" s="524"/>
      <c r="X986" s="524"/>
      <c r="Y986" s="524"/>
      <c r="Z986" s="524"/>
    </row>
    <row r="987" ht="13.5" customHeight="1">
      <c r="A987" s="524"/>
      <c r="B987" s="525"/>
      <c r="C987" s="524"/>
      <c r="D987" s="524"/>
      <c r="E987" s="524"/>
      <c r="F987" s="524"/>
      <c r="G987" s="524"/>
      <c r="H987" s="524"/>
      <c r="I987" s="524"/>
      <c r="J987" s="524"/>
      <c r="K987" s="524"/>
      <c r="L987" s="524"/>
      <c r="M987" s="524"/>
      <c r="N987" s="524"/>
      <c r="O987" s="524"/>
      <c r="P987" s="524"/>
      <c r="Q987" s="524"/>
      <c r="R987" s="524"/>
      <c r="S987" s="524"/>
      <c r="T987" s="524"/>
      <c r="U987" s="524"/>
      <c r="V987" s="524"/>
      <c r="W987" s="524"/>
      <c r="X987" s="524"/>
      <c r="Y987" s="524"/>
      <c r="Z987" s="524"/>
    </row>
    <row r="988" ht="13.5" customHeight="1">
      <c r="A988" s="524"/>
      <c r="B988" s="525"/>
      <c r="C988" s="524"/>
      <c r="D988" s="524"/>
      <c r="E988" s="524"/>
      <c r="F988" s="524"/>
      <c r="G988" s="524"/>
      <c r="H988" s="524"/>
      <c r="I988" s="524"/>
      <c r="J988" s="524"/>
      <c r="K988" s="524"/>
      <c r="L988" s="524"/>
      <c r="M988" s="524"/>
      <c r="N988" s="524"/>
      <c r="O988" s="524"/>
      <c r="P988" s="524"/>
      <c r="Q988" s="524"/>
      <c r="R988" s="524"/>
      <c r="S988" s="524"/>
      <c r="T988" s="524"/>
      <c r="U988" s="524"/>
      <c r="V988" s="524"/>
      <c r="W988" s="524"/>
      <c r="X988" s="524"/>
      <c r="Y988" s="524"/>
      <c r="Z988" s="524"/>
    </row>
    <row r="989" ht="13.5" customHeight="1">
      <c r="A989" s="524"/>
      <c r="B989" s="525"/>
      <c r="C989" s="524"/>
      <c r="D989" s="524"/>
      <c r="E989" s="524"/>
      <c r="F989" s="524"/>
      <c r="G989" s="524"/>
      <c r="H989" s="524"/>
      <c r="I989" s="524"/>
      <c r="J989" s="524"/>
      <c r="K989" s="524"/>
      <c r="L989" s="524"/>
      <c r="M989" s="524"/>
      <c r="N989" s="524"/>
      <c r="O989" s="524"/>
      <c r="P989" s="524"/>
      <c r="Q989" s="524"/>
      <c r="R989" s="524"/>
      <c r="S989" s="524"/>
      <c r="T989" s="524"/>
      <c r="U989" s="524"/>
      <c r="V989" s="524"/>
      <c r="W989" s="524"/>
      <c r="X989" s="524"/>
      <c r="Y989" s="524"/>
      <c r="Z989" s="524"/>
    </row>
    <row r="990" ht="13.5" customHeight="1">
      <c r="A990" s="524"/>
      <c r="B990" s="525"/>
      <c r="C990" s="524"/>
      <c r="D990" s="524"/>
      <c r="E990" s="524"/>
      <c r="F990" s="524"/>
      <c r="G990" s="524"/>
      <c r="H990" s="524"/>
      <c r="I990" s="524"/>
      <c r="J990" s="524"/>
      <c r="K990" s="524"/>
      <c r="L990" s="524"/>
      <c r="M990" s="524"/>
      <c r="N990" s="524"/>
      <c r="O990" s="524"/>
      <c r="P990" s="524"/>
      <c r="Q990" s="524"/>
      <c r="R990" s="524"/>
      <c r="S990" s="524"/>
      <c r="T990" s="524"/>
      <c r="U990" s="524"/>
      <c r="V990" s="524"/>
      <c r="W990" s="524"/>
      <c r="X990" s="524"/>
      <c r="Y990" s="524"/>
      <c r="Z990" s="524"/>
    </row>
    <row r="991" ht="13.5" customHeight="1">
      <c r="A991" s="524"/>
      <c r="B991" s="525"/>
      <c r="C991" s="524"/>
      <c r="D991" s="524"/>
      <c r="E991" s="524"/>
      <c r="F991" s="524"/>
      <c r="G991" s="524"/>
      <c r="H991" s="524"/>
      <c r="I991" s="524"/>
      <c r="J991" s="524"/>
      <c r="K991" s="524"/>
      <c r="L991" s="524"/>
      <c r="M991" s="524"/>
      <c r="N991" s="524"/>
      <c r="O991" s="524"/>
      <c r="P991" s="524"/>
      <c r="Q991" s="524"/>
      <c r="R991" s="524"/>
      <c r="S991" s="524"/>
      <c r="T991" s="524"/>
      <c r="U991" s="524"/>
      <c r="V991" s="524"/>
      <c r="W991" s="524"/>
      <c r="X991" s="524"/>
      <c r="Y991" s="524"/>
      <c r="Z991" s="524"/>
    </row>
    <row r="992" ht="13.5" customHeight="1">
      <c r="A992" s="524"/>
      <c r="B992" s="525"/>
      <c r="C992" s="524"/>
      <c r="D992" s="524"/>
      <c r="E992" s="524"/>
      <c r="F992" s="524"/>
      <c r="G992" s="524"/>
      <c r="H992" s="524"/>
      <c r="I992" s="524"/>
      <c r="J992" s="524"/>
      <c r="K992" s="524"/>
      <c r="L992" s="524"/>
      <c r="M992" s="524"/>
      <c r="N992" s="524"/>
      <c r="O992" s="524"/>
      <c r="P992" s="524"/>
      <c r="Q992" s="524"/>
      <c r="R992" s="524"/>
      <c r="S992" s="524"/>
      <c r="T992" s="524"/>
      <c r="U992" s="524"/>
      <c r="V992" s="524"/>
      <c r="W992" s="524"/>
      <c r="X992" s="524"/>
      <c r="Y992" s="524"/>
      <c r="Z992" s="524"/>
    </row>
    <row r="993" ht="13.5" customHeight="1">
      <c r="A993" s="524"/>
      <c r="B993" s="525"/>
      <c r="C993" s="524"/>
      <c r="D993" s="524"/>
      <c r="E993" s="524"/>
      <c r="F993" s="524"/>
      <c r="G993" s="524"/>
      <c r="H993" s="524"/>
      <c r="I993" s="524"/>
      <c r="J993" s="524"/>
      <c r="K993" s="524"/>
      <c r="L993" s="524"/>
      <c r="M993" s="524"/>
      <c r="N993" s="524"/>
      <c r="O993" s="524"/>
      <c r="P993" s="524"/>
      <c r="Q993" s="524"/>
      <c r="R993" s="524"/>
      <c r="S993" s="524"/>
      <c r="T993" s="524"/>
      <c r="U993" s="524"/>
      <c r="V993" s="524"/>
      <c r="W993" s="524"/>
      <c r="X993" s="524"/>
      <c r="Y993" s="524"/>
      <c r="Z993" s="524"/>
    </row>
    <row r="994" ht="13.5" customHeight="1">
      <c r="A994" s="524"/>
      <c r="B994" s="525"/>
      <c r="C994" s="524"/>
      <c r="D994" s="524"/>
      <c r="E994" s="524"/>
      <c r="F994" s="524"/>
      <c r="G994" s="524"/>
      <c r="H994" s="524"/>
      <c r="I994" s="524"/>
      <c r="J994" s="524"/>
      <c r="K994" s="524"/>
      <c r="L994" s="524"/>
      <c r="M994" s="524"/>
      <c r="N994" s="524"/>
      <c r="O994" s="524"/>
      <c r="P994" s="524"/>
      <c r="Q994" s="524"/>
      <c r="R994" s="524"/>
      <c r="S994" s="524"/>
      <c r="T994" s="524"/>
      <c r="U994" s="524"/>
      <c r="V994" s="524"/>
      <c r="W994" s="524"/>
      <c r="X994" s="524"/>
      <c r="Y994" s="524"/>
      <c r="Z994" s="524"/>
    </row>
    <row r="995" ht="13.5" customHeight="1">
      <c r="A995" s="524"/>
      <c r="B995" s="525"/>
      <c r="C995" s="524"/>
      <c r="D995" s="524"/>
      <c r="E995" s="524"/>
      <c r="F995" s="524"/>
      <c r="G995" s="524"/>
      <c r="H995" s="524"/>
      <c r="I995" s="524"/>
      <c r="J995" s="524"/>
      <c r="K995" s="524"/>
      <c r="L995" s="524"/>
      <c r="M995" s="524"/>
      <c r="N995" s="524"/>
      <c r="O995" s="524"/>
      <c r="P995" s="524"/>
      <c r="Q995" s="524"/>
      <c r="R995" s="524"/>
      <c r="S995" s="524"/>
      <c r="T995" s="524"/>
      <c r="U995" s="524"/>
      <c r="V995" s="524"/>
      <c r="W995" s="524"/>
      <c r="X995" s="524"/>
      <c r="Y995" s="524"/>
      <c r="Z995" s="524"/>
    </row>
    <row r="996" ht="13.5" customHeight="1">
      <c r="A996" s="524"/>
      <c r="B996" s="525"/>
      <c r="C996" s="524"/>
      <c r="D996" s="524"/>
      <c r="E996" s="524"/>
      <c r="F996" s="524"/>
      <c r="G996" s="524"/>
      <c r="H996" s="524"/>
      <c r="I996" s="524"/>
      <c r="J996" s="524"/>
      <c r="K996" s="524"/>
      <c r="L996" s="524"/>
      <c r="M996" s="524"/>
      <c r="N996" s="524"/>
      <c r="O996" s="524"/>
      <c r="P996" s="524"/>
      <c r="Q996" s="524"/>
      <c r="R996" s="524"/>
      <c r="S996" s="524"/>
      <c r="T996" s="524"/>
      <c r="U996" s="524"/>
      <c r="V996" s="524"/>
      <c r="W996" s="524"/>
      <c r="X996" s="524"/>
      <c r="Y996" s="524"/>
      <c r="Z996" s="524"/>
    </row>
    <row r="997" ht="13.5" customHeight="1">
      <c r="A997" s="524"/>
      <c r="B997" s="525"/>
      <c r="C997" s="524"/>
      <c r="D997" s="524"/>
      <c r="E997" s="524"/>
      <c r="F997" s="524"/>
      <c r="G997" s="524"/>
      <c r="H997" s="524"/>
      <c r="I997" s="524"/>
      <c r="J997" s="524"/>
      <c r="K997" s="524"/>
      <c r="L997" s="524"/>
      <c r="M997" s="524"/>
      <c r="N997" s="524"/>
      <c r="O997" s="524"/>
      <c r="P997" s="524"/>
      <c r="Q997" s="524"/>
      <c r="R997" s="524"/>
      <c r="S997" s="524"/>
      <c r="T997" s="524"/>
      <c r="U997" s="524"/>
      <c r="V997" s="524"/>
      <c r="W997" s="524"/>
      <c r="X997" s="524"/>
      <c r="Y997" s="524"/>
      <c r="Z997" s="524"/>
    </row>
    <row r="998" ht="13.5" customHeight="1">
      <c r="A998" s="524"/>
      <c r="B998" s="525"/>
      <c r="C998" s="524"/>
      <c r="D998" s="524"/>
      <c r="E998" s="524"/>
      <c r="F998" s="524"/>
      <c r="G998" s="524"/>
      <c r="H998" s="524"/>
      <c r="I998" s="524"/>
      <c r="J998" s="524"/>
      <c r="K998" s="524"/>
      <c r="L998" s="524"/>
      <c r="M998" s="524"/>
      <c r="N998" s="524"/>
      <c r="O998" s="524"/>
      <c r="P998" s="524"/>
      <c r="Q998" s="524"/>
      <c r="R998" s="524"/>
      <c r="S998" s="524"/>
      <c r="T998" s="524"/>
      <c r="U998" s="524"/>
      <c r="V998" s="524"/>
      <c r="W998" s="524"/>
      <c r="X998" s="524"/>
      <c r="Y998" s="524"/>
      <c r="Z998" s="524"/>
    </row>
    <row r="999" ht="13.5" customHeight="1">
      <c r="A999" s="524"/>
      <c r="B999" s="525"/>
      <c r="C999" s="524"/>
      <c r="D999" s="524"/>
      <c r="E999" s="524"/>
      <c r="F999" s="524"/>
      <c r="G999" s="524"/>
      <c r="H999" s="524"/>
      <c r="I999" s="524"/>
      <c r="J999" s="524"/>
      <c r="K999" s="524"/>
      <c r="L999" s="524"/>
      <c r="M999" s="524"/>
      <c r="N999" s="524"/>
      <c r="O999" s="524"/>
      <c r="P999" s="524"/>
      <c r="Q999" s="524"/>
      <c r="R999" s="524"/>
      <c r="S999" s="524"/>
      <c r="T999" s="524"/>
      <c r="U999" s="524"/>
      <c r="V999" s="524"/>
      <c r="W999" s="524"/>
      <c r="X999" s="524"/>
      <c r="Y999" s="524"/>
      <c r="Z999" s="524"/>
    </row>
    <row r="1000" ht="13.5" customHeight="1">
      <c r="A1000" s="524"/>
      <c r="B1000" s="525"/>
      <c r="C1000" s="524"/>
      <c r="D1000" s="524"/>
      <c r="E1000" s="524"/>
      <c r="F1000" s="524"/>
      <c r="G1000" s="524"/>
      <c r="H1000" s="524"/>
      <c r="I1000" s="524"/>
      <c r="J1000" s="524"/>
      <c r="K1000" s="524"/>
      <c r="L1000" s="524"/>
      <c r="M1000" s="524"/>
      <c r="N1000" s="524"/>
      <c r="O1000" s="524"/>
      <c r="P1000" s="524"/>
      <c r="Q1000" s="524"/>
      <c r="R1000" s="524"/>
      <c r="S1000" s="524"/>
      <c r="T1000" s="524"/>
      <c r="U1000" s="524"/>
      <c r="V1000" s="524"/>
      <c r="W1000" s="524"/>
      <c r="X1000" s="524"/>
      <c r="Y1000" s="524"/>
      <c r="Z1000" s="52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0"/>
    <col customWidth="1" min="3" max="3" width="22.29"/>
    <col customWidth="1" min="4" max="26" width="9.0"/>
  </cols>
  <sheetData>
    <row r="1" ht="14.25" customHeight="1">
      <c r="A1" s="540"/>
      <c r="B1" s="541" t="s">
        <v>3901</v>
      </c>
      <c r="C1" s="541" t="s">
        <v>3902</v>
      </c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0"/>
    </row>
    <row r="2" ht="14.25" customHeight="1">
      <c r="A2" s="540"/>
      <c r="B2" s="542" t="s">
        <v>100</v>
      </c>
      <c r="C2" s="77">
        <v>17.0</v>
      </c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0"/>
    </row>
    <row r="3" ht="14.25" customHeight="1">
      <c r="A3" s="540"/>
      <c r="B3" s="543" t="s">
        <v>126</v>
      </c>
      <c r="C3" s="544">
        <v>21.0</v>
      </c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</row>
    <row r="4" ht="14.25" customHeight="1">
      <c r="A4" s="540"/>
      <c r="B4" s="542" t="s">
        <v>149</v>
      </c>
      <c r="C4" s="77" t="s">
        <v>3903</v>
      </c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</row>
    <row r="5" ht="14.25" customHeight="1">
      <c r="A5" s="540"/>
      <c r="B5" s="264" t="s">
        <v>185</v>
      </c>
      <c r="C5" s="544">
        <v>91.0</v>
      </c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  <c r="V5" s="540"/>
      <c r="W5" s="540"/>
      <c r="X5" s="540"/>
      <c r="Y5" s="540"/>
      <c r="Z5" s="540"/>
    </row>
    <row r="6" ht="14.25" customHeight="1">
      <c r="A6" s="540"/>
      <c r="B6" s="264" t="s">
        <v>1956</v>
      </c>
      <c r="C6" s="77">
        <v>92.0</v>
      </c>
      <c r="D6" s="540"/>
      <c r="E6" s="540"/>
      <c r="F6" s="540"/>
      <c r="G6" s="540"/>
      <c r="H6" s="540"/>
      <c r="I6" s="540"/>
      <c r="J6" s="540"/>
      <c r="K6" s="540"/>
      <c r="L6" s="540"/>
      <c r="M6" s="540"/>
      <c r="N6" s="540"/>
      <c r="O6" s="540"/>
      <c r="P6" s="540"/>
      <c r="Q6" s="540"/>
      <c r="R6" s="540"/>
      <c r="S6" s="540"/>
      <c r="T6" s="540"/>
      <c r="U6" s="540"/>
      <c r="V6" s="540"/>
      <c r="W6" s="540"/>
      <c r="X6" s="540"/>
      <c r="Y6" s="540"/>
      <c r="Z6" s="540"/>
    </row>
    <row r="7" ht="14.25" customHeight="1">
      <c r="A7" s="540"/>
      <c r="B7" s="264" t="s">
        <v>2156</v>
      </c>
      <c r="C7" s="544" t="s">
        <v>3904</v>
      </c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  <c r="V7" s="540"/>
      <c r="W7" s="540"/>
      <c r="X7" s="540"/>
      <c r="Y7" s="540"/>
      <c r="Z7" s="540"/>
    </row>
    <row r="8" ht="14.25" customHeight="1">
      <c r="A8" s="540"/>
      <c r="B8" s="264" t="s">
        <v>2242</v>
      </c>
      <c r="C8" s="545" t="s">
        <v>3905</v>
      </c>
      <c r="D8" s="540"/>
      <c r="E8" s="540"/>
      <c r="F8" s="540"/>
      <c r="G8" s="540"/>
      <c r="H8" s="540"/>
      <c r="I8" s="540"/>
      <c r="J8" s="540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0"/>
      <c r="V8" s="540"/>
      <c r="W8" s="540"/>
      <c r="X8" s="540"/>
      <c r="Y8" s="540"/>
      <c r="Z8" s="540"/>
    </row>
    <row r="9" ht="14.25" customHeight="1">
      <c r="A9" s="540"/>
      <c r="B9" s="540"/>
      <c r="C9" s="540"/>
      <c r="D9" s="540"/>
      <c r="E9" s="540"/>
      <c r="F9" s="540"/>
      <c r="G9" s="540"/>
      <c r="H9" s="540"/>
      <c r="I9" s="540"/>
      <c r="J9" s="540"/>
      <c r="K9" s="540"/>
      <c r="L9" s="540"/>
      <c r="M9" s="540"/>
      <c r="N9" s="540"/>
      <c r="O9" s="540"/>
      <c r="P9" s="540"/>
      <c r="Q9" s="540"/>
      <c r="R9" s="540"/>
      <c r="S9" s="540"/>
      <c r="T9" s="540"/>
      <c r="U9" s="540"/>
      <c r="V9" s="540"/>
      <c r="W9" s="540"/>
      <c r="X9" s="540"/>
      <c r="Y9" s="540"/>
      <c r="Z9" s="540"/>
    </row>
    <row r="10" ht="14.25" customHeight="1">
      <c r="A10" s="540"/>
      <c r="B10" s="540"/>
      <c r="C10" s="540"/>
      <c r="D10" s="540"/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0"/>
      <c r="R10" s="540"/>
      <c r="S10" s="540"/>
      <c r="T10" s="540"/>
      <c r="U10" s="540"/>
      <c r="V10" s="540"/>
      <c r="W10" s="540"/>
      <c r="X10" s="540"/>
      <c r="Y10" s="540"/>
      <c r="Z10" s="540"/>
    </row>
    <row r="11" ht="14.25" customHeight="1">
      <c r="A11" s="540"/>
      <c r="B11" s="540"/>
      <c r="C11" s="540"/>
      <c r="D11" s="540"/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0"/>
      <c r="T11" s="540"/>
      <c r="U11" s="540"/>
      <c r="V11" s="540"/>
      <c r="W11" s="540"/>
      <c r="X11" s="540"/>
      <c r="Y11" s="540"/>
      <c r="Z11" s="540"/>
    </row>
    <row r="12" ht="14.25" customHeight="1">
      <c r="A12" s="540"/>
      <c r="B12" s="540"/>
      <c r="C12" s="540"/>
      <c r="D12" s="540"/>
      <c r="E12" s="540"/>
      <c r="F12" s="540"/>
      <c r="G12" s="540"/>
      <c r="H12" s="540"/>
      <c r="I12" s="540"/>
      <c r="J12" s="540"/>
      <c r="K12" s="540"/>
      <c r="L12" s="540"/>
      <c r="M12" s="540"/>
      <c r="N12" s="540"/>
      <c r="O12" s="540"/>
      <c r="P12" s="540"/>
      <c r="Q12" s="540"/>
      <c r="R12" s="540"/>
      <c r="S12" s="540"/>
      <c r="T12" s="540"/>
      <c r="U12" s="540"/>
      <c r="V12" s="540"/>
      <c r="W12" s="540"/>
      <c r="X12" s="540"/>
      <c r="Y12" s="540"/>
      <c r="Z12" s="540"/>
    </row>
    <row r="13" ht="14.25" customHeight="1">
      <c r="A13" s="540"/>
      <c r="B13" s="540"/>
      <c r="C13" s="540"/>
      <c r="D13" s="540"/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0"/>
    </row>
    <row r="14" ht="14.25" customHeight="1">
      <c r="A14" s="540"/>
      <c r="B14" s="540"/>
      <c r="C14" s="540"/>
      <c r="D14" s="540"/>
      <c r="E14" s="540"/>
      <c r="F14" s="540"/>
      <c r="G14" s="540"/>
      <c r="H14" s="540"/>
      <c r="I14" s="540"/>
      <c r="J14" s="540"/>
      <c r="K14" s="540"/>
      <c r="L14" s="540"/>
      <c r="M14" s="540"/>
      <c r="N14" s="540"/>
      <c r="O14" s="540"/>
      <c r="P14" s="540"/>
      <c r="Q14" s="540"/>
      <c r="R14" s="540"/>
      <c r="S14" s="540"/>
      <c r="T14" s="540"/>
      <c r="U14" s="540"/>
      <c r="V14" s="540"/>
      <c r="W14" s="540"/>
      <c r="X14" s="540"/>
      <c r="Y14" s="540"/>
      <c r="Z14" s="540"/>
    </row>
    <row r="15" ht="14.25" customHeight="1">
      <c r="A15" s="540"/>
      <c r="B15" s="540"/>
      <c r="C15" s="540"/>
      <c r="D15" s="540"/>
      <c r="E15" s="540"/>
      <c r="F15" s="540"/>
      <c r="G15" s="540"/>
      <c r="H15" s="540"/>
      <c r="I15" s="540"/>
      <c r="J15" s="540"/>
      <c r="K15" s="540"/>
      <c r="L15" s="540"/>
      <c r="M15" s="540"/>
      <c r="N15" s="540"/>
      <c r="O15" s="540"/>
      <c r="P15" s="540"/>
      <c r="Q15" s="540"/>
      <c r="R15" s="540"/>
      <c r="S15" s="540"/>
      <c r="T15" s="540"/>
      <c r="U15" s="540"/>
      <c r="V15" s="540"/>
      <c r="W15" s="540"/>
      <c r="X15" s="540"/>
      <c r="Y15" s="540"/>
      <c r="Z15" s="540"/>
    </row>
    <row r="16" ht="14.25" customHeight="1">
      <c r="A16" s="540"/>
      <c r="B16" s="540"/>
      <c r="C16" s="540"/>
      <c r="D16" s="540"/>
      <c r="E16" s="540"/>
      <c r="F16" s="540"/>
      <c r="G16" s="540"/>
      <c r="H16" s="540"/>
      <c r="I16" s="540"/>
      <c r="J16" s="540"/>
      <c r="K16" s="540"/>
      <c r="L16" s="540"/>
      <c r="M16" s="540"/>
      <c r="N16" s="540"/>
      <c r="O16" s="540"/>
      <c r="P16" s="540"/>
      <c r="Q16" s="540"/>
      <c r="R16" s="540"/>
      <c r="S16" s="540"/>
      <c r="T16" s="540"/>
      <c r="U16" s="540"/>
      <c r="V16" s="540"/>
      <c r="W16" s="540"/>
      <c r="X16" s="540"/>
      <c r="Y16" s="540"/>
      <c r="Z16" s="540"/>
    </row>
    <row r="17" ht="14.25" customHeight="1">
      <c r="A17" s="540"/>
      <c r="B17" s="540"/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  <c r="W17" s="540"/>
      <c r="X17" s="540"/>
      <c r="Y17" s="540"/>
      <c r="Z17" s="540"/>
    </row>
    <row r="18" ht="14.25" customHeight="1">
      <c r="A18" s="540"/>
      <c r="B18" s="540"/>
      <c r="C18" s="540"/>
      <c r="D18" s="540"/>
      <c r="E18" s="540"/>
      <c r="F18" s="540"/>
      <c r="G18" s="540"/>
      <c r="H18" s="540"/>
      <c r="I18" s="540"/>
      <c r="J18" s="540"/>
      <c r="K18" s="540"/>
      <c r="L18" s="540"/>
      <c r="M18" s="540"/>
      <c r="N18" s="540"/>
      <c r="O18" s="540"/>
      <c r="P18" s="540"/>
      <c r="Q18" s="540"/>
      <c r="R18" s="540"/>
      <c r="S18" s="540"/>
      <c r="T18" s="540"/>
      <c r="U18" s="540"/>
      <c r="V18" s="540"/>
      <c r="W18" s="540"/>
      <c r="X18" s="540"/>
      <c r="Y18" s="540"/>
      <c r="Z18" s="540"/>
    </row>
    <row r="19" ht="14.25" customHeight="1">
      <c r="A19" s="540"/>
      <c r="B19" s="540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0"/>
      <c r="W19" s="540"/>
      <c r="X19" s="540"/>
      <c r="Y19" s="540"/>
      <c r="Z19" s="540"/>
    </row>
    <row r="20" ht="14.25" customHeight="1">
      <c r="A20" s="540"/>
      <c r="B20" s="540"/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40"/>
      <c r="Q20" s="540"/>
      <c r="R20" s="540"/>
      <c r="S20" s="540"/>
      <c r="T20" s="540"/>
      <c r="U20" s="540"/>
      <c r="V20" s="540"/>
      <c r="W20" s="540"/>
      <c r="X20" s="540"/>
      <c r="Y20" s="540"/>
      <c r="Z20" s="540"/>
    </row>
    <row r="21" ht="14.25" customHeight="1">
      <c r="A21" s="540"/>
      <c r="B21" s="540"/>
      <c r="C21" s="540"/>
      <c r="D21" s="540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540"/>
      <c r="P21" s="540"/>
      <c r="Q21" s="540"/>
      <c r="R21" s="540"/>
      <c r="S21" s="540"/>
      <c r="T21" s="540"/>
      <c r="U21" s="540"/>
      <c r="V21" s="540"/>
      <c r="W21" s="540"/>
      <c r="X21" s="540"/>
      <c r="Y21" s="540"/>
      <c r="Z21" s="540"/>
    </row>
    <row r="22" ht="14.25" customHeight="1">
      <c r="A22" s="540"/>
      <c r="B22" s="540"/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40"/>
      <c r="W22" s="540"/>
      <c r="X22" s="540"/>
      <c r="Y22" s="540"/>
      <c r="Z22" s="540"/>
    </row>
    <row r="23" ht="14.25" customHeight="1">
      <c r="A23" s="540"/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0"/>
      <c r="N23" s="540"/>
      <c r="O23" s="540"/>
      <c r="P23" s="540"/>
      <c r="Q23" s="540"/>
      <c r="R23" s="540"/>
      <c r="S23" s="540"/>
      <c r="T23" s="540"/>
      <c r="U23" s="540"/>
      <c r="V23" s="540"/>
      <c r="W23" s="540"/>
      <c r="X23" s="540"/>
      <c r="Y23" s="540"/>
      <c r="Z23" s="540"/>
    </row>
    <row r="24" ht="14.25" customHeight="1">
      <c r="A24" s="540"/>
      <c r="B24" s="540"/>
      <c r="C24" s="540"/>
      <c r="D24" s="540"/>
      <c r="E24" s="540"/>
      <c r="F24" s="540"/>
      <c r="G24" s="540"/>
      <c r="H24" s="540"/>
      <c r="I24" s="540"/>
      <c r="J24" s="540"/>
      <c r="K24" s="540"/>
      <c r="L24" s="540"/>
      <c r="M24" s="540"/>
      <c r="N24" s="540"/>
      <c r="O24" s="540"/>
      <c r="P24" s="540"/>
      <c r="Q24" s="540"/>
      <c r="R24" s="540"/>
      <c r="S24" s="540"/>
      <c r="T24" s="540"/>
      <c r="U24" s="540"/>
      <c r="V24" s="540"/>
      <c r="W24" s="540"/>
      <c r="X24" s="540"/>
      <c r="Y24" s="540"/>
      <c r="Z24" s="540"/>
    </row>
    <row r="25" ht="14.25" customHeight="1">
      <c r="A25" s="540"/>
      <c r="B25" s="540"/>
      <c r="C25" s="540"/>
      <c r="D25" s="540"/>
      <c r="E25" s="540"/>
      <c r="F25" s="540"/>
      <c r="G25" s="540"/>
      <c r="H25" s="540"/>
      <c r="I25" s="540"/>
      <c r="J25" s="540"/>
      <c r="K25" s="540"/>
      <c r="L25" s="540"/>
      <c r="M25" s="540"/>
      <c r="N25" s="540"/>
      <c r="O25" s="540"/>
      <c r="P25" s="540"/>
      <c r="Q25" s="540"/>
      <c r="R25" s="540"/>
      <c r="S25" s="540"/>
      <c r="T25" s="540"/>
      <c r="U25" s="540"/>
      <c r="V25" s="540"/>
      <c r="W25" s="540"/>
      <c r="X25" s="540"/>
      <c r="Y25" s="540"/>
      <c r="Z25" s="540"/>
    </row>
    <row r="26" ht="14.25" customHeight="1">
      <c r="A26" s="540"/>
      <c r="B26" s="540"/>
      <c r="C26" s="540"/>
      <c r="D26" s="540"/>
      <c r="E26" s="540"/>
      <c r="F26" s="540"/>
      <c r="G26" s="540"/>
      <c r="H26" s="540"/>
      <c r="I26" s="540"/>
      <c r="J26" s="540"/>
      <c r="K26" s="540"/>
      <c r="L26" s="540"/>
      <c r="M26" s="540"/>
      <c r="N26" s="540"/>
      <c r="O26" s="540"/>
      <c r="P26" s="540"/>
      <c r="Q26" s="540"/>
      <c r="R26" s="540"/>
      <c r="S26" s="540"/>
      <c r="T26" s="540"/>
      <c r="U26" s="540"/>
      <c r="V26" s="540"/>
      <c r="W26" s="540"/>
      <c r="X26" s="540"/>
      <c r="Y26" s="540"/>
      <c r="Z26" s="540"/>
    </row>
    <row r="27" ht="14.25" customHeight="1">
      <c r="A27" s="540"/>
      <c r="B27" s="540"/>
      <c r="C27" s="540"/>
      <c r="D27" s="540"/>
      <c r="E27" s="540"/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  <c r="W27" s="540"/>
      <c r="X27" s="540"/>
      <c r="Y27" s="540"/>
      <c r="Z27" s="540"/>
    </row>
    <row r="28" ht="14.25" customHeight="1">
      <c r="A28" s="540"/>
      <c r="B28" s="540"/>
      <c r="C28" s="540"/>
      <c r="D28" s="540"/>
      <c r="E28" s="540"/>
      <c r="F28" s="540"/>
      <c r="G28" s="540"/>
      <c r="H28" s="540"/>
      <c r="I28" s="540"/>
      <c r="J28" s="540"/>
      <c r="K28" s="540"/>
      <c r="L28" s="540"/>
      <c r="M28" s="540"/>
      <c r="N28" s="540"/>
      <c r="O28" s="540"/>
      <c r="P28" s="540"/>
      <c r="Q28" s="540"/>
      <c r="R28" s="540"/>
      <c r="S28" s="540"/>
      <c r="T28" s="540"/>
      <c r="U28" s="540"/>
      <c r="V28" s="540"/>
      <c r="W28" s="540"/>
      <c r="X28" s="540"/>
      <c r="Y28" s="540"/>
      <c r="Z28" s="540"/>
    </row>
    <row r="29" ht="14.25" customHeight="1">
      <c r="A29" s="540"/>
      <c r="B29" s="540"/>
      <c r="C29" s="540"/>
      <c r="D29" s="540"/>
      <c r="E29" s="540"/>
      <c r="F29" s="540"/>
      <c r="G29" s="540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0"/>
      <c r="V29" s="540"/>
      <c r="W29" s="540"/>
      <c r="X29" s="540"/>
      <c r="Y29" s="540"/>
      <c r="Z29" s="540"/>
    </row>
    <row r="30" ht="14.25" customHeight="1">
      <c r="A30" s="540"/>
      <c r="B30" s="540"/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0"/>
      <c r="V30" s="540"/>
      <c r="W30" s="540"/>
      <c r="X30" s="540"/>
      <c r="Y30" s="540"/>
      <c r="Z30" s="540"/>
    </row>
    <row r="31" ht="14.25" customHeight="1">
      <c r="A31" s="540"/>
      <c r="B31" s="540"/>
      <c r="C31" s="540"/>
      <c r="D31" s="540"/>
      <c r="E31" s="540"/>
      <c r="F31" s="540"/>
      <c r="G31" s="540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0"/>
      <c r="S31" s="540"/>
      <c r="T31" s="540"/>
      <c r="U31" s="540"/>
      <c r="V31" s="540"/>
      <c r="W31" s="540"/>
      <c r="X31" s="540"/>
      <c r="Y31" s="540"/>
      <c r="Z31" s="540"/>
    </row>
    <row r="32" ht="14.25" customHeight="1">
      <c r="A32" s="540"/>
      <c r="B32" s="540"/>
      <c r="C32" s="540"/>
      <c r="D32" s="540"/>
      <c r="E32" s="540"/>
      <c r="F32" s="540"/>
      <c r="G32" s="540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0"/>
      <c r="V32" s="540"/>
      <c r="W32" s="540"/>
      <c r="X32" s="540"/>
      <c r="Y32" s="540"/>
      <c r="Z32" s="540"/>
    </row>
    <row r="33" ht="14.25" customHeight="1">
      <c r="A33" s="540"/>
      <c r="B33" s="540"/>
      <c r="C33" s="540"/>
      <c r="D33" s="540"/>
      <c r="E33" s="540"/>
      <c r="F33" s="540"/>
      <c r="G33" s="540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0"/>
      <c r="T33" s="540"/>
      <c r="U33" s="540"/>
      <c r="V33" s="540"/>
      <c r="W33" s="540"/>
      <c r="X33" s="540"/>
      <c r="Y33" s="540"/>
      <c r="Z33" s="540"/>
    </row>
    <row r="34" ht="14.25" customHeight="1">
      <c r="A34" s="540"/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0"/>
      <c r="X34" s="540"/>
      <c r="Y34" s="540"/>
      <c r="Z34" s="540"/>
    </row>
    <row r="35" ht="14.25" customHeight="1">
      <c r="A35" s="540"/>
      <c r="B35" s="540"/>
      <c r="C35" s="540"/>
      <c r="D35" s="540"/>
      <c r="E35" s="540"/>
      <c r="F35" s="540"/>
      <c r="G35" s="540"/>
      <c r="H35" s="540"/>
      <c r="I35" s="540"/>
      <c r="J35" s="540"/>
      <c r="K35" s="540"/>
      <c r="L35" s="540"/>
      <c r="M35" s="540"/>
      <c r="N35" s="540"/>
      <c r="O35" s="540"/>
      <c r="P35" s="540"/>
      <c r="Q35" s="540"/>
      <c r="R35" s="540"/>
      <c r="S35" s="540"/>
      <c r="T35" s="540"/>
      <c r="U35" s="540"/>
      <c r="V35" s="540"/>
      <c r="W35" s="540"/>
      <c r="X35" s="540"/>
      <c r="Y35" s="540"/>
      <c r="Z35" s="540"/>
    </row>
    <row r="36" ht="14.25" customHeight="1">
      <c r="A36" s="540"/>
      <c r="B36" s="540"/>
      <c r="C36" s="540"/>
      <c r="D36" s="540"/>
      <c r="E36" s="540"/>
      <c r="F36" s="540"/>
      <c r="G36" s="540"/>
      <c r="H36" s="540"/>
      <c r="I36" s="540"/>
      <c r="J36" s="540"/>
      <c r="K36" s="540"/>
      <c r="L36" s="540"/>
      <c r="M36" s="540"/>
      <c r="N36" s="540"/>
      <c r="O36" s="540"/>
      <c r="P36" s="540"/>
      <c r="Q36" s="540"/>
      <c r="R36" s="540"/>
      <c r="S36" s="540"/>
      <c r="T36" s="540"/>
      <c r="U36" s="540"/>
      <c r="V36" s="540"/>
      <c r="W36" s="540"/>
      <c r="X36" s="540"/>
      <c r="Y36" s="540"/>
      <c r="Z36" s="540"/>
    </row>
    <row r="37" ht="14.25" customHeight="1">
      <c r="A37" s="540"/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  <c r="M37" s="540"/>
      <c r="N37" s="540"/>
      <c r="O37" s="540"/>
      <c r="P37" s="540"/>
      <c r="Q37" s="540"/>
      <c r="R37" s="540"/>
      <c r="S37" s="540"/>
      <c r="T37" s="540"/>
      <c r="U37" s="540"/>
      <c r="V37" s="540"/>
      <c r="W37" s="540"/>
      <c r="X37" s="540"/>
      <c r="Y37" s="540"/>
      <c r="Z37" s="540"/>
    </row>
    <row r="38" ht="14.25" customHeight="1">
      <c r="A38" s="540"/>
      <c r="B38" s="540"/>
      <c r="C38" s="540"/>
      <c r="D38" s="540"/>
      <c r="E38" s="540"/>
      <c r="F38" s="540"/>
      <c r="G38" s="540"/>
      <c r="H38" s="540"/>
      <c r="I38" s="540"/>
      <c r="J38" s="540"/>
      <c r="K38" s="540"/>
      <c r="L38" s="540"/>
      <c r="M38" s="540"/>
      <c r="N38" s="540"/>
      <c r="O38" s="540"/>
      <c r="P38" s="540"/>
      <c r="Q38" s="540"/>
      <c r="R38" s="540"/>
      <c r="S38" s="540"/>
      <c r="T38" s="540"/>
      <c r="U38" s="540"/>
      <c r="V38" s="540"/>
      <c r="W38" s="540"/>
      <c r="X38" s="540"/>
      <c r="Y38" s="540"/>
      <c r="Z38" s="540"/>
    </row>
    <row r="39" ht="14.25" customHeight="1">
      <c r="A39" s="540"/>
      <c r="B39" s="540"/>
      <c r="C39" s="540"/>
      <c r="D39" s="540"/>
      <c r="E39" s="540"/>
      <c r="F39" s="540"/>
      <c r="G39" s="540"/>
      <c r="H39" s="540"/>
      <c r="I39" s="540"/>
      <c r="J39" s="540"/>
      <c r="K39" s="540"/>
      <c r="L39" s="540"/>
      <c r="M39" s="540"/>
      <c r="N39" s="540"/>
      <c r="O39" s="540"/>
      <c r="P39" s="540"/>
      <c r="Q39" s="540"/>
      <c r="R39" s="540"/>
      <c r="S39" s="540"/>
      <c r="T39" s="540"/>
      <c r="U39" s="540"/>
      <c r="V39" s="540"/>
      <c r="W39" s="540"/>
      <c r="X39" s="540"/>
      <c r="Y39" s="540"/>
      <c r="Z39" s="540"/>
    </row>
    <row r="40" ht="14.25" customHeight="1">
      <c r="A40" s="540"/>
      <c r="B40" s="540"/>
      <c r="C40" s="540"/>
      <c r="D40" s="540"/>
      <c r="E40" s="540"/>
      <c r="F40" s="540"/>
      <c r="G40" s="540"/>
      <c r="H40" s="540"/>
      <c r="I40" s="540"/>
      <c r="J40" s="540"/>
      <c r="K40" s="540"/>
      <c r="L40" s="540"/>
      <c r="M40" s="540"/>
      <c r="N40" s="540"/>
      <c r="O40" s="540"/>
      <c r="P40" s="540"/>
      <c r="Q40" s="540"/>
      <c r="R40" s="540"/>
      <c r="S40" s="540"/>
      <c r="T40" s="540"/>
      <c r="U40" s="540"/>
      <c r="V40" s="540"/>
      <c r="W40" s="540"/>
      <c r="X40" s="540"/>
      <c r="Y40" s="540"/>
      <c r="Z40" s="540"/>
    </row>
    <row r="41" ht="14.25" customHeight="1">
      <c r="A41" s="540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0"/>
      <c r="U41" s="540"/>
      <c r="V41" s="540"/>
      <c r="W41" s="540"/>
      <c r="X41" s="540"/>
      <c r="Y41" s="540"/>
      <c r="Z41" s="540"/>
    </row>
    <row r="42" ht="14.25" customHeight="1">
      <c r="A42" s="540"/>
      <c r="B42" s="540"/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0"/>
      <c r="N42" s="540"/>
      <c r="O42" s="540"/>
      <c r="P42" s="540"/>
      <c r="Q42" s="540"/>
      <c r="R42" s="540"/>
      <c r="S42" s="540"/>
      <c r="T42" s="540"/>
      <c r="U42" s="540"/>
      <c r="V42" s="540"/>
      <c r="W42" s="540"/>
      <c r="X42" s="540"/>
      <c r="Y42" s="540"/>
      <c r="Z42" s="540"/>
    </row>
    <row r="43" ht="14.25" customHeight="1">
      <c r="A43" s="540"/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0"/>
      <c r="N43" s="540"/>
      <c r="O43" s="540"/>
      <c r="P43" s="540"/>
      <c r="Q43" s="540"/>
      <c r="R43" s="540"/>
      <c r="S43" s="540"/>
      <c r="T43" s="540"/>
      <c r="U43" s="540"/>
      <c r="V43" s="540"/>
      <c r="W43" s="540"/>
      <c r="X43" s="540"/>
      <c r="Y43" s="540"/>
      <c r="Z43" s="540"/>
    </row>
    <row r="44" ht="14.25" customHeight="1">
      <c r="A44" s="540"/>
      <c r="B44" s="540"/>
      <c r="C44" s="540"/>
      <c r="D44" s="540"/>
      <c r="E44" s="540"/>
      <c r="F44" s="540"/>
      <c r="G44" s="540"/>
      <c r="H44" s="540"/>
      <c r="I44" s="540"/>
      <c r="J44" s="540"/>
      <c r="K44" s="540"/>
      <c r="L44" s="540"/>
      <c r="M44" s="540"/>
      <c r="N44" s="540"/>
      <c r="O44" s="540"/>
      <c r="P44" s="540"/>
      <c r="Q44" s="540"/>
      <c r="R44" s="540"/>
      <c r="S44" s="540"/>
      <c r="T44" s="540"/>
      <c r="U44" s="540"/>
      <c r="V44" s="540"/>
      <c r="W44" s="540"/>
      <c r="X44" s="540"/>
      <c r="Y44" s="540"/>
      <c r="Z44" s="540"/>
    </row>
    <row r="45" ht="14.25" customHeight="1">
      <c r="A45" s="540"/>
      <c r="B45" s="540"/>
      <c r="C45" s="540"/>
      <c r="D45" s="540"/>
      <c r="E45" s="540"/>
      <c r="F45" s="540"/>
      <c r="G45" s="540"/>
      <c r="H45" s="540"/>
      <c r="I45" s="540"/>
      <c r="J45" s="540"/>
      <c r="K45" s="540"/>
      <c r="L45" s="540"/>
      <c r="M45" s="540"/>
      <c r="N45" s="540"/>
      <c r="O45" s="540"/>
      <c r="P45" s="540"/>
      <c r="Q45" s="540"/>
      <c r="R45" s="540"/>
      <c r="S45" s="540"/>
      <c r="T45" s="540"/>
      <c r="U45" s="540"/>
      <c r="V45" s="540"/>
      <c r="W45" s="540"/>
      <c r="X45" s="540"/>
      <c r="Y45" s="540"/>
      <c r="Z45" s="540"/>
    </row>
    <row r="46" ht="14.25" customHeight="1">
      <c r="A46" s="540"/>
      <c r="B46" s="540"/>
      <c r="C46" s="540"/>
      <c r="D46" s="540"/>
      <c r="E46" s="540"/>
      <c r="F46" s="540"/>
      <c r="G46" s="540"/>
      <c r="H46" s="540"/>
      <c r="I46" s="540"/>
      <c r="J46" s="540"/>
      <c r="K46" s="540"/>
      <c r="L46" s="540"/>
      <c r="M46" s="540"/>
      <c r="N46" s="540"/>
      <c r="O46" s="540"/>
      <c r="P46" s="540"/>
      <c r="Q46" s="540"/>
      <c r="R46" s="540"/>
      <c r="S46" s="540"/>
      <c r="T46" s="540"/>
      <c r="U46" s="540"/>
      <c r="V46" s="540"/>
      <c r="W46" s="540"/>
      <c r="X46" s="540"/>
      <c r="Y46" s="540"/>
      <c r="Z46" s="540"/>
    </row>
    <row r="47" ht="14.25" customHeight="1">
      <c r="A47" s="540"/>
      <c r="B47" s="540"/>
      <c r="C47" s="540"/>
      <c r="D47" s="540"/>
      <c r="E47" s="540"/>
      <c r="F47" s="540"/>
      <c r="G47" s="540"/>
      <c r="H47" s="540"/>
      <c r="I47" s="540"/>
      <c r="J47" s="540"/>
      <c r="K47" s="540"/>
      <c r="L47" s="540"/>
      <c r="M47" s="540"/>
      <c r="N47" s="540"/>
      <c r="O47" s="540"/>
      <c r="P47" s="540"/>
      <c r="Q47" s="540"/>
      <c r="R47" s="540"/>
      <c r="S47" s="540"/>
      <c r="T47" s="540"/>
      <c r="U47" s="540"/>
      <c r="V47" s="540"/>
      <c r="W47" s="540"/>
      <c r="X47" s="540"/>
      <c r="Y47" s="540"/>
      <c r="Z47" s="540"/>
    </row>
    <row r="48" ht="14.25" customHeight="1">
      <c r="A48" s="540"/>
      <c r="B48" s="540"/>
      <c r="C48" s="540"/>
      <c r="D48" s="540"/>
      <c r="E48" s="540"/>
      <c r="F48" s="540"/>
      <c r="G48" s="540"/>
      <c r="H48" s="540"/>
      <c r="I48" s="540"/>
      <c r="J48" s="540"/>
      <c r="K48" s="540"/>
      <c r="L48" s="540"/>
      <c r="M48" s="540"/>
      <c r="N48" s="540"/>
      <c r="O48" s="540"/>
      <c r="P48" s="540"/>
      <c r="Q48" s="540"/>
      <c r="R48" s="540"/>
      <c r="S48" s="540"/>
      <c r="T48" s="540"/>
      <c r="U48" s="540"/>
      <c r="V48" s="540"/>
      <c r="W48" s="540"/>
      <c r="X48" s="540"/>
      <c r="Y48" s="540"/>
      <c r="Z48" s="540"/>
    </row>
    <row r="49" ht="14.25" customHeight="1">
      <c r="A49" s="540"/>
      <c r="B49" s="540"/>
      <c r="C49" s="540"/>
      <c r="D49" s="540"/>
      <c r="E49" s="540"/>
      <c r="F49" s="540"/>
      <c r="G49" s="540"/>
      <c r="H49" s="540"/>
      <c r="I49" s="540"/>
      <c r="J49" s="540"/>
      <c r="K49" s="540"/>
      <c r="L49" s="540"/>
      <c r="M49" s="540"/>
      <c r="N49" s="540"/>
      <c r="O49" s="540"/>
      <c r="P49" s="540"/>
      <c r="Q49" s="540"/>
      <c r="R49" s="540"/>
      <c r="S49" s="540"/>
      <c r="T49" s="540"/>
      <c r="U49" s="540"/>
      <c r="V49" s="540"/>
      <c r="W49" s="540"/>
      <c r="X49" s="540"/>
      <c r="Y49" s="540"/>
      <c r="Z49" s="540"/>
    </row>
    <row r="50" ht="14.25" customHeight="1">
      <c r="A50" s="540"/>
      <c r="B50" s="540"/>
      <c r="C50" s="540"/>
      <c r="D50" s="540"/>
      <c r="E50" s="540"/>
      <c r="F50" s="540"/>
      <c r="G50" s="540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40"/>
      <c r="Y50" s="540"/>
      <c r="Z50" s="540"/>
    </row>
    <row r="51" ht="14.25" customHeight="1">
      <c r="A51" s="540"/>
      <c r="B51" s="540"/>
      <c r="C51" s="540"/>
      <c r="D51" s="540"/>
      <c r="E51" s="540"/>
      <c r="F51" s="540"/>
      <c r="G51" s="540"/>
      <c r="H51" s="540"/>
      <c r="I51" s="540"/>
      <c r="J51" s="540"/>
      <c r="K51" s="540"/>
      <c r="L51" s="540"/>
      <c r="M51" s="540"/>
      <c r="N51" s="540"/>
      <c r="O51" s="540"/>
      <c r="P51" s="540"/>
      <c r="Q51" s="540"/>
      <c r="R51" s="540"/>
      <c r="S51" s="540"/>
      <c r="T51" s="540"/>
      <c r="U51" s="540"/>
      <c r="V51" s="540"/>
      <c r="W51" s="540"/>
      <c r="X51" s="540"/>
      <c r="Y51" s="540"/>
      <c r="Z51" s="540"/>
    </row>
    <row r="52" ht="14.25" customHeight="1">
      <c r="A52" s="540"/>
      <c r="B52" s="540"/>
      <c r="C52" s="540"/>
      <c r="D52" s="540"/>
      <c r="E52" s="540"/>
      <c r="F52" s="540"/>
      <c r="G52" s="540"/>
      <c r="H52" s="540"/>
      <c r="I52" s="540"/>
      <c r="J52" s="540"/>
      <c r="K52" s="540"/>
      <c r="L52" s="540"/>
      <c r="M52" s="540"/>
      <c r="N52" s="540"/>
      <c r="O52" s="540"/>
      <c r="P52" s="540"/>
      <c r="Q52" s="540"/>
      <c r="R52" s="540"/>
      <c r="S52" s="540"/>
      <c r="T52" s="540"/>
      <c r="U52" s="540"/>
      <c r="V52" s="540"/>
      <c r="W52" s="540"/>
      <c r="X52" s="540"/>
      <c r="Y52" s="540"/>
      <c r="Z52" s="540"/>
    </row>
    <row r="53" ht="14.25" customHeight="1">
      <c r="A53" s="540"/>
      <c r="B53" s="540"/>
      <c r="C53" s="540"/>
      <c r="D53" s="540"/>
      <c r="E53" s="540"/>
      <c r="F53" s="540"/>
      <c r="G53" s="540"/>
      <c r="H53" s="540"/>
      <c r="I53" s="540"/>
      <c r="J53" s="540"/>
      <c r="K53" s="540"/>
      <c r="L53" s="540"/>
      <c r="M53" s="540"/>
      <c r="N53" s="540"/>
      <c r="O53" s="540"/>
      <c r="P53" s="540"/>
      <c r="Q53" s="540"/>
      <c r="R53" s="540"/>
      <c r="S53" s="540"/>
      <c r="T53" s="540"/>
      <c r="U53" s="540"/>
      <c r="V53" s="540"/>
      <c r="W53" s="540"/>
      <c r="X53" s="540"/>
      <c r="Y53" s="540"/>
      <c r="Z53" s="540"/>
    </row>
    <row r="54" ht="14.25" customHeight="1">
      <c r="A54" s="540"/>
      <c r="B54" s="540"/>
      <c r="C54" s="540"/>
      <c r="D54" s="540"/>
      <c r="E54" s="540"/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  <c r="W54" s="540"/>
      <c r="X54" s="540"/>
      <c r="Y54" s="540"/>
      <c r="Z54" s="540"/>
    </row>
    <row r="55" ht="14.25" customHeight="1">
      <c r="A55" s="540"/>
      <c r="B55" s="540"/>
      <c r="C55" s="540"/>
      <c r="D55" s="540"/>
      <c r="E55" s="540"/>
      <c r="F55" s="540"/>
      <c r="G55" s="540"/>
      <c r="H55" s="540"/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540"/>
      <c r="Z55" s="540"/>
    </row>
    <row r="56" ht="14.25" customHeight="1">
      <c r="A56" s="540"/>
      <c r="B56" s="540"/>
      <c r="C56" s="540"/>
      <c r="D56" s="540"/>
      <c r="E56" s="540"/>
      <c r="F56" s="540"/>
      <c r="G56" s="540"/>
      <c r="H56" s="540"/>
      <c r="I56" s="540"/>
      <c r="J56" s="540"/>
      <c r="K56" s="540"/>
      <c r="L56" s="540"/>
      <c r="M56" s="540"/>
      <c r="N56" s="540"/>
      <c r="O56" s="540"/>
      <c r="P56" s="540"/>
      <c r="Q56" s="540"/>
      <c r="R56" s="540"/>
      <c r="S56" s="540"/>
      <c r="T56" s="540"/>
      <c r="U56" s="540"/>
      <c r="V56" s="540"/>
      <c r="W56" s="540"/>
      <c r="X56" s="540"/>
      <c r="Y56" s="540"/>
      <c r="Z56" s="540"/>
    </row>
    <row r="57" ht="14.25" customHeight="1">
      <c r="A57" s="540"/>
      <c r="B57" s="540"/>
      <c r="C57" s="540"/>
      <c r="D57" s="540"/>
      <c r="E57" s="540"/>
      <c r="F57" s="540"/>
      <c r="G57" s="540"/>
      <c r="H57" s="540"/>
      <c r="I57" s="540"/>
      <c r="J57" s="540"/>
      <c r="K57" s="540"/>
      <c r="L57" s="540"/>
      <c r="M57" s="540"/>
      <c r="N57" s="540"/>
      <c r="O57" s="540"/>
      <c r="P57" s="540"/>
      <c r="Q57" s="540"/>
      <c r="R57" s="540"/>
      <c r="S57" s="540"/>
      <c r="T57" s="540"/>
      <c r="U57" s="540"/>
      <c r="V57" s="540"/>
      <c r="W57" s="540"/>
      <c r="X57" s="540"/>
      <c r="Y57" s="540"/>
      <c r="Z57" s="540"/>
    </row>
    <row r="58" ht="14.25" customHeight="1">
      <c r="A58" s="540"/>
      <c r="B58" s="540"/>
      <c r="C58" s="540"/>
      <c r="D58" s="540"/>
      <c r="E58" s="540"/>
      <c r="F58" s="540"/>
      <c r="G58" s="540"/>
      <c r="H58" s="540"/>
      <c r="I58" s="540"/>
      <c r="J58" s="540"/>
      <c r="K58" s="540"/>
      <c r="L58" s="540"/>
      <c r="M58" s="540"/>
      <c r="N58" s="540"/>
      <c r="O58" s="540"/>
      <c r="P58" s="540"/>
      <c r="Q58" s="540"/>
      <c r="R58" s="540"/>
      <c r="S58" s="540"/>
      <c r="T58" s="540"/>
      <c r="U58" s="540"/>
      <c r="V58" s="540"/>
      <c r="W58" s="540"/>
      <c r="X58" s="540"/>
      <c r="Y58" s="540"/>
      <c r="Z58" s="540"/>
    </row>
    <row r="59" ht="14.25" customHeight="1">
      <c r="A59" s="540"/>
      <c r="B59" s="540"/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0"/>
      <c r="R59" s="540"/>
      <c r="S59" s="540"/>
      <c r="T59" s="540"/>
      <c r="U59" s="540"/>
      <c r="V59" s="540"/>
      <c r="W59" s="540"/>
      <c r="X59" s="540"/>
      <c r="Y59" s="540"/>
      <c r="Z59" s="540"/>
    </row>
    <row r="60" ht="14.25" customHeight="1">
      <c r="A60" s="540"/>
      <c r="B60" s="540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40"/>
      <c r="Q60" s="540"/>
      <c r="R60" s="540"/>
      <c r="S60" s="540"/>
      <c r="T60" s="540"/>
      <c r="U60" s="540"/>
      <c r="V60" s="540"/>
      <c r="W60" s="540"/>
      <c r="X60" s="540"/>
      <c r="Y60" s="540"/>
      <c r="Z60" s="540"/>
    </row>
    <row r="61" ht="14.25" customHeight="1">
      <c r="A61" s="540"/>
      <c r="B61" s="540"/>
      <c r="C61" s="540"/>
      <c r="D61" s="540"/>
      <c r="E61" s="540"/>
      <c r="F61" s="540"/>
      <c r="G61" s="540"/>
      <c r="H61" s="540"/>
      <c r="I61" s="540"/>
      <c r="J61" s="540"/>
      <c r="K61" s="540"/>
      <c r="L61" s="540"/>
      <c r="M61" s="540"/>
      <c r="N61" s="540"/>
      <c r="O61" s="540"/>
      <c r="P61" s="540"/>
      <c r="Q61" s="540"/>
      <c r="R61" s="540"/>
      <c r="S61" s="540"/>
      <c r="T61" s="540"/>
      <c r="U61" s="540"/>
      <c r="V61" s="540"/>
      <c r="W61" s="540"/>
      <c r="X61" s="540"/>
      <c r="Y61" s="540"/>
      <c r="Z61" s="540"/>
    </row>
    <row r="62" ht="14.25" customHeight="1">
      <c r="A62" s="540"/>
      <c r="B62" s="540"/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540"/>
      <c r="U62" s="540"/>
      <c r="V62" s="540"/>
      <c r="W62" s="540"/>
      <c r="X62" s="540"/>
      <c r="Y62" s="540"/>
      <c r="Z62" s="540"/>
    </row>
    <row r="63" ht="14.25" customHeight="1">
      <c r="A63" s="540"/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0"/>
      <c r="N63" s="540"/>
      <c r="O63" s="540"/>
      <c r="P63" s="540"/>
      <c r="Q63" s="540"/>
      <c r="R63" s="540"/>
      <c r="S63" s="540"/>
      <c r="T63" s="540"/>
      <c r="U63" s="540"/>
      <c r="V63" s="540"/>
      <c r="W63" s="540"/>
      <c r="X63" s="540"/>
      <c r="Y63" s="540"/>
      <c r="Z63" s="540"/>
    </row>
    <row r="64" ht="14.25" customHeight="1">
      <c r="A64" s="540"/>
      <c r="B64" s="540"/>
      <c r="C64" s="540"/>
      <c r="D64" s="540"/>
      <c r="E64" s="540"/>
      <c r="F64" s="540"/>
      <c r="G64" s="540"/>
      <c r="H64" s="540"/>
      <c r="I64" s="540"/>
      <c r="J64" s="540"/>
      <c r="K64" s="540"/>
      <c r="L64" s="540"/>
      <c r="M64" s="540"/>
      <c r="N64" s="540"/>
      <c r="O64" s="540"/>
      <c r="P64" s="540"/>
      <c r="Q64" s="540"/>
      <c r="R64" s="540"/>
      <c r="S64" s="540"/>
      <c r="T64" s="540"/>
      <c r="U64" s="540"/>
      <c r="V64" s="540"/>
      <c r="W64" s="540"/>
      <c r="X64" s="540"/>
      <c r="Y64" s="540"/>
      <c r="Z64" s="540"/>
    </row>
    <row r="65" ht="14.25" customHeight="1">
      <c r="A65" s="540"/>
      <c r="B65" s="540"/>
      <c r="C65" s="540"/>
      <c r="D65" s="540"/>
      <c r="E65" s="540"/>
      <c r="F65" s="540"/>
      <c r="G65" s="540"/>
      <c r="H65" s="540"/>
      <c r="I65" s="540"/>
      <c r="J65" s="540"/>
      <c r="K65" s="540"/>
      <c r="L65" s="540"/>
      <c r="M65" s="540"/>
      <c r="N65" s="540"/>
      <c r="O65" s="540"/>
      <c r="P65" s="540"/>
      <c r="Q65" s="540"/>
      <c r="R65" s="540"/>
      <c r="S65" s="540"/>
      <c r="T65" s="540"/>
      <c r="U65" s="540"/>
      <c r="V65" s="540"/>
      <c r="W65" s="540"/>
      <c r="X65" s="540"/>
      <c r="Y65" s="540"/>
      <c r="Z65" s="540"/>
    </row>
    <row r="66" ht="14.25" customHeight="1">
      <c r="A66" s="540"/>
      <c r="B66" s="540"/>
      <c r="C66" s="540"/>
      <c r="D66" s="540"/>
      <c r="E66" s="540"/>
      <c r="F66" s="540"/>
      <c r="G66" s="540"/>
      <c r="H66" s="540"/>
      <c r="I66" s="540"/>
      <c r="J66" s="540"/>
      <c r="K66" s="540"/>
      <c r="L66" s="540"/>
      <c r="M66" s="540"/>
      <c r="N66" s="540"/>
      <c r="O66" s="540"/>
      <c r="P66" s="540"/>
      <c r="Q66" s="540"/>
      <c r="R66" s="540"/>
      <c r="S66" s="540"/>
      <c r="T66" s="540"/>
      <c r="U66" s="540"/>
      <c r="V66" s="540"/>
      <c r="W66" s="540"/>
      <c r="X66" s="540"/>
      <c r="Y66" s="540"/>
      <c r="Z66" s="540"/>
    </row>
    <row r="67" ht="14.25" customHeight="1">
      <c r="A67" s="540"/>
      <c r="B67" s="540"/>
      <c r="C67" s="540"/>
      <c r="D67" s="540"/>
      <c r="E67" s="540"/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40"/>
      <c r="Q67" s="540"/>
      <c r="R67" s="540"/>
      <c r="S67" s="540"/>
      <c r="T67" s="540"/>
      <c r="U67" s="540"/>
      <c r="V67" s="540"/>
      <c r="W67" s="540"/>
      <c r="X67" s="540"/>
      <c r="Y67" s="540"/>
      <c r="Z67" s="540"/>
    </row>
    <row r="68" ht="14.25" customHeight="1">
      <c r="A68" s="540"/>
      <c r="B68" s="540"/>
      <c r="C68" s="540"/>
      <c r="D68" s="540"/>
      <c r="E68" s="540"/>
      <c r="F68" s="540"/>
      <c r="G68" s="540"/>
      <c r="H68" s="540"/>
      <c r="I68" s="540"/>
      <c r="J68" s="540"/>
      <c r="K68" s="540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0"/>
      <c r="W68" s="540"/>
      <c r="X68" s="540"/>
      <c r="Y68" s="540"/>
      <c r="Z68" s="540"/>
    </row>
    <row r="69" ht="14.25" customHeight="1">
      <c r="A69" s="540"/>
      <c r="B69" s="540"/>
      <c r="C69" s="540"/>
      <c r="D69" s="540"/>
      <c r="E69" s="540"/>
      <c r="F69" s="540"/>
      <c r="G69" s="540"/>
      <c r="H69" s="540"/>
      <c r="I69" s="540"/>
      <c r="J69" s="540"/>
      <c r="K69" s="540"/>
      <c r="L69" s="540"/>
      <c r="M69" s="540"/>
      <c r="N69" s="540"/>
      <c r="O69" s="540"/>
      <c r="P69" s="540"/>
      <c r="Q69" s="540"/>
      <c r="R69" s="540"/>
      <c r="S69" s="540"/>
      <c r="T69" s="540"/>
      <c r="U69" s="540"/>
      <c r="V69" s="540"/>
      <c r="W69" s="540"/>
      <c r="X69" s="540"/>
      <c r="Y69" s="540"/>
      <c r="Z69" s="540"/>
    </row>
    <row r="70" ht="14.25" customHeight="1">
      <c r="A70" s="540"/>
      <c r="B70" s="540"/>
      <c r="C70" s="540"/>
      <c r="D70" s="540"/>
      <c r="E70" s="540"/>
      <c r="F70" s="540"/>
      <c r="G70" s="540"/>
      <c r="H70" s="540"/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  <c r="W70" s="540"/>
      <c r="X70" s="540"/>
      <c r="Y70" s="540"/>
      <c r="Z70" s="540"/>
    </row>
    <row r="71" ht="14.25" customHeight="1">
      <c r="A71" s="540"/>
      <c r="B71" s="540"/>
      <c r="C71" s="540"/>
      <c r="D71" s="540"/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  <c r="W71" s="540"/>
      <c r="X71" s="540"/>
      <c r="Y71" s="540"/>
      <c r="Z71" s="540"/>
    </row>
    <row r="72" ht="14.25" customHeight="1">
      <c r="A72" s="540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0"/>
      <c r="X72" s="540"/>
      <c r="Y72" s="540"/>
      <c r="Z72" s="540"/>
    </row>
    <row r="73" ht="14.25" customHeight="1">
      <c r="A73" s="540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40"/>
      <c r="X73" s="540"/>
      <c r="Y73" s="540"/>
      <c r="Z73" s="540"/>
    </row>
    <row r="74" ht="14.25" customHeight="1">
      <c r="A74" s="540"/>
      <c r="B74" s="540"/>
      <c r="C74" s="540"/>
      <c r="D74" s="540"/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</row>
    <row r="75" ht="14.25" customHeight="1">
      <c r="A75" s="540"/>
      <c r="B75" s="540"/>
      <c r="C75" s="540"/>
      <c r="D75" s="540"/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</row>
    <row r="76" ht="14.25" customHeight="1">
      <c r="A76" s="540"/>
      <c r="B76" s="540"/>
      <c r="C76" s="540"/>
      <c r="D76" s="540"/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</row>
    <row r="77" ht="14.25" customHeight="1">
      <c r="A77" s="540"/>
      <c r="B77" s="540"/>
      <c r="C77" s="540"/>
      <c r="D77" s="540"/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</row>
    <row r="78" ht="14.25" customHeight="1">
      <c r="A78" s="540"/>
      <c r="B78" s="540"/>
      <c r="C78" s="540"/>
      <c r="D78" s="540"/>
      <c r="E78" s="540"/>
      <c r="F78" s="540"/>
      <c r="G78" s="540"/>
      <c r="H78" s="540"/>
      <c r="I78" s="540"/>
      <c r="J78" s="540"/>
      <c r="K78" s="540"/>
      <c r="L78" s="540"/>
      <c r="M78" s="540"/>
      <c r="N78" s="540"/>
      <c r="O78" s="540"/>
      <c r="P78" s="540"/>
      <c r="Q78" s="540"/>
      <c r="R78" s="540"/>
      <c r="S78" s="540"/>
      <c r="T78" s="540"/>
      <c r="U78" s="540"/>
      <c r="V78" s="540"/>
      <c r="W78" s="540"/>
      <c r="X78" s="540"/>
      <c r="Y78" s="540"/>
      <c r="Z78" s="540"/>
    </row>
    <row r="79" ht="14.25" customHeight="1">
      <c r="A79" s="540"/>
      <c r="B79" s="540"/>
      <c r="C79" s="540"/>
      <c r="D79" s="540"/>
      <c r="E79" s="540"/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0"/>
      <c r="V79" s="540"/>
      <c r="W79" s="540"/>
      <c r="X79" s="540"/>
      <c r="Y79" s="540"/>
      <c r="Z79" s="540"/>
    </row>
    <row r="80" ht="14.25" customHeight="1">
      <c r="A80" s="540"/>
      <c r="B80" s="540"/>
      <c r="C80" s="540"/>
      <c r="D80" s="540"/>
      <c r="E80" s="540"/>
      <c r="F80" s="540"/>
      <c r="G80" s="540"/>
      <c r="H80" s="540"/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0"/>
      <c r="V80" s="540"/>
      <c r="W80" s="540"/>
      <c r="X80" s="540"/>
      <c r="Y80" s="540"/>
      <c r="Z80" s="540"/>
    </row>
    <row r="81" ht="14.25" customHeight="1">
      <c r="A81" s="540"/>
      <c r="B81" s="540"/>
      <c r="C81" s="540"/>
      <c r="D81" s="540"/>
      <c r="E81" s="540"/>
      <c r="F81" s="540"/>
      <c r="G81" s="540"/>
      <c r="H81" s="540"/>
      <c r="I81" s="540"/>
      <c r="J81" s="540"/>
      <c r="K81" s="540"/>
      <c r="L81" s="540"/>
      <c r="M81" s="540"/>
      <c r="N81" s="540"/>
      <c r="O81" s="540"/>
      <c r="P81" s="540"/>
      <c r="Q81" s="540"/>
      <c r="R81" s="540"/>
      <c r="S81" s="540"/>
      <c r="T81" s="540"/>
      <c r="U81" s="540"/>
      <c r="V81" s="540"/>
      <c r="W81" s="540"/>
      <c r="X81" s="540"/>
      <c r="Y81" s="540"/>
      <c r="Z81" s="540"/>
    </row>
    <row r="82" ht="14.25" customHeight="1">
      <c r="A82" s="540"/>
      <c r="B82" s="540"/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0"/>
      <c r="N82" s="540"/>
      <c r="O82" s="540"/>
      <c r="P82" s="540"/>
      <c r="Q82" s="540"/>
      <c r="R82" s="540"/>
      <c r="S82" s="540"/>
      <c r="T82" s="540"/>
      <c r="U82" s="540"/>
      <c r="V82" s="540"/>
      <c r="W82" s="540"/>
      <c r="X82" s="540"/>
      <c r="Y82" s="540"/>
      <c r="Z82" s="540"/>
    </row>
    <row r="83" ht="14.25" customHeight="1">
      <c r="A83" s="540"/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0"/>
      <c r="V83" s="540"/>
      <c r="W83" s="540"/>
      <c r="X83" s="540"/>
      <c r="Y83" s="540"/>
      <c r="Z83" s="540"/>
    </row>
    <row r="84" ht="14.25" customHeight="1">
      <c r="A84" s="540"/>
      <c r="B84" s="540"/>
      <c r="C84" s="540"/>
      <c r="D84" s="540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0"/>
      <c r="V84" s="540"/>
      <c r="W84" s="540"/>
      <c r="X84" s="540"/>
      <c r="Y84" s="540"/>
      <c r="Z84" s="540"/>
    </row>
    <row r="85" ht="14.25" customHeight="1">
      <c r="A85" s="540"/>
      <c r="B85" s="540"/>
      <c r="C85" s="540"/>
      <c r="D85" s="540"/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0"/>
      <c r="V85" s="540"/>
      <c r="W85" s="540"/>
      <c r="X85" s="540"/>
      <c r="Y85" s="540"/>
      <c r="Z85" s="540"/>
    </row>
    <row r="86" ht="14.25" customHeight="1">
      <c r="A86" s="540"/>
      <c r="B86" s="540"/>
      <c r="C86" s="540"/>
      <c r="D86" s="540"/>
      <c r="E86" s="540"/>
      <c r="F86" s="540"/>
      <c r="G86" s="540"/>
      <c r="H86" s="540"/>
      <c r="I86" s="540"/>
      <c r="J86" s="540"/>
      <c r="K86" s="540"/>
      <c r="L86" s="540"/>
      <c r="M86" s="540"/>
      <c r="N86" s="540"/>
      <c r="O86" s="540"/>
      <c r="P86" s="540"/>
      <c r="Q86" s="540"/>
      <c r="R86" s="540"/>
      <c r="S86" s="540"/>
      <c r="T86" s="540"/>
      <c r="U86" s="540"/>
      <c r="V86" s="540"/>
      <c r="W86" s="540"/>
      <c r="X86" s="540"/>
      <c r="Y86" s="540"/>
      <c r="Z86" s="540"/>
    </row>
    <row r="87" ht="14.25" customHeight="1">
      <c r="A87" s="540"/>
      <c r="B87" s="540"/>
      <c r="C87" s="540"/>
      <c r="D87" s="540"/>
      <c r="E87" s="540"/>
      <c r="F87" s="540"/>
      <c r="G87" s="540"/>
      <c r="H87" s="540"/>
      <c r="I87" s="540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0"/>
      <c r="V87" s="540"/>
      <c r="W87" s="540"/>
      <c r="X87" s="540"/>
      <c r="Y87" s="540"/>
      <c r="Z87" s="540"/>
    </row>
    <row r="88" ht="14.25" customHeight="1">
      <c r="A88" s="540"/>
      <c r="B88" s="540"/>
      <c r="C88" s="540"/>
      <c r="D88" s="540"/>
      <c r="E88" s="540"/>
      <c r="F88" s="540"/>
      <c r="G88" s="540"/>
      <c r="H88" s="540"/>
      <c r="I88" s="540"/>
      <c r="J88" s="540"/>
      <c r="K88" s="540"/>
      <c r="L88" s="540"/>
      <c r="M88" s="540"/>
      <c r="N88" s="540"/>
      <c r="O88" s="540"/>
      <c r="P88" s="540"/>
      <c r="Q88" s="540"/>
      <c r="R88" s="540"/>
      <c r="S88" s="540"/>
      <c r="T88" s="540"/>
      <c r="U88" s="540"/>
      <c r="V88" s="540"/>
      <c r="W88" s="540"/>
      <c r="X88" s="540"/>
      <c r="Y88" s="540"/>
      <c r="Z88" s="540"/>
    </row>
    <row r="89" ht="14.25" customHeight="1">
      <c r="A89" s="540"/>
      <c r="B89" s="540"/>
      <c r="C89" s="540"/>
      <c r="D89" s="540"/>
      <c r="E89" s="540"/>
      <c r="F89" s="540"/>
      <c r="G89" s="540"/>
      <c r="H89" s="540"/>
      <c r="I89" s="540"/>
      <c r="J89" s="540"/>
      <c r="K89" s="540"/>
      <c r="L89" s="540"/>
      <c r="M89" s="540"/>
      <c r="N89" s="540"/>
      <c r="O89" s="540"/>
      <c r="P89" s="540"/>
      <c r="Q89" s="540"/>
      <c r="R89" s="540"/>
      <c r="S89" s="540"/>
      <c r="T89" s="540"/>
      <c r="U89" s="540"/>
      <c r="V89" s="540"/>
      <c r="W89" s="540"/>
      <c r="X89" s="540"/>
      <c r="Y89" s="540"/>
      <c r="Z89" s="540"/>
    </row>
    <row r="90" ht="14.25" customHeight="1">
      <c r="A90" s="540"/>
      <c r="B90" s="540"/>
      <c r="C90" s="540"/>
      <c r="D90" s="540"/>
      <c r="E90" s="540"/>
      <c r="F90" s="540"/>
      <c r="G90" s="540"/>
      <c r="H90" s="540"/>
      <c r="I90" s="540"/>
      <c r="J90" s="540"/>
      <c r="K90" s="540"/>
      <c r="L90" s="540"/>
      <c r="M90" s="540"/>
      <c r="N90" s="540"/>
      <c r="O90" s="540"/>
      <c r="P90" s="540"/>
      <c r="Q90" s="540"/>
      <c r="R90" s="540"/>
      <c r="S90" s="540"/>
      <c r="T90" s="540"/>
      <c r="U90" s="540"/>
      <c r="V90" s="540"/>
      <c r="W90" s="540"/>
      <c r="X90" s="540"/>
      <c r="Y90" s="540"/>
      <c r="Z90" s="540"/>
    </row>
    <row r="91" ht="14.25" customHeight="1">
      <c r="A91" s="540"/>
      <c r="B91" s="540"/>
      <c r="C91" s="540"/>
      <c r="D91" s="540"/>
      <c r="E91" s="540"/>
      <c r="F91" s="540"/>
      <c r="G91" s="540"/>
      <c r="H91" s="540"/>
      <c r="I91" s="540"/>
      <c r="J91" s="540"/>
      <c r="K91" s="540"/>
      <c r="L91" s="540"/>
      <c r="M91" s="540"/>
      <c r="N91" s="540"/>
      <c r="O91" s="540"/>
      <c r="P91" s="540"/>
      <c r="Q91" s="540"/>
      <c r="R91" s="540"/>
      <c r="S91" s="540"/>
      <c r="T91" s="540"/>
      <c r="U91" s="540"/>
      <c r="V91" s="540"/>
      <c r="W91" s="540"/>
      <c r="X91" s="540"/>
      <c r="Y91" s="540"/>
      <c r="Z91" s="540"/>
    </row>
    <row r="92" ht="14.25" customHeight="1">
      <c r="A92" s="540"/>
      <c r="B92" s="540"/>
      <c r="C92" s="540"/>
      <c r="D92" s="540"/>
      <c r="E92" s="540"/>
      <c r="F92" s="540"/>
      <c r="G92" s="540"/>
      <c r="H92" s="540"/>
      <c r="I92" s="540"/>
      <c r="J92" s="540"/>
      <c r="K92" s="540"/>
      <c r="L92" s="540"/>
      <c r="M92" s="540"/>
      <c r="N92" s="540"/>
      <c r="O92" s="540"/>
      <c r="P92" s="540"/>
      <c r="Q92" s="540"/>
      <c r="R92" s="540"/>
      <c r="S92" s="540"/>
      <c r="T92" s="540"/>
      <c r="U92" s="540"/>
      <c r="V92" s="540"/>
      <c r="W92" s="540"/>
      <c r="X92" s="540"/>
      <c r="Y92" s="540"/>
      <c r="Z92" s="540"/>
    </row>
    <row r="93" ht="14.25" customHeight="1">
      <c r="A93" s="540"/>
      <c r="B93" s="540"/>
      <c r="C93" s="540"/>
      <c r="D93" s="540"/>
      <c r="E93" s="540"/>
      <c r="F93" s="540"/>
      <c r="G93" s="540"/>
      <c r="H93" s="540"/>
      <c r="I93" s="540"/>
      <c r="J93" s="540"/>
      <c r="K93" s="540"/>
      <c r="L93" s="540"/>
      <c r="M93" s="540"/>
      <c r="N93" s="540"/>
      <c r="O93" s="540"/>
      <c r="P93" s="540"/>
      <c r="Q93" s="540"/>
      <c r="R93" s="540"/>
      <c r="S93" s="540"/>
      <c r="T93" s="540"/>
      <c r="U93" s="540"/>
      <c r="V93" s="540"/>
      <c r="W93" s="540"/>
      <c r="X93" s="540"/>
      <c r="Y93" s="540"/>
      <c r="Z93" s="540"/>
    </row>
    <row r="94" ht="14.25" customHeight="1">
      <c r="A94" s="540"/>
      <c r="B94" s="540"/>
      <c r="C94" s="540"/>
      <c r="D94" s="540"/>
      <c r="E94" s="540"/>
      <c r="F94" s="540"/>
      <c r="G94" s="540"/>
      <c r="H94" s="540"/>
      <c r="I94" s="540"/>
      <c r="J94" s="540"/>
      <c r="K94" s="540"/>
      <c r="L94" s="540"/>
      <c r="M94" s="540"/>
      <c r="N94" s="540"/>
      <c r="O94" s="540"/>
      <c r="P94" s="540"/>
      <c r="Q94" s="540"/>
      <c r="R94" s="540"/>
      <c r="S94" s="540"/>
      <c r="T94" s="540"/>
      <c r="U94" s="540"/>
      <c r="V94" s="540"/>
      <c r="W94" s="540"/>
      <c r="X94" s="540"/>
      <c r="Y94" s="540"/>
      <c r="Z94" s="540"/>
    </row>
    <row r="95" ht="14.25" customHeight="1">
      <c r="A95" s="540"/>
      <c r="B95" s="540"/>
      <c r="C95" s="540"/>
      <c r="D95" s="540"/>
      <c r="E95" s="540"/>
      <c r="F95" s="540"/>
      <c r="G95" s="540"/>
      <c r="H95" s="540"/>
      <c r="I95" s="540"/>
      <c r="J95" s="540"/>
      <c r="K95" s="540"/>
      <c r="L95" s="540"/>
      <c r="M95" s="540"/>
      <c r="N95" s="540"/>
      <c r="O95" s="540"/>
      <c r="P95" s="540"/>
      <c r="Q95" s="540"/>
      <c r="R95" s="540"/>
      <c r="S95" s="540"/>
      <c r="T95" s="540"/>
      <c r="U95" s="540"/>
      <c r="V95" s="540"/>
      <c r="W95" s="540"/>
      <c r="X95" s="540"/>
      <c r="Y95" s="540"/>
      <c r="Z95" s="540"/>
    </row>
    <row r="96" ht="14.25" customHeight="1">
      <c r="A96" s="540"/>
      <c r="B96" s="540"/>
      <c r="C96" s="540"/>
      <c r="D96" s="540"/>
      <c r="E96" s="540"/>
      <c r="F96" s="540"/>
      <c r="G96" s="540"/>
      <c r="H96" s="540"/>
      <c r="I96" s="540"/>
      <c r="J96" s="540"/>
      <c r="K96" s="540"/>
      <c r="L96" s="540"/>
      <c r="M96" s="540"/>
      <c r="N96" s="540"/>
      <c r="O96" s="540"/>
      <c r="P96" s="540"/>
      <c r="Q96" s="540"/>
      <c r="R96" s="540"/>
      <c r="S96" s="540"/>
      <c r="T96" s="540"/>
      <c r="U96" s="540"/>
      <c r="V96" s="540"/>
      <c r="W96" s="540"/>
      <c r="X96" s="540"/>
      <c r="Y96" s="540"/>
      <c r="Z96" s="540"/>
    </row>
    <row r="97" ht="14.25" customHeight="1">
      <c r="A97" s="540"/>
      <c r="B97" s="540"/>
      <c r="C97" s="540"/>
      <c r="D97" s="540"/>
      <c r="E97" s="540"/>
      <c r="F97" s="540"/>
      <c r="G97" s="540"/>
      <c r="H97" s="540"/>
      <c r="I97" s="540"/>
      <c r="J97" s="540"/>
      <c r="K97" s="540"/>
      <c r="L97" s="540"/>
      <c r="M97" s="540"/>
      <c r="N97" s="540"/>
      <c r="O97" s="540"/>
      <c r="P97" s="540"/>
      <c r="Q97" s="540"/>
      <c r="R97" s="540"/>
      <c r="S97" s="540"/>
      <c r="T97" s="540"/>
      <c r="U97" s="540"/>
      <c r="V97" s="540"/>
      <c r="W97" s="540"/>
      <c r="X97" s="540"/>
      <c r="Y97" s="540"/>
      <c r="Z97" s="540"/>
    </row>
    <row r="98" ht="14.25" customHeight="1">
      <c r="A98" s="540"/>
      <c r="B98" s="540"/>
      <c r="C98" s="540"/>
      <c r="D98" s="540"/>
      <c r="E98" s="540"/>
      <c r="F98" s="540"/>
      <c r="G98" s="540"/>
      <c r="H98" s="540"/>
      <c r="I98" s="540"/>
      <c r="J98" s="540"/>
      <c r="K98" s="540"/>
      <c r="L98" s="540"/>
      <c r="M98" s="540"/>
      <c r="N98" s="540"/>
      <c r="O98" s="540"/>
      <c r="P98" s="540"/>
      <c r="Q98" s="540"/>
      <c r="R98" s="540"/>
      <c r="S98" s="540"/>
      <c r="T98" s="540"/>
      <c r="U98" s="540"/>
      <c r="V98" s="540"/>
      <c r="W98" s="540"/>
      <c r="X98" s="540"/>
      <c r="Y98" s="540"/>
      <c r="Z98" s="540"/>
    </row>
    <row r="99" ht="14.25" customHeight="1">
      <c r="A99" s="540"/>
      <c r="B99" s="540"/>
      <c r="C99" s="540"/>
      <c r="D99" s="540"/>
      <c r="E99" s="540"/>
      <c r="F99" s="540"/>
      <c r="G99" s="540"/>
      <c r="H99" s="540"/>
      <c r="I99" s="540"/>
      <c r="J99" s="540"/>
      <c r="K99" s="540"/>
      <c r="L99" s="540"/>
      <c r="M99" s="540"/>
      <c r="N99" s="540"/>
      <c r="O99" s="540"/>
      <c r="P99" s="540"/>
      <c r="Q99" s="540"/>
      <c r="R99" s="540"/>
      <c r="S99" s="540"/>
      <c r="T99" s="540"/>
      <c r="U99" s="540"/>
      <c r="V99" s="540"/>
      <c r="W99" s="540"/>
      <c r="X99" s="540"/>
      <c r="Y99" s="540"/>
      <c r="Z99" s="540"/>
    </row>
    <row r="100" ht="14.25" customHeight="1">
      <c r="A100" s="540"/>
      <c r="B100" s="540"/>
      <c r="C100" s="540"/>
      <c r="D100" s="540"/>
      <c r="E100" s="540"/>
      <c r="F100" s="540"/>
      <c r="G100" s="540"/>
      <c r="H100" s="540"/>
      <c r="I100" s="540"/>
      <c r="J100" s="540"/>
      <c r="K100" s="540"/>
      <c r="L100" s="540"/>
      <c r="M100" s="540"/>
      <c r="N100" s="540"/>
      <c r="O100" s="540"/>
      <c r="P100" s="540"/>
      <c r="Q100" s="540"/>
      <c r="R100" s="540"/>
      <c r="S100" s="540"/>
      <c r="T100" s="540"/>
      <c r="U100" s="540"/>
      <c r="V100" s="540"/>
      <c r="W100" s="540"/>
      <c r="X100" s="540"/>
      <c r="Y100" s="540"/>
      <c r="Z100" s="540"/>
    </row>
    <row r="101" ht="14.25" customHeight="1">
      <c r="A101" s="540"/>
      <c r="B101" s="540"/>
      <c r="C101" s="540"/>
      <c r="D101" s="540"/>
      <c r="E101" s="540"/>
      <c r="F101" s="540"/>
      <c r="G101" s="540"/>
      <c r="H101" s="540"/>
      <c r="I101" s="540"/>
      <c r="J101" s="540"/>
      <c r="K101" s="540"/>
      <c r="L101" s="540"/>
      <c r="M101" s="540"/>
      <c r="N101" s="540"/>
      <c r="O101" s="540"/>
      <c r="P101" s="540"/>
      <c r="Q101" s="540"/>
      <c r="R101" s="540"/>
      <c r="S101" s="540"/>
      <c r="T101" s="540"/>
      <c r="U101" s="540"/>
      <c r="V101" s="540"/>
      <c r="W101" s="540"/>
      <c r="X101" s="540"/>
      <c r="Y101" s="540"/>
      <c r="Z101" s="540"/>
    </row>
    <row r="102" ht="14.25" customHeight="1">
      <c r="A102" s="540"/>
      <c r="B102" s="540"/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0"/>
      <c r="N102" s="540"/>
      <c r="O102" s="540"/>
      <c r="P102" s="540"/>
      <c r="Q102" s="540"/>
      <c r="R102" s="540"/>
      <c r="S102" s="540"/>
      <c r="T102" s="540"/>
      <c r="U102" s="540"/>
      <c r="V102" s="540"/>
      <c r="W102" s="540"/>
      <c r="X102" s="540"/>
      <c r="Y102" s="540"/>
      <c r="Z102" s="540"/>
    </row>
    <row r="103" ht="14.25" customHeight="1">
      <c r="A103" s="540"/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0"/>
      <c r="N103" s="540"/>
      <c r="O103" s="540"/>
      <c r="P103" s="540"/>
      <c r="Q103" s="540"/>
      <c r="R103" s="540"/>
      <c r="S103" s="540"/>
      <c r="T103" s="540"/>
      <c r="U103" s="540"/>
      <c r="V103" s="540"/>
      <c r="W103" s="540"/>
      <c r="X103" s="540"/>
      <c r="Y103" s="540"/>
      <c r="Z103" s="540"/>
    </row>
    <row r="104" ht="14.25" customHeight="1">
      <c r="A104" s="540"/>
      <c r="B104" s="540"/>
      <c r="C104" s="540"/>
      <c r="D104" s="540"/>
      <c r="E104" s="540"/>
      <c r="F104" s="540"/>
      <c r="G104" s="540"/>
      <c r="H104" s="540"/>
      <c r="I104" s="540"/>
      <c r="J104" s="540"/>
      <c r="K104" s="540"/>
      <c r="L104" s="540"/>
      <c r="M104" s="540"/>
      <c r="N104" s="540"/>
      <c r="O104" s="540"/>
      <c r="P104" s="540"/>
      <c r="Q104" s="540"/>
      <c r="R104" s="540"/>
      <c r="S104" s="540"/>
      <c r="T104" s="540"/>
      <c r="U104" s="540"/>
      <c r="V104" s="540"/>
      <c r="W104" s="540"/>
      <c r="X104" s="540"/>
      <c r="Y104" s="540"/>
      <c r="Z104" s="540"/>
    </row>
    <row r="105" ht="14.25" customHeight="1">
      <c r="A105" s="540"/>
      <c r="B105" s="540"/>
      <c r="C105" s="540"/>
      <c r="D105" s="540"/>
      <c r="E105" s="540"/>
      <c r="F105" s="540"/>
      <c r="G105" s="540"/>
      <c r="H105" s="540"/>
      <c r="I105" s="540"/>
      <c r="J105" s="540"/>
      <c r="K105" s="540"/>
      <c r="L105" s="540"/>
      <c r="M105" s="540"/>
      <c r="N105" s="540"/>
      <c r="O105" s="540"/>
      <c r="P105" s="540"/>
      <c r="Q105" s="540"/>
      <c r="R105" s="540"/>
      <c r="S105" s="540"/>
      <c r="T105" s="540"/>
      <c r="U105" s="540"/>
      <c r="V105" s="540"/>
      <c r="W105" s="540"/>
      <c r="X105" s="540"/>
      <c r="Y105" s="540"/>
      <c r="Z105" s="540"/>
    </row>
    <row r="106" ht="14.25" customHeight="1">
      <c r="A106" s="540"/>
      <c r="B106" s="540"/>
      <c r="C106" s="540"/>
      <c r="D106" s="540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0"/>
      <c r="R106" s="540"/>
      <c r="S106" s="540"/>
      <c r="T106" s="540"/>
      <c r="U106" s="540"/>
      <c r="V106" s="540"/>
      <c r="W106" s="540"/>
      <c r="X106" s="540"/>
      <c r="Y106" s="540"/>
      <c r="Z106" s="540"/>
    </row>
    <row r="107" ht="14.25" customHeight="1">
      <c r="A107" s="540"/>
      <c r="B107" s="540"/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  <c r="P107" s="540"/>
      <c r="Q107" s="540"/>
      <c r="R107" s="540"/>
      <c r="S107" s="540"/>
      <c r="T107" s="540"/>
      <c r="U107" s="540"/>
      <c r="V107" s="540"/>
      <c r="W107" s="540"/>
      <c r="X107" s="540"/>
      <c r="Y107" s="540"/>
      <c r="Z107" s="540"/>
    </row>
    <row r="108" ht="14.25" customHeight="1">
      <c r="A108" s="540"/>
      <c r="B108" s="540"/>
      <c r="C108" s="540"/>
      <c r="D108" s="540"/>
      <c r="E108" s="540"/>
      <c r="F108" s="540"/>
      <c r="G108" s="540"/>
      <c r="H108" s="540"/>
      <c r="I108" s="540"/>
      <c r="J108" s="540"/>
      <c r="K108" s="540"/>
      <c r="L108" s="540"/>
      <c r="M108" s="540"/>
      <c r="N108" s="540"/>
      <c r="O108" s="540"/>
      <c r="P108" s="540"/>
      <c r="Q108" s="540"/>
      <c r="R108" s="540"/>
      <c r="S108" s="540"/>
      <c r="T108" s="540"/>
      <c r="U108" s="540"/>
      <c r="V108" s="540"/>
      <c r="W108" s="540"/>
      <c r="X108" s="540"/>
      <c r="Y108" s="540"/>
      <c r="Z108" s="540"/>
    </row>
    <row r="109" ht="14.25" customHeight="1">
      <c r="A109" s="540"/>
      <c r="B109" s="540"/>
      <c r="C109" s="540"/>
      <c r="D109" s="540"/>
      <c r="E109" s="540"/>
      <c r="F109" s="540"/>
      <c r="G109" s="540"/>
      <c r="H109" s="540"/>
      <c r="I109" s="540"/>
      <c r="J109" s="540"/>
      <c r="K109" s="540"/>
      <c r="L109" s="540"/>
      <c r="M109" s="540"/>
      <c r="N109" s="540"/>
      <c r="O109" s="540"/>
      <c r="P109" s="540"/>
      <c r="Q109" s="540"/>
      <c r="R109" s="540"/>
      <c r="S109" s="540"/>
      <c r="T109" s="540"/>
      <c r="U109" s="540"/>
      <c r="V109" s="540"/>
      <c r="W109" s="540"/>
      <c r="X109" s="540"/>
      <c r="Y109" s="540"/>
      <c r="Z109" s="540"/>
    </row>
    <row r="110" ht="14.25" customHeight="1">
      <c r="A110" s="540"/>
      <c r="B110" s="540"/>
      <c r="C110" s="540"/>
      <c r="D110" s="540"/>
      <c r="E110" s="540"/>
      <c r="F110" s="540"/>
      <c r="G110" s="540"/>
      <c r="H110" s="540"/>
      <c r="I110" s="540"/>
      <c r="J110" s="540"/>
      <c r="K110" s="540"/>
      <c r="L110" s="540"/>
      <c r="M110" s="540"/>
      <c r="N110" s="540"/>
      <c r="O110" s="540"/>
      <c r="P110" s="540"/>
      <c r="Q110" s="540"/>
      <c r="R110" s="540"/>
      <c r="S110" s="540"/>
      <c r="T110" s="540"/>
      <c r="U110" s="540"/>
      <c r="V110" s="540"/>
      <c r="W110" s="540"/>
      <c r="X110" s="540"/>
      <c r="Y110" s="540"/>
      <c r="Z110" s="540"/>
    </row>
    <row r="111" ht="14.25" customHeight="1">
      <c r="A111" s="540"/>
      <c r="B111" s="540"/>
      <c r="C111" s="540"/>
      <c r="D111" s="540"/>
      <c r="E111" s="540"/>
      <c r="F111" s="540"/>
      <c r="G111" s="540"/>
      <c r="H111" s="540"/>
      <c r="I111" s="540"/>
      <c r="J111" s="540"/>
      <c r="K111" s="540"/>
      <c r="L111" s="540"/>
      <c r="M111" s="540"/>
      <c r="N111" s="540"/>
      <c r="O111" s="540"/>
      <c r="P111" s="540"/>
      <c r="Q111" s="540"/>
      <c r="R111" s="540"/>
      <c r="S111" s="540"/>
      <c r="T111" s="540"/>
      <c r="U111" s="540"/>
      <c r="V111" s="540"/>
      <c r="W111" s="540"/>
      <c r="X111" s="540"/>
      <c r="Y111" s="540"/>
      <c r="Z111" s="540"/>
    </row>
    <row r="112" ht="14.25" customHeight="1">
      <c r="A112" s="540"/>
      <c r="B112" s="540"/>
      <c r="C112" s="540"/>
      <c r="D112" s="540"/>
      <c r="E112" s="540"/>
      <c r="F112" s="540"/>
      <c r="G112" s="540"/>
      <c r="H112" s="540"/>
      <c r="I112" s="540"/>
      <c r="J112" s="540"/>
      <c r="K112" s="540"/>
      <c r="L112" s="540"/>
      <c r="M112" s="540"/>
      <c r="N112" s="540"/>
      <c r="O112" s="540"/>
      <c r="P112" s="540"/>
      <c r="Q112" s="540"/>
      <c r="R112" s="540"/>
      <c r="S112" s="540"/>
      <c r="T112" s="540"/>
      <c r="U112" s="540"/>
      <c r="V112" s="540"/>
      <c r="W112" s="540"/>
      <c r="X112" s="540"/>
      <c r="Y112" s="540"/>
      <c r="Z112" s="540"/>
    </row>
    <row r="113" ht="14.25" customHeight="1">
      <c r="A113" s="540"/>
      <c r="B113" s="540"/>
      <c r="C113" s="540"/>
      <c r="D113" s="540"/>
      <c r="E113" s="540"/>
      <c r="F113" s="540"/>
      <c r="G113" s="540"/>
      <c r="H113" s="540"/>
      <c r="I113" s="540"/>
      <c r="J113" s="540"/>
      <c r="K113" s="540"/>
      <c r="L113" s="540"/>
      <c r="M113" s="540"/>
      <c r="N113" s="540"/>
      <c r="O113" s="540"/>
      <c r="P113" s="540"/>
      <c r="Q113" s="540"/>
      <c r="R113" s="540"/>
      <c r="S113" s="540"/>
      <c r="T113" s="540"/>
      <c r="U113" s="540"/>
      <c r="V113" s="540"/>
      <c r="W113" s="540"/>
      <c r="X113" s="540"/>
      <c r="Y113" s="540"/>
      <c r="Z113" s="540"/>
    </row>
    <row r="114" ht="14.25" customHeight="1">
      <c r="A114" s="540"/>
      <c r="B114" s="540"/>
      <c r="C114" s="540"/>
      <c r="D114" s="540"/>
      <c r="E114" s="540"/>
      <c r="F114" s="540"/>
      <c r="G114" s="540"/>
      <c r="H114" s="540"/>
      <c r="I114" s="540"/>
      <c r="J114" s="540"/>
      <c r="K114" s="540"/>
      <c r="L114" s="540"/>
      <c r="M114" s="540"/>
      <c r="N114" s="540"/>
      <c r="O114" s="540"/>
      <c r="P114" s="540"/>
      <c r="Q114" s="540"/>
      <c r="R114" s="540"/>
      <c r="S114" s="540"/>
      <c r="T114" s="540"/>
      <c r="U114" s="540"/>
      <c r="V114" s="540"/>
      <c r="W114" s="540"/>
      <c r="X114" s="540"/>
      <c r="Y114" s="540"/>
      <c r="Z114" s="540"/>
    </row>
    <row r="115" ht="14.25" customHeight="1">
      <c r="A115" s="540"/>
      <c r="B115" s="540"/>
      <c r="C115" s="540"/>
      <c r="D115" s="540"/>
      <c r="E115" s="540"/>
      <c r="F115" s="540"/>
      <c r="G115" s="540"/>
      <c r="H115" s="540"/>
      <c r="I115" s="540"/>
      <c r="J115" s="540"/>
      <c r="K115" s="540"/>
      <c r="L115" s="540"/>
      <c r="M115" s="540"/>
      <c r="N115" s="540"/>
      <c r="O115" s="540"/>
      <c r="P115" s="540"/>
      <c r="Q115" s="540"/>
      <c r="R115" s="540"/>
      <c r="S115" s="540"/>
      <c r="T115" s="540"/>
      <c r="U115" s="540"/>
      <c r="V115" s="540"/>
      <c r="W115" s="540"/>
      <c r="X115" s="540"/>
      <c r="Y115" s="540"/>
      <c r="Z115" s="540"/>
    </row>
    <row r="116" ht="14.25" customHeight="1">
      <c r="A116" s="540"/>
      <c r="B116" s="540"/>
      <c r="C116" s="540"/>
      <c r="D116" s="540"/>
      <c r="E116" s="540"/>
      <c r="F116" s="540"/>
      <c r="G116" s="540"/>
      <c r="H116" s="540"/>
      <c r="I116" s="540"/>
      <c r="J116" s="540"/>
      <c r="K116" s="540"/>
      <c r="L116" s="540"/>
      <c r="M116" s="540"/>
      <c r="N116" s="540"/>
      <c r="O116" s="540"/>
      <c r="P116" s="540"/>
      <c r="Q116" s="540"/>
      <c r="R116" s="540"/>
      <c r="S116" s="540"/>
      <c r="T116" s="540"/>
      <c r="U116" s="540"/>
      <c r="V116" s="540"/>
      <c r="W116" s="540"/>
      <c r="X116" s="540"/>
      <c r="Y116" s="540"/>
      <c r="Z116" s="540"/>
    </row>
    <row r="117" ht="14.25" customHeight="1">
      <c r="A117" s="540"/>
      <c r="B117" s="540"/>
      <c r="C117" s="540"/>
      <c r="D117" s="540"/>
      <c r="E117" s="540"/>
      <c r="F117" s="540"/>
      <c r="G117" s="540"/>
      <c r="H117" s="540"/>
      <c r="I117" s="540"/>
      <c r="J117" s="540"/>
      <c r="K117" s="540"/>
      <c r="L117" s="540"/>
      <c r="M117" s="540"/>
      <c r="N117" s="540"/>
      <c r="O117" s="540"/>
      <c r="P117" s="540"/>
      <c r="Q117" s="540"/>
      <c r="R117" s="540"/>
      <c r="S117" s="540"/>
      <c r="T117" s="540"/>
      <c r="U117" s="540"/>
      <c r="V117" s="540"/>
      <c r="W117" s="540"/>
      <c r="X117" s="540"/>
      <c r="Y117" s="540"/>
      <c r="Z117" s="540"/>
    </row>
    <row r="118" ht="14.25" customHeight="1">
      <c r="A118" s="540"/>
      <c r="B118" s="540"/>
      <c r="C118" s="540"/>
      <c r="D118" s="540"/>
      <c r="E118" s="540"/>
      <c r="F118" s="540"/>
      <c r="G118" s="540"/>
      <c r="H118" s="540"/>
      <c r="I118" s="540"/>
      <c r="J118" s="540"/>
      <c r="K118" s="540"/>
      <c r="L118" s="540"/>
      <c r="M118" s="540"/>
      <c r="N118" s="540"/>
      <c r="O118" s="540"/>
      <c r="P118" s="540"/>
      <c r="Q118" s="540"/>
      <c r="R118" s="540"/>
      <c r="S118" s="540"/>
      <c r="T118" s="540"/>
      <c r="U118" s="540"/>
      <c r="V118" s="540"/>
      <c r="W118" s="540"/>
      <c r="X118" s="540"/>
      <c r="Y118" s="540"/>
      <c r="Z118" s="540"/>
    </row>
    <row r="119" ht="14.25" customHeight="1">
      <c r="A119" s="540"/>
      <c r="B119" s="540"/>
      <c r="C119" s="540"/>
      <c r="D119" s="540"/>
      <c r="E119" s="540"/>
      <c r="F119" s="540"/>
      <c r="G119" s="540"/>
      <c r="H119" s="540"/>
      <c r="I119" s="540"/>
      <c r="J119" s="540"/>
      <c r="K119" s="540"/>
      <c r="L119" s="540"/>
      <c r="M119" s="540"/>
      <c r="N119" s="540"/>
      <c r="O119" s="540"/>
      <c r="P119" s="540"/>
      <c r="Q119" s="540"/>
      <c r="R119" s="540"/>
      <c r="S119" s="540"/>
      <c r="T119" s="540"/>
      <c r="U119" s="540"/>
      <c r="V119" s="540"/>
      <c r="W119" s="540"/>
      <c r="X119" s="540"/>
      <c r="Y119" s="540"/>
      <c r="Z119" s="540"/>
    </row>
    <row r="120" ht="14.25" customHeight="1">
      <c r="A120" s="540"/>
      <c r="B120" s="540"/>
      <c r="C120" s="540"/>
      <c r="D120" s="540"/>
      <c r="E120" s="540"/>
      <c r="F120" s="540"/>
      <c r="G120" s="540"/>
      <c r="H120" s="540"/>
      <c r="I120" s="540"/>
      <c r="J120" s="540"/>
      <c r="K120" s="540"/>
      <c r="L120" s="540"/>
      <c r="M120" s="540"/>
      <c r="N120" s="540"/>
      <c r="O120" s="540"/>
      <c r="P120" s="540"/>
      <c r="Q120" s="540"/>
      <c r="R120" s="540"/>
      <c r="S120" s="540"/>
      <c r="T120" s="540"/>
      <c r="U120" s="540"/>
      <c r="V120" s="540"/>
      <c r="W120" s="540"/>
      <c r="X120" s="540"/>
      <c r="Y120" s="540"/>
      <c r="Z120" s="540"/>
    </row>
    <row r="121" ht="14.25" customHeight="1">
      <c r="A121" s="540"/>
      <c r="B121" s="540"/>
      <c r="C121" s="540"/>
      <c r="D121" s="540"/>
      <c r="E121" s="540"/>
      <c r="F121" s="540"/>
      <c r="G121" s="540"/>
      <c r="H121" s="540"/>
      <c r="I121" s="540"/>
      <c r="J121" s="540"/>
      <c r="K121" s="540"/>
      <c r="L121" s="540"/>
      <c r="M121" s="540"/>
      <c r="N121" s="540"/>
      <c r="O121" s="540"/>
      <c r="P121" s="540"/>
      <c r="Q121" s="540"/>
      <c r="R121" s="540"/>
      <c r="S121" s="540"/>
      <c r="T121" s="540"/>
      <c r="U121" s="540"/>
      <c r="V121" s="540"/>
      <c r="W121" s="540"/>
      <c r="X121" s="540"/>
      <c r="Y121" s="540"/>
      <c r="Z121" s="540"/>
    </row>
    <row r="122" ht="14.25" customHeight="1">
      <c r="A122" s="540"/>
      <c r="B122" s="540"/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0"/>
      <c r="N122" s="540"/>
      <c r="O122" s="540"/>
      <c r="P122" s="540"/>
      <c r="Q122" s="540"/>
      <c r="R122" s="540"/>
      <c r="S122" s="540"/>
      <c r="T122" s="540"/>
      <c r="U122" s="540"/>
      <c r="V122" s="540"/>
      <c r="W122" s="540"/>
      <c r="X122" s="540"/>
      <c r="Y122" s="540"/>
      <c r="Z122" s="540"/>
    </row>
    <row r="123" ht="14.25" customHeight="1">
      <c r="A123" s="540"/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0"/>
      <c r="N123" s="540"/>
      <c r="O123" s="540"/>
      <c r="P123" s="540"/>
      <c r="Q123" s="540"/>
      <c r="R123" s="540"/>
      <c r="S123" s="540"/>
      <c r="T123" s="540"/>
      <c r="U123" s="540"/>
      <c r="V123" s="540"/>
      <c r="W123" s="540"/>
      <c r="X123" s="540"/>
      <c r="Y123" s="540"/>
      <c r="Z123" s="540"/>
    </row>
    <row r="124" ht="14.25" customHeight="1">
      <c r="A124" s="540"/>
      <c r="B124" s="540"/>
      <c r="C124" s="540"/>
      <c r="D124" s="540"/>
      <c r="E124" s="540"/>
      <c r="F124" s="540"/>
      <c r="G124" s="540"/>
      <c r="H124" s="540"/>
      <c r="I124" s="540"/>
      <c r="J124" s="540"/>
      <c r="K124" s="540"/>
      <c r="L124" s="540"/>
      <c r="M124" s="540"/>
      <c r="N124" s="540"/>
      <c r="O124" s="540"/>
      <c r="P124" s="540"/>
      <c r="Q124" s="540"/>
      <c r="R124" s="540"/>
      <c r="S124" s="540"/>
      <c r="T124" s="540"/>
      <c r="U124" s="540"/>
      <c r="V124" s="540"/>
      <c r="W124" s="540"/>
      <c r="X124" s="540"/>
      <c r="Y124" s="540"/>
      <c r="Z124" s="540"/>
    </row>
    <row r="125" ht="14.25" customHeight="1">
      <c r="A125" s="540"/>
      <c r="B125" s="540"/>
      <c r="C125" s="540"/>
      <c r="D125" s="540"/>
      <c r="E125" s="540"/>
      <c r="F125" s="540"/>
      <c r="G125" s="540"/>
      <c r="H125" s="540"/>
      <c r="I125" s="540"/>
      <c r="J125" s="540"/>
      <c r="K125" s="540"/>
      <c r="L125" s="540"/>
      <c r="M125" s="540"/>
      <c r="N125" s="540"/>
      <c r="O125" s="540"/>
      <c r="P125" s="540"/>
      <c r="Q125" s="540"/>
      <c r="R125" s="540"/>
      <c r="S125" s="540"/>
      <c r="T125" s="540"/>
      <c r="U125" s="540"/>
      <c r="V125" s="540"/>
      <c r="W125" s="540"/>
      <c r="X125" s="540"/>
      <c r="Y125" s="540"/>
      <c r="Z125" s="540"/>
    </row>
    <row r="126" ht="14.25" customHeight="1">
      <c r="A126" s="540"/>
      <c r="B126" s="540"/>
      <c r="C126" s="540"/>
      <c r="D126" s="540"/>
      <c r="E126" s="540"/>
      <c r="F126" s="540"/>
      <c r="G126" s="540"/>
      <c r="H126" s="540"/>
      <c r="I126" s="540"/>
      <c r="J126" s="540"/>
      <c r="K126" s="540"/>
      <c r="L126" s="540"/>
      <c r="M126" s="540"/>
      <c r="N126" s="540"/>
      <c r="O126" s="540"/>
      <c r="P126" s="540"/>
      <c r="Q126" s="540"/>
      <c r="R126" s="540"/>
      <c r="S126" s="540"/>
      <c r="T126" s="540"/>
      <c r="U126" s="540"/>
      <c r="V126" s="540"/>
      <c r="W126" s="540"/>
      <c r="X126" s="540"/>
      <c r="Y126" s="540"/>
      <c r="Z126" s="540"/>
    </row>
    <row r="127" ht="14.25" customHeight="1">
      <c r="A127" s="540"/>
      <c r="B127" s="540"/>
      <c r="C127" s="540"/>
      <c r="D127" s="540"/>
      <c r="E127" s="540"/>
      <c r="F127" s="540"/>
      <c r="G127" s="540"/>
      <c r="H127" s="540"/>
      <c r="I127" s="540"/>
      <c r="J127" s="540"/>
      <c r="K127" s="540"/>
      <c r="L127" s="540"/>
      <c r="M127" s="540"/>
      <c r="N127" s="540"/>
      <c r="O127" s="540"/>
      <c r="P127" s="540"/>
      <c r="Q127" s="540"/>
      <c r="R127" s="540"/>
      <c r="S127" s="540"/>
      <c r="T127" s="540"/>
      <c r="U127" s="540"/>
      <c r="V127" s="540"/>
      <c r="W127" s="540"/>
      <c r="X127" s="540"/>
      <c r="Y127" s="540"/>
      <c r="Z127" s="540"/>
    </row>
    <row r="128" ht="14.25" customHeight="1">
      <c r="A128" s="540"/>
      <c r="B128" s="540"/>
      <c r="C128" s="540"/>
      <c r="D128" s="540"/>
      <c r="E128" s="540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0"/>
      <c r="R128" s="540"/>
      <c r="S128" s="540"/>
      <c r="T128" s="540"/>
      <c r="U128" s="540"/>
      <c r="V128" s="540"/>
      <c r="W128" s="540"/>
      <c r="X128" s="540"/>
      <c r="Y128" s="540"/>
      <c r="Z128" s="540"/>
    </row>
    <row r="129" ht="14.25" customHeight="1">
      <c r="A129" s="540"/>
      <c r="B129" s="540"/>
      <c r="C129" s="540"/>
      <c r="D129" s="540"/>
      <c r="E129" s="540"/>
      <c r="F129" s="540"/>
      <c r="G129" s="540"/>
      <c r="H129" s="540"/>
      <c r="I129" s="540"/>
      <c r="J129" s="540"/>
      <c r="K129" s="540"/>
      <c r="L129" s="540"/>
      <c r="M129" s="540"/>
      <c r="N129" s="540"/>
      <c r="O129" s="540"/>
      <c r="P129" s="540"/>
      <c r="Q129" s="540"/>
      <c r="R129" s="540"/>
      <c r="S129" s="540"/>
      <c r="T129" s="540"/>
      <c r="U129" s="540"/>
      <c r="V129" s="540"/>
      <c r="W129" s="540"/>
      <c r="X129" s="540"/>
      <c r="Y129" s="540"/>
      <c r="Z129" s="540"/>
    </row>
    <row r="130" ht="14.25" customHeight="1">
      <c r="A130" s="540"/>
      <c r="B130" s="540"/>
      <c r="C130" s="540"/>
      <c r="D130" s="540"/>
      <c r="E130" s="540"/>
      <c r="F130" s="540"/>
      <c r="G130" s="540"/>
      <c r="H130" s="540"/>
      <c r="I130" s="540"/>
      <c r="J130" s="540"/>
      <c r="K130" s="540"/>
      <c r="L130" s="540"/>
      <c r="M130" s="540"/>
      <c r="N130" s="540"/>
      <c r="O130" s="540"/>
      <c r="P130" s="540"/>
      <c r="Q130" s="540"/>
      <c r="R130" s="540"/>
      <c r="S130" s="540"/>
      <c r="T130" s="540"/>
      <c r="U130" s="540"/>
      <c r="V130" s="540"/>
      <c r="W130" s="540"/>
      <c r="X130" s="540"/>
      <c r="Y130" s="540"/>
      <c r="Z130" s="540"/>
    </row>
    <row r="131" ht="14.25" customHeight="1">
      <c r="A131" s="540"/>
      <c r="B131" s="540"/>
      <c r="C131" s="540"/>
      <c r="D131" s="540"/>
      <c r="E131" s="540"/>
      <c r="F131" s="540"/>
      <c r="G131" s="540"/>
      <c r="H131" s="540"/>
      <c r="I131" s="540"/>
      <c r="J131" s="540"/>
      <c r="K131" s="540"/>
      <c r="L131" s="540"/>
      <c r="M131" s="540"/>
      <c r="N131" s="540"/>
      <c r="O131" s="540"/>
      <c r="P131" s="540"/>
      <c r="Q131" s="540"/>
      <c r="R131" s="540"/>
      <c r="S131" s="540"/>
      <c r="T131" s="540"/>
      <c r="U131" s="540"/>
      <c r="V131" s="540"/>
      <c r="W131" s="540"/>
      <c r="X131" s="540"/>
      <c r="Y131" s="540"/>
      <c r="Z131" s="540"/>
    </row>
    <row r="132" ht="14.25" customHeight="1">
      <c r="A132" s="540"/>
      <c r="B132" s="540"/>
      <c r="C132" s="540"/>
      <c r="D132" s="540"/>
      <c r="E132" s="540"/>
      <c r="F132" s="540"/>
      <c r="G132" s="540"/>
      <c r="H132" s="540"/>
      <c r="I132" s="540"/>
      <c r="J132" s="540"/>
      <c r="K132" s="540"/>
      <c r="L132" s="540"/>
      <c r="M132" s="540"/>
      <c r="N132" s="540"/>
      <c r="O132" s="540"/>
      <c r="P132" s="540"/>
      <c r="Q132" s="540"/>
      <c r="R132" s="540"/>
      <c r="S132" s="540"/>
      <c r="T132" s="540"/>
      <c r="U132" s="540"/>
      <c r="V132" s="540"/>
      <c r="W132" s="540"/>
      <c r="X132" s="540"/>
      <c r="Y132" s="540"/>
      <c r="Z132" s="540"/>
    </row>
    <row r="133" ht="14.25" customHeight="1">
      <c r="A133" s="540"/>
      <c r="B133" s="540"/>
      <c r="C133" s="540"/>
      <c r="D133" s="540"/>
      <c r="E133" s="540"/>
      <c r="F133" s="540"/>
      <c r="G133" s="540"/>
      <c r="H133" s="540"/>
      <c r="I133" s="540"/>
      <c r="J133" s="540"/>
      <c r="K133" s="540"/>
      <c r="L133" s="540"/>
      <c r="M133" s="540"/>
      <c r="N133" s="540"/>
      <c r="O133" s="540"/>
      <c r="P133" s="540"/>
      <c r="Q133" s="540"/>
      <c r="R133" s="540"/>
      <c r="S133" s="540"/>
      <c r="T133" s="540"/>
      <c r="U133" s="540"/>
      <c r="V133" s="540"/>
      <c r="W133" s="540"/>
      <c r="X133" s="540"/>
      <c r="Y133" s="540"/>
      <c r="Z133" s="540"/>
    </row>
    <row r="134" ht="14.25" customHeight="1">
      <c r="A134" s="540"/>
      <c r="B134" s="540"/>
      <c r="C134" s="540"/>
      <c r="D134" s="540"/>
      <c r="E134" s="540"/>
      <c r="F134" s="540"/>
      <c r="G134" s="540"/>
      <c r="H134" s="540"/>
      <c r="I134" s="540"/>
      <c r="J134" s="540"/>
      <c r="K134" s="540"/>
      <c r="L134" s="540"/>
      <c r="M134" s="540"/>
      <c r="N134" s="540"/>
      <c r="O134" s="540"/>
      <c r="P134" s="540"/>
      <c r="Q134" s="540"/>
      <c r="R134" s="540"/>
      <c r="S134" s="540"/>
      <c r="T134" s="540"/>
      <c r="U134" s="540"/>
      <c r="V134" s="540"/>
      <c r="W134" s="540"/>
      <c r="X134" s="540"/>
      <c r="Y134" s="540"/>
      <c r="Z134" s="540"/>
    </row>
    <row r="135" ht="14.25" customHeight="1">
      <c r="A135" s="540"/>
      <c r="B135" s="540"/>
      <c r="C135" s="540"/>
      <c r="D135" s="540"/>
      <c r="E135" s="540"/>
      <c r="F135" s="540"/>
      <c r="G135" s="540"/>
      <c r="H135" s="540"/>
      <c r="I135" s="540"/>
      <c r="J135" s="540"/>
      <c r="K135" s="540"/>
      <c r="L135" s="540"/>
      <c r="M135" s="540"/>
      <c r="N135" s="540"/>
      <c r="O135" s="540"/>
      <c r="P135" s="540"/>
      <c r="Q135" s="540"/>
      <c r="R135" s="540"/>
      <c r="S135" s="540"/>
      <c r="T135" s="540"/>
      <c r="U135" s="540"/>
      <c r="V135" s="540"/>
      <c r="W135" s="540"/>
      <c r="X135" s="540"/>
      <c r="Y135" s="540"/>
      <c r="Z135" s="540"/>
    </row>
    <row r="136" ht="14.25" customHeight="1">
      <c r="A136" s="540"/>
      <c r="B136" s="540"/>
      <c r="C136" s="540"/>
      <c r="D136" s="540"/>
      <c r="E136" s="540"/>
      <c r="F136" s="540"/>
      <c r="G136" s="540"/>
      <c r="H136" s="540"/>
      <c r="I136" s="540"/>
      <c r="J136" s="540"/>
      <c r="K136" s="540"/>
      <c r="L136" s="540"/>
      <c r="M136" s="540"/>
      <c r="N136" s="540"/>
      <c r="O136" s="540"/>
      <c r="P136" s="540"/>
      <c r="Q136" s="540"/>
      <c r="R136" s="540"/>
      <c r="S136" s="540"/>
      <c r="T136" s="540"/>
      <c r="U136" s="540"/>
      <c r="V136" s="540"/>
      <c r="W136" s="540"/>
      <c r="X136" s="540"/>
      <c r="Y136" s="540"/>
      <c r="Z136" s="540"/>
    </row>
    <row r="137" ht="14.25" customHeight="1">
      <c r="A137" s="540"/>
      <c r="B137" s="540"/>
      <c r="C137" s="540"/>
      <c r="D137" s="540"/>
      <c r="E137" s="540"/>
      <c r="F137" s="540"/>
      <c r="G137" s="540"/>
      <c r="H137" s="540"/>
      <c r="I137" s="540"/>
      <c r="J137" s="540"/>
      <c r="K137" s="540"/>
      <c r="L137" s="540"/>
      <c r="M137" s="540"/>
      <c r="N137" s="540"/>
      <c r="O137" s="540"/>
      <c r="P137" s="540"/>
      <c r="Q137" s="540"/>
      <c r="R137" s="540"/>
      <c r="S137" s="540"/>
      <c r="T137" s="540"/>
      <c r="U137" s="540"/>
      <c r="V137" s="540"/>
      <c r="W137" s="540"/>
      <c r="X137" s="540"/>
      <c r="Y137" s="540"/>
      <c r="Z137" s="540"/>
    </row>
    <row r="138" ht="14.25" customHeight="1">
      <c r="A138" s="540"/>
      <c r="B138" s="540"/>
      <c r="C138" s="540"/>
      <c r="D138" s="540"/>
      <c r="E138" s="540"/>
      <c r="F138" s="540"/>
      <c r="G138" s="540"/>
      <c r="H138" s="540"/>
      <c r="I138" s="540"/>
      <c r="J138" s="540"/>
      <c r="K138" s="540"/>
      <c r="L138" s="540"/>
      <c r="M138" s="540"/>
      <c r="N138" s="540"/>
      <c r="O138" s="540"/>
      <c r="P138" s="540"/>
      <c r="Q138" s="540"/>
      <c r="R138" s="540"/>
      <c r="S138" s="540"/>
      <c r="T138" s="540"/>
      <c r="U138" s="540"/>
      <c r="V138" s="540"/>
      <c r="W138" s="540"/>
      <c r="X138" s="540"/>
      <c r="Y138" s="540"/>
      <c r="Z138" s="540"/>
    </row>
    <row r="139" ht="14.25" customHeight="1">
      <c r="A139" s="540"/>
      <c r="B139" s="540"/>
      <c r="C139" s="540"/>
      <c r="D139" s="540"/>
      <c r="E139" s="540"/>
      <c r="F139" s="540"/>
      <c r="G139" s="540"/>
      <c r="H139" s="540"/>
      <c r="I139" s="540"/>
      <c r="J139" s="540"/>
      <c r="K139" s="540"/>
      <c r="L139" s="540"/>
      <c r="M139" s="540"/>
      <c r="N139" s="540"/>
      <c r="O139" s="540"/>
      <c r="P139" s="540"/>
      <c r="Q139" s="540"/>
      <c r="R139" s="540"/>
      <c r="S139" s="540"/>
      <c r="T139" s="540"/>
      <c r="U139" s="540"/>
      <c r="V139" s="540"/>
      <c r="W139" s="540"/>
      <c r="X139" s="540"/>
      <c r="Y139" s="540"/>
      <c r="Z139" s="540"/>
    </row>
    <row r="140" ht="14.25" customHeight="1">
      <c r="A140" s="540"/>
      <c r="B140" s="540"/>
      <c r="C140" s="540"/>
      <c r="D140" s="540"/>
      <c r="E140" s="540"/>
      <c r="F140" s="540"/>
      <c r="G140" s="540"/>
      <c r="H140" s="540"/>
      <c r="I140" s="540"/>
      <c r="J140" s="540"/>
      <c r="K140" s="540"/>
      <c r="L140" s="540"/>
      <c r="M140" s="540"/>
      <c r="N140" s="540"/>
      <c r="O140" s="540"/>
      <c r="P140" s="540"/>
      <c r="Q140" s="540"/>
      <c r="R140" s="540"/>
      <c r="S140" s="540"/>
      <c r="T140" s="540"/>
      <c r="U140" s="540"/>
      <c r="V140" s="540"/>
      <c r="W140" s="540"/>
      <c r="X140" s="540"/>
      <c r="Y140" s="540"/>
      <c r="Z140" s="540"/>
    </row>
    <row r="141" ht="14.25" customHeight="1">
      <c r="A141" s="540"/>
      <c r="B141" s="540"/>
      <c r="C141" s="540"/>
      <c r="D141" s="540"/>
      <c r="E141" s="540"/>
      <c r="F141" s="540"/>
      <c r="G141" s="540"/>
      <c r="H141" s="540"/>
      <c r="I141" s="540"/>
      <c r="J141" s="540"/>
      <c r="K141" s="540"/>
      <c r="L141" s="540"/>
      <c r="M141" s="540"/>
      <c r="N141" s="540"/>
      <c r="O141" s="540"/>
      <c r="P141" s="540"/>
      <c r="Q141" s="540"/>
      <c r="R141" s="540"/>
      <c r="S141" s="540"/>
      <c r="T141" s="540"/>
      <c r="U141" s="540"/>
      <c r="V141" s="540"/>
      <c r="W141" s="540"/>
      <c r="X141" s="540"/>
      <c r="Y141" s="540"/>
      <c r="Z141" s="540"/>
    </row>
    <row r="142" ht="14.25" customHeight="1">
      <c r="A142" s="540"/>
      <c r="B142" s="540"/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  <c r="W142" s="540"/>
      <c r="X142" s="540"/>
      <c r="Y142" s="540"/>
      <c r="Z142" s="540"/>
    </row>
    <row r="143" ht="14.25" customHeight="1">
      <c r="A143" s="540"/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0"/>
      <c r="N143" s="540"/>
      <c r="O143" s="540"/>
      <c r="P143" s="540"/>
      <c r="Q143" s="540"/>
      <c r="R143" s="540"/>
      <c r="S143" s="540"/>
      <c r="T143" s="540"/>
      <c r="U143" s="540"/>
      <c r="V143" s="540"/>
      <c r="W143" s="540"/>
      <c r="X143" s="540"/>
      <c r="Y143" s="540"/>
      <c r="Z143" s="540"/>
    </row>
    <row r="144" ht="14.25" customHeight="1">
      <c r="A144" s="540"/>
      <c r="B144" s="540"/>
      <c r="C144" s="540"/>
      <c r="D144" s="540"/>
      <c r="E144" s="540"/>
      <c r="F144" s="540"/>
      <c r="G144" s="540"/>
      <c r="H144" s="540"/>
      <c r="I144" s="540"/>
      <c r="J144" s="540"/>
      <c r="K144" s="540"/>
      <c r="L144" s="540"/>
      <c r="M144" s="540"/>
      <c r="N144" s="540"/>
      <c r="O144" s="540"/>
      <c r="P144" s="540"/>
      <c r="Q144" s="540"/>
      <c r="R144" s="540"/>
      <c r="S144" s="540"/>
      <c r="T144" s="540"/>
      <c r="U144" s="540"/>
      <c r="V144" s="540"/>
      <c r="W144" s="540"/>
      <c r="X144" s="540"/>
      <c r="Y144" s="540"/>
      <c r="Z144" s="540"/>
    </row>
    <row r="145" ht="14.25" customHeight="1">
      <c r="A145" s="540"/>
      <c r="B145" s="540"/>
      <c r="C145" s="540"/>
      <c r="D145" s="540"/>
      <c r="E145" s="540"/>
      <c r="F145" s="540"/>
      <c r="G145" s="540"/>
      <c r="H145" s="540"/>
      <c r="I145" s="540"/>
      <c r="J145" s="540"/>
      <c r="K145" s="540"/>
      <c r="L145" s="540"/>
      <c r="M145" s="540"/>
      <c r="N145" s="540"/>
      <c r="O145" s="540"/>
      <c r="P145" s="540"/>
      <c r="Q145" s="540"/>
      <c r="R145" s="540"/>
      <c r="S145" s="540"/>
      <c r="T145" s="540"/>
      <c r="U145" s="540"/>
      <c r="V145" s="540"/>
      <c r="W145" s="540"/>
      <c r="X145" s="540"/>
      <c r="Y145" s="540"/>
      <c r="Z145" s="540"/>
    </row>
    <row r="146" ht="14.25" customHeight="1">
      <c r="A146" s="540"/>
      <c r="B146" s="540"/>
      <c r="C146" s="540"/>
      <c r="D146" s="540"/>
      <c r="E146" s="540"/>
      <c r="F146" s="540"/>
      <c r="G146" s="540"/>
      <c r="H146" s="540"/>
      <c r="I146" s="540"/>
      <c r="J146" s="540"/>
      <c r="K146" s="540"/>
      <c r="L146" s="540"/>
      <c r="M146" s="540"/>
      <c r="N146" s="540"/>
      <c r="O146" s="540"/>
      <c r="P146" s="540"/>
      <c r="Q146" s="540"/>
      <c r="R146" s="540"/>
      <c r="S146" s="540"/>
      <c r="T146" s="540"/>
      <c r="U146" s="540"/>
      <c r="V146" s="540"/>
      <c r="W146" s="540"/>
      <c r="X146" s="540"/>
      <c r="Y146" s="540"/>
      <c r="Z146" s="540"/>
    </row>
    <row r="147" ht="14.25" customHeight="1">
      <c r="A147" s="540"/>
      <c r="B147" s="540"/>
      <c r="C147" s="540"/>
      <c r="D147" s="540"/>
      <c r="E147" s="540"/>
      <c r="F147" s="540"/>
      <c r="G147" s="540"/>
      <c r="H147" s="540"/>
      <c r="I147" s="540"/>
      <c r="J147" s="540"/>
      <c r="K147" s="540"/>
      <c r="L147" s="540"/>
      <c r="M147" s="540"/>
      <c r="N147" s="540"/>
      <c r="O147" s="540"/>
      <c r="P147" s="540"/>
      <c r="Q147" s="540"/>
      <c r="R147" s="540"/>
      <c r="S147" s="540"/>
      <c r="T147" s="540"/>
      <c r="U147" s="540"/>
      <c r="V147" s="540"/>
      <c r="W147" s="540"/>
      <c r="X147" s="540"/>
      <c r="Y147" s="540"/>
      <c r="Z147" s="540"/>
    </row>
    <row r="148" ht="14.25" customHeight="1">
      <c r="A148" s="540"/>
      <c r="B148" s="540"/>
      <c r="C148" s="540"/>
      <c r="D148" s="540"/>
      <c r="E148" s="540"/>
      <c r="F148" s="540"/>
      <c r="G148" s="540"/>
      <c r="H148" s="540"/>
      <c r="I148" s="540"/>
      <c r="J148" s="540"/>
      <c r="K148" s="540"/>
      <c r="L148" s="540"/>
      <c r="M148" s="540"/>
      <c r="N148" s="540"/>
      <c r="O148" s="540"/>
      <c r="P148" s="540"/>
      <c r="Q148" s="540"/>
      <c r="R148" s="540"/>
      <c r="S148" s="540"/>
      <c r="T148" s="540"/>
      <c r="U148" s="540"/>
      <c r="V148" s="540"/>
      <c r="W148" s="540"/>
      <c r="X148" s="540"/>
      <c r="Y148" s="540"/>
      <c r="Z148" s="540"/>
    </row>
    <row r="149" ht="14.25" customHeight="1">
      <c r="A149" s="540"/>
      <c r="B149" s="540"/>
      <c r="C149" s="540"/>
      <c r="D149" s="540"/>
      <c r="E149" s="540"/>
      <c r="F149" s="540"/>
      <c r="G149" s="540"/>
      <c r="H149" s="540"/>
      <c r="I149" s="540"/>
      <c r="J149" s="540"/>
      <c r="K149" s="540"/>
      <c r="L149" s="540"/>
      <c r="M149" s="540"/>
      <c r="N149" s="540"/>
      <c r="O149" s="540"/>
      <c r="P149" s="540"/>
      <c r="Q149" s="540"/>
      <c r="R149" s="540"/>
      <c r="S149" s="540"/>
      <c r="T149" s="540"/>
      <c r="U149" s="540"/>
      <c r="V149" s="540"/>
      <c r="W149" s="540"/>
      <c r="X149" s="540"/>
      <c r="Y149" s="540"/>
      <c r="Z149" s="540"/>
    </row>
    <row r="150" ht="14.25" customHeight="1">
      <c r="A150" s="540"/>
      <c r="B150" s="540"/>
      <c r="C150" s="540"/>
      <c r="D150" s="540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0"/>
      <c r="R150" s="540"/>
      <c r="S150" s="540"/>
      <c r="T150" s="540"/>
      <c r="U150" s="540"/>
      <c r="V150" s="540"/>
      <c r="W150" s="540"/>
      <c r="X150" s="540"/>
      <c r="Y150" s="540"/>
      <c r="Z150" s="540"/>
    </row>
    <row r="151" ht="14.25" customHeight="1">
      <c r="A151" s="540"/>
      <c r="B151" s="540"/>
      <c r="C151" s="540"/>
      <c r="D151" s="540"/>
      <c r="E151" s="540"/>
      <c r="F151" s="540"/>
      <c r="G151" s="540"/>
      <c r="H151" s="540"/>
      <c r="I151" s="540"/>
      <c r="J151" s="540"/>
      <c r="K151" s="540"/>
      <c r="L151" s="540"/>
      <c r="M151" s="540"/>
      <c r="N151" s="540"/>
      <c r="O151" s="540"/>
      <c r="P151" s="540"/>
      <c r="Q151" s="540"/>
      <c r="R151" s="540"/>
      <c r="S151" s="540"/>
      <c r="T151" s="540"/>
      <c r="U151" s="540"/>
      <c r="V151" s="540"/>
      <c r="W151" s="540"/>
      <c r="X151" s="540"/>
      <c r="Y151" s="540"/>
      <c r="Z151" s="540"/>
    </row>
    <row r="152" ht="14.25" customHeight="1">
      <c r="A152" s="540"/>
      <c r="B152" s="540"/>
      <c r="C152" s="540"/>
      <c r="D152" s="540"/>
      <c r="E152" s="540"/>
      <c r="F152" s="540"/>
      <c r="G152" s="540"/>
      <c r="H152" s="540"/>
      <c r="I152" s="540"/>
      <c r="J152" s="540"/>
      <c r="K152" s="540"/>
      <c r="L152" s="540"/>
      <c r="M152" s="540"/>
      <c r="N152" s="540"/>
      <c r="O152" s="540"/>
      <c r="P152" s="540"/>
      <c r="Q152" s="540"/>
      <c r="R152" s="540"/>
      <c r="S152" s="540"/>
      <c r="T152" s="540"/>
      <c r="U152" s="540"/>
      <c r="V152" s="540"/>
      <c r="W152" s="540"/>
      <c r="X152" s="540"/>
      <c r="Y152" s="540"/>
      <c r="Z152" s="540"/>
    </row>
    <row r="153" ht="14.25" customHeight="1">
      <c r="A153" s="540"/>
      <c r="B153" s="540"/>
      <c r="C153" s="540"/>
      <c r="D153" s="540"/>
      <c r="E153" s="540"/>
      <c r="F153" s="540"/>
      <c r="G153" s="540"/>
      <c r="H153" s="540"/>
      <c r="I153" s="540"/>
      <c r="J153" s="540"/>
      <c r="K153" s="540"/>
      <c r="L153" s="540"/>
      <c r="M153" s="540"/>
      <c r="N153" s="540"/>
      <c r="O153" s="540"/>
      <c r="P153" s="540"/>
      <c r="Q153" s="540"/>
      <c r="R153" s="540"/>
      <c r="S153" s="540"/>
      <c r="T153" s="540"/>
      <c r="U153" s="540"/>
      <c r="V153" s="540"/>
      <c r="W153" s="540"/>
      <c r="X153" s="540"/>
      <c r="Y153" s="540"/>
      <c r="Z153" s="540"/>
    </row>
    <row r="154" ht="14.25" customHeight="1">
      <c r="A154" s="540"/>
      <c r="B154" s="540"/>
      <c r="C154" s="540"/>
      <c r="D154" s="540"/>
      <c r="E154" s="540"/>
      <c r="F154" s="540"/>
      <c r="G154" s="540"/>
      <c r="H154" s="540"/>
      <c r="I154" s="540"/>
      <c r="J154" s="540"/>
      <c r="K154" s="540"/>
      <c r="L154" s="540"/>
      <c r="M154" s="540"/>
      <c r="N154" s="540"/>
      <c r="O154" s="540"/>
      <c r="P154" s="540"/>
      <c r="Q154" s="540"/>
      <c r="R154" s="540"/>
      <c r="S154" s="540"/>
      <c r="T154" s="540"/>
      <c r="U154" s="540"/>
      <c r="V154" s="540"/>
      <c r="W154" s="540"/>
      <c r="X154" s="540"/>
      <c r="Y154" s="540"/>
      <c r="Z154" s="540"/>
    </row>
    <row r="155" ht="14.25" customHeight="1">
      <c r="A155" s="540"/>
      <c r="B155" s="540"/>
      <c r="C155" s="540"/>
      <c r="D155" s="540"/>
      <c r="E155" s="540"/>
      <c r="F155" s="540"/>
      <c r="G155" s="540"/>
      <c r="H155" s="540"/>
      <c r="I155" s="540"/>
      <c r="J155" s="540"/>
      <c r="K155" s="540"/>
      <c r="L155" s="540"/>
      <c r="M155" s="540"/>
      <c r="N155" s="540"/>
      <c r="O155" s="540"/>
      <c r="P155" s="540"/>
      <c r="Q155" s="540"/>
      <c r="R155" s="540"/>
      <c r="S155" s="540"/>
      <c r="T155" s="540"/>
      <c r="U155" s="540"/>
      <c r="V155" s="540"/>
      <c r="W155" s="540"/>
      <c r="X155" s="540"/>
      <c r="Y155" s="540"/>
      <c r="Z155" s="540"/>
    </row>
    <row r="156" ht="14.25" customHeight="1">
      <c r="A156" s="540"/>
      <c r="B156" s="540"/>
      <c r="C156" s="540"/>
      <c r="D156" s="540"/>
      <c r="E156" s="540"/>
      <c r="F156" s="540"/>
      <c r="G156" s="540"/>
      <c r="H156" s="540"/>
      <c r="I156" s="540"/>
      <c r="J156" s="540"/>
      <c r="K156" s="540"/>
      <c r="L156" s="540"/>
      <c r="M156" s="540"/>
      <c r="N156" s="540"/>
      <c r="O156" s="540"/>
      <c r="P156" s="540"/>
      <c r="Q156" s="540"/>
      <c r="R156" s="540"/>
      <c r="S156" s="540"/>
      <c r="T156" s="540"/>
      <c r="U156" s="540"/>
      <c r="V156" s="540"/>
      <c r="W156" s="540"/>
      <c r="X156" s="540"/>
      <c r="Y156" s="540"/>
      <c r="Z156" s="540"/>
    </row>
    <row r="157" ht="14.25" customHeight="1">
      <c r="A157" s="540"/>
      <c r="B157" s="540"/>
      <c r="C157" s="540"/>
      <c r="D157" s="540"/>
      <c r="E157" s="540"/>
      <c r="F157" s="540"/>
      <c r="G157" s="540"/>
      <c r="H157" s="540"/>
      <c r="I157" s="540"/>
      <c r="J157" s="540"/>
      <c r="K157" s="540"/>
      <c r="L157" s="540"/>
      <c r="M157" s="540"/>
      <c r="N157" s="540"/>
      <c r="O157" s="540"/>
      <c r="P157" s="540"/>
      <c r="Q157" s="540"/>
      <c r="R157" s="540"/>
      <c r="S157" s="540"/>
      <c r="T157" s="540"/>
      <c r="U157" s="540"/>
      <c r="V157" s="540"/>
      <c r="W157" s="540"/>
      <c r="X157" s="540"/>
      <c r="Y157" s="540"/>
      <c r="Z157" s="540"/>
    </row>
    <row r="158" ht="14.25" customHeight="1">
      <c r="A158" s="540"/>
      <c r="B158" s="540"/>
      <c r="C158" s="540"/>
      <c r="D158" s="540"/>
      <c r="E158" s="540"/>
      <c r="F158" s="540"/>
      <c r="G158" s="540"/>
      <c r="H158" s="540"/>
      <c r="I158" s="540"/>
      <c r="J158" s="540"/>
      <c r="K158" s="540"/>
      <c r="L158" s="540"/>
      <c r="M158" s="540"/>
      <c r="N158" s="540"/>
      <c r="O158" s="540"/>
      <c r="P158" s="540"/>
      <c r="Q158" s="540"/>
      <c r="R158" s="540"/>
      <c r="S158" s="540"/>
      <c r="T158" s="540"/>
      <c r="U158" s="540"/>
      <c r="V158" s="540"/>
      <c r="W158" s="540"/>
      <c r="X158" s="540"/>
      <c r="Y158" s="540"/>
      <c r="Z158" s="540"/>
    </row>
    <row r="159" ht="14.25" customHeight="1">
      <c r="A159" s="540"/>
      <c r="B159" s="540"/>
      <c r="C159" s="540"/>
      <c r="D159" s="540"/>
      <c r="E159" s="540"/>
      <c r="F159" s="540"/>
      <c r="G159" s="540"/>
      <c r="H159" s="540"/>
      <c r="I159" s="540"/>
      <c r="J159" s="540"/>
      <c r="K159" s="540"/>
      <c r="L159" s="540"/>
      <c r="M159" s="540"/>
      <c r="N159" s="540"/>
      <c r="O159" s="540"/>
      <c r="P159" s="540"/>
      <c r="Q159" s="540"/>
      <c r="R159" s="540"/>
      <c r="S159" s="540"/>
      <c r="T159" s="540"/>
      <c r="U159" s="540"/>
      <c r="V159" s="540"/>
      <c r="W159" s="540"/>
      <c r="X159" s="540"/>
      <c r="Y159" s="540"/>
      <c r="Z159" s="540"/>
    </row>
    <row r="160" ht="14.25" customHeight="1">
      <c r="A160" s="540"/>
      <c r="B160" s="540"/>
      <c r="C160" s="540"/>
      <c r="D160" s="540"/>
      <c r="E160" s="540"/>
      <c r="F160" s="540"/>
      <c r="G160" s="540"/>
      <c r="H160" s="540"/>
      <c r="I160" s="540"/>
      <c r="J160" s="540"/>
      <c r="K160" s="540"/>
      <c r="L160" s="540"/>
      <c r="M160" s="540"/>
      <c r="N160" s="540"/>
      <c r="O160" s="540"/>
      <c r="P160" s="540"/>
      <c r="Q160" s="540"/>
      <c r="R160" s="540"/>
      <c r="S160" s="540"/>
      <c r="T160" s="540"/>
      <c r="U160" s="540"/>
      <c r="V160" s="540"/>
      <c r="W160" s="540"/>
      <c r="X160" s="540"/>
      <c r="Y160" s="540"/>
      <c r="Z160" s="540"/>
    </row>
    <row r="161" ht="14.25" customHeight="1">
      <c r="A161" s="540"/>
      <c r="B161" s="540"/>
      <c r="C161" s="540"/>
      <c r="D161" s="540"/>
      <c r="E161" s="540"/>
      <c r="F161" s="540"/>
      <c r="G161" s="540"/>
      <c r="H161" s="540"/>
      <c r="I161" s="540"/>
      <c r="J161" s="540"/>
      <c r="K161" s="540"/>
      <c r="L161" s="540"/>
      <c r="M161" s="540"/>
      <c r="N161" s="540"/>
      <c r="O161" s="540"/>
      <c r="P161" s="540"/>
      <c r="Q161" s="540"/>
      <c r="R161" s="540"/>
      <c r="S161" s="540"/>
      <c r="T161" s="540"/>
      <c r="U161" s="540"/>
      <c r="V161" s="540"/>
      <c r="W161" s="540"/>
      <c r="X161" s="540"/>
      <c r="Y161" s="540"/>
      <c r="Z161" s="540"/>
    </row>
    <row r="162" ht="14.25" customHeight="1">
      <c r="A162" s="540"/>
      <c r="B162" s="540"/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0"/>
      <c r="N162" s="540"/>
      <c r="O162" s="540"/>
      <c r="P162" s="540"/>
      <c r="Q162" s="540"/>
      <c r="R162" s="540"/>
      <c r="S162" s="540"/>
      <c r="T162" s="540"/>
      <c r="U162" s="540"/>
      <c r="V162" s="540"/>
      <c r="W162" s="540"/>
      <c r="X162" s="540"/>
      <c r="Y162" s="540"/>
      <c r="Z162" s="540"/>
    </row>
    <row r="163" ht="14.25" customHeight="1">
      <c r="A163" s="540"/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0"/>
      <c r="N163" s="540"/>
      <c r="O163" s="540"/>
      <c r="P163" s="540"/>
      <c r="Q163" s="540"/>
      <c r="R163" s="540"/>
      <c r="S163" s="540"/>
      <c r="T163" s="540"/>
      <c r="U163" s="540"/>
      <c r="V163" s="540"/>
      <c r="W163" s="540"/>
      <c r="X163" s="540"/>
      <c r="Y163" s="540"/>
      <c r="Z163" s="540"/>
    </row>
    <row r="164" ht="14.25" customHeight="1">
      <c r="A164" s="540"/>
      <c r="B164" s="540"/>
      <c r="C164" s="540"/>
      <c r="D164" s="540"/>
      <c r="E164" s="540"/>
      <c r="F164" s="540"/>
      <c r="G164" s="540"/>
      <c r="H164" s="540"/>
      <c r="I164" s="540"/>
      <c r="J164" s="540"/>
      <c r="K164" s="540"/>
      <c r="L164" s="540"/>
      <c r="M164" s="540"/>
      <c r="N164" s="540"/>
      <c r="O164" s="540"/>
      <c r="P164" s="540"/>
      <c r="Q164" s="540"/>
      <c r="R164" s="540"/>
      <c r="S164" s="540"/>
      <c r="T164" s="540"/>
      <c r="U164" s="540"/>
      <c r="V164" s="540"/>
      <c r="W164" s="540"/>
      <c r="X164" s="540"/>
      <c r="Y164" s="540"/>
      <c r="Z164" s="540"/>
    </row>
    <row r="165" ht="14.25" customHeight="1">
      <c r="A165" s="540"/>
      <c r="B165" s="540"/>
      <c r="C165" s="540"/>
      <c r="D165" s="540"/>
      <c r="E165" s="540"/>
      <c r="F165" s="540"/>
      <c r="G165" s="540"/>
      <c r="H165" s="540"/>
      <c r="I165" s="540"/>
      <c r="J165" s="540"/>
      <c r="K165" s="540"/>
      <c r="L165" s="540"/>
      <c r="M165" s="540"/>
      <c r="N165" s="540"/>
      <c r="O165" s="540"/>
      <c r="P165" s="540"/>
      <c r="Q165" s="540"/>
      <c r="R165" s="540"/>
      <c r="S165" s="540"/>
      <c r="T165" s="540"/>
      <c r="U165" s="540"/>
      <c r="V165" s="540"/>
      <c r="W165" s="540"/>
      <c r="X165" s="540"/>
      <c r="Y165" s="540"/>
      <c r="Z165" s="540"/>
    </row>
    <row r="166" ht="14.25" customHeight="1">
      <c r="A166" s="540"/>
      <c r="B166" s="540"/>
      <c r="C166" s="540"/>
      <c r="D166" s="540"/>
      <c r="E166" s="540"/>
      <c r="F166" s="540"/>
      <c r="G166" s="540"/>
      <c r="H166" s="540"/>
      <c r="I166" s="540"/>
      <c r="J166" s="540"/>
      <c r="K166" s="540"/>
      <c r="L166" s="540"/>
      <c r="M166" s="540"/>
      <c r="N166" s="540"/>
      <c r="O166" s="540"/>
      <c r="P166" s="540"/>
      <c r="Q166" s="540"/>
      <c r="R166" s="540"/>
      <c r="S166" s="540"/>
      <c r="T166" s="540"/>
      <c r="U166" s="540"/>
      <c r="V166" s="540"/>
      <c r="W166" s="540"/>
      <c r="X166" s="540"/>
      <c r="Y166" s="540"/>
      <c r="Z166" s="540"/>
    </row>
    <row r="167" ht="14.25" customHeight="1">
      <c r="A167" s="540"/>
      <c r="B167" s="540"/>
      <c r="C167" s="540"/>
      <c r="D167" s="540"/>
      <c r="E167" s="540"/>
      <c r="F167" s="540"/>
      <c r="G167" s="540"/>
      <c r="H167" s="540"/>
      <c r="I167" s="540"/>
      <c r="J167" s="540"/>
      <c r="K167" s="540"/>
      <c r="L167" s="540"/>
      <c r="M167" s="540"/>
      <c r="N167" s="540"/>
      <c r="O167" s="540"/>
      <c r="P167" s="540"/>
      <c r="Q167" s="540"/>
      <c r="R167" s="540"/>
      <c r="S167" s="540"/>
      <c r="T167" s="540"/>
      <c r="U167" s="540"/>
      <c r="V167" s="540"/>
      <c r="W167" s="540"/>
      <c r="X167" s="540"/>
      <c r="Y167" s="540"/>
      <c r="Z167" s="540"/>
    </row>
    <row r="168" ht="14.25" customHeight="1">
      <c r="A168" s="540"/>
      <c r="B168" s="540"/>
      <c r="C168" s="540"/>
      <c r="D168" s="540"/>
      <c r="E168" s="540"/>
      <c r="F168" s="540"/>
      <c r="G168" s="540"/>
      <c r="H168" s="540"/>
      <c r="I168" s="540"/>
      <c r="J168" s="540"/>
      <c r="K168" s="540"/>
      <c r="L168" s="540"/>
      <c r="M168" s="540"/>
      <c r="N168" s="540"/>
      <c r="O168" s="540"/>
      <c r="P168" s="540"/>
      <c r="Q168" s="540"/>
      <c r="R168" s="540"/>
      <c r="S168" s="540"/>
      <c r="T168" s="540"/>
      <c r="U168" s="540"/>
      <c r="V168" s="540"/>
      <c r="W168" s="540"/>
      <c r="X168" s="540"/>
      <c r="Y168" s="540"/>
      <c r="Z168" s="540"/>
    </row>
    <row r="169" ht="14.25" customHeight="1">
      <c r="A169" s="540"/>
      <c r="B169" s="540"/>
      <c r="C169" s="540"/>
      <c r="D169" s="540"/>
      <c r="E169" s="540"/>
      <c r="F169" s="540"/>
      <c r="G169" s="540"/>
      <c r="H169" s="540"/>
      <c r="I169" s="540"/>
      <c r="J169" s="540"/>
      <c r="K169" s="540"/>
      <c r="L169" s="540"/>
      <c r="M169" s="540"/>
      <c r="N169" s="540"/>
      <c r="O169" s="540"/>
      <c r="P169" s="540"/>
      <c r="Q169" s="540"/>
      <c r="R169" s="540"/>
      <c r="S169" s="540"/>
      <c r="T169" s="540"/>
      <c r="U169" s="540"/>
      <c r="V169" s="540"/>
      <c r="W169" s="540"/>
      <c r="X169" s="540"/>
      <c r="Y169" s="540"/>
      <c r="Z169" s="540"/>
    </row>
    <row r="170" ht="14.25" customHeight="1">
      <c r="A170" s="540"/>
      <c r="B170" s="540"/>
      <c r="C170" s="540"/>
      <c r="D170" s="540"/>
      <c r="E170" s="540"/>
      <c r="F170" s="540"/>
      <c r="G170" s="540"/>
      <c r="H170" s="540"/>
      <c r="I170" s="540"/>
      <c r="J170" s="540"/>
      <c r="K170" s="540"/>
      <c r="L170" s="540"/>
      <c r="M170" s="540"/>
      <c r="N170" s="540"/>
      <c r="O170" s="540"/>
      <c r="P170" s="540"/>
      <c r="Q170" s="540"/>
      <c r="R170" s="540"/>
      <c r="S170" s="540"/>
      <c r="T170" s="540"/>
      <c r="U170" s="540"/>
      <c r="V170" s="540"/>
      <c r="W170" s="540"/>
      <c r="X170" s="540"/>
      <c r="Y170" s="540"/>
      <c r="Z170" s="540"/>
    </row>
    <row r="171" ht="14.25" customHeight="1">
      <c r="A171" s="540"/>
      <c r="B171" s="540"/>
      <c r="C171" s="540"/>
      <c r="D171" s="540"/>
      <c r="E171" s="540"/>
      <c r="F171" s="540"/>
      <c r="G171" s="540"/>
      <c r="H171" s="540"/>
      <c r="I171" s="540"/>
      <c r="J171" s="540"/>
      <c r="K171" s="540"/>
      <c r="L171" s="540"/>
      <c r="M171" s="540"/>
      <c r="N171" s="540"/>
      <c r="O171" s="540"/>
      <c r="P171" s="540"/>
      <c r="Q171" s="540"/>
      <c r="R171" s="540"/>
      <c r="S171" s="540"/>
      <c r="T171" s="540"/>
      <c r="U171" s="540"/>
      <c r="V171" s="540"/>
      <c r="W171" s="540"/>
      <c r="X171" s="540"/>
      <c r="Y171" s="540"/>
      <c r="Z171" s="540"/>
    </row>
    <row r="172" ht="14.25" customHeight="1">
      <c r="A172" s="540"/>
      <c r="B172" s="540"/>
      <c r="C172" s="540"/>
      <c r="D172" s="540"/>
      <c r="E172" s="540"/>
      <c r="F172" s="540"/>
      <c r="G172" s="540"/>
      <c r="H172" s="540"/>
      <c r="I172" s="540"/>
      <c r="J172" s="540"/>
      <c r="K172" s="540"/>
      <c r="L172" s="540"/>
      <c r="M172" s="540"/>
      <c r="N172" s="540"/>
      <c r="O172" s="540"/>
      <c r="P172" s="540"/>
      <c r="Q172" s="540"/>
      <c r="R172" s="540"/>
      <c r="S172" s="540"/>
      <c r="T172" s="540"/>
      <c r="U172" s="540"/>
      <c r="V172" s="540"/>
      <c r="W172" s="540"/>
      <c r="X172" s="540"/>
      <c r="Y172" s="540"/>
      <c r="Z172" s="540"/>
    </row>
    <row r="173" ht="14.25" customHeight="1">
      <c r="A173" s="540"/>
      <c r="B173" s="540"/>
      <c r="C173" s="540"/>
      <c r="D173" s="540"/>
      <c r="E173" s="540"/>
      <c r="F173" s="540"/>
      <c r="G173" s="540"/>
      <c r="H173" s="540"/>
      <c r="I173" s="540"/>
      <c r="J173" s="540"/>
      <c r="K173" s="540"/>
      <c r="L173" s="540"/>
      <c r="M173" s="540"/>
      <c r="N173" s="540"/>
      <c r="O173" s="540"/>
      <c r="P173" s="540"/>
      <c r="Q173" s="540"/>
      <c r="R173" s="540"/>
      <c r="S173" s="540"/>
      <c r="T173" s="540"/>
      <c r="U173" s="540"/>
      <c r="V173" s="540"/>
      <c r="W173" s="540"/>
      <c r="X173" s="540"/>
      <c r="Y173" s="540"/>
      <c r="Z173" s="540"/>
    </row>
    <row r="174" ht="14.25" customHeight="1">
      <c r="A174" s="540"/>
      <c r="B174" s="540"/>
      <c r="C174" s="540"/>
      <c r="D174" s="540"/>
      <c r="E174" s="540"/>
      <c r="F174" s="540"/>
      <c r="G174" s="540"/>
      <c r="H174" s="540"/>
      <c r="I174" s="540"/>
      <c r="J174" s="540"/>
      <c r="K174" s="540"/>
      <c r="L174" s="540"/>
      <c r="M174" s="540"/>
      <c r="N174" s="540"/>
      <c r="O174" s="540"/>
      <c r="P174" s="540"/>
      <c r="Q174" s="540"/>
      <c r="R174" s="540"/>
      <c r="S174" s="540"/>
      <c r="T174" s="540"/>
      <c r="U174" s="540"/>
      <c r="V174" s="540"/>
      <c r="W174" s="540"/>
      <c r="X174" s="540"/>
      <c r="Y174" s="540"/>
      <c r="Z174" s="540"/>
    </row>
    <row r="175" ht="14.25" customHeight="1">
      <c r="A175" s="540"/>
      <c r="B175" s="540"/>
      <c r="C175" s="540"/>
      <c r="D175" s="540"/>
      <c r="E175" s="540"/>
      <c r="F175" s="540"/>
      <c r="G175" s="540"/>
      <c r="H175" s="540"/>
      <c r="I175" s="540"/>
      <c r="J175" s="540"/>
      <c r="K175" s="540"/>
      <c r="L175" s="540"/>
      <c r="M175" s="540"/>
      <c r="N175" s="540"/>
      <c r="O175" s="540"/>
      <c r="P175" s="540"/>
      <c r="Q175" s="540"/>
      <c r="R175" s="540"/>
      <c r="S175" s="540"/>
      <c r="T175" s="540"/>
      <c r="U175" s="540"/>
      <c r="V175" s="540"/>
      <c r="W175" s="540"/>
      <c r="X175" s="540"/>
      <c r="Y175" s="540"/>
      <c r="Z175" s="540"/>
    </row>
    <row r="176" ht="14.25" customHeight="1">
      <c r="A176" s="540"/>
      <c r="B176" s="540"/>
      <c r="C176" s="540"/>
      <c r="D176" s="540"/>
      <c r="E176" s="540"/>
      <c r="F176" s="540"/>
      <c r="G176" s="540"/>
      <c r="H176" s="540"/>
      <c r="I176" s="540"/>
      <c r="J176" s="540"/>
      <c r="K176" s="540"/>
      <c r="L176" s="540"/>
      <c r="M176" s="540"/>
      <c r="N176" s="540"/>
      <c r="O176" s="540"/>
      <c r="P176" s="540"/>
      <c r="Q176" s="540"/>
      <c r="R176" s="540"/>
      <c r="S176" s="540"/>
      <c r="T176" s="540"/>
      <c r="U176" s="540"/>
      <c r="V176" s="540"/>
      <c r="W176" s="540"/>
      <c r="X176" s="540"/>
      <c r="Y176" s="540"/>
      <c r="Z176" s="540"/>
    </row>
    <row r="177" ht="14.25" customHeight="1">
      <c r="A177" s="540"/>
      <c r="B177" s="540"/>
      <c r="C177" s="540"/>
      <c r="D177" s="540"/>
      <c r="E177" s="540"/>
      <c r="F177" s="540"/>
      <c r="G177" s="540"/>
      <c r="H177" s="540"/>
      <c r="I177" s="540"/>
      <c r="J177" s="540"/>
      <c r="K177" s="540"/>
      <c r="L177" s="540"/>
      <c r="M177" s="540"/>
      <c r="N177" s="540"/>
      <c r="O177" s="540"/>
      <c r="P177" s="540"/>
      <c r="Q177" s="540"/>
      <c r="R177" s="540"/>
      <c r="S177" s="540"/>
      <c r="T177" s="540"/>
      <c r="U177" s="540"/>
      <c r="V177" s="540"/>
      <c r="W177" s="540"/>
      <c r="X177" s="540"/>
      <c r="Y177" s="540"/>
      <c r="Z177" s="540"/>
    </row>
    <row r="178" ht="14.25" customHeight="1">
      <c r="A178" s="540"/>
      <c r="B178" s="540"/>
      <c r="C178" s="540"/>
      <c r="D178" s="540"/>
      <c r="E178" s="540"/>
      <c r="F178" s="540"/>
      <c r="G178" s="540"/>
      <c r="H178" s="540"/>
      <c r="I178" s="540"/>
      <c r="J178" s="540"/>
      <c r="K178" s="540"/>
      <c r="L178" s="540"/>
      <c r="M178" s="540"/>
      <c r="N178" s="540"/>
      <c r="O178" s="540"/>
      <c r="P178" s="540"/>
      <c r="Q178" s="540"/>
      <c r="R178" s="540"/>
      <c r="S178" s="540"/>
      <c r="T178" s="540"/>
      <c r="U178" s="540"/>
      <c r="V178" s="540"/>
      <c r="W178" s="540"/>
      <c r="X178" s="540"/>
      <c r="Y178" s="540"/>
      <c r="Z178" s="540"/>
    </row>
    <row r="179" ht="14.25" customHeight="1">
      <c r="A179" s="540"/>
      <c r="B179" s="540"/>
      <c r="C179" s="540"/>
      <c r="D179" s="540"/>
      <c r="E179" s="540"/>
      <c r="F179" s="540"/>
      <c r="G179" s="540"/>
      <c r="H179" s="540"/>
      <c r="I179" s="540"/>
      <c r="J179" s="540"/>
      <c r="K179" s="540"/>
      <c r="L179" s="540"/>
      <c r="M179" s="540"/>
      <c r="N179" s="540"/>
      <c r="O179" s="540"/>
      <c r="P179" s="540"/>
      <c r="Q179" s="540"/>
      <c r="R179" s="540"/>
      <c r="S179" s="540"/>
      <c r="T179" s="540"/>
      <c r="U179" s="540"/>
      <c r="V179" s="540"/>
      <c r="W179" s="540"/>
      <c r="X179" s="540"/>
      <c r="Y179" s="540"/>
      <c r="Z179" s="540"/>
    </row>
    <row r="180" ht="14.25" customHeight="1">
      <c r="A180" s="540"/>
      <c r="B180" s="540"/>
      <c r="C180" s="540"/>
      <c r="D180" s="540"/>
      <c r="E180" s="540"/>
      <c r="F180" s="540"/>
      <c r="G180" s="540"/>
      <c r="H180" s="540"/>
      <c r="I180" s="540"/>
      <c r="J180" s="540"/>
      <c r="K180" s="540"/>
      <c r="L180" s="540"/>
      <c r="M180" s="540"/>
      <c r="N180" s="540"/>
      <c r="O180" s="540"/>
      <c r="P180" s="540"/>
      <c r="Q180" s="540"/>
      <c r="R180" s="540"/>
      <c r="S180" s="540"/>
      <c r="T180" s="540"/>
      <c r="U180" s="540"/>
      <c r="V180" s="540"/>
      <c r="W180" s="540"/>
      <c r="X180" s="540"/>
      <c r="Y180" s="540"/>
      <c r="Z180" s="540"/>
    </row>
    <row r="181" ht="14.25" customHeight="1">
      <c r="A181" s="540"/>
      <c r="B181" s="540"/>
      <c r="C181" s="540"/>
      <c r="D181" s="540"/>
      <c r="E181" s="540"/>
      <c r="F181" s="540"/>
      <c r="G181" s="540"/>
      <c r="H181" s="540"/>
      <c r="I181" s="540"/>
      <c r="J181" s="540"/>
      <c r="K181" s="540"/>
      <c r="L181" s="540"/>
      <c r="M181" s="540"/>
      <c r="N181" s="540"/>
      <c r="O181" s="540"/>
      <c r="P181" s="540"/>
      <c r="Q181" s="540"/>
      <c r="R181" s="540"/>
      <c r="S181" s="540"/>
      <c r="T181" s="540"/>
      <c r="U181" s="540"/>
      <c r="V181" s="540"/>
      <c r="W181" s="540"/>
      <c r="X181" s="540"/>
      <c r="Y181" s="540"/>
      <c r="Z181" s="540"/>
    </row>
    <row r="182" ht="14.25" customHeight="1">
      <c r="A182" s="540"/>
      <c r="B182" s="540"/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0"/>
      <c r="N182" s="540"/>
      <c r="O182" s="540"/>
      <c r="P182" s="540"/>
      <c r="Q182" s="540"/>
      <c r="R182" s="540"/>
      <c r="S182" s="540"/>
      <c r="T182" s="540"/>
      <c r="U182" s="540"/>
      <c r="V182" s="540"/>
      <c r="W182" s="540"/>
      <c r="X182" s="540"/>
      <c r="Y182" s="540"/>
      <c r="Z182" s="540"/>
    </row>
    <row r="183" ht="14.25" customHeight="1">
      <c r="A183" s="540"/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0"/>
      <c r="N183" s="540"/>
      <c r="O183" s="540"/>
      <c r="P183" s="540"/>
      <c r="Q183" s="540"/>
      <c r="R183" s="540"/>
      <c r="S183" s="540"/>
      <c r="T183" s="540"/>
      <c r="U183" s="540"/>
      <c r="V183" s="540"/>
      <c r="W183" s="540"/>
      <c r="X183" s="540"/>
      <c r="Y183" s="540"/>
      <c r="Z183" s="540"/>
    </row>
    <row r="184" ht="14.25" customHeight="1">
      <c r="A184" s="540"/>
      <c r="B184" s="540"/>
      <c r="C184" s="540"/>
      <c r="D184" s="540"/>
      <c r="E184" s="540"/>
      <c r="F184" s="540"/>
      <c r="G184" s="540"/>
      <c r="H184" s="540"/>
      <c r="I184" s="540"/>
      <c r="J184" s="540"/>
      <c r="K184" s="540"/>
      <c r="L184" s="540"/>
      <c r="M184" s="540"/>
      <c r="N184" s="540"/>
      <c r="O184" s="540"/>
      <c r="P184" s="540"/>
      <c r="Q184" s="540"/>
      <c r="R184" s="540"/>
      <c r="S184" s="540"/>
      <c r="T184" s="540"/>
      <c r="U184" s="540"/>
      <c r="V184" s="540"/>
      <c r="W184" s="540"/>
      <c r="X184" s="540"/>
      <c r="Y184" s="540"/>
      <c r="Z184" s="540"/>
    </row>
    <row r="185" ht="14.25" customHeight="1">
      <c r="A185" s="540"/>
      <c r="B185" s="540"/>
      <c r="C185" s="540"/>
      <c r="D185" s="540"/>
      <c r="E185" s="540"/>
      <c r="F185" s="540"/>
      <c r="G185" s="540"/>
      <c r="H185" s="540"/>
      <c r="I185" s="540"/>
      <c r="J185" s="540"/>
      <c r="K185" s="540"/>
      <c r="L185" s="540"/>
      <c r="M185" s="540"/>
      <c r="N185" s="540"/>
      <c r="O185" s="540"/>
      <c r="P185" s="540"/>
      <c r="Q185" s="540"/>
      <c r="R185" s="540"/>
      <c r="S185" s="540"/>
      <c r="T185" s="540"/>
      <c r="U185" s="540"/>
      <c r="V185" s="540"/>
      <c r="W185" s="540"/>
      <c r="X185" s="540"/>
      <c r="Y185" s="540"/>
      <c r="Z185" s="540"/>
    </row>
    <row r="186" ht="14.25" customHeight="1">
      <c r="A186" s="540"/>
      <c r="B186" s="540"/>
      <c r="C186" s="540"/>
      <c r="D186" s="540"/>
      <c r="E186" s="540"/>
      <c r="F186" s="540"/>
      <c r="G186" s="540"/>
      <c r="H186" s="540"/>
      <c r="I186" s="540"/>
      <c r="J186" s="540"/>
      <c r="K186" s="540"/>
      <c r="L186" s="540"/>
      <c r="M186" s="540"/>
      <c r="N186" s="540"/>
      <c r="O186" s="540"/>
      <c r="P186" s="540"/>
      <c r="Q186" s="540"/>
      <c r="R186" s="540"/>
      <c r="S186" s="540"/>
      <c r="T186" s="540"/>
      <c r="U186" s="540"/>
      <c r="V186" s="540"/>
      <c r="W186" s="540"/>
      <c r="X186" s="540"/>
      <c r="Y186" s="540"/>
      <c r="Z186" s="540"/>
    </row>
    <row r="187" ht="14.25" customHeight="1">
      <c r="A187" s="540"/>
      <c r="B187" s="540"/>
      <c r="C187" s="540"/>
      <c r="D187" s="540"/>
      <c r="E187" s="540"/>
      <c r="F187" s="540"/>
      <c r="G187" s="540"/>
      <c r="H187" s="540"/>
      <c r="I187" s="540"/>
      <c r="J187" s="540"/>
      <c r="K187" s="540"/>
      <c r="L187" s="540"/>
      <c r="M187" s="540"/>
      <c r="N187" s="540"/>
      <c r="O187" s="540"/>
      <c r="P187" s="540"/>
      <c r="Q187" s="540"/>
      <c r="R187" s="540"/>
      <c r="S187" s="540"/>
      <c r="T187" s="540"/>
      <c r="U187" s="540"/>
      <c r="V187" s="540"/>
      <c r="W187" s="540"/>
      <c r="X187" s="540"/>
      <c r="Y187" s="540"/>
      <c r="Z187" s="540"/>
    </row>
    <row r="188" ht="14.25" customHeight="1">
      <c r="A188" s="540"/>
      <c r="B188" s="540"/>
      <c r="C188" s="540"/>
      <c r="D188" s="540"/>
      <c r="E188" s="540"/>
      <c r="F188" s="540"/>
      <c r="G188" s="540"/>
      <c r="H188" s="540"/>
      <c r="I188" s="540"/>
      <c r="J188" s="540"/>
      <c r="K188" s="540"/>
      <c r="L188" s="540"/>
      <c r="M188" s="540"/>
      <c r="N188" s="540"/>
      <c r="O188" s="540"/>
      <c r="P188" s="540"/>
      <c r="Q188" s="540"/>
      <c r="R188" s="540"/>
      <c r="S188" s="540"/>
      <c r="T188" s="540"/>
      <c r="U188" s="540"/>
      <c r="V188" s="540"/>
      <c r="W188" s="540"/>
      <c r="X188" s="540"/>
      <c r="Y188" s="540"/>
      <c r="Z188" s="540"/>
    </row>
    <row r="189" ht="14.25" customHeight="1">
      <c r="A189" s="540"/>
      <c r="B189" s="540"/>
      <c r="C189" s="540"/>
      <c r="D189" s="540"/>
      <c r="E189" s="540"/>
      <c r="F189" s="540"/>
      <c r="G189" s="540"/>
      <c r="H189" s="540"/>
      <c r="I189" s="540"/>
      <c r="J189" s="540"/>
      <c r="K189" s="540"/>
      <c r="L189" s="540"/>
      <c r="M189" s="540"/>
      <c r="N189" s="540"/>
      <c r="O189" s="540"/>
      <c r="P189" s="540"/>
      <c r="Q189" s="540"/>
      <c r="R189" s="540"/>
      <c r="S189" s="540"/>
      <c r="T189" s="540"/>
      <c r="U189" s="540"/>
      <c r="V189" s="540"/>
      <c r="W189" s="540"/>
      <c r="X189" s="540"/>
      <c r="Y189" s="540"/>
      <c r="Z189" s="540"/>
    </row>
    <row r="190" ht="14.25" customHeight="1">
      <c r="A190" s="540"/>
      <c r="B190" s="540"/>
      <c r="C190" s="540"/>
      <c r="D190" s="540"/>
      <c r="E190" s="540"/>
      <c r="F190" s="540"/>
      <c r="G190" s="540"/>
      <c r="H190" s="540"/>
      <c r="I190" s="540"/>
      <c r="J190" s="540"/>
      <c r="K190" s="540"/>
      <c r="L190" s="540"/>
      <c r="M190" s="540"/>
      <c r="N190" s="540"/>
      <c r="O190" s="540"/>
      <c r="P190" s="540"/>
      <c r="Q190" s="540"/>
      <c r="R190" s="540"/>
      <c r="S190" s="540"/>
      <c r="T190" s="540"/>
      <c r="U190" s="540"/>
      <c r="V190" s="540"/>
      <c r="W190" s="540"/>
      <c r="X190" s="540"/>
      <c r="Y190" s="540"/>
      <c r="Z190" s="540"/>
    </row>
    <row r="191" ht="14.25" customHeight="1">
      <c r="A191" s="540"/>
      <c r="B191" s="540"/>
      <c r="C191" s="540"/>
      <c r="D191" s="540"/>
      <c r="E191" s="540"/>
      <c r="F191" s="540"/>
      <c r="G191" s="540"/>
      <c r="H191" s="540"/>
      <c r="I191" s="540"/>
      <c r="J191" s="540"/>
      <c r="K191" s="540"/>
      <c r="L191" s="540"/>
      <c r="M191" s="540"/>
      <c r="N191" s="540"/>
      <c r="O191" s="540"/>
      <c r="P191" s="540"/>
      <c r="Q191" s="540"/>
      <c r="R191" s="540"/>
      <c r="S191" s="540"/>
      <c r="T191" s="540"/>
      <c r="U191" s="540"/>
      <c r="V191" s="540"/>
      <c r="W191" s="540"/>
      <c r="X191" s="540"/>
      <c r="Y191" s="540"/>
      <c r="Z191" s="540"/>
    </row>
    <row r="192" ht="14.25" customHeight="1">
      <c r="A192" s="540"/>
      <c r="B192" s="540"/>
      <c r="C192" s="540"/>
      <c r="D192" s="540"/>
      <c r="E192" s="540"/>
      <c r="F192" s="540"/>
      <c r="G192" s="540"/>
      <c r="H192" s="540"/>
      <c r="I192" s="540"/>
      <c r="J192" s="540"/>
      <c r="K192" s="540"/>
      <c r="L192" s="540"/>
      <c r="M192" s="540"/>
      <c r="N192" s="540"/>
      <c r="O192" s="540"/>
      <c r="P192" s="540"/>
      <c r="Q192" s="540"/>
      <c r="R192" s="540"/>
      <c r="S192" s="540"/>
      <c r="T192" s="540"/>
      <c r="U192" s="540"/>
      <c r="V192" s="540"/>
      <c r="W192" s="540"/>
      <c r="X192" s="540"/>
      <c r="Y192" s="540"/>
      <c r="Z192" s="540"/>
    </row>
    <row r="193" ht="14.25" customHeight="1">
      <c r="A193" s="540"/>
      <c r="B193" s="540"/>
      <c r="C193" s="540"/>
      <c r="D193" s="540"/>
      <c r="E193" s="540"/>
      <c r="F193" s="540"/>
      <c r="G193" s="540"/>
      <c r="H193" s="540"/>
      <c r="I193" s="540"/>
      <c r="J193" s="540"/>
      <c r="K193" s="540"/>
      <c r="L193" s="540"/>
      <c r="M193" s="540"/>
      <c r="N193" s="540"/>
      <c r="O193" s="540"/>
      <c r="P193" s="540"/>
      <c r="Q193" s="540"/>
      <c r="R193" s="540"/>
      <c r="S193" s="540"/>
      <c r="T193" s="540"/>
      <c r="U193" s="540"/>
      <c r="V193" s="540"/>
      <c r="W193" s="540"/>
      <c r="X193" s="540"/>
      <c r="Y193" s="540"/>
      <c r="Z193" s="540"/>
    </row>
    <row r="194" ht="14.25" customHeight="1">
      <c r="A194" s="540"/>
      <c r="B194" s="540"/>
      <c r="C194" s="540"/>
      <c r="D194" s="540"/>
      <c r="E194" s="540"/>
      <c r="F194" s="540"/>
      <c r="G194" s="540"/>
      <c r="H194" s="540"/>
      <c r="I194" s="540"/>
      <c r="J194" s="540"/>
      <c r="K194" s="540"/>
      <c r="L194" s="540"/>
      <c r="M194" s="540"/>
      <c r="N194" s="540"/>
      <c r="O194" s="540"/>
      <c r="P194" s="540"/>
      <c r="Q194" s="540"/>
      <c r="R194" s="540"/>
      <c r="S194" s="540"/>
      <c r="T194" s="540"/>
      <c r="U194" s="540"/>
      <c r="V194" s="540"/>
      <c r="W194" s="540"/>
      <c r="X194" s="540"/>
      <c r="Y194" s="540"/>
      <c r="Z194" s="540"/>
    </row>
    <row r="195" ht="14.25" customHeight="1">
      <c r="A195" s="540"/>
      <c r="B195" s="540"/>
      <c r="C195" s="540"/>
      <c r="D195" s="540"/>
      <c r="E195" s="540"/>
      <c r="F195" s="540"/>
      <c r="G195" s="540"/>
      <c r="H195" s="540"/>
      <c r="I195" s="540"/>
      <c r="J195" s="540"/>
      <c r="K195" s="540"/>
      <c r="L195" s="540"/>
      <c r="M195" s="540"/>
      <c r="N195" s="540"/>
      <c r="O195" s="540"/>
      <c r="P195" s="540"/>
      <c r="Q195" s="540"/>
      <c r="R195" s="540"/>
      <c r="S195" s="540"/>
      <c r="T195" s="540"/>
      <c r="U195" s="540"/>
      <c r="V195" s="540"/>
      <c r="W195" s="540"/>
      <c r="X195" s="540"/>
      <c r="Y195" s="540"/>
      <c r="Z195" s="540"/>
    </row>
    <row r="196" ht="14.25" customHeight="1">
      <c r="A196" s="540"/>
      <c r="B196" s="540"/>
      <c r="C196" s="540"/>
      <c r="D196" s="540"/>
      <c r="E196" s="540"/>
      <c r="F196" s="540"/>
      <c r="G196" s="540"/>
      <c r="H196" s="540"/>
      <c r="I196" s="540"/>
      <c r="J196" s="540"/>
      <c r="K196" s="540"/>
      <c r="L196" s="540"/>
      <c r="M196" s="540"/>
      <c r="N196" s="540"/>
      <c r="O196" s="540"/>
      <c r="P196" s="540"/>
      <c r="Q196" s="540"/>
      <c r="R196" s="540"/>
      <c r="S196" s="540"/>
      <c r="T196" s="540"/>
      <c r="U196" s="540"/>
      <c r="V196" s="540"/>
      <c r="W196" s="540"/>
      <c r="X196" s="540"/>
      <c r="Y196" s="540"/>
      <c r="Z196" s="540"/>
    </row>
    <row r="197" ht="14.25" customHeight="1">
      <c r="A197" s="540"/>
      <c r="B197" s="540"/>
      <c r="C197" s="540"/>
      <c r="D197" s="540"/>
      <c r="E197" s="540"/>
      <c r="F197" s="540"/>
      <c r="G197" s="540"/>
      <c r="H197" s="540"/>
      <c r="I197" s="540"/>
      <c r="J197" s="540"/>
      <c r="K197" s="540"/>
      <c r="L197" s="540"/>
      <c r="M197" s="540"/>
      <c r="N197" s="540"/>
      <c r="O197" s="540"/>
      <c r="P197" s="540"/>
      <c r="Q197" s="540"/>
      <c r="R197" s="540"/>
      <c r="S197" s="540"/>
      <c r="T197" s="540"/>
      <c r="U197" s="540"/>
      <c r="V197" s="540"/>
      <c r="W197" s="540"/>
      <c r="X197" s="540"/>
      <c r="Y197" s="540"/>
      <c r="Z197" s="540"/>
    </row>
    <row r="198" ht="14.25" customHeight="1">
      <c r="A198" s="540"/>
      <c r="B198" s="540"/>
      <c r="C198" s="540"/>
      <c r="D198" s="540"/>
      <c r="E198" s="540"/>
      <c r="F198" s="540"/>
      <c r="G198" s="540"/>
      <c r="H198" s="540"/>
      <c r="I198" s="540"/>
      <c r="J198" s="540"/>
      <c r="K198" s="540"/>
      <c r="L198" s="540"/>
      <c r="M198" s="540"/>
      <c r="N198" s="540"/>
      <c r="O198" s="540"/>
      <c r="P198" s="540"/>
      <c r="Q198" s="540"/>
      <c r="R198" s="540"/>
      <c r="S198" s="540"/>
      <c r="T198" s="540"/>
      <c r="U198" s="540"/>
      <c r="V198" s="540"/>
      <c r="W198" s="540"/>
      <c r="X198" s="540"/>
      <c r="Y198" s="540"/>
      <c r="Z198" s="540"/>
    </row>
    <row r="199" ht="14.25" customHeight="1">
      <c r="A199" s="540"/>
      <c r="B199" s="540"/>
      <c r="C199" s="540"/>
      <c r="D199" s="540"/>
      <c r="E199" s="540"/>
      <c r="F199" s="540"/>
      <c r="G199" s="540"/>
      <c r="H199" s="540"/>
      <c r="I199" s="540"/>
      <c r="J199" s="540"/>
      <c r="K199" s="540"/>
      <c r="L199" s="540"/>
      <c r="M199" s="540"/>
      <c r="N199" s="540"/>
      <c r="O199" s="540"/>
      <c r="P199" s="540"/>
      <c r="Q199" s="540"/>
      <c r="R199" s="540"/>
      <c r="S199" s="540"/>
      <c r="T199" s="540"/>
      <c r="U199" s="540"/>
      <c r="V199" s="540"/>
      <c r="W199" s="540"/>
      <c r="X199" s="540"/>
      <c r="Y199" s="540"/>
      <c r="Z199" s="540"/>
    </row>
    <row r="200" ht="14.25" customHeight="1">
      <c r="A200" s="540"/>
      <c r="B200" s="540"/>
      <c r="C200" s="540"/>
      <c r="D200" s="540"/>
      <c r="E200" s="540"/>
      <c r="F200" s="540"/>
      <c r="G200" s="540"/>
      <c r="H200" s="540"/>
      <c r="I200" s="540"/>
      <c r="J200" s="540"/>
      <c r="K200" s="540"/>
      <c r="L200" s="540"/>
      <c r="M200" s="540"/>
      <c r="N200" s="540"/>
      <c r="O200" s="540"/>
      <c r="P200" s="540"/>
      <c r="Q200" s="540"/>
      <c r="R200" s="540"/>
      <c r="S200" s="540"/>
      <c r="T200" s="540"/>
      <c r="U200" s="540"/>
      <c r="V200" s="540"/>
      <c r="W200" s="540"/>
      <c r="X200" s="540"/>
      <c r="Y200" s="540"/>
      <c r="Z200" s="540"/>
    </row>
    <row r="201" ht="14.25" customHeight="1">
      <c r="A201" s="540"/>
      <c r="B201" s="540"/>
      <c r="C201" s="540"/>
      <c r="D201" s="540"/>
      <c r="E201" s="540"/>
      <c r="F201" s="540"/>
      <c r="G201" s="540"/>
      <c r="H201" s="540"/>
      <c r="I201" s="540"/>
      <c r="J201" s="540"/>
      <c r="K201" s="540"/>
      <c r="L201" s="540"/>
      <c r="M201" s="540"/>
      <c r="N201" s="540"/>
      <c r="O201" s="540"/>
      <c r="P201" s="540"/>
      <c r="Q201" s="540"/>
      <c r="R201" s="540"/>
      <c r="S201" s="540"/>
      <c r="T201" s="540"/>
      <c r="U201" s="540"/>
      <c r="V201" s="540"/>
      <c r="W201" s="540"/>
      <c r="X201" s="540"/>
      <c r="Y201" s="540"/>
      <c r="Z201" s="540"/>
    </row>
    <row r="202" ht="14.25" customHeight="1">
      <c r="A202" s="540"/>
      <c r="B202" s="540"/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0"/>
      <c r="N202" s="540"/>
      <c r="O202" s="540"/>
      <c r="P202" s="540"/>
      <c r="Q202" s="540"/>
      <c r="R202" s="540"/>
      <c r="S202" s="540"/>
      <c r="T202" s="540"/>
      <c r="U202" s="540"/>
      <c r="V202" s="540"/>
      <c r="W202" s="540"/>
      <c r="X202" s="540"/>
      <c r="Y202" s="540"/>
      <c r="Z202" s="540"/>
    </row>
    <row r="203" ht="14.25" customHeight="1">
      <c r="A203" s="540"/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0"/>
      <c r="N203" s="540"/>
      <c r="O203" s="540"/>
      <c r="P203" s="540"/>
      <c r="Q203" s="540"/>
      <c r="R203" s="540"/>
      <c r="S203" s="540"/>
      <c r="T203" s="540"/>
      <c r="U203" s="540"/>
      <c r="V203" s="540"/>
      <c r="W203" s="540"/>
      <c r="X203" s="540"/>
      <c r="Y203" s="540"/>
      <c r="Z203" s="540"/>
    </row>
    <row r="204" ht="14.25" customHeight="1">
      <c r="A204" s="540"/>
      <c r="B204" s="540"/>
      <c r="C204" s="540"/>
      <c r="D204" s="540"/>
      <c r="E204" s="540"/>
      <c r="F204" s="540"/>
      <c r="G204" s="540"/>
      <c r="H204" s="540"/>
      <c r="I204" s="540"/>
      <c r="J204" s="540"/>
      <c r="K204" s="540"/>
      <c r="L204" s="540"/>
      <c r="M204" s="540"/>
      <c r="N204" s="540"/>
      <c r="O204" s="540"/>
      <c r="P204" s="540"/>
      <c r="Q204" s="540"/>
      <c r="R204" s="540"/>
      <c r="S204" s="540"/>
      <c r="T204" s="540"/>
      <c r="U204" s="540"/>
      <c r="V204" s="540"/>
      <c r="W204" s="540"/>
      <c r="X204" s="540"/>
      <c r="Y204" s="540"/>
      <c r="Z204" s="540"/>
    </row>
    <row r="205" ht="14.25" customHeight="1">
      <c r="A205" s="540"/>
      <c r="B205" s="540"/>
      <c r="C205" s="540"/>
      <c r="D205" s="540"/>
      <c r="E205" s="540"/>
      <c r="F205" s="540"/>
      <c r="G205" s="540"/>
      <c r="H205" s="540"/>
      <c r="I205" s="540"/>
      <c r="J205" s="540"/>
      <c r="K205" s="540"/>
      <c r="L205" s="540"/>
      <c r="M205" s="540"/>
      <c r="N205" s="540"/>
      <c r="O205" s="540"/>
      <c r="P205" s="540"/>
      <c r="Q205" s="540"/>
      <c r="R205" s="540"/>
      <c r="S205" s="540"/>
      <c r="T205" s="540"/>
      <c r="U205" s="540"/>
      <c r="V205" s="540"/>
      <c r="W205" s="540"/>
      <c r="X205" s="540"/>
      <c r="Y205" s="540"/>
      <c r="Z205" s="540"/>
    </row>
    <row r="206" ht="14.25" customHeight="1">
      <c r="A206" s="540"/>
      <c r="B206" s="540"/>
      <c r="C206" s="540"/>
      <c r="D206" s="540"/>
      <c r="E206" s="540"/>
      <c r="F206" s="540"/>
      <c r="G206" s="540"/>
      <c r="H206" s="540"/>
      <c r="I206" s="540"/>
      <c r="J206" s="540"/>
      <c r="K206" s="540"/>
      <c r="L206" s="540"/>
      <c r="M206" s="540"/>
      <c r="N206" s="540"/>
      <c r="O206" s="540"/>
      <c r="P206" s="540"/>
      <c r="Q206" s="540"/>
      <c r="R206" s="540"/>
      <c r="S206" s="540"/>
      <c r="T206" s="540"/>
      <c r="U206" s="540"/>
      <c r="V206" s="540"/>
      <c r="W206" s="540"/>
      <c r="X206" s="540"/>
      <c r="Y206" s="540"/>
      <c r="Z206" s="540"/>
    </row>
    <row r="207" ht="14.25" customHeight="1">
      <c r="A207" s="540"/>
      <c r="B207" s="540"/>
      <c r="C207" s="540"/>
      <c r="D207" s="540"/>
      <c r="E207" s="540"/>
      <c r="F207" s="540"/>
      <c r="G207" s="540"/>
      <c r="H207" s="540"/>
      <c r="I207" s="540"/>
      <c r="J207" s="540"/>
      <c r="K207" s="540"/>
      <c r="L207" s="540"/>
      <c r="M207" s="540"/>
      <c r="N207" s="540"/>
      <c r="O207" s="540"/>
      <c r="P207" s="540"/>
      <c r="Q207" s="540"/>
      <c r="R207" s="540"/>
      <c r="S207" s="540"/>
      <c r="T207" s="540"/>
      <c r="U207" s="540"/>
      <c r="V207" s="540"/>
      <c r="W207" s="540"/>
      <c r="X207" s="540"/>
      <c r="Y207" s="540"/>
      <c r="Z207" s="540"/>
    </row>
    <row r="208" ht="14.25" customHeight="1">
      <c r="A208" s="540"/>
      <c r="B208" s="540"/>
      <c r="C208" s="540"/>
      <c r="D208" s="540"/>
      <c r="E208" s="540"/>
      <c r="F208" s="540"/>
      <c r="G208" s="540"/>
      <c r="H208" s="540"/>
      <c r="I208" s="540"/>
      <c r="J208" s="540"/>
      <c r="K208" s="540"/>
      <c r="L208" s="540"/>
      <c r="M208" s="540"/>
      <c r="N208" s="540"/>
      <c r="O208" s="540"/>
      <c r="P208" s="540"/>
      <c r="Q208" s="540"/>
      <c r="R208" s="540"/>
      <c r="S208" s="540"/>
      <c r="T208" s="540"/>
      <c r="U208" s="540"/>
      <c r="V208" s="540"/>
      <c r="W208" s="540"/>
      <c r="X208" s="540"/>
      <c r="Y208" s="540"/>
      <c r="Z208" s="540"/>
    </row>
    <row r="209" ht="14.25" customHeight="1">
      <c r="A209" s="540"/>
      <c r="B209" s="540"/>
      <c r="C209" s="540"/>
      <c r="D209" s="540"/>
      <c r="E209" s="540"/>
      <c r="F209" s="540"/>
      <c r="G209" s="540"/>
      <c r="H209" s="540"/>
      <c r="I209" s="540"/>
      <c r="J209" s="540"/>
      <c r="K209" s="540"/>
      <c r="L209" s="540"/>
      <c r="M209" s="540"/>
      <c r="N209" s="540"/>
      <c r="O209" s="540"/>
      <c r="P209" s="540"/>
      <c r="Q209" s="540"/>
      <c r="R209" s="540"/>
      <c r="S209" s="540"/>
      <c r="T209" s="540"/>
      <c r="U209" s="540"/>
      <c r="V209" s="540"/>
      <c r="W209" s="540"/>
      <c r="X209" s="540"/>
      <c r="Y209" s="540"/>
      <c r="Z209" s="540"/>
    </row>
    <row r="210" ht="14.25" customHeight="1">
      <c r="A210" s="540"/>
      <c r="B210" s="540"/>
      <c r="C210" s="540"/>
      <c r="D210" s="540"/>
      <c r="E210" s="540"/>
      <c r="F210" s="540"/>
      <c r="G210" s="540"/>
      <c r="H210" s="540"/>
      <c r="I210" s="540"/>
      <c r="J210" s="540"/>
      <c r="K210" s="540"/>
      <c r="L210" s="540"/>
      <c r="M210" s="540"/>
      <c r="N210" s="540"/>
      <c r="O210" s="540"/>
      <c r="P210" s="540"/>
      <c r="Q210" s="540"/>
      <c r="R210" s="540"/>
      <c r="S210" s="540"/>
      <c r="T210" s="540"/>
      <c r="U210" s="540"/>
      <c r="V210" s="540"/>
      <c r="W210" s="540"/>
      <c r="X210" s="540"/>
      <c r="Y210" s="540"/>
      <c r="Z210" s="540"/>
    </row>
    <row r="211" ht="14.25" customHeight="1">
      <c r="A211" s="540"/>
      <c r="B211" s="540"/>
      <c r="C211" s="540"/>
      <c r="D211" s="540"/>
      <c r="E211" s="540"/>
      <c r="F211" s="540"/>
      <c r="G211" s="540"/>
      <c r="H211" s="540"/>
      <c r="I211" s="540"/>
      <c r="J211" s="540"/>
      <c r="K211" s="540"/>
      <c r="L211" s="540"/>
      <c r="M211" s="540"/>
      <c r="N211" s="540"/>
      <c r="O211" s="540"/>
      <c r="P211" s="540"/>
      <c r="Q211" s="540"/>
      <c r="R211" s="540"/>
      <c r="S211" s="540"/>
      <c r="T211" s="540"/>
      <c r="U211" s="540"/>
      <c r="V211" s="540"/>
      <c r="W211" s="540"/>
      <c r="X211" s="540"/>
      <c r="Y211" s="540"/>
      <c r="Z211" s="540"/>
    </row>
    <row r="212" ht="14.25" customHeight="1">
      <c r="A212" s="540"/>
      <c r="B212" s="540"/>
      <c r="C212" s="540"/>
      <c r="D212" s="540"/>
      <c r="E212" s="540"/>
      <c r="F212" s="540"/>
      <c r="G212" s="540"/>
      <c r="H212" s="540"/>
      <c r="I212" s="540"/>
      <c r="J212" s="540"/>
      <c r="K212" s="540"/>
      <c r="L212" s="540"/>
      <c r="M212" s="540"/>
      <c r="N212" s="540"/>
      <c r="O212" s="540"/>
      <c r="P212" s="540"/>
      <c r="Q212" s="540"/>
      <c r="R212" s="540"/>
      <c r="S212" s="540"/>
      <c r="T212" s="540"/>
      <c r="U212" s="540"/>
      <c r="V212" s="540"/>
      <c r="W212" s="540"/>
      <c r="X212" s="540"/>
      <c r="Y212" s="540"/>
      <c r="Z212" s="540"/>
    </row>
    <row r="213" ht="14.25" customHeight="1">
      <c r="A213" s="540"/>
      <c r="B213" s="540"/>
      <c r="C213" s="540"/>
      <c r="D213" s="540"/>
      <c r="E213" s="540"/>
      <c r="F213" s="540"/>
      <c r="G213" s="540"/>
      <c r="H213" s="540"/>
      <c r="I213" s="540"/>
      <c r="J213" s="540"/>
      <c r="K213" s="540"/>
      <c r="L213" s="540"/>
      <c r="M213" s="540"/>
      <c r="N213" s="540"/>
      <c r="O213" s="540"/>
      <c r="P213" s="540"/>
      <c r="Q213" s="540"/>
      <c r="R213" s="540"/>
      <c r="S213" s="540"/>
      <c r="T213" s="540"/>
      <c r="U213" s="540"/>
      <c r="V213" s="540"/>
      <c r="W213" s="540"/>
      <c r="X213" s="540"/>
      <c r="Y213" s="540"/>
      <c r="Z213" s="540"/>
    </row>
    <row r="214" ht="14.25" customHeight="1">
      <c r="A214" s="540"/>
      <c r="B214" s="540"/>
      <c r="C214" s="540"/>
      <c r="D214" s="540"/>
      <c r="E214" s="540"/>
      <c r="F214" s="540"/>
      <c r="G214" s="540"/>
      <c r="H214" s="540"/>
      <c r="I214" s="540"/>
      <c r="J214" s="540"/>
      <c r="K214" s="540"/>
      <c r="L214" s="540"/>
      <c r="M214" s="540"/>
      <c r="N214" s="540"/>
      <c r="O214" s="540"/>
      <c r="P214" s="540"/>
      <c r="Q214" s="540"/>
      <c r="R214" s="540"/>
      <c r="S214" s="540"/>
      <c r="T214" s="540"/>
      <c r="U214" s="540"/>
      <c r="V214" s="540"/>
      <c r="W214" s="540"/>
      <c r="X214" s="540"/>
      <c r="Y214" s="540"/>
      <c r="Z214" s="540"/>
    </row>
    <row r="215" ht="14.25" customHeight="1">
      <c r="A215" s="540"/>
      <c r="B215" s="540"/>
      <c r="C215" s="540"/>
      <c r="D215" s="540"/>
      <c r="E215" s="540"/>
      <c r="F215" s="540"/>
      <c r="G215" s="540"/>
      <c r="H215" s="540"/>
      <c r="I215" s="540"/>
      <c r="J215" s="540"/>
      <c r="K215" s="540"/>
      <c r="L215" s="540"/>
      <c r="M215" s="540"/>
      <c r="N215" s="540"/>
      <c r="O215" s="540"/>
      <c r="P215" s="540"/>
      <c r="Q215" s="540"/>
      <c r="R215" s="540"/>
      <c r="S215" s="540"/>
      <c r="T215" s="540"/>
      <c r="U215" s="540"/>
      <c r="V215" s="540"/>
      <c r="W215" s="540"/>
      <c r="X215" s="540"/>
      <c r="Y215" s="540"/>
      <c r="Z215" s="540"/>
    </row>
    <row r="216" ht="14.25" customHeight="1">
      <c r="A216" s="540"/>
      <c r="B216" s="540"/>
      <c r="C216" s="540"/>
      <c r="D216" s="540"/>
      <c r="E216" s="540"/>
      <c r="F216" s="540"/>
      <c r="G216" s="540"/>
      <c r="H216" s="540"/>
      <c r="I216" s="540"/>
      <c r="J216" s="540"/>
      <c r="K216" s="540"/>
      <c r="L216" s="540"/>
      <c r="M216" s="540"/>
      <c r="N216" s="540"/>
      <c r="O216" s="540"/>
      <c r="P216" s="540"/>
      <c r="Q216" s="540"/>
      <c r="R216" s="540"/>
      <c r="S216" s="540"/>
      <c r="T216" s="540"/>
      <c r="U216" s="540"/>
      <c r="V216" s="540"/>
      <c r="W216" s="540"/>
      <c r="X216" s="540"/>
      <c r="Y216" s="540"/>
      <c r="Z216" s="540"/>
    </row>
    <row r="217" ht="14.25" customHeight="1">
      <c r="A217" s="540"/>
      <c r="B217" s="540"/>
      <c r="C217" s="540"/>
      <c r="D217" s="540"/>
      <c r="E217" s="540"/>
      <c r="F217" s="540"/>
      <c r="G217" s="540"/>
      <c r="H217" s="540"/>
      <c r="I217" s="540"/>
      <c r="J217" s="540"/>
      <c r="K217" s="540"/>
      <c r="L217" s="540"/>
      <c r="M217" s="540"/>
      <c r="N217" s="540"/>
      <c r="O217" s="540"/>
      <c r="P217" s="540"/>
      <c r="Q217" s="540"/>
      <c r="R217" s="540"/>
      <c r="S217" s="540"/>
      <c r="T217" s="540"/>
      <c r="U217" s="540"/>
      <c r="V217" s="540"/>
      <c r="W217" s="540"/>
      <c r="X217" s="540"/>
      <c r="Y217" s="540"/>
      <c r="Z217" s="540"/>
    </row>
    <row r="218" ht="14.25" customHeight="1">
      <c r="A218" s="540"/>
      <c r="B218" s="540"/>
      <c r="C218" s="540"/>
      <c r="D218" s="540"/>
      <c r="E218" s="540"/>
      <c r="F218" s="540"/>
      <c r="G218" s="540"/>
      <c r="H218" s="540"/>
      <c r="I218" s="540"/>
      <c r="J218" s="540"/>
      <c r="K218" s="540"/>
      <c r="L218" s="540"/>
      <c r="M218" s="540"/>
      <c r="N218" s="540"/>
      <c r="O218" s="540"/>
      <c r="P218" s="540"/>
      <c r="Q218" s="540"/>
      <c r="R218" s="540"/>
      <c r="S218" s="540"/>
      <c r="T218" s="540"/>
      <c r="U218" s="540"/>
      <c r="V218" s="540"/>
      <c r="W218" s="540"/>
      <c r="X218" s="540"/>
      <c r="Y218" s="540"/>
      <c r="Z218" s="540"/>
    </row>
    <row r="219" ht="14.25" customHeight="1">
      <c r="A219" s="540"/>
      <c r="B219" s="540"/>
      <c r="C219" s="540"/>
      <c r="D219" s="540"/>
      <c r="E219" s="540"/>
      <c r="F219" s="540"/>
      <c r="G219" s="540"/>
      <c r="H219" s="540"/>
      <c r="I219" s="540"/>
      <c r="J219" s="540"/>
      <c r="K219" s="540"/>
      <c r="L219" s="540"/>
      <c r="M219" s="540"/>
      <c r="N219" s="540"/>
      <c r="O219" s="540"/>
      <c r="P219" s="540"/>
      <c r="Q219" s="540"/>
      <c r="R219" s="540"/>
      <c r="S219" s="540"/>
      <c r="T219" s="540"/>
      <c r="U219" s="540"/>
      <c r="V219" s="540"/>
      <c r="W219" s="540"/>
      <c r="X219" s="540"/>
      <c r="Y219" s="540"/>
      <c r="Z219" s="540"/>
    </row>
    <row r="220" ht="14.25" customHeight="1">
      <c r="A220" s="540"/>
      <c r="B220" s="540"/>
      <c r="C220" s="540"/>
      <c r="D220" s="540"/>
      <c r="E220" s="540"/>
      <c r="F220" s="540"/>
      <c r="G220" s="540"/>
      <c r="H220" s="540"/>
      <c r="I220" s="540"/>
      <c r="J220" s="540"/>
      <c r="K220" s="540"/>
      <c r="L220" s="540"/>
      <c r="M220" s="540"/>
      <c r="N220" s="540"/>
      <c r="O220" s="540"/>
      <c r="P220" s="540"/>
      <c r="Q220" s="540"/>
      <c r="R220" s="540"/>
      <c r="S220" s="540"/>
      <c r="T220" s="540"/>
      <c r="U220" s="540"/>
      <c r="V220" s="540"/>
      <c r="W220" s="540"/>
      <c r="X220" s="540"/>
      <c r="Y220" s="540"/>
      <c r="Z220" s="540"/>
    </row>
    <row r="221" ht="14.25" customHeight="1">
      <c r="A221" s="540"/>
      <c r="B221" s="540"/>
      <c r="C221" s="540"/>
      <c r="D221" s="540"/>
      <c r="E221" s="540"/>
      <c r="F221" s="540"/>
      <c r="G221" s="540"/>
      <c r="H221" s="540"/>
      <c r="I221" s="540"/>
      <c r="J221" s="540"/>
      <c r="K221" s="540"/>
      <c r="L221" s="540"/>
      <c r="M221" s="540"/>
      <c r="N221" s="540"/>
      <c r="O221" s="540"/>
      <c r="P221" s="540"/>
      <c r="Q221" s="540"/>
      <c r="R221" s="540"/>
      <c r="S221" s="540"/>
      <c r="T221" s="540"/>
      <c r="U221" s="540"/>
      <c r="V221" s="540"/>
      <c r="W221" s="540"/>
      <c r="X221" s="540"/>
      <c r="Y221" s="540"/>
      <c r="Z221" s="540"/>
    </row>
    <row r="222" ht="14.25" customHeight="1">
      <c r="A222" s="540"/>
      <c r="B222" s="540"/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0"/>
      <c r="N222" s="540"/>
      <c r="O222" s="540"/>
      <c r="P222" s="540"/>
      <c r="Q222" s="540"/>
      <c r="R222" s="540"/>
      <c r="S222" s="540"/>
      <c r="T222" s="540"/>
      <c r="U222" s="540"/>
      <c r="V222" s="540"/>
      <c r="W222" s="540"/>
      <c r="X222" s="540"/>
      <c r="Y222" s="540"/>
      <c r="Z222" s="540"/>
    </row>
    <row r="223" ht="14.25" customHeight="1">
      <c r="A223" s="540"/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0"/>
      <c r="N223" s="540"/>
      <c r="O223" s="540"/>
      <c r="P223" s="540"/>
      <c r="Q223" s="540"/>
      <c r="R223" s="540"/>
      <c r="S223" s="540"/>
      <c r="T223" s="540"/>
      <c r="U223" s="540"/>
      <c r="V223" s="540"/>
      <c r="W223" s="540"/>
      <c r="X223" s="540"/>
      <c r="Y223" s="540"/>
      <c r="Z223" s="540"/>
    </row>
    <row r="224" ht="14.25" customHeight="1">
      <c r="A224" s="540"/>
      <c r="B224" s="540"/>
      <c r="C224" s="540"/>
      <c r="D224" s="540"/>
      <c r="E224" s="540"/>
      <c r="F224" s="540"/>
      <c r="G224" s="540"/>
      <c r="H224" s="540"/>
      <c r="I224" s="540"/>
      <c r="J224" s="540"/>
      <c r="K224" s="540"/>
      <c r="L224" s="540"/>
      <c r="M224" s="540"/>
      <c r="N224" s="540"/>
      <c r="O224" s="540"/>
      <c r="P224" s="540"/>
      <c r="Q224" s="540"/>
      <c r="R224" s="540"/>
      <c r="S224" s="540"/>
      <c r="T224" s="540"/>
      <c r="U224" s="540"/>
      <c r="V224" s="540"/>
      <c r="W224" s="540"/>
      <c r="X224" s="540"/>
      <c r="Y224" s="540"/>
      <c r="Z224" s="540"/>
    </row>
    <row r="225" ht="14.25" customHeight="1">
      <c r="A225" s="540"/>
      <c r="B225" s="540"/>
      <c r="C225" s="540"/>
      <c r="D225" s="540"/>
      <c r="E225" s="540"/>
      <c r="F225" s="540"/>
      <c r="G225" s="540"/>
      <c r="H225" s="540"/>
      <c r="I225" s="540"/>
      <c r="J225" s="540"/>
      <c r="K225" s="540"/>
      <c r="L225" s="540"/>
      <c r="M225" s="540"/>
      <c r="N225" s="540"/>
      <c r="O225" s="540"/>
      <c r="P225" s="540"/>
      <c r="Q225" s="540"/>
      <c r="R225" s="540"/>
      <c r="S225" s="540"/>
      <c r="T225" s="540"/>
      <c r="U225" s="540"/>
      <c r="V225" s="540"/>
      <c r="W225" s="540"/>
      <c r="X225" s="540"/>
      <c r="Y225" s="540"/>
      <c r="Z225" s="540"/>
    </row>
    <row r="226" ht="14.25" customHeight="1">
      <c r="A226" s="540"/>
      <c r="B226" s="540"/>
      <c r="C226" s="540"/>
      <c r="D226" s="540"/>
      <c r="E226" s="540"/>
      <c r="F226" s="540"/>
      <c r="G226" s="540"/>
      <c r="H226" s="540"/>
      <c r="I226" s="540"/>
      <c r="J226" s="540"/>
      <c r="K226" s="540"/>
      <c r="L226" s="540"/>
      <c r="M226" s="540"/>
      <c r="N226" s="540"/>
      <c r="O226" s="540"/>
      <c r="P226" s="540"/>
      <c r="Q226" s="540"/>
      <c r="R226" s="540"/>
      <c r="S226" s="540"/>
      <c r="T226" s="540"/>
      <c r="U226" s="540"/>
      <c r="V226" s="540"/>
      <c r="W226" s="540"/>
      <c r="X226" s="540"/>
      <c r="Y226" s="540"/>
      <c r="Z226" s="540"/>
    </row>
    <row r="227" ht="14.25" customHeight="1">
      <c r="A227" s="540"/>
      <c r="B227" s="540"/>
      <c r="C227" s="540"/>
      <c r="D227" s="540"/>
      <c r="E227" s="540"/>
      <c r="F227" s="540"/>
      <c r="G227" s="540"/>
      <c r="H227" s="540"/>
      <c r="I227" s="540"/>
      <c r="J227" s="540"/>
      <c r="K227" s="540"/>
      <c r="L227" s="540"/>
      <c r="M227" s="540"/>
      <c r="N227" s="540"/>
      <c r="O227" s="540"/>
      <c r="P227" s="540"/>
      <c r="Q227" s="540"/>
      <c r="R227" s="540"/>
      <c r="S227" s="540"/>
      <c r="T227" s="540"/>
      <c r="U227" s="540"/>
      <c r="V227" s="540"/>
      <c r="W227" s="540"/>
      <c r="X227" s="540"/>
      <c r="Y227" s="540"/>
      <c r="Z227" s="540"/>
    </row>
    <row r="228" ht="14.25" customHeight="1">
      <c r="A228" s="540"/>
      <c r="B228" s="540"/>
      <c r="C228" s="540"/>
      <c r="D228" s="540"/>
      <c r="E228" s="540"/>
      <c r="F228" s="540"/>
      <c r="G228" s="540"/>
      <c r="H228" s="540"/>
      <c r="I228" s="540"/>
      <c r="J228" s="540"/>
      <c r="K228" s="540"/>
      <c r="L228" s="540"/>
      <c r="M228" s="540"/>
      <c r="N228" s="540"/>
      <c r="O228" s="540"/>
      <c r="P228" s="540"/>
      <c r="Q228" s="540"/>
      <c r="R228" s="540"/>
      <c r="S228" s="540"/>
      <c r="T228" s="540"/>
      <c r="U228" s="540"/>
      <c r="V228" s="540"/>
      <c r="W228" s="540"/>
      <c r="X228" s="540"/>
      <c r="Y228" s="540"/>
      <c r="Z228" s="540"/>
    </row>
    <row r="229" ht="14.25" customHeight="1">
      <c r="A229" s="540"/>
      <c r="B229" s="540"/>
      <c r="C229" s="540"/>
      <c r="D229" s="540"/>
      <c r="E229" s="540"/>
      <c r="F229" s="540"/>
      <c r="G229" s="540"/>
      <c r="H229" s="540"/>
      <c r="I229" s="540"/>
      <c r="J229" s="540"/>
      <c r="K229" s="540"/>
      <c r="L229" s="540"/>
      <c r="M229" s="540"/>
      <c r="N229" s="540"/>
      <c r="O229" s="540"/>
      <c r="P229" s="540"/>
      <c r="Q229" s="540"/>
      <c r="R229" s="540"/>
      <c r="S229" s="540"/>
      <c r="T229" s="540"/>
      <c r="U229" s="540"/>
      <c r="V229" s="540"/>
      <c r="W229" s="540"/>
      <c r="X229" s="540"/>
      <c r="Y229" s="540"/>
      <c r="Z229" s="540"/>
    </row>
    <row r="230" ht="14.25" customHeight="1">
      <c r="A230" s="540"/>
      <c r="B230" s="540"/>
      <c r="C230" s="540"/>
      <c r="D230" s="540"/>
      <c r="E230" s="540"/>
      <c r="F230" s="540"/>
      <c r="G230" s="540"/>
      <c r="H230" s="540"/>
      <c r="I230" s="540"/>
      <c r="J230" s="540"/>
      <c r="K230" s="540"/>
      <c r="L230" s="540"/>
      <c r="M230" s="540"/>
      <c r="N230" s="540"/>
      <c r="O230" s="540"/>
      <c r="P230" s="540"/>
      <c r="Q230" s="540"/>
      <c r="R230" s="540"/>
      <c r="S230" s="540"/>
      <c r="T230" s="540"/>
      <c r="U230" s="540"/>
      <c r="V230" s="540"/>
      <c r="W230" s="540"/>
      <c r="X230" s="540"/>
      <c r="Y230" s="540"/>
      <c r="Z230" s="540"/>
    </row>
    <row r="231" ht="14.25" customHeight="1">
      <c r="A231" s="540"/>
      <c r="B231" s="540"/>
      <c r="C231" s="540"/>
      <c r="D231" s="540"/>
      <c r="E231" s="540"/>
      <c r="F231" s="540"/>
      <c r="G231" s="540"/>
      <c r="H231" s="540"/>
      <c r="I231" s="540"/>
      <c r="J231" s="540"/>
      <c r="K231" s="540"/>
      <c r="L231" s="540"/>
      <c r="M231" s="540"/>
      <c r="N231" s="540"/>
      <c r="O231" s="540"/>
      <c r="P231" s="540"/>
      <c r="Q231" s="540"/>
      <c r="R231" s="540"/>
      <c r="S231" s="540"/>
      <c r="T231" s="540"/>
      <c r="U231" s="540"/>
      <c r="V231" s="540"/>
      <c r="W231" s="540"/>
      <c r="X231" s="540"/>
      <c r="Y231" s="540"/>
      <c r="Z231" s="540"/>
    </row>
    <row r="232" ht="14.25" customHeight="1">
      <c r="A232" s="540"/>
      <c r="B232" s="540"/>
      <c r="C232" s="540"/>
      <c r="D232" s="540"/>
      <c r="E232" s="540"/>
      <c r="F232" s="540"/>
      <c r="G232" s="540"/>
      <c r="H232" s="540"/>
      <c r="I232" s="540"/>
      <c r="J232" s="540"/>
      <c r="K232" s="540"/>
      <c r="L232" s="540"/>
      <c r="M232" s="540"/>
      <c r="N232" s="540"/>
      <c r="O232" s="540"/>
      <c r="P232" s="540"/>
      <c r="Q232" s="540"/>
      <c r="R232" s="540"/>
      <c r="S232" s="540"/>
      <c r="T232" s="540"/>
      <c r="U232" s="540"/>
      <c r="V232" s="540"/>
      <c r="W232" s="540"/>
      <c r="X232" s="540"/>
      <c r="Y232" s="540"/>
      <c r="Z232" s="540"/>
    </row>
    <row r="233" ht="14.25" customHeight="1">
      <c r="A233" s="540"/>
      <c r="B233" s="540"/>
      <c r="C233" s="540"/>
      <c r="D233" s="540"/>
      <c r="E233" s="540"/>
      <c r="F233" s="540"/>
      <c r="G233" s="540"/>
      <c r="H233" s="540"/>
      <c r="I233" s="540"/>
      <c r="J233" s="540"/>
      <c r="K233" s="540"/>
      <c r="L233" s="540"/>
      <c r="M233" s="540"/>
      <c r="N233" s="540"/>
      <c r="O233" s="540"/>
      <c r="P233" s="540"/>
      <c r="Q233" s="540"/>
      <c r="R233" s="540"/>
      <c r="S233" s="540"/>
      <c r="T233" s="540"/>
      <c r="U233" s="540"/>
      <c r="V233" s="540"/>
      <c r="W233" s="540"/>
      <c r="X233" s="540"/>
      <c r="Y233" s="540"/>
      <c r="Z233" s="540"/>
    </row>
    <row r="234" ht="14.25" customHeight="1">
      <c r="A234" s="540"/>
      <c r="B234" s="540"/>
      <c r="C234" s="540"/>
      <c r="D234" s="540"/>
      <c r="E234" s="540"/>
      <c r="F234" s="540"/>
      <c r="G234" s="540"/>
      <c r="H234" s="540"/>
      <c r="I234" s="540"/>
      <c r="J234" s="540"/>
      <c r="K234" s="540"/>
      <c r="L234" s="540"/>
      <c r="M234" s="540"/>
      <c r="N234" s="540"/>
      <c r="O234" s="540"/>
      <c r="P234" s="540"/>
      <c r="Q234" s="540"/>
      <c r="R234" s="540"/>
      <c r="S234" s="540"/>
      <c r="T234" s="540"/>
      <c r="U234" s="540"/>
      <c r="V234" s="540"/>
      <c r="W234" s="540"/>
      <c r="X234" s="540"/>
      <c r="Y234" s="540"/>
      <c r="Z234" s="540"/>
    </row>
    <row r="235" ht="14.25" customHeight="1">
      <c r="A235" s="540"/>
      <c r="B235" s="540"/>
      <c r="C235" s="540"/>
      <c r="D235" s="540"/>
      <c r="E235" s="540"/>
      <c r="F235" s="540"/>
      <c r="G235" s="540"/>
      <c r="H235" s="540"/>
      <c r="I235" s="540"/>
      <c r="J235" s="540"/>
      <c r="K235" s="540"/>
      <c r="L235" s="540"/>
      <c r="M235" s="540"/>
      <c r="N235" s="540"/>
      <c r="O235" s="540"/>
      <c r="P235" s="540"/>
      <c r="Q235" s="540"/>
      <c r="R235" s="540"/>
      <c r="S235" s="540"/>
      <c r="T235" s="540"/>
      <c r="U235" s="540"/>
      <c r="V235" s="540"/>
      <c r="W235" s="540"/>
      <c r="X235" s="540"/>
      <c r="Y235" s="540"/>
      <c r="Z235" s="540"/>
    </row>
    <row r="236" ht="14.25" customHeight="1">
      <c r="A236" s="540"/>
      <c r="B236" s="540"/>
      <c r="C236" s="540"/>
      <c r="D236" s="540"/>
      <c r="E236" s="540"/>
      <c r="F236" s="540"/>
      <c r="G236" s="540"/>
      <c r="H236" s="540"/>
      <c r="I236" s="540"/>
      <c r="J236" s="540"/>
      <c r="K236" s="540"/>
      <c r="L236" s="540"/>
      <c r="M236" s="540"/>
      <c r="N236" s="540"/>
      <c r="O236" s="540"/>
      <c r="P236" s="540"/>
      <c r="Q236" s="540"/>
      <c r="R236" s="540"/>
      <c r="S236" s="540"/>
      <c r="T236" s="540"/>
      <c r="U236" s="540"/>
      <c r="V236" s="540"/>
      <c r="W236" s="540"/>
      <c r="X236" s="540"/>
      <c r="Y236" s="540"/>
      <c r="Z236" s="540"/>
    </row>
    <row r="237" ht="14.25" customHeight="1">
      <c r="A237" s="540"/>
      <c r="B237" s="540"/>
      <c r="C237" s="540"/>
      <c r="D237" s="540"/>
      <c r="E237" s="540"/>
      <c r="F237" s="540"/>
      <c r="G237" s="540"/>
      <c r="H237" s="540"/>
      <c r="I237" s="540"/>
      <c r="J237" s="540"/>
      <c r="K237" s="540"/>
      <c r="L237" s="540"/>
      <c r="M237" s="540"/>
      <c r="N237" s="540"/>
      <c r="O237" s="540"/>
      <c r="P237" s="540"/>
      <c r="Q237" s="540"/>
      <c r="R237" s="540"/>
      <c r="S237" s="540"/>
      <c r="T237" s="540"/>
      <c r="U237" s="540"/>
      <c r="V237" s="540"/>
      <c r="W237" s="540"/>
      <c r="X237" s="540"/>
      <c r="Y237" s="540"/>
      <c r="Z237" s="540"/>
    </row>
    <row r="238" ht="14.25" customHeight="1">
      <c r="A238" s="540"/>
      <c r="B238" s="540"/>
      <c r="C238" s="540"/>
      <c r="D238" s="540"/>
      <c r="E238" s="540"/>
      <c r="F238" s="540"/>
      <c r="G238" s="540"/>
      <c r="H238" s="540"/>
      <c r="I238" s="540"/>
      <c r="J238" s="540"/>
      <c r="K238" s="540"/>
      <c r="L238" s="540"/>
      <c r="M238" s="540"/>
      <c r="N238" s="540"/>
      <c r="O238" s="540"/>
      <c r="P238" s="540"/>
      <c r="Q238" s="540"/>
      <c r="R238" s="540"/>
      <c r="S238" s="540"/>
      <c r="T238" s="540"/>
      <c r="U238" s="540"/>
      <c r="V238" s="540"/>
      <c r="W238" s="540"/>
      <c r="X238" s="540"/>
      <c r="Y238" s="540"/>
      <c r="Z238" s="540"/>
    </row>
    <row r="239" ht="14.25" customHeight="1">
      <c r="A239" s="540"/>
      <c r="B239" s="540"/>
      <c r="C239" s="540"/>
      <c r="D239" s="540"/>
      <c r="E239" s="540"/>
      <c r="F239" s="540"/>
      <c r="G239" s="540"/>
      <c r="H239" s="540"/>
      <c r="I239" s="540"/>
      <c r="J239" s="540"/>
      <c r="K239" s="540"/>
      <c r="L239" s="540"/>
      <c r="M239" s="540"/>
      <c r="N239" s="540"/>
      <c r="O239" s="540"/>
      <c r="P239" s="540"/>
      <c r="Q239" s="540"/>
      <c r="R239" s="540"/>
      <c r="S239" s="540"/>
      <c r="T239" s="540"/>
      <c r="U239" s="540"/>
      <c r="V239" s="540"/>
      <c r="W239" s="540"/>
      <c r="X239" s="540"/>
      <c r="Y239" s="540"/>
      <c r="Z239" s="540"/>
    </row>
    <row r="240" ht="14.25" customHeight="1">
      <c r="A240" s="540"/>
      <c r="B240" s="540"/>
      <c r="C240" s="540"/>
      <c r="D240" s="540"/>
      <c r="E240" s="540"/>
      <c r="F240" s="540"/>
      <c r="G240" s="540"/>
      <c r="H240" s="540"/>
      <c r="I240" s="540"/>
      <c r="J240" s="540"/>
      <c r="K240" s="540"/>
      <c r="L240" s="540"/>
      <c r="M240" s="540"/>
      <c r="N240" s="540"/>
      <c r="O240" s="540"/>
      <c r="P240" s="540"/>
      <c r="Q240" s="540"/>
      <c r="R240" s="540"/>
      <c r="S240" s="540"/>
      <c r="T240" s="540"/>
      <c r="U240" s="540"/>
      <c r="V240" s="540"/>
      <c r="W240" s="540"/>
      <c r="X240" s="540"/>
      <c r="Y240" s="540"/>
      <c r="Z240" s="540"/>
    </row>
    <row r="241" ht="14.25" customHeight="1">
      <c r="A241" s="540"/>
      <c r="B241" s="540"/>
      <c r="C241" s="540"/>
      <c r="D241" s="540"/>
      <c r="E241" s="540"/>
      <c r="F241" s="540"/>
      <c r="G241" s="540"/>
      <c r="H241" s="540"/>
      <c r="I241" s="540"/>
      <c r="J241" s="540"/>
      <c r="K241" s="540"/>
      <c r="L241" s="540"/>
      <c r="M241" s="540"/>
      <c r="N241" s="540"/>
      <c r="O241" s="540"/>
      <c r="P241" s="540"/>
      <c r="Q241" s="540"/>
      <c r="R241" s="540"/>
      <c r="S241" s="540"/>
      <c r="T241" s="540"/>
      <c r="U241" s="540"/>
      <c r="V241" s="540"/>
      <c r="W241" s="540"/>
      <c r="X241" s="540"/>
      <c r="Y241" s="540"/>
      <c r="Z241" s="540"/>
    </row>
    <row r="242" ht="14.25" customHeight="1">
      <c r="A242" s="540"/>
      <c r="B242" s="540"/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0"/>
      <c r="N242" s="540"/>
      <c r="O242" s="540"/>
      <c r="P242" s="540"/>
      <c r="Q242" s="540"/>
      <c r="R242" s="540"/>
      <c r="S242" s="540"/>
      <c r="T242" s="540"/>
      <c r="U242" s="540"/>
      <c r="V242" s="540"/>
      <c r="W242" s="540"/>
      <c r="X242" s="540"/>
      <c r="Y242" s="540"/>
      <c r="Z242" s="540"/>
    </row>
    <row r="243" ht="14.25" customHeight="1">
      <c r="A243" s="540"/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0"/>
      <c r="N243" s="540"/>
      <c r="O243" s="540"/>
      <c r="P243" s="540"/>
      <c r="Q243" s="540"/>
      <c r="R243" s="540"/>
      <c r="S243" s="540"/>
      <c r="T243" s="540"/>
      <c r="U243" s="540"/>
      <c r="V243" s="540"/>
      <c r="W243" s="540"/>
      <c r="X243" s="540"/>
      <c r="Y243" s="540"/>
      <c r="Z243" s="540"/>
    </row>
    <row r="244" ht="14.25" customHeight="1">
      <c r="A244" s="540"/>
      <c r="B244" s="540"/>
      <c r="C244" s="540"/>
      <c r="D244" s="540"/>
      <c r="E244" s="540"/>
      <c r="F244" s="540"/>
      <c r="G244" s="540"/>
      <c r="H244" s="540"/>
      <c r="I244" s="540"/>
      <c r="J244" s="540"/>
      <c r="K244" s="540"/>
      <c r="L244" s="540"/>
      <c r="M244" s="540"/>
      <c r="N244" s="540"/>
      <c r="O244" s="540"/>
      <c r="P244" s="540"/>
      <c r="Q244" s="540"/>
      <c r="R244" s="540"/>
      <c r="S244" s="540"/>
      <c r="T244" s="540"/>
      <c r="U244" s="540"/>
      <c r="V244" s="540"/>
      <c r="W244" s="540"/>
      <c r="X244" s="540"/>
      <c r="Y244" s="540"/>
      <c r="Z244" s="540"/>
    </row>
    <row r="245" ht="14.25" customHeight="1">
      <c r="A245" s="540"/>
      <c r="B245" s="540"/>
      <c r="C245" s="540"/>
      <c r="D245" s="540"/>
      <c r="E245" s="540"/>
      <c r="F245" s="540"/>
      <c r="G245" s="540"/>
      <c r="H245" s="540"/>
      <c r="I245" s="540"/>
      <c r="J245" s="540"/>
      <c r="K245" s="540"/>
      <c r="L245" s="540"/>
      <c r="M245" s="540"/>
      <c r="N245" s="540"/>
      <c r="O245" s="540"/>
      <c r="P245" s="540"/>
      <c r="Q245" s="540"/>
      <c r="R245" s="540"/>
      <c r="S245" s="540"/>
      <c r="T245" s="540"/>
      <c r="U245" s="540"/>
      <c r="V245" s="540"/>
      <c r="W245" s="540"/>
      <c r="X245" s="540"/>
      <c r="Y245" s="540"/>
      <c r="Z245" s="540"/>
    </row>
    <row r="246" ht="14.25" customHeight="1">
      <c r="A246" s="540"/>
      <c r="B246" s="540"/>
      <c r="C246" s="540"/>
      <c r="D246" s="540"/>
      <c r="E246" s="540"/>
      <c r="F246" s="540"/>
      <c r="G246" s="540"/>
      <c r="H246" s="540"/>
      <c r="I246" s="540"/>
      <c r="J246" s="540"/>
      <c r="K246" s="540"/>
      <c r="L246" s="540"/>
      <c r="M246" s="540"/>
      <c r="N246" s="540"/>
      <c r="O246" s="540"/>
      <c r="P246" s="540"/>
      <c r="Q246" s="540"/>
      <c r="R246" s="540"/>
      <c r="S246" s="540"/>
      <c r="T246" s="540"/>
      <c r="U246" s="540"/>
      <c r="V246" s="540"/>
      <c r="W246" s="540"/>
      <c r="X246" s="540"/>
      <c r="Y246" s="540"/>
      <c r="Z246" s="540"/>
    </row>
    <row r="247" ht="14.25" customHeight="1">
      <c r="A247" s="540"/>
      <c r="B247" s="540"/>
      <c r="C247" s="540"/>
      <c r="D247" s="540"/>
      <c r="E247" s="540"/>
      <c r="F247" s="540"/>
      <c r="G247" s="540"/>
      <c r="H247" s="540"/>
      <c r="I247" s="540"/>
      <c r="J247" s="540"/>
      <c r="K247" s="540"/>
      <c r="L247" s="540"/>
      <c r="M247" s="540"/>
      <c r="N247" s="540"/>
      <c r="O247" s="540"/>
      <c r="P247" s="540"/>
      <c r="Q247" s="540"/>
      <c r="R247" s="540"/>
      <c r="S247" s="540"/>
      <c r="T247" s="540"/>
      <c r="U247" s="540"/>
      <c r="V247" s="540"/>
      <c r="W247" s="540"/>
      <c r="X247" s="540"/>
      <c r="Y247" s="540"/>
      <c r="Z247" s="540"/>
    </row>
    <row r="248" ht="14.25" customHeight="1">
      <c r="A248" s="540"/>
      <c r="B248" s="540"/>
      <c r="C248" s="540"/>
      <c r="D248" s="540"/>
      <c r="E248" s="540"/>
      <c r="F248" s="540"/>
      <c r="G248" s="540"/>
      <c r="H248" s="540"/>
      <c r="I248" s="540"/>
      <c r="J248" s="540"/>
      <c r="K248" s="540"/>
      <c r="L248" s="540"/>
      <c r="M248" s="540"/>
      <c r="N248" s="540"/>
      <c r="O248" s="540"/>
      <c r="P248" s="540"/>
      <c r="Q248" s="540"/>
      <c r="R248" s="540"/>
      <c r="S248" s="540"/>
      <c r="T248" s="540"/>
      <c r="U248" s="540"/>
      <c r="V248" s="540"/>
      <c r="W248" s="540"/>
      <c r="X248" s="540"/>
      <c r="Y248" s="540"/>
      <c r="Z248" s="540"/>
    </row>
    <row r="249" ht="14.25" customHeight="1">
      <c r="A249" s="540"/>
      <c r="B249" s="540"/>
      <c r="C249" s="540"/>
      <c r="D249" s="540"/>
      <c r="E249" s="540"/>
      <c r="F249" s="540"/>
      <c r="G249" s="540"/>
      <c r="H249" s="540"/>
      <c r="I249" s="540"/>
      <c r="J249" s="540"/>
      <c r="K249" s="540"/>
      <c r="L249" s="540"/>
      <c r="M249" s="540"/>
      <c r="N249" s="540"/>
      <c r="O249" s="540"/>
      <c r="P249" s="540"/>
      <c r="Q249" s="540"/>
      <c r="R249" s="540"/>
      <c r="S249" s="540"/>
      <c r="T249" s="540"/>
      <c r="U249" s="540"/>
      <c r="V249" s="540"/>
      <c r="W249" s="540"/>
      <c r="X249" s="540"/>
      <c r="Y249" s="540"/>
      <c r="Z249" s="540"/>
    </row>
    <row r="250" ht="14.25" customHeight="1">
      <c r="A250" s="540"/>
      <c r="B250" s="540"/>
      <c r="C250" s="540"/>
      <c r="D250" s="540"/>
      <c r="E250" s="540"/>
      <c r="F250" s="540"/>
      <c r="G250" s="540"/>
      <c r="H250" s="540"/>
      <c r="I250" s="540"/>
      <c r="J250" s="540"/>
      <c r="K250" s="540"/>
      <c r="L250" s="540"/>
      <c r="M250" s="540"/>
      <c r="N250" s="540"/>
      <c r="O250" s="540"/>
      <c r="P250" s="540"/>
      <c r="Q250" s="540"/>
      <c r="R250" s="540"/>
      <c r="S250" s="540"/>
      <c r="T250" s="540"/>
      <c r="U250" s="540"/>
      <c r="V250" s="540"/>
      <c r="W250" s="540"/>
      <c r="X250" s="540"/>
      <c r="Y250" s="540"/>
      <c r="Z250" s="540"/>
    </row>
    <row r="251" ht="14.25" customHeight="1">
      <c r="A251" s="540"/>
      <c r="B251" s="540"/>
      <c r="C251" s="540"/>
      <c r="D251" s="540"/>
      <c r="E251" s="540"/>
      <c r="F251" s="540"/>
      <c r="G251" s="540"/>
      <c r="H251" s="540"/>
      <c r="I251" s="540"/>
      <c r="J251" s="540"/>
      <c r="K251" s="540"/>
      <c r="L251" s="540"/>
      <c r="M251" s="540"/>
      <c r="N251" s="540"/>
      <c r="O251" s="540"/>
      <c r="P251" s="540"/>
      <c r="Q251" s="540"/>
      <c r="R251" s="540"/>
      <c r="S251" s="540"/>
      <c r="T251" s="540"/>
      <c r="U251" s="540"/>
      <c r="V251" s="540"/>
      <c r="W251" s="540"/>
      <c r="X251" s="540"/>
      <c r="Y251" s="540"/>
      <c r="Z251" s="540"/>
    </row>
    <row r="252" ht="14.25" customHeight="1">
      <c r="A252" s="540"/>
      <c r="B252" s="540"/>
      <c r="C252" s="540"/>
      <c r="D252" s="540"/>
      <c r="E252" s="540"/>
      <c r="F252" s="540"/>
      <c r="G252" s="540"/>
      <c r="H252" s="540"/>
      <c r="I252" s="540"/>
      <c r="J252" s="540"/>
      <c r="K252" s="540"/>
      <c r="L252" s="540"/>
      <c r="M252" s="540"/>
      <c r="N252" s="540"/>
      <c r="O252" s="540"/>
      <c r="P252" s="540"/>
      <c r="Q252" s="540"/>
      <c r="R252" s="540"/>
      <c r="S252" s="540"/>
      <c r="T252" s="540"/>
      <c r="U252" s="540"/>
      <c r="V252" s="540"/>
      <c r="W252" s="540"/>
      <c r="X252" s="540"/>
      <c r="Y252" s="540"/>
      <c r="Z252" s="540"/>
    </row>
    <row r="253" ht="14.25" customHeight="1">
      <c r="A253" s="540"/>
      <c r="B253" s="540"/>
      <c r="C253" s="540"/>
      <c r="D253" s="540"/>
      <c r="E253" s="540"/>
      <c r="F253" s="540"/>
      <c r="G253" s="540"/>
      <c r="H253" s="540"/>
      <c r="I253" s="540"/>
      <c r="J253" s="540"/>
      <c r="K253" s="540"/>
      <c r="L253" s="540"/>
      <c r="M253" s="540"/>
      <c r="N253" s="540"/>
      <c r="O253" s="540"/>
      <c r="P253" s="540"/>
      <c r="Q253" s="540"/>
      <c r="R253" s="540"/>
      <c r="S253" s="540"/>
      <c r="T253" s="540"/>
      <c r="U253" s="540"/>
      <c r="V253" s="540"/>
      <c r="W253" s="540"/>
      <c r="X253" s="540"/>
      <c r="Y253" s="540"/>
      <c r="Z253" s="540"/>
    </row>
    <row r="254" ht="14.25" customHeight="1">
      <c r="A254" s="540"/>
      <c r="B254" s="540"/>
      <c r="C254" s="540"/>
      <c r="D254" s="540"/>
      <c r="E254" s="540"/>
      <c r="F254" s="540"/>
      <c r="G254" s="540"/>
      <c r="H254" s="540"/>
      <c r="I254" s="540"/>
      <c r="J254" s="540"/>
      <c r="K254" s="540"/>
      <c r="L254" s="540"/>
      <c r="M254" s="540"/>
      <c r="N254" s="540"/>
      <c r="O254" s="540"/>
      <c r="P254" s="540"/>
      <c r="Q254" s="540"/>
      <c r="R254" s="540"/>
      <c r="S254" s="540"/>
      <c r="T254" s="540"/>
      <c r="U254" s="540"/>
      <c r="V254" s="540"/>
      <c r="W254" s="540"/>
      <c r="X254" s="540"/>
      <c r="Y254" s="540"/>
      <c r="Z254" s="540"/>
    </row>
    <row r="255" ht="14.25" customHeight="1">
      <c r="A255" s="540"/>
      <c r="B255" s="540"/>
      <c r="C255" s="540"/>
      <c r="D255" s="540"/>
      <c r="E255" s="540"/>
      <c r="F255" s="540"/>
      <c r="G255" s="540"/>
      <c r="H255" s="540"/>
      <c r="I255" s="540"/>
      <c r="J255" s="540"/>
      <c r="K255" s="540"/>
      <c r="L255" s="540"/>
      <c r="M255" s="540"/>
      <c r="N255" s="540"/>
      <c r="O255" s="540"/>
      <c r="P255" s="540"/>
      <c r="Q255" s="540"/>
      <c r="R255" s="540"/>
      <c r="S255" s="540"/>
      <c r="T255" s="540"/>
      <c r="U255" s="540"/>
      <c r="V255" s="540"/>
      <c r="W255" s="540"/>
      <c r="X255" s="540"/>
      <c r="Y255" s="540"/>
      <c r="Z255" s="540"/>
    </row>
    <row r="256" ht="14.25" customHeight="1">
      <c r="A256" s="540"/>
      <c r="B256" s="540"/>
      <c r="C256" s="540"/>
      <c r="D256" s="540"/>
      <c r="E256" s="540"/>
      <c r="F256" s="540"/>
      <c r="G256" s="540"/>
      <c r="H256" s="540"/>
      <c r="I256" s="540"/>
      <c r="J256" s="540"/>
      <c r="K256" s="540"/>
      <c r="L256" s="540"/>
      <c r="M256" s="540"/>
      <c r="N256" s="540"/>
      <c r="O256" s="540"/>
      <c r="P256" s="540"/>
      <c r="Q256" s="540"/>
      <c r="R256" s="540"/>
      <c r="S256" s="540"/>
      <c r="T256" s="540"/>
      <c r="U256" s="540"/>
      <c r="V256" s="540"/>
      <c r="W256" s="540"/>
      <c r="X256" s="540"/>
      <c r="Y256" s="540"/>
      <c r="Z256" s="540"/>
    </row>
    <row r="257" ht="14.25" customHeight="1">
      <c r="A257" s="540"/>
      <c r="B257" s="540"/>
      <c r="C257" s="540"/>
      <c r="D257" s="540"/>
      <c r="E257" s="540"/>
      <c r="F257" s="540"/>
      <c r="G257" s="540"/>
      <c r="H257" s="540"/>
      <c r="I257" s="540"/>
      <c r="J257" s="540"/>
      <c r="K257" s="540"/>
      <c r="L257" s="540"/>
      <c r="M257" s="540"/>
      <c r="N257" s="540"/>
      <c r="O257" s="540"/>
      <c r="P257" s="540"/>
      <c r="Q257" s="540"/>
      <c r="R257" s="540"/>
      <c r="S257" s="540"/>
      <c r="T257" s="540"/>
      <c r="U257" s="540"/>
      <c r="V257" s="540"/>
      <c r="W257" s="540"/>
      <c r="X257" s="540"/>
      <c r="Y257" s="540"/>
      <c r="Z257" s="540"/>
    </row>
    <row r="258" ht="14.25" customHeight="1">
      <c r="A258" s="540"/>
      <c r="B258" s="540"/>
      <c r="C258" s="540"/>
      <c r="D258" s="540"/>
      <c r="E258" s="540"/>
      <c r="F258" s="540"/>
      <c r="G258" s="540"/>
      <c r="H258" s="540"/>
      <c r="I258" s="540"/>
      <c r="J258" s="540"/>
      <c r="K258" s="540"/>
      <c r="L258" s="540"/>
      <c r="M258" s="540"/>
      <c r="N258" s="540"/>
      <c r="O258" s="540"/>
      <c r="P258" s="540"/>
      <c r="Q258" s="540"/>
      <c r="R258" s="540"/>
      <c r="S258" s="540"/>
      <c r="T258" s="540"/>
      <c r="U258" s="540"/>
      <c r="V258" s="540"/>
      <c r="W258" s="540"/>
      <c r="X258" s="540"/>
      <c r="Y258" s="540"/>
      <c r="Z258" s="540"/>
    </row>
    <row r="259" ht="14.25" customHeight="1">
      <c r="A259" s="540"/>
      <c r="B259" s="540"/>
      <c r="C259" s="540"/>
      <c r="D259" s="540"/>
      <c r="E259" s="540"/>
      <c r="F259" s="540"/>
      <c r="G259" s="540"/>
      <c r="H259" s="540"/>
      <c r="I259" s="540"/>
      <c r="J259" s="540"/>
      <c r="K259" s="540"/>
      <c r="L259" s="540"/>
      <c r="M259" s="540"/>
      <c r="N259" s="540"/>
      <c r="O259" s="540"/>
      <c r="P259" s="540"/>
      <c r="Q259" s="540"/>
      <c r="R259" s="540"/>
      <c r="S259" s="540"/>
      <c r="T259" s="540"/>
      <c r="U259" s="540"/>
      <c r="V259" s="540"/>
      <c r="W259" s="540"/>
      <c r="X259" s="540"/>
      <c r="Y259" s="540"/>
      <c r="Z259" s="540"/>
    </row>
    <row r="260" ht="14.25" customHeight="1">
      <c r="A260" s="540"/>
      <c r="B260" s="540"/>
      <c r="C260" s="540"/>
      <c r="D260" s="540"/>
      <c r="E260" s="540"/>
      <c r="F260" s="540"/>
      <c r="G260" s="540"/>
      <c r="H260" s="540"/>
      <c r="I260" s="540"/>
      <c r="J260" s="540"/>
      <c r="K260" s="540"/>
      <c r="L260" s="540"/>
      <c r="M260" s="540"/>
      <c r="N260" s="540"/>
      <c r="O260" s="540"/>
      <c r="P260" s="540"/>
      <c r="Q260" s="540"/>
      <c r="R260" s="540"/>
      <c r="S260" s="540"/>
      <c r="T260" s="540"/>
      <c r="U260" s="540"/>
      <c r="V260" s="540"/>
      <c r="W260" s="540"/>
      <c r="X260" s="540"/>
      <c r="Y260" s="540"/>
      <c r="Z260" s="540"/>
    </row>
    <row r="261" ht="14.25" customHeight="1">
      <c r="A261" s="540"/>
      <c r="B261" s="540"/>
      <c r="C261" s="540"/>
      <c r="D261" s="540"/>
      <c r="E261" s="540"/>
      <c r="F261" s="540"/>
      <c r="G261" s="540"/>
      <c r="H261" s="540"/>
      <c r="I261" s="540"/>
      <c r="J261" s="540"/>
      <c r="K261" s="540"/>
      <c r="L261" s="540"/>
      <c r="M261" s="540"/>
      <c r="N261" s="540"/>
      <c r="O261" s="540"/>
      <c r="P261" s="540"/>
      <c r="Q261" s="540"/>
      <c r="R261" s="540"/>
      <c r="S261" s="540"/>
      <c r="T261" s="540"/>
      <c r="U261" s="540"/>
      <c r="V261" s="540"/>
      <c r="W261" s="540"/>
      <c r="X261" s="540"/>
      <c r="Y261" s="540"/>
      <c r="Z261" s="540"/>
    </row>
    <row r="262" ht="14.25" customHeight="1">
      <c r="A262" s="540"/>
      <c r="B262" s="540"/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0"/>
      <c r="N262" s="540"/>
      <c r="O262" s="540"/>
      <c r="P262" s="540"/>
      <c r="Q262" s="540"/>
      <c r="R262" s="540"/>
      <c r="S262" s="540"/>
      <c r="T262" s="540"/>
      <c r="U262" s="540"/>
      <c r="V262" s="540"/>
      <c r="W262" s="540"/>
      <c r="X262" s="540"/>
      <c r="Y262" s="540"/>
      <c r="Z262" s="540"/>
    </row>
    <row r="263" ht="14.25" customHeight="1">
      <c r="A263" s="540"/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0"/>
      <c r="N263" s="540"/>
      <c r="O263" s="540"/>
      <c r="P263" s="540"/>
      <c r="Q263" s="540"/>
      <c r="R263" s="540"/>
      <c r="S263" s="540"/>
      <c r="T263" s="540"/>
      <c r="U263" s="540"/>
      <c r="V263" s="540"/>
      <c r="W263" s="540"/>
      <c r="X263" s="540"/>
      <c r="Y263" s="540"/>
      <c r="Z263" s="540"/>
    </row>
    <row r="264" ht="14.25" customHeight="1">
      <c r="A264" s="540"/>
      <c r="B264" s="540"/>
      <c r="C264" s="540"/>
      <c r="D264" s="540"/>
      <c r="E264" s="540"/>
      <c r="F264" s="540"/>
      <c r="G264" s="540"/>
      <c r="H264" s="540"/>
      <c r="I264" s="540"/>
      <c r="J264" s="540"/>
      <c r="K264" s="540"/>
      <c r="L264" s="540"/>
      <c r="M264" s="540"/>
      <c r="N264" s="540"/>
      <c r="O264" s="540"/>
      <c r="P264" s="540"/>
      <c r="Q264" s="540"/>
      <c r="R264" s="540"/>
      <c r="S264" s="540"/>
      <c r="T264" s="540"/>
      <c r="U264" s="540"/>
      <c r="V264" s="540"/>
      <c r="W264" s="540"/>
      <c r="X264" s="540"/>
      <c r="Y264" s="540"/>
      <c r="Z264" s="540"/>
    </row>
    <row r="265" ht="14.25" customHeight="1">
      <c r="A265" s="540"/>
      <c r="B265" s="540"/>
      <c r="C265" s="540"/>
      <c r="D265" s="540"/>
      <c r="E265" s="540"/>
      <c r="F265" s="540"/>
      <c r="G265" s="540"/>
      <c r="H265" s="540"/>
      <c r="I265" s="540"/>
      <c r="J265" s="540"/>
      <c r="K265" s="540"/>
      <c r="L265" s="540"/>
      <c r="M265" s="540"/>
      <c r="N265" s="540"/>
      <c r="O265" s="540"/>
      <c r="P265" s="540"/>
      <c r="Q265" s="540"/>
      <c r="R265" s="540"/>
      <c r="S265" s="540"/>
      <c r="T265" s="540"/>
      <c r="U265" s="540"/>
      <c r="V265" s="540"/>
      <c r="W265" s="540"/>
      <c r="X265" s="540"/>
      <c r="Y265" s="540"/>
      <c r="Z265" s="540"/>
    </row>
    <row r="266" ht="14.25" customHeight="1">
      <c r="A266" s="540"/>
      <c r="B266" s="540"/>
      <c r="C266" s="540"/>
      <c r="D266" s="540"/>
      <c r="E266" s="540"/>
      <c r="F266" s="540"/>
      <c r="G266" s="540"/>
      <c r="H266" s="540"/>
      <c r="I266" s="540"/>
      <c r="J266" s="540"/>
      <c r="K266" s="540"/>
      <c r="L266" s="540"/>
      <c r="M266" s="540"/>
      <c r="N266" s="540"/>
      <c r="O266" s="540"/>
      <c r="P266" s="540"/>
      <c r="Q266" s="540"/>
      <c r="R266" s="540"/>
      <c r="S266" s="540"/>
      <c r="T266" s="540"/>
      <c r="U266" s="540"/>
      <c r="V266" s="540"/>
      <c r="W266" s="540"/>
      <c r="X266" s="540"/>
      <c r="Y266" s="540"/>
      <c r="Z266" s="540"/>
    </row>
    <row r="267" ht="14.25" customHeight="1">
      <c r="A267" s="540"/>
      <c r="B267" s="540"/>
      <c r="C267" s="540"/>
      <c r="D267" s="540"/>
      <c r="E267" s="540"/>
      <c r="F267" s="540"/>
      <c r="G267" s="540"/>
      <c r="H267" s="540"/>
      <c r="I267" s="540"/>
      <c r="J267" s="540"/>
      <c r="K267" s="540"/>
      <c r="L267" s="540"/>
      <c r="M267" s="540"/>
      <c r="N267" s="540"/>
      <c r="O267" s="540"/>
      <c r="P267" s="540"/>
      <c r="Q267" s="540"/>
      <c r="R267" s="540"/>
      <c r="S267" s="540"/>
      <c r="T267" s="540"/>
      <c r="U267" s="540"/>
      <c r="V267" s="540"/>
      <c r="W267" s="540"/>
      <c r="X267" s="540"/>
      <c r="Y267" s="540"/>
      <c r="Z267" s="540"/>
    </row>
    <row r="268" ht="14.25" customHeight="1">
      <c r="A268" s="540"/>
      <c r="B268" s="540"/>
      <c r="C268" s="540"/>
      <c r="D268" s="540"/>
      <c r="E268" s="540"/>
      <c r="F268" s="540"/>
      <c r="G268" s="540"/>
      <c r="H268" s="540"/>
      <c r="I268" s="540"/>
      <c r="J268" s="540"/>
      <c r="K268" s="540"/>
      <c r="L268" s="540"/>
      <c r="M268" s="540"/>
      <c r="N268" s="540"/>
      <c r="O268" s="540"/>
      <c r="P268" s="540"/>
      <c r="Q268" s="540"/>
      <c r="R268" s="540"/>
      <c r="S268" s="540"/>
      <c r="T268" s="540"/>
      <c r="U268" s="540"/>
      <c r="V268" s="540"/>
      <c r="W268" s="540"/>
      <c r="X268" s="540"/>
      <c r="Y268" s="540"/>
      <c r="Z268" s="540"/>
    </row>
    <row r="269" ht="14.25" customHeight="1">
      <c r="A269" s="540"/>
      <c r="B269" s="540"/>
      <c r="C269" s="540"/>
      <c r="D269" s="540"/>
      <c r="E269" s="540"/>
      <c r="F269" s="540"/>
      <c r="G269" s="540"/>
      <c r="H269" s="540"/>
      <c r="I269" s="540"/>
      <c r="J269" s="540"/>
      <c r="K269" s="540"/>
      <c r="L269" s="540"/>
      <c r="M269" s="540"/>
      <c r="N269" s="540"/>
      <c r="O269" s="540"/>
      <c r="P269" s="540"/>
      <c r="Q269" s="540"/>
      <c r="R269" s="540"/>
      <c r="S269" s="540"/>
      <c r="T269" s="540"/>
      <c r="U269" s="540"/>
      <c r="V269" s="540"/>
      <c r="W269" s="540"/>
      <c r="X269" s="540"/>
      <c r="Y269" s="540"/>
      <c r="Z269" s="540"/>
    </row>
    <row r="270" ht="14.25" customHeight="1">
      <c r="A270" s="540"/>
      <c r="B270" s="540"/>
      <c r="C270" s="540"/>
      <c r="D270" s="540"/>
      <c r="E270" s="540"/>
      <c r="F270" s="540"/>
      <c r="G270" s="540"/>
      <c r="H270" s="540"/>
      <c r="I270" s="540"/>
      <c r="J270" s="540"/>
      <c r="K270" s="540"/>
      <c r="L270" s="540"/>
      <c r="M270" s="540"/>
      <c r="N270" s="540"/>
      <c r="O270" s="540"/>
      <c r="P270" s="540"/>
      <c r="Q270" s="540"/>
      <c r="R270" s="540"/>
      <c r="S270" s="540"/>
      <c r="T270" s="540"/>
      <c r="U270" s="540"/>
      <c r="V270" s="540"/>
      <c r="W270" s="540"/>
      <c r="X270" s="540"/>
      <c r="Y270" s="540"/>
      <c r="Z270" s="540"/>
    </row>
    <row r="271" ht="14.25" customHeight="1">
      <c r="A271" s="540"/>
      <c r="B271" s="540"/>
      <c r="C271" s="540"/>
      <c r="D271" s="540"/>
      <c r="E271" s="540"/>
      <c r="F271" s="540"/>
      <c r="G271" s="540"/>
      <c r="H271" s="540"/>
      <c r="I271" s="540"/>
      <c r="J271" s="540"/>
      <c r="K271" s="540"/>
      <c r="L271" s="540"/>
      <c r="M271" s="540"/>
      <c r="N271" s="540"/>
      <c r="O271" s="540"/>
      <c r="P271" s="540"/>
      <c r="Q271" s="540"/>
      <c r="R271" s="540"/>
      <c r="S271" s="540"/>
      <c r="T271" s="540"/>
      <c r="U271" s="540"/>
      <c r="V271" s="540"/>
      <c r="W271" s="540"/>
      <c r="X271" s="540"/>
      <c r="Y271" s="540"/>
      <c r="Z271" s="540"/>
    </row>
    <row r="272" ht="14.25" customHeight="1">
      <c r="A272" s="540"/>
      <c r="B272" s="540"/>
      <c r="C272" s="540"/>
      <c r="D272" s="540"/>
      <c r="E272" s="540"/>
      <c r="F272" s="540"/>
      <c r="G272" s="540"/>
      <c r="H272" s="540"/>
      <c r="I272" s="540"/>
      <c r="J272" s="540"/>
      <c r="K272" s="540"/>
      <c r="L272" s="540"/>
      <c r="M272" s="540"/>
      <c r="N272" s="540"/>
      <c r="O272" s="540"/>
      <c r="P272" s="540"/>
      <c r="Q272" s="540"/>
      <c r="R272" s="540"/>
      <c r="S272" s="540"/>
      <c r="T272" s="540"/>
      <c r="U272" s="540"/>
      <c r="V272" s="540"/>
      <c r="W272" s="540"/>
      <c r="X272" s="540"/>
      <c r="Y272" s="540"/>
      <c r="Z272" s="540"/>
    </row>
    <row r="273" ht="14.25" customHeight="1">
      <c r="A273" s="540"/>
      <c r="B273" s="540"/>
      <c r="C273" s="540"/>
      <c r="D273" s="540"/>
      <c r="E273" s="540"/>
      <c r="F273" s="540"/>
      <c r="G273" s="540"/>
      <c r="H273" s="540"/>
      <c r="I273" s="540"/>
      <c r="J273" s="540"/>
      <c r="K273" s="540"/>
      <c r="L273" s="540"/>
      <c r="M273" s="540"/>
      <c r="N273" s="540"/>
      <c r="O273" s="540"/>
      <c r="P273" s="540"/>
      <c r="Q273" s="540"/>
      <c r="R273" s="540"/>
      <c r="S273" s="540"/>
      <c r="T273" s="540"/>
      <c r="U273" s="540"/>
      <c r="V273" s="540"/>
      <c r="W273" s="540"/>
      <c r="X273" s="540"/>
      <c r="Y273" s="540"/>
      <c r="Z273" s="540"/>
    </row>
    <row r="274" ht="14.25" customHeight="1">
      <c r="A274" s="540"/>
      <c r="B274" s="540"/>
      <c r="C274" s="540"/>
      <c r="D274" s="540"/>
      <c r="E274" s="540"/>
      <c r="F274" s="540"/>
      <c r="G274" s="540"/>
      <c r="H274" s="540"/>
      <c r="I274" s="540"/>
      <c r="J274" s="540"/>
      <c r="K274" s="540"/>
      <c r="L274" s="540"/>
      <c r="M274" s="540"/>
      <c r="N274" s="540"/>
      <c r="O274" s="540"/>
      <c r="P274" s="540"/>
      <c r="Q274" s="540"/>
      <c r="R274" s="540"/>
      <c r="S274" s="540"/>
      <c r="T274" s="540"/>
      <c r="U274" s="540"/>
      <c r="V274" s="540"/>
      <c r="W274" s="540"/>
      <c r="X274" s="540"/>
      <c r="Y274" s="540"/>
      <c r="Z274" s="540"/>
    </row>
    <row r="275" ht="14.25" customHeight="1">
      <c r="A275" s="540"/>
      <c r="B275" s="540"/>
      <c r="C275" s="540"/>
      <c r="D275" s="540"/>
      <c r="E275" s="540"/>
      <c r="F275" s="540"/>
      <c r="G275" s="540"/>
      <c r="H275" s="540"/>
      <c r="I275" s="540"/>
      <c r="J275" s="540"/>
      <c r="K275" s="540"/>
      <c r="L275" s="540"/>
      <c r="M275" s="540"/>
      <c r="N275" s="540"/>
      <c r="O275" s="540"/>
      <c r="P275" s="540"/>
      <c r="Q275" s="540"/>
      <c r="R275" s="540"/>
      <c r="S275" s="540"/>
      <c r="T275" s="540"/>
      <c r="U275" s="540"/>
      <c r="V275" s="540"/>
      <c r="W275" s="540"/>
      <c r="X275" s="540"/>
      <c r="Y275" s="540"/>
      <c r="Z275" s="540"/>
    </row>
    <row r="276" ht="14.25" customHeight="1">
      <c r="A276" s="540"/>
      <c r="B276" s="540"/>
      <c r="C276" s="540"/>
      <c r="D276" s="540"/>
      <c r="E276" s="540"/>
      <c r="F276" s="540"/>
      <c r="G276" s="540"/>
      <c r="H276" s="540"/>
      <c r="I276" s="540"/>
      <c r="J276" s="540"/>
      <c r="K276" s="540"/>
      <c r="L276" s="540"/>
      <c r="M276" s="540"/>
      <c r="N276" s="540"/>
      <c r="O276" s="540"/>
      <c r="P276" s="540"/>
      <c r="Q276" s="540"/>
      <c r="R276" s="540"/>
      <c r="S276" s="540"/>
      <c r="T276" s="540"/>
      <c r="U276" s="540"/>
      <c r="V276" s="540"/>
      <c r="W276" s="540"/>
      <c r="X276" s="540"/>
      <c r="Y276" s="540"/>
      <c r="Z276" s="540"/>
    </row>
    <row r="277" ht="14.25" customHeight="1">
      <c r="A277" s="540"/>
      <c r="B277" s="540"/>
      <c r="C277" s="540"/>
      <c r="D277" s="540"/>
      <c r="E277" s="540"/>
      <c r="F277" s="540"/>
      <c r="G277" s="540"/>
      <c r="H277" s="540"/>
      <c r="I277" s="540"/>
      <c r="J277" s="540"/>
      <c r="K277" s="540"/>
      <c r="L277" s="540"/>
      <c r="M277" s="540"/>
      <c r="N277" s="540"/>
      <c r="O277" s="540"/>
      <c r="P277" s="540"/>
      <c r="Q277" s="540"/>
      <c r="R277" s="540"/>
      <c r="S277" s="540"/>
      <c r="T277" s="540"/>
      <c r="U277" s="540"/>
      <c r="V277" s="540"/>
      <c r="W277" s="540"/>
      <c r="X277" s="540"/>
      <c r="Y277" s="540"/>
      <c r="Z277" s="540"/>
    </row>
    <row r="278" ht="14.25" customHeight="1">
      <c r="A278" s="540"/>
      <c r="B278" s="540"/>
      <c r="C278" s="540"/>
      <c r="D278" s="540"/>
      <c r="E278" s="540"/>
      <c r="F278" s="540"/>
      <c r="G278" s="540"/>
      <c r="H278" s="540"/>
      <c r="I278" s="540"/>
      <c r="J278" s="540"/>
      <c r="K278" s="540"/>
      <c r="L278" s="540"/>
      <c r="M278" s="540"/>
      <c r="N278" s="540"/>
      <c r="O278" s="540"/>
      <c r="P278" s="540"/>
      <c r="Q278" s="540"/>
      <c r="R278" s="540"/>
      <c r="S278" s="540"/>
      <c r="T278" s="540"/>
      <c r="U278" s="540"/>
      <c r="V278" s="540"/>
      <c r="W278" s="540"/>
      <c r="X278" s="540"/>
      <c r="Y278" s="540"/>
      <c r="Z278" s="540"/>
    </row>
    <row r="279" ht="14.25" customHeight="1">
      <c r="A279" s="540"/>
      <c r="B279" s="540"/>
      <c r="C279" s="540"/>
      <c r="D279" s="540"/>
      <c r="E279" s="540"/>
      <c r="F279" s="540"/>
      <c r="G279" s="540"/>
      <c r="H279" s="540"/>
      <c r="I279" s="540"/>
      <c r="J279" s="540"/>
      <c r="K279" s="540"/>
      <c r="L279" s="540"/>
      <c r="M279" s="540"/>
      <c r="N279" s="540"/>
      <c r="O279" s="540"/>
      <c r="P279" s="540"/>
      <c r="Q279" s="540"/>
      <c r="R279" s="540"/>
      <c r="S279" s="540"/>
      <c r="T279" s="540"/>
      <c r="U279" s="540"/>
      <c r="V279" s="540"/>
      <c r="W279" s="540"/>
      <c r="X279" s="540"/>
      <c r="Y279" s="540"/>
      <c r="Z279" s="540"/>
    </row>
    <row r="280" ht="14.25" customHeight="1">
      <c r="A280" s="540"/>
      <c r="B280" s="540"/>
      <c r="C280" s="540"/>
      <c r="D280" s="540"/>
      <c r="E280" s="540"/>
      <c r="F280" s="540"/>
      <c r="G280" s="540"/>
      <c r="H280" s="540"/>
      <c r="I280" s="540"/>
      <c r="J280" s="540"/>
      <c r="K280" s="540"/>
      <c r="L280" s="540"/>
      <c r="M280" s="540"/>
      <c r="N280" s="540"/>
      <c r="O280" s="540"/>
      <c r="P280" s="540"/>
      <c r="Q280" s="540"/>
      <c r="R280" s="540"/>
      <c r="S280" s="540"/>
      <c r="T280" s="540"/>
      <c r="U280" s="540"/>
      <c r="V280" s="540"/>
      <c r="W280" s="540"/>
      <c r="X280" s="540"/>
      <c r="Y280" s="540"/>
      <c r="Z280" s="540"/>
    </row>
    <row r="281" ht="14.25" customHeight="1">
      <c r="A281" s="540"/>
      <c r="B281" s="540"/>
      <c r="C281" s="540"/>
      <c r="D281" s="540"/>
      <c r="E281" s="540"/>
      <c r="F281" s="540"/>
      <c r="G281" s="540"/>
      <c r="H281" s="540"/>
      <c r="I281" s="540"/>
      <c r="J281" s="540"/>
      <c r="K281" s="540"/>
      <c r="L281" s="540"/>
      <c r="M281" s="540"/>
      <c r="N281" s="540"/>
      <c r="O281" s="540"/>
      <c r="P281" s="540"/>
      <c r="Q281" s="540"/>
      <c r="R281" s="540"/>
      <c r="S281" s="540"/>
      <c r="T281" s="540"/>
      <c r="U281" s="540"/>
      <c r="V281" s="540"/>
      <c r="W281" s="540"/>
      <c r="X281" s="540"/>
      <c r="Y281" s="540"/>
      <c r="Z281" s="540"/>
    </row>
    <row r="282" ht="14.25" customHeight="1">
      <c r="A282" s="540"/>
      <c r="B282" s="540"/>
      <c r="C282" s="540"/>
      <c r="D282" s="540"/>
      <c r="E282" s="540"/>
      <c r="F282" s="540"/>
      <c r="G282" s="540"/>
      <c r="H282" s="540"/>
      <c r="I282" s="540"/>
      <c r="J282" s="540"/>
      <c r="K282" s="540"/>
      <c r="L282" s="540"/>
      <c r="M282" s="540"/>
      <c r="N282" s="540"/>
      <c r="O282" s="540"/>
      <c r="P282" s="540"/>
      <c r="Q282" s="540"/>
      <c r="R282" s="540"/>
      <c r="S282" s="540"/>
      <c r="T282" s="540"/>
      <c r="U282" s="540"/>
      <c r="V282" s="540"/>
      <c r="W282" s="540"/>
      <c r="X282" s="540"/>
      <c r="Y282" s="540"/>
      <c r="Z282" s="540"/>
    </row>
    <row r="283" ht="14.25" customHeight="1">
      <c r="A283" s="540"/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0"/>
      <c r="N283" s="540"/>
      <c r="O283" s="540"/>
      <c r="P283" s="540"/>
      <c r="Q283" s="540"/>
      <c r="R283" s="540"/>
      <c r="S283" s="540"/>
      <c r="T283" s="540"/>
      <c r="U283" s="540"/>
      <c r="V283" s="540"/>
      <c r="W283" s="540"/>
      <c r="X283" s="540"/>
      <c r="Y283" s="540"/>
      <c r="Z283" s="540"/>
    </row>
    <row r="284" ht="14.25" customHeight="1">
      <c r="A284" s="540"/>
      <c r="B284" s="540"/>
      <c r="C284" s="540"/>
      <c r="D284" s="540"/>
      <c r="E284" s="540"/>
      <c r="F284" s="540"/>
      <c r="G284" s="540"/>
      <c r="H284" s="540"/>
      <c r="I284" s="540"/>
      <c r="J284" s="540"/>
      <c r="K284" s="540"/>
      <c r="L284" s="540"/>
      <c r="M284" s="540"/>
      <c r="N284" s="540"/>
      <c r="O284" s="540"/>
      <c r="P284" s="540"/>
      <c r="Q284" s="540"/>
      <c r="R284" s="540"/>
      <c r="S284" s="540"/>
      <c r="T284" s="540"/>
      <c r="U284" s="540"/>
      <c r="V284" s="540"/>
      <c r="W284" s="540"/>
      <c r="X284" s="540"/>
      <c r="Y284" s="540"/>
      <c r="Z284" s="540"/>
    </row>
    <row r="285" ht="14.25" customHeight="1">
      <c r="A285" s="540"/>
      <c r="B285" s="540"/>
      <c r="C285" s="540"/>
      <c r="D285" s="540"/>
      <c r="E285" s="540"/>
      <c r="F285" s="540"/>
      <c r="G285" s="540"/>
      <c r="H285" s="540"/>
      <c r="I285" s="540"/>
      <c r="J285" s="540"/>
      <c r="K285" s="540"/>
      <c r="L285" s="540"/>
      <c r="M285" s="540"/>
      <c r="N285" s="540"/>
      <c r="O285" s="540"/>
      <c r="P285" s="540"/>
      <c r="Q285" s="540"/>
      <c r="R285" s="540"/>
      <c r="S285" s="540"/>
      <c r="T285" s="540"/>
      <c r="U285" s="540"/>
      <c r="V285" s="540"/>
      <c r="W285" s="540"/>
      <c r="X285" s="540"/>
      <c r="Y285" s="540"/>
      <c r="Z285" s="540"/>
    </row>
    <row r="286" ht="14.25" customHeight="1">
      <c r="A286" s="540"/>
      <c r="B286" s="540"/>
      <c r="C286" s="540"/>
      <c r="D286" s="540"/>
      <c r="E286" s="540"/>
      <c r="F286" s="540"/>
      <c r="G286" s="540"/>
      <c r="H286" s="540"/>
      <c r="I286" s="540"/>
      <c r="J286" s="540"/>
      <c r="K286" s="540"/>
      <c r="L286" s="540"/>
      <c r="M286" s="540"/>
      <c r="N286" s="540"/>
      <c r="O286" s="540"/>
      <c r="P286" s="540"/>
      <c r="Q286" s="540"/>
      <c r="R286" s="540"/>
      <c r="S286" s="540"/>
      <c r="T286" s="540"/>
      <c r="U286" s="540"/>
      <c r="V286" s="540"/>
      <c r="W286" s="540"/>
      <c r="X286" s="540"/>
      <c r="Y286" s="540"/>
      <c r="Z286" s="540"/>
    </row>
    <row r="287" ht="14.25" customHeight="1">
      <c r="A287" s="540"/>
      <c r="B287" s="540"/>
      <c r="C287" s="540"/>
      <c r="D287" s="540"/>
      <c r="E287" s="540"/>
      <c r="F287" s="540"/>
      <c r="G287" s="540"/>
      <c r="H287" s="540"/>
      <c r="I287" s="540"/>
      <c r="J287" s="540"/>
      <c r="K287" s="540"/>
      <c r="L287" s="540"/>
      <c r="M287" s="540"/>
      <c r="N287" s="540"/>
      <c r="O287" s="540"/>
      <c r="P287" s="540"/>
      <c r="Q287" s="540"/>
      <c r="R287" s="540"/>
      <c r="S287" s="540"/>
      <c r="T287" s="540"/>
      <c r="U287" s="540"/>
      <c r="V287" s="540"/>
      <c r="W287" s="540"/>
      <c r="X287" s="540"/>
      <c r="Y287" s="540"/>
      <c r="Z287" s="540"/>
    </row>
    <row r="288" ht="14.25" customHeight="1">
      <c r="A288" s="540"/>
      <c r="B288" s="540"/>
      <c r="C288" s="540"/>
      <c r="D288" s="540"/>
      <c r="E288" s="540"/>
      <c r="F288" s="540"/>
      <c r="G288" s="540"/>
      <c r="H288" s="540"/>
      <c r="I288" s="540"/>
      <c r="J288" s="540"/>
      <c r="K288" s="540"/>
      <c r="L288" s="540"/>
      <c r="M288" s="540"/>
      <c r="N288" s="540"/>
      <c r="O288" s="540"/>
      <c r="P288" s="540"/>
      <c r="Q288" s="540"/>
      <c r="R288" s="540"/>
      <c r="S288" s="540"/>
      <c r="T288" s="540"/>
      <c r="U288" s="540"/>
      <c r="V288" s="540"/>
      <c r="W288" s="540"/>
      <c r="X288" s="540"/>
      <c r="Y288" s="540"/>
      <c r="Z288" s="540"/>
    </row>
    <row r="289" ht="14.25" customHeight="1">
      <c r="A289" s="540"/>
      <c r="B289" s="540"/>
      <c r="C289" s="540"/>
      <c r="D289" s="540"/>
      <c r="E289" s="540"/>
      <c r="F289" s="540"/>
      <c r="G289" s="540"/>
      <c r="H289" s="540"/>
      <c r="I289" s="540"/>
      <c r="J289" s="540"/>
      <c r="K289" s="540"/>
      <c r="L289" s="540"/>
      <c r="M289" s="540"/>
      <c r="N289" s="540"/>
      <c r="O289" s="540"/>
      <c r="P289" s="540"/>
      <c r="Q289" s="540"/>
      <c r="R289" s="540"/>
      <c r="S289" s="540"/>
      <c r="T289" s="540"/>
      <c r="U289" s="540"/>
      <c r="V289" s="540"/>
      <c r="W289" s="540"/>
      <c r="X289" s="540"/>
      <c r="Y289" s="540"/>
      <c r="Z289" s="540"/>
    </row>
    <row r="290" ht="14.25" customHeight="1">
      <c r="A290" s="540"/>
      <c r="B290" s="540"/>
      <c r="C290" s="540"/>
      <c r="D290" s="540"/>
      <c r="E290" s="540"/>
      <c r="F290" s="540"/>
      <c r="G290" s="540"/>
      <c r="H290" s="540"/>
      <c r="I290" s="540"/>
      <c r="J290" s="540"/>
      <c r="K290" s="540"/>
      <c r="L290" s="540"/>
      <c r="M290" s="540"/>
      <c r="N290" s="540"/>
      <c r="O290" s="540"/>
      <c r="P290" s="540"/>
      <c r="Q290" s="540"/>
      <c r="R290" s="540"/>
      <c r="S290" s="540"/>
      <c r="T290" s="540"/>
      <c r="U290" s="540"/>
      <c r="V290" s="540"/>
      <c r="W290" s="540"/>
      <c r="X290" s="540"/>
      <c r="Y290" s="540"/>
      <c r="Z290" s="540"/>
    </row>
    <row r="291" ht="14.25" customHeight="1">
      <c r="A291" s="540"/>
      <c r="B291" s="540"/>
      <c r="C291" s="540"/>
      <c r="D291" s="540"/>
      <c r="E291" s="540"/>
      <c r="F291" s="540"/>
      <c r="G291" s="540"/>
      <c r="H291" s="540"/>
      <c r="I291" s="540"/>
      <c r="J291" s="540"/>
      <c r="K291" s="540"/>
      <c r="L291" s="540"/>
      <c r="M291" s="540"/>
      <c r="N291" s="540"/>
      <c r="O291" s="540"/>
      <c r="P291" s="540"/>
      <c r="Q291" s="540"/>
      <c r="R291" s="540"/>
      <c r="S291" s="540"/>
      <c r="T291" s="540"/>
      <c r="U291" s="540"/>
      <c r="V291" s="540"/>
      <c r="W291" s="540"/>
      <c r="X291" s="540"/>
      <c r="Y291" s="540"/>
      <c r="Z291" s="540"/>
    </row>
    <row r="292" ht="14.25" customHeight="1">
      <c r="A292" s="540"/>
      <c r="B292" s="540"/>
      <c r="C292" s="540"/>
      <c r="D292" s="540"/>
      <c r="E292" s="540"/>
      <c r="F292" s="540"/>
      <c r="G292" s="540"/>
      <c r="H292" s="540"/>
      <c r="I292" s="540"/>
      <c r="J292" s="540"/>
      <c r="K292" s="540"/>
      <c r="L292" s="540"/>
      <c r="M292" s="540"/>
      <c r="N292" s="540"/>
      <c r="O292" s="540"/>
      <c r="P292" s="540"/>
      <c r="Q292" s="540"/>
      <c r="R292" s="540"/>
      <c r="S292" s="540"/>
      <c r="T292" s="540"/>
      <c r="U292" s="540"/>
      <c r="V292" s="540"/>
      <c r="W292" s="540"/>
      <c r="X292" s="540"/>
      <c r="Y292" s="540"/>
      <c r="Z292" s="540"/>
    </row>
    <row r="293" ht="14.25" customHeight="1">
      <c r="A293" s="540"/>
      <c r="B293" s="540"/>
      <c r="C293" s="540"/>
      <c r="D293" s="540"/>
      <c r="E293" s="540"/>
      <c r="F293" s="540"/>
      <c r="G293" s="540"/>
      <c r="H293" s="540"/>
      <c r="I293" s="540"/>
      <c r="J293" s="540"/>
      <c r="K293" s="540"/>
      <c r="L293" s="540"/>
      <c r="M293" s="540"/>
      <c r="N293" s="540"/>
      <c r="O293" s="540"/>
      <c r="P293" s="540"/>
      <c r="Q293" s="540"/>
      <c r="R293" s="540"/>
      <c r="S293" s="540"/>
      <c r="T293" s="540"/>
      <c r="U293" s="540"/>
      <c r="V293" s="540"/>
      <c r="W293" s="540"/>
      <c r="X293" s="540"/>
      <c r="Y293" s="540"/>
      <c r="Z293" s="540"/>
    </row>
    <row r="294" ht="14.25" customHeight="1">
      <c r="A294" s="540"/>
      <c r="B294" s="540"/>
      <c r="C294" s="540"/>
      <c r="D294" s="540"/>
      <c r="E294" s="540"/>
      <c r="F294" s="540"/>
      <c r="G294" s="540"/>
      <c r="H294" s="540"/>
      <c r="I294" s="540"/>
      <c r="J294" s="540"/>
      <c r="K294" s="540"/>
      <c r="L294" s="540"/>
      <c r="M294" s="540"/>
      <c r="N294" s="540"/>
      <c r="O294" s="540"/>
      <c r="P294" s="540"/>
      <c r="Q294" s="540"/>
      <c r="R294" s="540"/>
      <c r="S294" s="540"/>
      <c r="T294" s="540"/>
      <c r="U294" s="540"/>
      <c r="V294" s="540"/>
      <c r="W294" s="540"/>
      <c r="X294" s="540"/>
      <c r="Y294" s="540"/>
      <c r="Z294" s="540"/>
    </row>
    <row r="295" ht="14.25" customHeight="1">
      <c r="A295" s="540"/>
      <c r="B295" s="540"/>
      <c r="C295" s="540"/>
      <c r="D295" s="540"/>
      <c r="E295" s="540"/>
      <c r="F295" s="540"/>
      <c r="G295" s="540"/>
      <c r="H295" s="540"/>
      <c r="I295" s="540"/>
      <c r="J295" s="540"/>
      <c r="K295" s="540"/>
      <c r="L295" s="540"/>
      <c r="M295" s="540"/>
      <c r="N295" s="540"/>
      <c r="O295" s="540"/>
      <c r="P295" s="540"/>
      <c r="Q295" s="540"/>
      <c r="R295" s="540"/>
      <c r="S295" s="540"/>
      <c r="T295" s="540"/>
      <c r="U295" s="540"/>
      <c r="V295" s="540"/>
      <c r="W295" s="540"/>
      <c r="X295" s="540"/>
      <c r="Y295" s="540"/>
      <c r="Z295" s="540"/>
    </row>
    <row r="296" ht="14.25" customHeight="1">
      <c r="A296" s="540"/>
      <c r="B296" s="540"/>
      <c r="C296" s="540"/>
      <c r="D296" s="540"/>
      <c r="E296" s="540"/>
      <c r="F296" s="540"/>
      <c r="G296" s="540"/>
      <c r="H296" s="540"/>
      <c r="I296" s="540"/>
      <c r="J296" s="540"/>
      <c r="K296" s="540"/>
      <c r="L296" s="540"/>
      <c r="M296" s="540"/>
      <c r="N296" s="540"/>
      <c r="O296" s="540"/>
      <c r="P296" s="540"/>
      <c r="Q296" s="540"/>
      <c r="R296" s="540"/>
      <c r="S296" s="540"/>
      <c r="T296" s="540"/>
      <c r="U296" s="540"/>
      <c r="V296" s="540"/>
      <c r="W296" s="540"/>
      <c r="X296" s="540"/>
      <c r="Y296" s="540"/>
      <c r="Z296" s="540"/>
    </row>
    <row r="297" ht="14.25" customHeight="1">
      <c r="A297" s="540"/>
      <c r="B297" s="540"/>
      <c r="C297" s="540"/>
      <c r="D297" s="540"/>
      <c r="E297" s="540"/>
      <c r="F297" s="540"/>
      <c r="G297" s="540"/>
      <c r="H297" s="540"/>
      <c r="I297" s="540"/>
      <c r="J297" s="540"/>
      <c r="K297" s="540"/>
      <c r="L297" s="540"/>
      <c r="M297" s="540"/>
      <c r="N297" s="540"/>
      <c r="O297" s="540"/>
      <c r="P297" s="540"/>
      <c r="Q297" s="540"/>
      <c r="R297" s="540"/>
      <c r="S297" s="540"/>
      <c r="T297" s="540"/>
      <c r="U297" s="540"/>
      <c r="V297" s="540"/>
      <c r="W297" s="540"/>
      <c r="X297" s="540"/>
      <c r="Y297" s="540"/>
      <c r="Z297" s="540"/>
    </row>
    <row r="298" ht="14.25" customHeight="1">
      <c r="A298" s="540"/>
      <c r="B298" s="540"/>
      <c r="C298" s="540"/>
      <c r="D298" s="540"/>
      <c r="E298" s="540"/>
      <c r="F298" s="540"/>
      <c r="G298" s="540"/>
      <c r="H298" s="540"/>
      <c r="I298" s="540"/>
      <c r="J298" s="540"/>
      <c r="K298" s="540"/>
      <c r="L298" s="540"/>
      <c r="M298" s="540"/>
      <c r="N298" s="540"/>
      <c r="O298" s="540"/>
      <c r="P298" s="540"/>
      <c r="Q298" s="540"/>
      <c r="R298" s="540"/>
      <c r="S298" s="540"/>
      <c r="T298" s="540"/>
      <c r="U298" s="540"/>
      <c r="V298" s="540"/>
      <c r="W298" s="540"/>
      <c r="X298" s="540"/>
      <c r="Y298" s="540"/>
      <c r="Z298" s="540"/>
    </row>
    <row r="299" ht="14.25" customHeight="1">
      <c r="A299" s="540"/>
      <c r="B299" s="540"/>
      <c r="C299" s="540"/>
      <c r="D299" s="540"/>
      <c r="E299" s="540"/>
      <c r="F299" s="540"/>
      <c r="G299" s="540"/>
      <c r="H299" s="540"/>
      <c r="I299" s="540"/>
      <c r="J299" s="540"/>
      <c r="K299" s="540"/>
      <c r="L299" s="540"/>
      <c r="M299" s="540"/>
      <c r="N299" s="540"/>
      <c r="O299" s="540"/>
      <c r="P299" s="540"/>
      <c r="Q299" s="540"/>
      <c r="R299" s="540"/>
      <c r="S299" s="540"/>
      <c r="T299" s="540"/>
      <c r="U299" s="540"/>
      <c r="V299" s="540"/>
      <c r="W299" s="540"/>
      <c r="X299" s="540"/>
      <c r="Y299" s="540"/>
      <c r="Z299" s="540"/>
    </row>
    <row r="300" ht="14.25" customHeight="1">
      <c r="A300" s="540"/>
      <c r="B300" s="540"/>
      <c r="C300" s="540"/>
      <c r="D300" s="540"/>
      <c r="E300" s="540"/>
      <c r="F300" s="540"/>
      <c r="G300" s="540"/>
      <c r="H300" s="540"/>
      <c r="I300" s="540"/>
      <c r="J300" s="540"/>
      <c r="K300" s="540"/>
      <c r="L300" s="540"/>
      <c r="M300" s="540"/>
      <c r="N300" s="540"/>
      <c r="O300" s="540"/>
      <c r="P300" s="540"/>
      <c r="Q300" s="540"/>
      <c r="R300" s="540"/>
      <c r="S300" s="540"/>
      <c r="T300" s="540"/>
      <c r="U300" s="540"/>
      <c r="V300" s="540"/>
      <c r="W300" s="540"/>
      <c r="X300" s="540"/>
      <c r="Y300" s="540"/>
      <c r="Z300" s="540"/>
    </row>
    <row r="301" ht="14.25" customHeight="1">
      <c r="A301" s="540"/>
      <c r="B301" s="540"/>
      <c r="C301" s="540"/>
      <c r="D301" s="540"/>
      <c r="E301" s="540"/>
      <c r="F301" s="540"/>
      <c r="G301" s="540"/>
      <c r="H301" s="540"/>
      <c r="I301" s="540"/>
      <c r="J301" s="540"/>
      <c r="K301" s="540"/>
      <c r="L301" s="540"/>
      <c r="M301" s="540"/>
      <c r="N301" s="540"/>
      <c r="O301" s="540"/>
      <c r="P301" s="540"/>
      <c r="Q301" s="540"/>
      <c r="R301" s="540"/>
      <c r="S301" s="540"/>
      <c r="T301" s="540"/>
      <c r="U301" s="540"/>
      <c r="V301" s="540"/>
      <c r="W301" s="540"/>
      <c r="X301" s="540"/>
      <c r="Y301" s="540"/>
      <c r="Z301" s="540"/>
    </row>
    <row r="302" ht="14.25" customHeight="1">
      <c r="A302" s="540"/>
      <c r="B302" s="540"/>
      <c r="C302" s="540"/>
      <c r="D302" s="540"/>
      <c r="E302" s="540"/>
      <c r="F302" s="540"/>
      <c r="G302" s="540"/>
      <c r="H302" s="540"/>
      <c r="I302" s="540"/>
      <c r="J302" s="540"/>
      <c r="K302" s="540"/>
      <c r="L302" s="540"/>
      <c r="M302" s="540"/>
      <c r="N302" s="540"/>
      <c r="O302" s="540"/>
      <c r="P302" s="540"/>
      <c r="Q302" s="540"/>
      <c r="R302" s="540"/>
      <c r="S302" s="540"/>
      <c r="T302" s="540"/>
      <c r="U302" s="540"/>
      <c r="V302" s="540"/>
      <c r="W302" s="540"/>
      <c r="X302" s="540"/>
      <c r="Y302" s="540"/>
      <c r="Z302" s="540"/>
    </row>
    <row r="303" ht="14.25" customHeight="1">
      <c r="A303" s="540"/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0"/>
      <c r="N303" s="540"/>
      <c r="O303" s="540"/>
      <c r="P303" s="540"/>
      <c r="Q303" s="540"/>
      <c r="R303" s="540"/>
      <c r="S303" s="540"/>
      <c r="T303" s="540"/>
      <c r="U303" s="540"/>
      <c r="V303" s="540"/>
      <c r="W303" s="540"/>
      <c r="X303" s="540"/>
      <c r="Y303" s="540"/>
      <c r="Z303" s="540"/>
    </row>
    <row r="304" ht="14.25" customHeight="1">
      <c r="A304" s="540"/>
      <c r="B304" s="540"/>
      <c r="C304" s="540"/>
      <c r="D304" s="540"/>
      <c r="E304" s="540"/>
      <c r="F304" s="540"/>
      <c r="G304" s="540"/>
      <c r="H304" s="540"/>
      <c r="I304" s="540"/>
      <c r="J304" s="540"/>
      <c r="K304" s="540"/>
      <c r="L304" s="540"/>
      <c r="M304" s="540"/>
      <c r="N304" s="540"/>
      <c r="O304" s="540"/>
      <c r="P304" s="540"/>
      <c r="Q304" s="540"/>
      <c r="R304" s="540"/>
      <c r="S304" s="540"/>
      <c r="T304" s="540"/>
      <c r="U304" s="540"/>
      <c r="V304" s="540"/>
      <c r="W304" s="540"/>
      <c r="X304" s="540"/>
      <c r="Y304" s="540"/>
      <c r="Z304" s="540"/>
    </row>
    <row r="305" ht="14.25" customHeight="1">
      <c r="A305" s="540"/>
      <c r="B305" s="540"/>
      <c r="C305" s="540"/>
      <c r="D305" s="540"/>
      <c r="E305" s="540"/>
      <c r="F305" s="540"/>
      <c r="G305" s="540"/>
      <c r="H305" s="540"/>
      <c r="I305" s="540"/>
      <c r="J305" s="540"/>
      <c r="K305" s="540"/>
      <c r="L305" s="540"/>
      <c r="M305" s="540"/>
      <c r="N305" s="540"/>
      <c r="O305" s="540"/>
      <c r="P305" s="540"/>
      <c r="Q305" s="540"/>
      <c r="R305" s="540"/>
      <c r="S305" s="540"/>
      <c r="T305" s="540"/>
      <c r="U305" s="540"/>
      <c r="V305" s="540"/>
      <c r="W305" s="540"/>
      <c r="X305" s="540"/>
      <c r="Y305" s="540"/>
      <c r="Z305" s="540"/>
    </row>
    <row r="306" ht="14.25" customHeight="1">
      <c r="A306" s="540"/>
      <c r="B306" s="540"/>
      <c r="C306" s="540"/>
      <c r="D306" s="540"/>
      <c r="E306" s="540"/>
      <c r="F306" s="540"/>
      <c r="G306" s="540"/>
      <c r="H306" s="540"/>
      <c r="I306" s="540"/>
      <c r="J306" s="540"/>
      <c r="K306" s="540"/>
      <c r="L306" s="540"/>
      <c r="M306" s="540"/>
      <c r="N306" s="540"/>
      <c r="O306" s="540"/>
      <c r="P306" s="540"/>
      <c r="Q306" s="540"/>
      <c r="R306" s="540"/>
      <c r="S306" s="540"/>
      <c r="T306" s="540"/>
      <c r="U306" s="540"/>
      <c r="V306" s="540"/>
      <c r="W306" s="540"/>
      <c r="X306" s="540"/>
      <c r="Y306" s="540"/>
      <c r="Z306" s="540"/>
    </row>
    <row r="307" ht="14.25" customHeight="1">
      <c r="A307" s="540"/>
      <c r="B307" s="540"/>
      <c r="C307" s="540"/>
      <c r="D307" s="540"/>
      <c r="E307" s="540"/>
      <c r="F307" s="540"/>
      <c r="G307" s="540"/>
      <c r="H307" s="540"/>
      <c r="I307" s="540"/>
      <c r="J307" s="540"/>
      <c r="K307" s="540"/>
      <c r="L307" s="540"/>
      <c r="M307" s="540"/>
      <c r="N307" s="540"/>
      <c r="O307" s="540"/>
      <c r="P307" s="540"/>
      <c r="Q307" s="540"/>
      <c r="R307" s="540"/>
      <c r="S307" s="540"/>
      <c r="T307" s="540"/>
      <c r="U307" s="540"/>
      <c r="V307" s="540"/>
      <c r="W307" s="540"/>
      <c r="X307" s="540"/>
      <c r="Y307" s="540"/>
      <c r="Z307" s="540"/>
    </row>
    <row r="308" ht="14.25" customHeight="1">
      <c r="A308" s="540"/>
      <c r="B308" s="540"/>
      <c r="C308" s="540"/>
      <c r="D308" s="540"/>
      <c r="E308" s="540"/>
      <c r="F308" s="540"/>
      <c r="G308" s="540"/>
      <c r="H308" s="540"/>
      <c r="I308" s="540"/>
      <c r="J308" s="540"/>
      <c r="K308" s="540"/>
      <c r="L308" s="540"/>
      <c r="M308" s="540"/>
      <c r="N308" s="540"/>
      <c r="O308" s="540"/>
      <c r="P308" s="540"/>
      <c r="Q308" s="540"/>
      <c r="R308" s="540"/>
      <c r="S308" s="540"/>
      <c r="T308" s="540"/>
      <c r="U308" s="540"/>
      <c r="V308" s="540"/>
      <c r="W308" s="540"/>
      <c r="X308" s="540"/>
      <c r="Y308" s="540"/>
      <c r="Z308" s="540"/>
    </row>
    <row r="309" ht="14.25" customHeight="1">
      <c r="A309" s="540"/>
      <c r="B309" s="540"/>
      <c r="C309" s="540"/>
      <c r="D309" s="540"/>
      <c r="E309" s="540"/>
      <c r="F309" s="540"/>
      <c r="G309" s="540"/>
      <c r="H309" s="540"/>
      <c r="I309" s="540"/>
      <c r="J309" s="540"/>
      <c r="K309" s="540"/>
      <c r="L309" s="540"/>
      <c r="M309" s="540"/>
      <c r="N309" s="540"/>
      <c r="O309" s="540"/>
      <c r="P309" s="540"/>
      <c r="Q309" s="540"/>
      <c r="R309" s="540"/>
      <c r="S309" s="540"/>
      <c r="T309" s="540"/>
      <c r="U309" s="540"/>
      <c r="V309" s="540"/>
      <c r="W309" s="540"/>
      <c r="X309" s="540"/>
      <c r="Y309" s="540"/>
      <c r="Z309" s="540"/>
    </row>
    <row r="310" ht="14.25" customHeight="1">
      <c r="A310" s="540"/>
      <c r="B310" s="540"/>
      <c r="C310" s="540"/>
      <c r="D310" s="540"/>
      <c r="E310" s="540"/>
      <c r="F310" s="540"/>
      <c r="G310" s="540"/>
      <c r="H310" s="540"/>
      <c r="I310" s="540"/>
      <c r="J310" s="540"/>
      <c r="K310" s="540"/>
      <c r="L310" s="540"/>
      <c r="M310" s="540"/>
      <c r="N310" s="540"/>
      <c r="O310" s="540"/>
      <c r="P310" s="540"/>
      <c r="Q310" s="540"/>
      <c r="R310" s="540"/>
      <c r="S310" s="540"/>
      <c r="T310" s="540"/>
      <c r="U310" s="540"/>
      <c r="V310" s="540"/>
      <c r="W310" s="540"/>
      <c r="X310" s="540"/>
      <c r="Y310" s="540"/>
      <c r="Z310" s="540"/>
    </row>
    <row r="311" ht="14.25" customHeight="1">
      <c r="A311" s="540"/>
      <c r="B311" s="540"/>
      <c r="C311" s="540"/>
      <c r="D311" s="540"/>
      <c r="E311" s="540"/>
      <c r="F311" s="540"/>
      <c r="G311" s="540"/>
      <c r="H311" s="540"/>
      <c r="I311" s="540"/>
      <c r="J311" s="540"/>
      <c r="K311" s="540"/>
      <c r="L311" s="540"/>
      <c r="M311" s="540"/>
      <c r="N311" s="540"/>
      <c r="O311" s="540"/>
      <c r="P311" s="540"/>
      <c r="Q311" s="540"/>
      <c r="R311" s="540"/>
      <c r="S311" s="540"/>
      <c r="T311" s="540"/>
      <c r="U311" s="540"/>
      <c r="V311" s="540"/>
      <c r="W311" s="540"/>
      <c r="X311" s="540"/>
      <c r="Y311" s="540"/>
      <c r="Z311" s="540"/>
    </row>
    <row r="312" ht="14.25" customHeight="1">
      <c r="A312" s="540"/>
      <c r="B312" s="540"/>
      <c r="C312" s="540"/>
      <c r="D312" s="540"/>
      <c r="E312" s="540"/>
      <c r="F312" s="540"/>
      <c r="G312" s="540"/>
      <c r="H312" s="540"/>
      <c r="I312" s="540"/>
      <c r="J312" s="540"/>
      <c r="K312" s="540"/>
      <c r="L312" s="540"/>
      <c r="M312" s="540"/>
      <c r="N312" s="540"/>
      <c r="O312" s="540"/>
      <c r="P312" s="540"/>
      <c r="Q312" s="540"/>
      <c r="R312" s="540"/>
      <c r="S312" s="540"/>
      <c r="T312" s="540"/>
      <c r="U312" s="540"/>
      <c r="V312" s="540"/>
      <c r="W312" s="540"/>
      <c r="X312" s="540"/>
      <c r="Y312" s="540"/>
      <c r="Z312" s="540"/>
    </row>
    <row r="313" ht="14.25" customHeight="1">
      <c r="A313" s="540"/>
      <c r="B313" s="540"/>
      <c r="C313" s="540"/>
      <c r="D313" s="540"/>
      <c r="E313" s="540"/>
      <c r="F313" s="540"/>
      <c r="G313" s="540"/>
      <c r="H313" s="540"/>
      <c r="I313" s="540"/>
      <c r="J313" s="540"/>
      <c r="K313" s="540"/>
      <c r="L313" s="540"/>
      <c r="M313" s="540"/>
      <c r="N313" s="540"/>
      <c r="O313" s="540"/>
      <c r="P313" s="540"/>
      <c r="Q313" s="540"/>
      <c r="R313" s="540"/>
      <c r="S313" s="540"/>
      <c r="T313" s="540"/>
      <c r="U313" s="540"/>
      <c r="V313" s="540"/>
      <c r="W313" s="540"/>
      <c r="X313" s="540"/>
      <c r="Y313" s="540"/>
      <c r="Z313" s="540"/>
    </row>
    <row r="314" ht="14.25" customHeight="1">
      <c r="A314" s="540"/>
      <c r="B314" s="540"/>
      <c r="C314" s="540"/>
      <c r="D314" s="540"/>
      <c r="E314" s="540"/>
      <c r="F314" s="540"/>
      <c r="G314" s="540"/>
      <c r="H314" s="540"/>
      <c r="I314" s="540"/>
      <c r="J314" s="540"/>
      <c r="K314" s="540"/>
      <c r="L314" s="540"/>
      <c r="M314" s="540"/>
      <c r="N314" s="540"/>
      <c r="O314" s="540"/>
      <c r="P314" s="540"/>
      <c r="Q314" s="540"/>
      <c r="R314" s="540"/>
      <c r="S314" s="540"/>
      <c r="T314" s="540"/>
      <c r="U314" s="540"/>
      <c r="V314" s="540"/>
      <c r="W314" s="540"/>
      <c r="X314" s="540"/>
      <c r="Y314" s="540"/>
      <c r="Z314" s="540"/>
    </row>
    <row r="315" ht="14.25" customHeight="1">
      <c r="A315" s="540"/>
      <c r="B315" s="540"/>
      <c r="C315" s="540"/>
      <c r="D315" s="540"/>
      <c r="E315" s="540"/>
      <c r="F315" s="540"/>
      <c r="G315" s="540"/>
      <c r="H315" s="540"/>
      <c r="I315" s="540"/>
      <c r="J315" s="540"/>
      <c r="K315" s="540"/>
      <c r="L315" s="540"/>
      <c r="M315" s="540"/>
      <c r="N315" s="540"/>
      <c r="O315" s="540"/>
      <c r="P315" s="540"/>
      <c r="Q315" s="540"/>
      <c r="R315" s="540"/>
      <c r="S315" s="540"/>
      <c r="T315" s="540"/>
      <c r="U315" s="540"/>
      <c r="V315" s="540"/>
      <c r="W315" s="540"/>
      <c r="X315" s="540"/>
      <c r="Y315" s="540"/>
      <c r="Z315" s="540"/>
    </row>
    <row r="316" ht="14.25" customHeight="1">
      <c r="A316" s="540"/>
      <c r="B316" s="540"/>
      <c r="C316" s="540"/>
      <c r="D316" s="540"/>
      <c r="E316" s="540"/>
      <c r="F316" s="540"/>
      <c r="G316" s="540"/>
      <c r="H316" s="540"/>
      <c r="I316" s="540"/>
      <c r="J316" s="540"/>
      <c r="K316" s="540"/>
      <c r="L316" s="540"/>
      <c r="M316" s="540"/>
      <c r="N316" s="540"/>
      <c r="O316" s="540"/>
      <c r="P316" s="540"/>
      <c r="Q316" s="540"/>
      <c r="R316" s="540"/>
      <c r="S316" s="540"/>
      <c r="T316" s="540"/>
      <c r="U316" s="540"/>
      <c r="V316" s="540"/>
      <c r="W316" s="540"/>
      <c r="X316" s="540"/>
      <c r="Y316" s="540"/>
      <c r="Z316" s="540"/>
    </row>
    <row r="317" ht="14.25" customHeight="1">
      <c r="A317" s="540"/>
      <c r="B317" s="540"/>
      <c r="C317" s="540"/>
      <c r="D317" s="540"/>
      <c r="E317" s="540"/>
      <c r="F317" s="540"/>
      <c r="G317" s="540"/>
      <c r="H317" s="540"/>
      <c r="I317" s="540"/>
      <c r="J317" s="540"/>
      <c r="K317" s="540"/>
      <c r="L317" s="540"/>
      <c r="M317" s="540"/>
      <c r="N317" s="540"/>
      <c r="O317" s="540"/>
      <c r="P317" s="540"/>
      <c r="Q317" s="540"/>
      <c r="R317" s="540"/>
      <c r="S317" s="540"/>
      <c r="T317" s="540"/>
      <c r="U317" s="540"/>
      <c r="V317" s="540"/>
      <c r="W317" s="540"/>
      <c r="X317" s="540"/>
      <c r="Y317" s="540"/>
      <c r="Z317" s="540"/>
    </row>
    <row r="318" ht="14.25" customHeight="1">
      <c r="A318" s="540"/>
      <c r="B318" s="540"/>
      <c r="C318" s="540"/>
      <c r="D318" s="540"/>
      <c r="E318" s="540"/>
      <c r="F318" s="540"/>
      <c r="G318" s="540"/>
      <c r="H318" s="540"/>
      <c r="I318" s="540"/>
      <c r="J318" s="540"/>
      <c r="K318" s="540"/>
      <c r="L318" s="540"/>
      <c r="M318" s="540"/>
      <c r="N318" s="540"/>
      <c r="O318" s="540"/>
      <c r="P318" s="540"/>
      <c r="Q318" s="540"/>
      <c r="R318" s="540"/>
      <c r="S318" s="540"/>
      <c r="T318" s="540"/>
      <c r="U318" s="540"/>
      <c r="V318" s="540"/>
      <c r="W318" s="540"/>
      <c r="X318" s="540"/>
      <c r="Y318" s="540"/>
      <c r="Z318" s="540"/>
    </row>
    <row r="319" ht="14.25" customHeight="1">
      <c r="A319" s="540"/>
      <c r="B319" s="540"/>
      <c r="C319" s="540"/>
      <c r="D319" s="540"/>
      <c r="E319" s="540"/>
      <c r="F319" s="540"/>
      <c r="G319" s="540"/>
      <c r="H319" s="540"/>
      <c r="I319" s="540"/>
      <c r="J319" s="540"/>
      <c r="K319" s="540"/>
      <c r="L319" s="540"/>
      <c r="M319" s="540"/>
      <c r="N319" s="540"/>
      <c r="O319" s="540"/>
      <c r="P319" s="540"/>
      <c r="Q319" s="540"/>
      <c r="R319" s="540"/>
      <c r="S319" s="540"/>
      <c r="T319" s="540"/>
      <c r="U319" s="540"/>
      <c r="V319" s="540"/>
      <c r="W319" s="540"/>
      <c r="X319" s="540"/>
      <c r="Y319" s="540"/>
      <c r="Z319" s="540"/>
    </row>
    <row r="320" ht="14.25" customHeight="1">
      <c r="A320" s="540"/>
      <c r="B320" s="540"/>
      <c r="C320" s="540"/>
      <c r="D320" s="540"/>
      <c r="E320" s="540"/>
      <c r="F320" s="540"/>
      <c r="G320" s="540"/>
      <c r="H320" s="540"/>
      <c r="I320" s="540"/>
      <c r="J320" s="540"/>
      <c r="K320" s="540"/>
      <c r="L320" s="540"/>
      <c r="M320" s="540"/>
      <c r="N320" s="540"/>
      <c r="O320" s="540"/>
      <c r="P320" s="540"/>
      <c r="Q320" s="540"/>
      <c r="R320" s="540"/>
      <c r="S320" s="540"/>
      <c r="T320" s="540"/>
      <c r="U320" s="540"/>
      <c r="V320" s="540"/>
      <c r="W320" s="540"/>
      <c r="X320" s="540"/>
      <c r="Y320" s="540"/>
      <c r="Z320" s="540"/>
    </row>
    <row r="321" ht="14.25" customHeight="1">
      <c r="A321" s="540"/>
      <c r="B321" s="540"/>
      <c r="C321" s="540"/>
      <c r="D321" s="540"/>
      <c r="E321" s="540"/>
      <c r="F321" s="540"/>
      <c r="G321" s="540"/>
      <c r="H321" s="540"/>
      <c r="I321" s="540"/>
      <c r="J321" s="540"/>
      <c r="K321" s="540"/>
      <c r="L321" s="540"/>
      <c r="M321" s="540"/>
      <c r="N321" s="540"/>
      <c r="O321" s="540"/>
      <c r="P321" s="540"/>
      <c r="Q321" s="540"/>
      <c r="R321" s="540"/>
      <c r="S321" s="540"/>
      <c r="T321" s="540"/>
      <c r="U321" s="540"/>
      <c r="V321" s="540"/>
      <c r="W321" s="540"/>
      <c r="X321" s="540"/>
      <c r="Y321" s="540"/>
      <c r="Z321" s="540"/>
    </row>
    <row r="322" ht="14.25" customHeight="1">
      <c r="A322" s="540"/>
      <c r="B322" s="540"/>
      <c r="C322" s="540"/>
      <c r="D322" s="540"/>
      <c r="E322" s="540"/>
      <c r="F322" s="540"/>
      <c r="G322" s="540"/>
      <c r="H322" s="540"/>
      <c r="I322" s="540"/>
      <c r="J322" s="540"/>
      <c r="K322" s="540"/>
      <c r="L322" s="540"/>
      <c r="M322" s="540"/>
      <c r="N322" s="540"/>
      <c r="O322" s="540"/>
      <c r="P322" s="540"/>
      <c r="Q322" s="540"/>
      <c r="R322" s="540"/>
      <c r="S322" s="540"/>
      <c r="T322" s="540"/>
      <c r="U322" s="540"/>
      <c r="V322" s="540"/>
      <c r="W322" s="540"/>
      <c r="X322" s="540"/>
      <c r="Y322" s="540"/>
      <c r="Z322" s="540"/>
    </row>
    <row r="323" ht="14.25" customHeight="1">
      <c r="A323" s="540"/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0"/>
      <c r="N323" s="540"/>
      <c r="O323" s="540"/>
      <c r="P323" s="540"/>
      <c r="Q323" s="540"/>
      <c r="R323" s="540"/>
      <c r="S323" s="540"/>
      <c r="T323" s="540"/>
      <c r="U323" s="540"/>
      <c r="V323" s="540"/>
      <c r="W323" s="540"/>
      <c r="X323" s="540"/>
      <c r="Y323" s="540"/>
      <c r="Z323" s="540"/>
    </row>
    <row r="324" ht="14.25" customHeight="1">
      <c r="A324" s="540"/>
      <c r="B324" s="540"/>
      <c r="C324" s="540"/>
      <c r="D324" s="540"/>
      <c r="E324" s="540"/>
      <c r="F324" s="540"/>
      <c r="G324" s="540"/>
      <c r="H324" s="540"/>
      <c r="I324" s="540"/>
      <c r="J324" s="540"/>
      <c r="K324" s="540"/>
      <c r="L324" s="540"/>
      <c r="M324" s="540"/>
      <c r="N324" s="540"/>
      <c r="O324" s="540"/>
      <c r="P324" s="540"/>
      <c r="Q324" s="540"/>
      <c r="R324" s="540"/>
      <c r="S324" s="540"/>
      <c r="T324" s="540"/>
      <c r="U324" s="540"/>
      <c r="V324" s="540"/>
      <c r="W324" s="540"/>
      <c r="X324" s="540"/>
      <c r="Y324" s="540"/>
      <c r="Z324" s="540"/>
    </row>
    <row r="325" ht="14.25" customHeight="1">
      <c r="A325" s="540"/>
      <c r="B325" s="540"/>
      <c r="C325" s="540"/>
      <c r="D325" s="540"/>
      <c r="E325" s="540"/>
      <c r="F325" s="540"/>
      <c r="G325" s="540"/>
      <c r="H325" s="540"/>
      <c r="I325" s="540"/>
      <c r="J325" s="540"/>
      <c r="K325" s="540"/>
      <c r="L325" s="540"/>
      <c r="M325" s="540"/>
      <c r="N325" s="540"/>
      <c r="O325" s="540"/>
      <c r="P325" s="540"/>
      <c r="Q325" s="540"/>
      <c r="R325" s="540"/>
      <c r="S325" s="540"/>
      <c r="T325" s="540"/>
      <c r="U325" s="540"/>
      <c r="V325" s="540"/>
      <c r="W325" s="540"/>
      <c r="X325" s="540"/>
      <c r="Y325" s="540"/>
      <c r="Z325" s="540"/>
    </row>
    <row r="326" ht="14.25" customHeight="1">
      <c r="A326" s="540"/>
      <c r="B326" s="540"/>
      <c r="C326" s="540"/>
      <c r="D326" s="540"/>
      <c r="E326" s="540"/>
      <c r="F326" s="540"/>
      <c r="G326" s="540"/>
      <c r="H326" s="540"/>
      <c r="I326" s="540"/>
      <c r="J326" s="540"/>
      <c r="K326" s="540"/>
      <c r="L326" s="540"/>
      <c r="M326" s="540"/>
      <c r="N326" s="540"/>
      <c r="O326" s="540"/>
      <c r="P326" s="540"/>
      <c r="Q326" s="540"/>
      <c r="R326" s="540"/>
      <c r="S326" s="540"/>
      <c r="T326" s="540"/>
      <c r="U326" s="540"/>
      <c r="V326" s="540"/>
      <c r="W326" s="540"/>
      <c r="X326" s="540"/>
      <c r="Y326" s="540"/>
      <c r="Z326" s="540"/>
    </row>
    <row r="327" ht="14.25" customHeight="1">
      <c r="A327" s="540"/>
      <c r="B327" s="540"/>
      <c r="C327" s="540"/>
      <c r="D327" s="540"/>
      <c r="E327" s="540"/>
      <c r="F327" s="540"/>
      <c r="G327" s="540"/>
      <c r="H327" s="540"/>
      <c r="I327" s="540"/>
      <c r="J327" s="540"/>
      <c r="K327" s="540"/>
      <c r="L327" s="540"/>
      <c r="M327" s="540"/>
      <c r="N327" s="540"/>
      <c r="O327" s="540"/>
      <c r="P327" s="540"/>
      <c r="Q327" s="540"/>
      <c r="R327" s="540"/>
      <c r="S327" s="540"/>
      <c r="T327" s="540"/>
      <c r="U327" s="540"/>
      <c r="V327" s="540"/>
      <c r="W327" s="540"/>
      <c r="X327" s="540"/>
      <c r="Y327" s="540"/>
      <c r="Z327" s="540"/>
    </row>
    <row r="328" ht="14.25" customHeight="1">
      <c r="A328" s="540"/>
      <c r="B328" s="540"/>
      <c r="C328" s="540"/>
      <c r="D328" s="540"/>
      <c r="E328" s="540"/>
      <c r="F328" s="540"/>
      <c r="G328" s="540"/>
      <c r="H328" s="540"/>
      <c r="I328" s="540"/>
      <c r="J328" s="540"/>
      <c r="K328" s="540"/>
      <c r="L328" s="540"/>
      <c r="M328" s="540"/>
      <c r="N328" s="540"/>
      <c r="O328" s="540"/>
      <c r="P328" s="540"/>
      <c r="Q328" s="540"/>
      <c r="R328" s="540"/>
      <c r="S328" s="540"/>
      <c r="T328" s="540"/>
      <c r="U328" s="540"/>
      <c r="V328" s="540"/>
      <c r="W328" s="540"/>
      <c r="X328" s="540"/>
      <c r="Y328" s="540"/>
      <c r="Z328" s="540"/>
    </row>
    <row r="329" ht="14.25" customHeight="1">
      <c r="A329" s="540"/>
      <c r="B329" s="540"/>
      <c r="C329" s="540"/>
      <c r="D329" s="540"/>
      <c r="E329" s="540"/>
      <c r="F329" s="540"/>
      <c r="G329" s="540"/>
      <c r="H329" s="540"/>
      <c r="I329" s="540"/>
      <c r="J329" s="540"/>
      <c r="K329" s="540"/>
      <c r="L329" s="540"/>
      <c r="M329" s="540"/>
      <c r="N329" s="540"/>
      <c r="O329" s="540"/>
      <c r="P329" s="540"/>
      <c r="Q329" s="540"/>
      <c r="R329" s="540"/>
      <c r="S329" s="540"/>
      <c r="T329" s="540"/>
      <c r="U329" s="540"/>
      <c r="V329" s="540"/>
      <c r="W329" s="540"/>
      <c r="X329" s="540"/>
      <c r="Y329" s="540"/>
      <c r="Z329" s="540"/>
    </row>
    <row r="330" ht="14.25" customHeight="1">
      <c r="A330" s="540"/>
      <c r="B330" s="540"/>
      <c r="C330" s="540"/>
      <c r="D330" s="540"/>
      <c r="E330" s="540"/>
      <c r="F330" s="540"/>
      <c r="G330" s="540"/>
      <c r="H330" s="540"/>
      <c r="I330" s="540"/>
      <c r="J330" s="540"/>
      <c r="K330" s="540"/>
      <c r="L330" s="540"/>
      <c r="M330" s="540"/>
      <c r="N330" s="540"/>
      <c r="O330" s="540"/>
      <c r="P330" s="540"/>
      <c r="Q330" s="540"/>
      <c r="R330" s="540"/>
      <c r="S330" s="540"/>
      <c r="T330" s="540"/>
      <c r="U330" s="540"/>
      <c r="V330" s="540"/>
      <c r="W330" s="540"/>
      <c r="X330" s="540"/>
      <c r="Y330" s="540"/>
      <c r="Z330" s="540"/>
    </row>
    <row r="331" ht="14.25" customHeight="1">
      <c r="A331" s="540"/>
      <c r="B331" s="540"/>
      <c r="C331" s="540"/>
      <c r="D331" s="540"/>
      <c r="E331" s="540"/>
      <c r="F331" s="540"/>
      <c r="G331" s="540"/>
      <c r="H331" s="540"/>
      <c r="I331" s="540"/>
      <c r="J331" s="540"/>
      <c r="K331" s="540"/>
      <c r="L331" s="540"/>
      <c r="M331" s="540"/>
      <c r="N331" s="540"/>
      <c r="O331" s="540"/>
      <c r="P331" s="540"/>
      <c r="Q331" s="540"/>
      <c r="R331" s="540"/>
      <c r="S331" s="540"/>
      <c r="T331" s="540"/>
      <c r="U331" s="540"/>
      <c r="V331" s="540"/>
      <c r="W331" s="540"/>
      <c r="X331" s="540"/>
      <c r="Y331" s="540"/>
      <c r="Z331" s="540"/>
    </row>
    <row r="332" ht="14.25" customHeight="1">
      <c r="A332" s="540"/>
      <c r="B332" s="540"/>
      <c r="C332" s="540"/>
      <c r="D332" s="540"/>
      <c r="E332" s="540"/>
      <c r="F332" s="540"/>
      <c r="G332" s="540"/>
      <c r="H332" s="540"/>
      <c r="I332" s="540"/>
      <c r="J332" s="540"/>
      <c r="K332" s="540"/>
      <c r="L332" s="540"/>
      <c r="M332" s="540"/>
      <c r="N332" s="540"/>
      <c r="O332" s="540"/>
      <c r="P332" s="540"/>
      <c r="Q332" s="540"/>
      <c r="R332" s="540"/>
      <c r="S332" s="540"/>
      <c r="T332" s="540"/>
      <c r="U332" s="540"/>
      <c r="V332" s="540"/>
      <c r="W332" s="540"/>
      <c r="X332" s="540"/>
      <c r="Y332" s="540"/>
      <c r="Z332" s="540"/>
    </row>
    <row r="333" ht="14.25" customHeight="1">
      <c r="A333" s="540"/>
      <c r="B333" s="540"/>
      <c r="C333" s="540"/>
      <c r="D333" s="540"/>
      <c r="E333" s="540"/>
      <c r="F333" s="540"/>
      <c r="G333" s="540"/>
      <c r="H333" s="540"/>
      <c r="I333" s="540"/>
      <c r="J333" s="540"/>
      <c r="K333" s="540"/>
      <c r="L333" s="540"/>
      <c r="M333" s="540"/>
      <c r="N333" s="540"/>
      <c r="O333" s="540"/>
      <c r="P333" s="540"/>
      <c r="Q333" s="540"/>
      <c r="R333" s="540"/>
      <c r="S333" s="540"/>
      <c r="T333" s="540"/>
      <c r="U333" s="540"/>
      <c r="V333" s="540"/>
      <c r="W333" s="540"/>
      <c r="X333" s="540"/>
      <c r="Y333" s="540"/>
      <c r="Z333" s="540"/>
    </row>
    <row r="334" ht="14.25" customHeight="1">
      <c r="A334" s="540"/>
      <c r="B334" s="540"/>
      <c r="C334" s="540"/>
      <c r="D334" s="540"/>
      <c r="E334" s="540"/>
      <c r="F334" s="540"/>
      <c r="G334" s="540"/>
      <c r="H334" s="540"/>
      <c r="I334" s="540"/>
      <c r="J334" s="540"/>
      <c r="K334" s="540"/>
      <c r="L334" s="540"/>
      <c r="M334" s="540"/>
      <c r="N334" s="540"/>
      <c r="O334" s="540"/>
      <c r="P334" s="540"/>
      <c r="Q334" s="540"/>
      <c r="R334" s="540"/>
      <c r="S334" s="540"/>
      <c r="T334" s="540"/>
      <c r="U334" s="540"/>
      <c r="V334" s="540"/>
      <c r="W334" s="540"/>
      <c r="X334" s="540"/>
      <c r="Y334" s="540"/>
      <c r="Z334" s="540"/>
    </row>
    <row r="335" ht="14.25" customHeight="1">
      <c r="A335" s="540"/>
      <c r="B335" s="540"/>
      <c r="C335" s="540"/>
      <c r="D335" s="540"/>
      <c r="E335" s="540"/>
      <c r="F335" s="540"/>
      <c r="G335" s="540"/>
      <c r="H335" s="540"/>
      <c r="I335" s="540"/>
      <c r="J335" s="540"/>
      <c r="K335" s="540"/>
      <c r="L335" s="540"/>
      <c r="M335" s="540"/>
      <c r="N335" s="540"/>
      <c r="O335" s="540"/>
      <c r="P335" s="540"/>
      <c r="Q335" s="540"/>
      <c r="R335" s="540"/>
      <c r="S335" s="540"/>
      <c r="T335" s="540"/>
      <c r="U335" s="540"/>
      <c r="V335" s="540"/>
      <c r="W335" s="540"/>
      <c r="X335" s="540"/>
      <c r="Y335" s="540"/>
      <c r="Z335" s="540"/>
    </row>
    <row r="336" ht="14.25" customHeight="1">
      <c r="A336" s="540"/>
      <c r="B336" s="540"/>
      <c r="C336" s="540"/>
      <c r="D336" s="540"/>
      <c r="E336" s="540"/>
      <c r="F336" s="540"/>
      <c r="G336" s="540"/>
      <c r="H336" s="540"/>
      <c r="I336" s="540"/>
      <c r="J336" s="540"/>
      <c r="K336" s="540"/>
      <c r="L336" s="540"/>
      <c r="M336" s="540"/>
      <c r="N336" s="540"/>
      <c r="O336" s="540"/>
      <c r="P336" s="540"/>
      <c r="Q336" s="540"/>
      <c r="R336" s="540"/>
      <c r="S336" s="540"/>
      <c r="T336" s="540"/>
      <c r="U336" s="540"/>
      <c r="V336" s="540"/>
      <c r="W336" s="540"/>
      <c r="X336" s="540"/>
      <c r="Y336" s="540"/>
      <c r="Z336" s="540"/>
    </row>
    <row r="337" ht="14.25" customHeight="1">
      <c r="A337" s="540"/>
      <c r="B337" s="540"/>
      <c r="C337" s="540"/>
      <c r="D337" s="540"/>
      <c r="E337" s="540"/>
      <c r="F337" s="540"/>
      <c r="G337" s="540"/>
      <c r="H337" s="540"/>
      <c r="I337" s="540"/>
      <c r="J337" s="540"/>
      <c r="K337" s="540"/>
      <c r="L337" s="540"/>
      <c r="M337" s="540"/>
      <c r="N337" s="540"/>
      <c r="O337" s="540"/>
      <c r="P337" s="540"/>
      <c r="Q337" s="540"/>
      <c r="R337" s="540"/>
      <c r="S337" s="540"/>
      <c r="T337" s="540"/>
      <c r="U337" s="540"/>
      <c r="V337" s="540"/>
      <c r="W337" s="540"/>
      <c r="X337" s="540"/>
      <c r="Y337" s="540"/>
      <c r="Z337" s="540"/>
    </row>
    <row r="338" ht="14.25" customHeight="1">
      <c r="A338" s="540"/>
      <c r="B338" s="540"/>
      <c r="C338" s="540"/>
      <c r="D338" s="540"/>
      <c r="E338" s="540"/>
      <c r="F338" s="540"/>
      <c r="G338" s="540"/>
      <c r="H338" s="540"/>
      <c r="I338" s="540"/>
      <c r="J338" s="540"/>
      <c r="K338" s="540"/>
      <c r="L338" s="540"/>
      <c r="M338" s="540"/>
      <c r="N338" s="540"/>
      <c r="O338" s="540"/>
      <c r="P338" s="540"/>
      <c r="Q338" s="540"/>
      <c r="R338" s="540"/>
      <c r="S338" s="540"/>
      <c r="T338" s="540"/>
      <c r="U338" s="540"/>
      <c r="V338" s="540"/>
      <c r="W338" s="540"/>
      <c r="X338" s="540"/>
      <c r="Y338" s="540"/>
      <c r="Z338" s="540"/>
    </row>
    <row r="339" ht="14.25" customHeight="1">
      <c r="A339" s="540"/>
      <c r="B339" s="540"/>
      <c r="C339" s="540"/>
      <c r="D339" s="540"/>
      <c r="E339" s="540"/>
      <c r="F339" s="540"/>
      <c r="G339" s="540"/>
      <c r="H339" s="540"/>
      <c r="I339" s="540"/>
      <c r="J339" s="540"/>
      <c r="K339" s="540"/>
      <c r="L339" s="540"/>
      <c r="M339" s="540"/>
      <c r="N339" s="540"/>
      <c r="O339" s="540"/>
      <c r="P339" s="540"/>
      <c r="Q339" s="540"/>
      <c r="R339" s="540"/>
      <c r="S339" s="540"/>
      <c r="T339" s="540"/>
      <c r="U339" s="540"/>
      <c r="V339" s="540"/>
      <c r="W339" s="540"/>
      <c r="X339" s="540"/>
      <c r="Y339" s="540"/>
      <c r="Z339" s="540"/>
    </row>
    <row r="340" ht="14.25" customHeight="1">
      <c r="A340" s="540"/>
      <c r="B340" s="540"/>
      <c r="C340" s="540"/>
      <c r="D340" s="540"/>
      <c r="E340" s="540"/>
      <c r="F340" s="540"/>
      <c r="G340" s="540"/>
      <c r="H340" s="540"/>
      <c r="I340" s="540"/>
      <c r="J340" s="540"/>
      <c r="K340" s="540"/>
      <c r="L340" s="540"/>
      <c r="M340" s="540"/>
      <c r="N340" s="540"/>
      <c r="O340" s="540"/>
      <c r="P340" s="540"/>
      <c r="Q340" s="540"/>
      <c r="R340" s="540"/>
      <c r="S340" s="540"/>
      <c r="T340" s="540"/>
      <c r="U340" s="540"/>
      <c r="V340" s="540"/>
      <c r="W340" s="540"/>
      <c r="X340" s="540"/>
      <c r="Y340" s="540"/>
      <c r="Z340" s="540"/>
    </row>
    <row r="341" ht="14.25" customHeight="1">
      <c r="A341" s="540"/>
      <c r="B341" s="540"/>
      <c r="C341" s="540"/>
      <c r="D341" s="540"/>
      <c r="E341" s="540"/>
      <c r="F341" s="540"/>
      <c r="G341" s="540"/>
      <c r="H341" s="540"/>
      <c r="I341" s="540"/>
      <c r="J341" s="540"/>
      <c r="K341" s="540"/>
      <c r="L341" s="540"/>
      <c r="M341" s="540"/>
      <c r="N341" s="540"/>
      <c r="O341" s="540"/>
      <c r="P341" s="540"/>
      <c r="Q341" s="540"/>
      <c r="R341" s="540"/>
      <c r="S341" s="540"/>
      <c r="T341" s="540"/>
      <c r="U341" s="540"/>
      <c r="V341" s="540"/>
      <c r="W341" s="540"/>
      <c r="X341" s="540"/>
      <c r="Y341" s="540"/>
      <c r="Z341" s="540"/>
    </row>
    <row r="342" ht="14.25" customHeight="1">
      <c r="A342" s="540"/>
      <c r="B342" s="540"/>
      <c r="C342" s="540"/>
      <c r="D342" s="540"/>
      <c r="E342" s="540"/>
      <c r="F342" s="540"/>
      <c r="G342" s="540"/>
      <c r="H342" s="540"/>
      <c r="I342" s="540"/>
      <c r="J342" s="540"/>
      <c r="K342" s="540"/>
      <c r="L342" s="540"/>
      <c r="M342" s="540"/>
      <c r="N342" s="540"/>
      <c r="O342" s="540"/>
      <c r="P342" s="540"/>
      <c r="Q342" s="540"/>
      <c r="R342" s="540"/>
      <c r="S342" s="540"/>
      <c r="T342" s="540"/>
      <c r="U342" s="540"/>
      <c r="V342" s="540"/>
      <c r="W342" s="540"/>
      <c r="X342" s="540"/>
      <c r="Y342" s="540"/>
      <c r="Z342" s="540"/>
    </row>
    <row r="343" ht="14.25" customHeight="1">
      <c r="A343" s="540"/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0"/>
      <c r="N343" s="540"/>
      <c r="O343" s="540"/>
      <c r="P343" s="540"/>
      <c r="Q343" s="540"/>
      <c r="R343" s="540"/>
      <c r="S343" s="540"/>
      <c r="T343" s="540"/>
      <c r="U343" s="540"/>
      <c r="V343" s="540"/>
      <c r="W343" s="540"/>
      <c r="X343" s="540"/>
      <c r="Y343" s="540"/>
      <c r="Z343" s="540"/>
    </row>
    <row r="344" ht="14.25" customHeight="1">
      <c r="A344" s="540"/>
      <c r="B344" s="540"/>
      <c r="C344" s="540"/>
      <c r="D344" s="540"/>
      <c r="E344" s="540"/>
      <c r="F344" s="540"/>
      <c r="G344" s="540"/>
      <c r="H344" s="540"/>
      <c r="I344" s="540"/>
      <c r="J344" s="540"/>
      <c r="K344" s="540"/>
      <c r="L344" s="540"/>
      <c r="M344" s="540"/>
      <c r="N344" s="540"/>
      <c r="O344" s="540"/>
      <c r="P344" s="540"/>
      <c r="Q344" s="540"/>
      <c r="R344" s="540"/>
      <c r="S344" s="540"/>
      <c r="T344" s="540"/>
      <c r="U344" s="540"/>
      <c r="V344" s="540"/>
      <c r="W344" s="540"/>
      <c r="X344" s="540"/>
      <c r="Y344" s="540"/>
      <c r="Z344" s="540"/>
    </row>
    <row r="345" ht="14.25" customHeight="1">
      <c r="A345" s="540"/>
      <c r="B345" s="540"/>
      <c r="C345" s="540"/>
      <c r="D345" s="540"/>
      <c r="E345" s="540"/>
      <c r="F345" s="540"/>
      <c r="G345" s="540"/>
      <c r="H345" s="540"/>
      <c r="I345" s="540"/>
      <c r="J345" s="540"/>
      <c r="K345" s="540"/>
      <c r="L345" s="540"/>
      <c r="M345" s="540"/>
      <c r="N345" s="540"/>
      <c r="O345" s="540"/>
      <c r="P345" s="540"/>
      <c r="Q345" s="540"/>
      <c r="R345" s="540"/>
      <c r="S345" s="540"/>
      <c r="T345" s="540"/>
      <c r="U345" s="540"/>
      <c r="V345" s="540"/>
      <c r="W345" s="540"/>
      <c r="X345" s="540"/>
      <c r="Y345" s="540"/>
      <c r="Z345" s="540"/>
    </row>
    <row r="346" ht="14.25" customHeight="1">
      <c r="A346" s="540"/>
      <c r="B346" s="540"/>
      <c r="C346" s="540"/>
      <c r="D346" s="540"/>
      <c r="E346" s="540"/>
      <c r="F346" s="540"/>
      <c r="G346" s="540"/>
      <c r="H346" s="540"/>
      <c r="I346" s="540"/>
      <c r="J346" s="540"/>
      <c r="K346" s="540"/>
      <c r="L346" s="540"/>
      <c r="M346" s="540"/>
      <c r="N346" s="540"/>
      <c r="O346" s="540"/>
      <c r="P346" s="540"/>
      <c r="Q346" s="540"/>
      <c r="R346" s="540"/>
      <c r="S346" s="540"/>
      <c r="T346" s="540"/>
      <c r="U346" s="540"/>
      <c r="V346" s="540"/>
      <c r="W346" s="540"/>
      <c r="X346" s="540"/>
      <c r="Y346" s="540"/>
      <c r="Z346" s="540"/>
    </row>
    <row r="347" ht="14.25" customHeight="1">
      <c r="A347" s="540"/>
      <c r="B347" s="540"/>
      <c r="C347" s="540"/>
      <c r="D347" s="540"/>
      <c r="E347" s="540"/>
      <c r="F347" s="540"/>
      <c r="G347" s="540"/>
      <c r="H347" s="540"/>
      <c r="I347" s="540"/>
      <c r="J347" s="540"/>
      <c r="K347" s="540"/>
      <c r="L347" s="540"/>
      <c r="M347" s="540"/>
      <c r="N347" s="540"/>
      <c r="O347" s="540"/>
      <c r="P347" s="540"/>
      <c r="Q347" s="540"/>
      <c r="R347" s="540"/>
      <c r="S347" s="540"/>
      <c r="T347" s="540"/>
      <c r="U347" s="540"/>
      <c r="V347" s="540"/>
      <c r="W347" s="540"/>
      <c r="X347" s="540"/>
      <c r="Y347" s="540"/>
      <c r="Z347" s="540"/>
    </row>
    <row r="348" ht="14.25" customHeight="1">
      <c r="A348" s="540"/>
      <c r="B348" s="540"/>
      <c r="C348" s="540"/>
      <c r="D348" s="540"/>
      <c r="E348" s="540"/>
      <c r="F348" s="540"/>
      <c r="G348" s="540"/>
      <c r="H348" s="540"/>
      <c r="I348" s="540"/>
      <c r="J348" s="540"/>
      <c r="K348" s="540"/>
      <c r="L348" s="540"/>
      <c r="M348" s="540"/>
      <c r="N348" s="540"/>
      <c r="O348" s="540"/>
      <c r="P348" s="540"/>
      <c r="Q348" s="540"/>
      <c r="R348" s="540"/>
      <c r="S348" s="540"/>
      <c r="T348" s="540"/>
      <c r="U348" s="540"/>
      <c r="V348" s="540"/>
      <c r="W348" s="540"/>
      <c r="X348" s="540"/>
      <c r="Y348" s="540"/>
      <c r="Z348" s="540"/>
    </row>
    <row r="349" ht="14.25" customHeight="1">
      <c r="A349" s="540"/>
      <c r="B349" s="540"/>
      <c r="C349" s="540"/>
      <c r="D349" s="540"/>
      <c r="E349" s="540"/>
      <c r="F349" s="540"/>
      <c r="G349" s="540"/>
      <c r="H349" s="540"/>
      <c r="I349" s="540"/>
      <c r="J349" s="540"/>
      <c r="K349" s="540"/>
      <c r="L349" s="540"/>
      <c r="M349" s="540"/>
      <c r="N349" s="540"/>
      <c r="O349" s="540"/>
      <c r="P349" s="540"/>
      <c r="Q349" s="540"/>
      <c r="R349" s="540"/>
      <c r="S349" s="540"/>
      <c r="T349" s="540"/>
      <c r="U349" s="540"/>
      <c r="V349" s="540"/>
      <c r="W349" s="540"/>
      <c r="X349" s="540"/>
      <c r="Y349" s="540"/>
      <c r="Z349" s="540"/>
    </row>
    <row r="350" ht="14.25" customHeight="1">
      <c r="A350" s="540"/>
      <c r="B350" s="540"/>
      <c r="C350" s="540"/>
      <c r="D350" s="540"/>
      <c r="E350" s="540"/>
      <c r="F350" s="540"/>
      <c r="G350" s="540"/>
      <c r="H350" s="540"/>
      <c r="I350" s="540"/>
      <c r="J350" s="540"/>
      <c r="K350" s="540"/>
      <c r="L350" s="540"/>
      <c r="M350" s="540"/>
      <c r="N350" s="540"/>
      <c r="O350" s="540"/>
      <c r="P350" s="540"/>
      <c r="Q350" s="540"/>
      <c r="R350" s="540"/>
      <c r="S350" s="540"/>
      <c r="T350" s="540"/>
      <c r="U350" s="540"/>
      <c r="V350" s="540"/>
      <c r="W350" s="540"/>
      <c r="X350" s="540"/>
      <c r="Y350" s="540"/>
      <c r="Z350" s="540"/>
    </row>
    <row r="351" ht="14.25" customHeight="1">
      <c r="A351" s="540"/>
      <c r="B351" s="540"/>
      <c r="C351" s="540"/>
      <c r="D351" s="540"/>
      <c r="E351" s="540"/>
      <c r="F351" s="540"/>
      <c r="G351" s="540"/>
      <c r="H351" s="540"/>
      <c r="I351" s="540"/>
      <c r="J351" s="540"/>
      <c r="K351" s="540"/>
      <c r="L351" s="540"/>
      <c r="M351" s="540"/>
      <c r="N351" s="540"/>
      <c r="O351" s="540"/>
      <c r="P351" s="540"/>
      <c r="Q351" s="540"/>
      <c r="R351" s="540"/>
      <c r="S351" s="540"/>
      <c r="T351" s="540"/>
      <c r="U351" s="540"/>
      <c r="V351" s="540"/>
      <c r="W351" s="540"/>
      <c r="X351" s="540"/>
      <c r="Y351" s="540"/>
      <c r="Z351" s="540"/>
    </row>
    <row r="352" ht="14.25" customHeight="1">
      <c r="A352" s="540"/>
      <c r="B352" s="540"/>
      <c r="C352" s="540"/>
      <c r="D352" s="540"/>
      <c r="E352" s="540"/>
      <c r="F352" s="540"/>
      <c r="G352" s="540"/>
      <c r="H352" s="540"/>
      <c r="I352" s="540"/>
      <c r="J352" s="540"/>
      <c r="K352" s="540"/>
      <c r="L352" s="540"/>
      <c r="M352" s="540"/>
      <c r="N352" s="540"/>
      <c r="O352" s="540"/>
      <c r="P352" s="540"/>
      <c r="Q352" s="540"/>
      <c r="R352" s="540"/>
      <c r="S352" s="540"/>
      <c r="T352" s="540"/>
      <c r="U352" s="540"/>
      <c r="V352" s="540"/>
      <c r="W352" s="540"/>
      <c r="X352" s="540"/>
      <c r="Y352" s="540"/>
      <c r="Z352" s="540"/>
    </row>
    <row r="353" ht="14.25" customHeight="1">
      <c r="A353" s="540"/>
      <c r="B353" s="540"/>
      <c r="C353" s="540"/>
      <c r="D353" s="540"/>
      <c r="E353" s="540"/>
      <c r="F353" s="540"/>
      <c r="G353" s="540"/>
      <c r="H353" s="540"/>
      <c r="I353" s="540"/>
      <c r="J353" s="540"/>
      <c r="K353" s="540"/>
      <c r="L353" s="540"/>
      <c r="M353" s="540"/>
      <c r="N353" s="540"/>
      <c r="O353" s="540"/>
      <c r="P353" s="540"/>
      <c r="Q353" s="540"/>
      <c r="R353" s="540"/>
      <c r="S353" s="540"/>
      <c r="T353" s="540"/>
      <c r="U353" s="540"/>
      <c r="V353" s="540"/>
      <c r="W353" s="540"/>
      <c r="X353" s="540"/>
      <c r="Y353" s="540"/>
      <c r="Z353" s="540"/>
    </row>
    <row r="354" ht="14.25" customHeight="1">
      <c r="A354" s="540"/>
      <c r="B354" s="540"/>
      <c r="C354" s="540"/>
      <c r="D354" s="540"/>
      <c r="E354" s="540"/>
      <c r="F354" s="540"/>
      <c r="G354" s="540"/>
      <c r="H354" s="540"/>
      <c r="I354" s="540"/>
      <c r="J354" s="540"/>
      <c r="K354" s="540"/>
      <c r="L354" s="540"/>
      <c r="M354" s="540"/>
      <c r="N354" s="540"/>
      <c r="O354" s="540"/>
      <c r="P354" s="540"/>
      <c r="Q354" s="540"/>
      <c r="R354" s="540"/>
      <c r="S354" s="540"/>
      <c r="T354" s="540"/>
      <c r="U354" s="540"/>
      <c r="V354" s="540"/>
      <c r="W354" s="540"/>
      <c r="X354" s="540"/>
      <c r="Y354" s="540"/>
      <c r="Z354" s="540"/>
    </row>
    <row r="355" ht="14.25" customHeight="1">
      <c r="A355" s="540"/>
      <c r="B355" s="540"/>
      <c r="C355" s="540"/>
      <c r="D355" s="540"/>
      <c r="E355" s="540"/>
      <c r="F355" s="540"/>
      <c r="G355" s="540"/>
      <c r="H355" s="540"/>
      <c r="I355" s="540"/>
      <c r="J355" s="540"/>
      <c r="K355" s="540"/>
      <c r="L355" s="540"/>
      <c r="M355" s="540"/>
      <c r="N355" s="540"/>
      <c r="O355" s="540"/>
      <c r="P355" s="540"/>
      <c r="Q355" s="540"/>
      <c r="R355" s="540"/>
      <c r="S355" s="540"/>
      <c r="T355" s="540"/>
      <c r="U355" s="540"/>
      <c r="V355" s="540"/>
      <c r="W355" s="540"/>
      <c r="X355" s="540"/>
      <c r="Y355" s="540"/>
      <c r="Z355" s="540"/>
    </row>
    <row r="356" ht="14.25" customHeight="1">
      <c r="A356" s="540"/>
      <c r="B356" s="540"/>
      <c r="C356" s="540"/>
      <c r="D356" s="540"/>
      <c r="E356" s="540"/>
      <c r="F356" s="540"/>
      <c r="G356" s="540"/>
      <c r="H356" s="540"/>
      <c r="I356" s="540"/>
      <c r="J356" s="540"/>
      <c r="K356" s="540"/>
      <c r="L356" s="540"/>
      <c r="M356" s="540"/>
      <c r="N356" s="540"/>
      <c r="O356" s="540"/>
      <c r="P356" s="540"/>
      <c r="Q356" s="540"/>
      <c r="R356" s="540"/>
      <c r="S356" s="540"/>
      <c r="T356" s="540"/>
      <c r="U356" s="540"/>
      <c r="V356" s="540"/>
      <c r="W356" s="540"/>
      <c r="X356" s="540"/>
      <c r="Y356" s="540"/>
      <c r="Z356" s="540"/>
    </row>
    <row r="357" ht="14.25" customHeight="1">
      <c r="A357" s="540"/>
      <c r="B357" s="540"/>
      <c r="C357" s="540"/>
      <c r="D357" s="540"/>
      <c r="E357" s="540"/>
      <c r="F357" s="540"/>
      <c r="G357" s="540"/>
      <c r="H357" s="540"/>
      <c r="I357" s="540"/>
      <c r="J357" s="540"/>
      <c r="K357" s="540"/>
      <c r="L357" s="540"/>
      <c r="M357" s="540"/>
      <c r="N357" s="540"/>
      <c r="O357" s="540"/>
      <c r="P357" s="540"/>
      <c r="Q357" s="540"/>
      <c r="R357" s="540"/>
      <c r="S357" s="540"/>
      <c r="T357" s="540"/>
      <c r="U357" s="540"/>
      <c r="V357" s="540"/>
      <c r="W357" s="540"/>
      <c r="X357" s="540"/>
      <c r="Y357" s="540"/>
      <c r="Z357" s="540"/>
    </row>
    <row r="358" ht="14.25" customHeight="1">
      <c r="A358" s="540"/>
      <c r="B358" s="540"/>
      <c r="C358" s="540"/>
      <c r="D358" s="540"/>
      <c r="E358" s="540"/>
      <c r="F358" s="540"/>
      <c r="G358" s="540"/>
      <c r="H358" s="540"/>
      <c r="I358" s="540"/>
      <c r="J358" s="540"/>
      <c r="K358" s="540"/>
      <c r="L358" s="540"/>
      <c r="M358" s="540"/>
      <c r="N358" s="540"/>
      <c r="O358" s="540"/>
      <c r="P358" s="540"/>
      <c r="Q358" s="540"/>
      <c r="R358" s="540"/>
      <c r="S358" s="540"/>
      <c r="T358" s="540"/>
      <c r="U358" s="540"/>
      <c r="V358" s="540"/>
      <c r="W358" s="540"/>
      <c r="X358" s="540"/>
      <c r="Y358" s="540"/>
      <c r="Z358" s="540"/>
    </row>
    <row r="359" ht="14.25" customHeight="1">
      <c r="A359" s="540"/>
      <c r="B359" s="540"/>
      <c r="C359" s="540"/>
      <c r="D359" s="540"/>
      <c r="E359" s="540"/>
      <c r="F359" s="540"/>
      <c r="G359" s="540"/>
      <c r="H359" s="540"/>
      <c r="I359" s="540"/>
      <c r="J359" s="540"/>
      <c r="K359" s="540"/>
      <c r="L359" s="540"/>
      <c r="M359" s="540"/>
      <c r="N359" s="540"/>
      <c r="O359" s="540"/>
      <c r="P359" s="540"/>
      <c r="Q359" s="540"/>
      <c r="R359" s="540"/>
      <c r="S359" s="540"/>
      <c r="T359" s="540"/>
      <c r="U359" s="540"/>
      <c r="V359" s="540"/>
      <c r="W359" s="540"/>
      <c r="X359" s="540"/>
      <c r="Y359" s="540"/>
      <c r="Z359" s="540"/>
    </row>
    <row r="360" ht="14.25" customHeight="1">
      <c r="A360" s="540"/>
      <c r="B360" s="540"/>
      <c r="C360" s="540"/>
      <c r="D360" s="540"/>
      <c r="E360" s="540"/>
      <c r="F360" s="540"/>
      <c r="G360" s="540"/>
      <c r="H360" s="540"/>
      <c r="I360" s="540"/>
      <c r="J360" s="540"/>
      <c r="K360" s="540"/>
      <c r="L360" s="540"/>
      <c r="M360" s="540"/>
      <c r="N360" s="540"/>
      <c r="O360" s="540"/>
      <c r="P360" s="540"/>
      <c r="Q360" s="540"/>
      <c r="R360" s="540"/>
      <c r="S360" s="540"/>
      <c r="T360" s="540"/>
      <c r="U360" s="540"/>
      <c r="V360" s="540"/>
      <c r="W360" s="540"/>
      <c r="X360" s="540"/>
      <c r="Y360" s="540"/>
      <c r="Z360" s="540"/>
    </row>
    <row r="361" ht="14.25" customHeight="1">
      <c r="A361" s="540"/>
      <c r="B361" s="540"/>
      <c r="C361" s="540"/>
      <c r="D361" s="540"/>
      <c r="E361" s="540"/>
      <c r="F361" s="540"/>
      <c r="G361" s="540"/>
      <c r="H361" s="540"/>
      <c r="I361" s="540"/>
      <c r="J361" s="540"/>
      <c r="K361" s="540"/>
      <c r="L361" s="540"/>
      <c r="M361" s="540"/>
      <c r="N361" s="540"/>
      <c r="O361" s="540"/>
      <c r="P361" s="540"/>
      <c r="Q361" s="540"/>
      <c r="R361" s="540"/>
      <c r="S361" s="540"/>
      <c r="T361" s="540"/>
      <c r="U361" s="540"/>
      <c r="V361" s="540"/>
      <c r="W361" s="540"/>
      <c r="X361" s="540"/>
      <c r="Y361" s="540"/>
      <c r="Z361" s="540"/>
    </row>
    <row r="362" ht="14.25" customHeight="1">
      <c r="A362" s="540"/>
      <c r="B362" s="540"/>
      <c r="C362" s="540"/>
      <c r="D362" s="540"/>
      <c r="E362" s="540"/>
      <c r="F362" s="540"/>
      <c r="G362" s="540"/>
      <c r="H362" s="540"/>
      <c r="I362" s="540"/>
      <c r="J362" s="540"/>
      <c r="K362" s="540"/>
      <c r="L362" s="540"/>
      <c r="M362" s="540"/>
      <c r="N362" s="540"/>
      <c r="O362" s="540"/>
      <c r="P362" s="540"/>
      <c r="Q362" s="540"/>
      <c r="R362" s="540"/>
      <c r="S362" s="540"/>
      <c r="T362" s="540"/>
      <c r="U362" s="540"/>
      <c r="V362" s="540"/>
      <c r="W362" s="540"/>
      <c r="X362" s="540"/>
      <c r="Y362" s="540"/>
      <c r="Z362" s="540"/>
    </row>
    <row r="363" ht="14.25" customHeight="1">
      <c r="A363" s="540"/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0"/>
      <c r="N363" s="540"/>
      <c r="O363" s="540"/>
      <c r="P363" s="540"/>
      <c r="Q363" s="540"/>
      <c r="R363" s="540"/>
      <c r="S363" s="540"/>
      <c r="T363" s="540"/>
      <c r="U363" s="540"/>
      <c r="V363" s="540"/>
      <c r="W363" s="540"/>
      <c r="X363" s="540"/>
      <c r="Y363" s="540"/>
      <c r="Z363" s="540"/>
    </row>
    <row r="364" ht="14.25" customHeight="1">
      <c r="A364" s="540"/>
      <c r="B364" s="540"/>
      <c r="C364" s="540"/>
      <c r="D364" s="540"/>
      <c r="E364" s="540"/>
      <c r="F364" s="540"/>
      <c r="G364" s="540"/>
      <c r="H364" s="540"/>
      <c r="I364" s="540"/>
      <c r="J364" s="540"/>
      <c r="K364" s="540"/>
      <c r="L364" s="540"/>
      <c r="M364" s="540"/>
      <c r="N364" s="540"/>
      <c r="O364" s="540"/>
      <c r="P364" s="540"/>
      <c r="Q364" s="540"/>
      <c r="R364" s="540"/>
      <c r="S364" s="540"/>
      <c r="T364" s="540"/>
      <c r="U364" s="540"/>
      <c r="V364" s="540"/>
      <c r="W364" s="540"/>
      <c r="X364" s="540"/>
      <c r="Y364" s="540"/>
      <c r="Z364" s="540"/>
    </row>
    <row r="365" ht="14.25" customHeight="1">
      <c r="A365" s="540"/>
      <c r="B365" s="540"/>
      <c r="C365" s="540"/>
      <c r="D365" s="540"/>
      <c r="E365" s="540"/>
      <c r="F365" s="540"/>
      <c r="G365" s="540"/>
      <c r="H365" s="540"/>
      <c r="I365" s="540"/>
      <c r="J365" s="540"/>
      <c r="K365" s="540"/>
      <c r="L365" s="540"/>
      <c r="M365" s="540"/>
      <c r="N365" s="540"/>
      <c r="O365" s="540"/>
      <c r="P365" s="540"/>
      <c r="Q365" s="540"/>
      <c r="R365" s="540"/>
      <c r="S365" s="540"/>
      <c r="T365" s="540"/>
      <c r="U365" s="540"/>
      <c r="V365" s="540"/>
      <c r="W365" s="540"/>
      <c r="X365" s="540"/>
      <c r="Y365" s="540"/>
      <c r="Z365" s="540"/>
    </row>
    <row r="366" ht="14.25" customHeight="1">
      <c r="A366" s="540"/>
      <c r="B366" s="540"/>
      <c r="C366" s="540"/>
      <c r="D366" s="540"/>
      <c r="E366" s="540"/>
      <c r="F366" s="540"/>
      <c r="G366" s="540"/>
      <c r="H366" s="540"/>
      <c r="I366" s="540"/>
      <c r="J366" s="540"/>
      <c r="K366" s="540"/>
      <c r="L366" s="540"/>
      <c r="M366" s="540"/>
      <c r="N366" s="540"/>
      <c r="O366" s="540"/>
      <c r="P366" s="540"/>
      <c r="Q366" s="540"/>
      <c r="R366" s="540"/>
      <c r="S366" s="540"/>
      <c r="T366" s="540"/>
      <c r="U366" s="540"/>
      <c r="V366" s="540"/>
      <c r="W366" s="540"/>
      <c r="X366" s="540"/>
      <c r="Y366" s="540"/>
      <c r="Z366" s="540"/>
    </row>
    <row r="367" ht="14.25" customHeight="1">
      <c r="A367" s="540"/>
      <c r="B367" s="540"/>
      <c r="C367" s="540"/>
      <c r="D367" s="540"/>
      <c r="E367" s="540"/>
      <c r="F367" s="540"/>
      <c r="G367" s="540"/>
      <c r="H367" s="540"/>
      <c r="I367" s="540"/>
      <c r="J367" s="540"/>
      <c r="K367" s="540"/>
      <c r="L367" s="540"/>
      <c r="M367" s="540"/>
      <c r="N367" s="540"/>
      <c r="O367" s="540"/>
      <c r="P367" s="540"/>
      <c r="Q367" s="540"/>
      <c r="R367" s="540"/>
      <c r="S367" s="540"/>
      <c r="T367" s="540"/>
      <c r="U367" s="540"/>
      <c r="V367" s="540"/>
      <c r="W367" s="540"/>
      <c r="X367" s="540"/>
      <c r="Y367" s="540"/>
      <c r="Z367" s="540"/>
    </row>
    <row r="368" ht="14.25" customHeight="1">
      <c r="A368" s="540"/>
      <c r="B368" s="540"/>
      <c r="C368" s="540"/>
      <c r="D368" s="540"/>
      <c r="E368" s="540"/>
      <c r="F368" s="540"/>
      <c r="G368" s="540"/>
      <c r="H368" s="540"/>
      <c r="I368" s="540"/>
      <c r="J368" s="540"/>
      <c r="K368" s="540"/>
      <c r="L368" s="540"/>
      <c r="M368" s="540"/>
      <c r="N368" s="540"/>
      <c r="O368" s="540"/>
      <c r="P368" s="540"/>
      <c r="Q368" s="540"/>
      <c r="R368" s="540"/>
      <c r="S368" s="540"/>
      <c r="T368" s="540"/>
      <c r="U368" s="540"/>
      <c r="V368" s="540"/>
      <c r="W368" s="540"/>
      <c r="X368" s="540"/>
      <c r="Y368" s="540"/>
      <c r="Z368" s="540"/>
    </row>
    <row r="369" ht="14.25" customHeight="1">
      <c r="A369" s="540"/>
      <c r="B369" s="540"/>
      <c r="C369" s="540"/>
      <c r="D369" s="540"/>
      <c r="E369" s="540"/>
      <c r="F369" s="540"/>
      <c r="G369" s="540"/>
      <c r="H369" s="540"/>
      <c r="I369" s="540"/>
      <c r="J369" s="540"/>
      <c r="K369" s="540"/>
      <c r="L369" s="540"/>
      <c r="M369" s="540"/>
      <c r="N369" s="540"/>
      <c r="O369" s="540"/>
      <c r="P369" s="540"/>
      <c r="Q369" s="540"/>
      <c r="R369" s="540"/>
      <c r="S369" s="540"/>
      <c r="T369" s="540"/>
      <c r="U369" s="540"/>
      <c r="V369" s="540"/>
      <c r="W369" s="540"/>
      <c r="X369" s="540"/>
      <c r="Y369" s="540"/>
      <c r="Z369" s="540"/>
    </row>
    <row r="370" ht="14.25" customHeight="1">
      <c r="A370" s="540"/>
      <c r="B370" s="540"/>
      <c r="C370" s="540"/>
      <c r="D370" s="540"/>
      <c r="E370" s="540"/>
      <c r="F370" s="540"/>
      <c r="G370" s="540"/>
      <c r="H370" s="540"/>
      <c r="I370" s="540"/>
      <c r="J370" s="540"/>
      <c r="K370" s="540"/>
      <c r="L370" s="540"/>
      <c r="M370" s="540"/>
      <c r="N370" s="540"/>
      <c r="O370" s="540"/>
      <c r="P370" s="540"/>
      <c r="Q370" s="540"/>
      <c r="R370" s="540"/>
      <c r="S370" s="540"/>
      <c r="T370" s="540"/>
      <c r="U370" s="540"/>
      <c r="V370" s="540"/>
      <c r="W370" s="540"/>
      <c r="X370" s="540"/>
      <c r="Y370" s="540"/>
      <c r="Z370" s="540"/>
    </row>
    <row r="371" ht="14.25" customHeight="1">
      <c r="A371" s="540"/>
      <c r="B371" s="540"/>
      <c r="C371" s="540"/>
      <c r="D371" s="540"/>
      <c r="E371" s="540"/>
      <c r="F371" s="540"/>
      <c r="G371" s="540"/>
      <c r="H371" s="540"/>
      <c r="I371" s="540"/>
      <c r="J371" s="540"/>
      <c r="K371" s="540"/>
      <c r="L371" s="540"/>
      <c r="M371" s="540"/>
      <c r="N371" s="540"/>
      <c r="O371" s="540"/>
      <c r="P371" s="540"/>
      <c r="Q371" s="540"/>
      <c r="R371" s="540"/>
      <c r="S371" s="540"/>
      <c r="T371" s="540"/>
      <c r="U371" s="540"/>
      <c r="V371" s="540"/>
      <c r="W371" s="540"/>
      <c r="X371" s="540"/>
      <c r="Y371" s="540"/>
      <c r="Z371" s="540"/>
    </row>
    <row r="372" ht="14.25" customHeight="1">
      <c r="A372" s="540"/>
      <c r="B372" s="540"/>
      <c r="C372" s="540"/>
      <c r="D372" s="540"/>
      <c r="E372" s="540"/>
      <c r="F372" s="540"/>
      <c r="G372" s="540"/>
      <c r="H372" s="540"/>
      <c r="I372" s="540"/>
      <c r="J372" s="540"/>
      <c r="K372" s="540"/>
      <c r="L372" s="540"/>
      <c r="M372" s="540"/>
      <c r="N372" s="540"/>
      <c r="O372" s="540"/>
      <c r="P372" s="540"/>
      <c r="Q372" s="540"/>
      <c r="R372" s="540"/>
      <c r="S372" s="540"/>
      <c r="T372" s="540"/>
      <c r="U372" s="540"/>
      <c r="V372" s="540"/>
      <c r="W372" s="540"/>
      <c r="X372" s="540"/>
      <c r="Y372" s="540"/>
      <c r="Z372" s="540"/>
    </row>
    <row r="373" ht="14.25" customHeight="1">
      <c r="A373" s="540"/>
      <c r="B373" s="540"/>
      <c r="C373" s="540"/>
      <c r="D373" s="540"/>
      <c r="E373" s="540"/>
      <c r="F373" s="540"/>
      <c r="G373" s="540"/>
      <c r="H373" s="540"/>
      <c r="I373" s="540"/>
      <c r="J373" s="540"/>
      <c r="K373" s="540"/>
      <c r="L373" s="540"/>
      <c r="M373" s="540"/>
      <c r="N373" s="540"/>
      <c r="O373" s="540"/>
      <c r="P373" s="540"/>
      <c r="Q373" s="540"/>
      <c r="R373" s="540"/>
      <c r="S373" s="540"/>
      <c r="T373" s="540"/>
      <c r="U373" s="540"/>
      <c r="V373" s="540"/>
      <c r="W373" s="540"/>
      <c r="X373" s="540"/>
      <c r="Y373" s="540"/>
      <c r="Z373" s="540"/>
    </row>
    <row r="374" ht="14.25" customHeight="1">
      <c r="A374" s="540"/>
      <c r="B374" s="540"/>
      <c r="C374" s="540"/>
      <c r="D374" s="540"/>
      <c r="E374" s="540"/>
      <c r="F374" s="540"/>
      <c r="G374" s="540"/>
      <c r="H374" s="540"/>
      <c r="I374" s="540"/>
      <c r="J374" s="540"/>
      <c r="K374" s="540"/>
      <c r="L374" s="540"/>
      <c r="M374" s="540"/>
      <c r="N374" s="540"/>
      <c r="O374" s="540"/>
      <c r="P374" s="540"/>
      <c r="Q374" s="540"/>
      <c r="R374" s="540"/>
      <c r="S374" s="540"/>
      <c r="T374" s="540"/>
      <c r="U374" s="540"/>
      <c r="V374" s="540"/>
      <c r="W374" s="540"/>
      <c r="X374" s="540"/>
      <c r="Y374" s="540"/>
      <c r="Z374" s="540"/>
    </row>
    <row r="375" ht="14.25" customHeight="1">
      <c r="A375" s="540"/>
      <c r="B375" s="540"/>
      <c r="C375" s="540"/>
      <c r="D375" s="540"/>
      <c r="E375" s="540"/>
      <c r="F375" s="540"/>
      <c r="G375" s="540"/>
      <c r="H375" s="540"/>
      <c r="I375" s="540"/>
      <c r="J375" s="540"/>
      <c r="K375" s="540"/>
      <c r="L375" s="540"/>
      <c r="M375" s="540"/>
      <c r="N375" s="540"/>
      <c r="O375" s="540"/>
      <c r="P375" s="540"/>
      <c r="Q375" s="540"/>
      <c r="R375" s="540"/>
      <c r="S375" s="540"/>
      <c r="T375" s="540"/>
      <c r="U375" s="540"/>
      <c r="V375" s="540"/>
      <c r="W375" s="540"/>
      <c r="X375" s="540"/>
      <c r="Y375" s="540"/>
      <c r="Z375" s="540"/>
    </row>
    <row r="376" ht="14.25" customHeight="1">
      <c r="A376" s="540"/>
      <c r="B376" s="540"/>
      <c r="C376" s="540"/>
      <c r="D376" s="540"/>
      <c r="E376" s="540"/>
      <c r="F376" s="540"/>
      <c r="G376" s="540"/>
      <c r="H376" s="540"/>
      <c r="I376" s="540"/>
      <c r="J376" s="540"/>
      <c r="K376" s="540"/>
      <c r="L376" s="540"/>
      <c r="M376" s="540"/>
      <c r="N376" s="540"/>
      <c r="O376" s="540"/>
      <c r="P376" s="540"/>
      <c r="Q376" s="540"/>
      <c r="R376" s="540"/>
      <c r="S376" s="540"/>
      <c r="T376" s="540"/>
      <c r="U376" s="540"/>
      <c r="V376" s="540"/>
      <c r="W376" s="540"/>
      <c r="X376" s="540"/>
      <c r="Y376" s="540"/>
      <c r="Z376" s="540"/>
    </row>
    <row r="377" ht="14.25" customHeight="1">
      <c r="A377" s="540"/>
      <c r="B377" s="540"/>
      <c r="C377" s="540"/>
      <c r="D377" s="540"/>
      <c r="E377" s="540"/>
      <c r="F377" s="540"/>
      <c r="G377" s="540"/>
      <c r="H377" s="540"/>
      <c r="I377" s="540"/>
      <c r="J377" s="540"/>
      <c r="K377" s="540"/>
      <c r="L377" s="540"/>
      <c r="M377" s="540"/>
      <c r="N377" s="540"/>
      <c r="O377" s="540"/>
      <c r="P377" s="540"/>
      <c r="Q377" s="540"/>
      <c r="R377" s="540"/>
      <c r="S377" s="540"/>
      <c r="T377" s="540"/>
      <c r="U377" s="540"/>
      <c r="V377" s="540"/>
      <c r="W377" s="540"/>
      <c r="X377" s="540"/>
      <c r="Y377" s="540"/>
      <c r="Z377" s="540"/>
    </row>
    <row r="378" ht="14.25" customHeight="1">
      <c r="A378" s="540"/>
      <c r="B378" s="540"/>
      <c r="C378" s="540"/>
      <c r="D378" s="540"/>
      <c r="E378" s="540"/>
      <c r="F378" s="540"/>
      <c r="G378" s="540"/>
      <c r="H378" s="540"/>
      <c r="I378" s="540"/>
      <c r="J378" s="540"/>
      <c r="K378" s="540"/>
      <c r="L378" s="540"/>
      <c r="M378" s="540"/>
      <c r="N378" s="540"/>
      <c r="O378" s="540"/>
      <c r="P378" s="540"/>
      <c r="Q378" s="540"/>
      <c r="R378" s="540"/>
      <c r="S378" s="540"/>
      <c r="T378" s="540"/>
      <c r="U378" s="540"/>
      <c r="V378" s="540"/>
      <c r="W378" s="540"/>
      <c r="X378" s="540"/>
      <c r="Y378" s="540"/>
      <c r="Z378" s="540"/>
    </row>
    <row r="379" ht="14.25" customHeight="1">
      <c r="A379" s="540"/>
      <c r="B379" s="540"/>
      <c r="C379" s="540"/>
      <c r="D379" s="540"/>
      <c r="E379" s="540"/>
      <c r="F379" s="540"/>
      <c r="G379" s="540"/>
      <c r="H379" s="540"/>
      <c r="I379" s="540"/>
      <c r="J379" s="540"/>
      <c r="K379" s="540"/>
      <c r="L379" s="540"/>
      <c r="M379" s="540"/>
      <c r="N379" s="540"/>
      <c r="O379" s="540"/>
      <c r="P379" s="540"/>
      <c r="Q379" s="540"/>
      <c r="R379" s="540"/>
      <c r="S379" s="540"/>
      <c r="T379" s="540"/>
      <c r="U379" s="540"/>
      <c r="V379" s="540"/>
      <c r="W379" s="540"/>
      <c r="X379" s="540"/>
      <c r="Y379" s="540"/>
      <c r="Z379" s="540"/>
    </row>
    <row r="380" ht="14.25" customHeight="1">
      <c r="A380" s="540"/>
      <c r="B380" s="540"/>
      <c r="C380" s="540"/>
      <c r="D380" s="540"/>
      <c r="E380" s="540"/>
      <c r="F380" s="540"/>
      <c r="G380" s="540"/>
      <c r="H380" s="540"/>
      <c r="I380" s="540"/>
      <c r="J380" s="540"/>
      <c r="K380" s="540"/>
      <c r="L380" s="540"/>
      <c r="M380" s="540"/>
      <c r="N380" s="540"/>
      <c r="O380" s="540"/>
      <c r="P380" s="540"/>
      <c r="Q380" s="540"/>
      <c r="R380" s="540"/>
      <c r="S380" s="540"/>
      <c r="T380" s="540"/>
      <c r="U380" s="540"/>
      <c r="V380" s="540"/>
      <c r="W380" s="540"/>
      <c r="X380" s="540"/>
      <c r="Y380" s="540"/>
      <c r="Z380" s="540"/>
    </row>
    <row r="381" ht="14.25" customHeight="1">
      <c r="A381" s="540"/>
      <c r="B381" s="540"/>
      <c r="C381" s="540"/>
      <c r="D381" s="540"/>
      <c r="E381" s="540"/>
      <c r="F381" s="540"/>
      <c r="G381" s="540"/>
      <c r="H381" s="540"/>
      <c r="I381" s="540"/>
      <c r="J381" s="540"/>
      <c r="K381" s="540"/>
      <c r="L381" s="540"/>
      <c r="M381" s="540"/>
      <c r="N381" s="540"/>
      <c r="O381" s="540"/>
      <c r="P381" s="540"/>
      <c r="Q381" s="540"/>
      <c r="R381" s="540"/>
      <c r="S381" s="540"/>
      <c r="T381" s="540"/>
      <c r="U381" s="540"/>
      <c r="V381" s="540"/>
      <c r="W381" s="540"/>
      <c r="X381" s="540"/>
      <c r="Y381" s="540"/>
      <c r="Z381" s="540"/>
    </row>
    <row r="382" ht="14.25" customHeight="1">
      <c r="A382" s="540"/>
      <c r="B382" s="540"/>
      <c r="C382" s="540"/>
      <c r="D382" s="540"/>
      <c r="E382" s="540"/>
      <c r="F382" s="540"/>
      <c r="G382" s="540"/>
      <c r="H382" s="540"/>
      <c r="I382" s="540"/>
      <c r="J382" s="540"/>
      <c r="K382" s="540"/>
      <c r="L382" s="540"/>
      <c r="M382" s="540"/>
      <c r="N382" s="540"/>
      <c r="O382" s="540"/>
      <c r="P382" s="540"/>
      <c r="Q382" s="540"/>
      <c r="R382" s="540"/>
      <c r="S382" s="540"/>
      <c r="T382" s="540"/>
      <c r="U382" s="540"/>
      <c r="V382" s="540"/>
      <c r="W382" s="540"/>
      <c r="X382" s="540"/>
      <c r="Y382" s="540"/>
      <c r="Z382" s="540"/>
    </row>
    <row r="383" ht="14.25" customHeight="1">
      <c r="A383" s="540"/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0"/>
      <c r="N383" s="540"/>
      <c r="O383" s="540"/>
      <c r="P383" s="540"/>
      <c r="Q383" s="540"/>
      <c r="R383" s="540"/>
      <c r="S383" s="540"/>
      <c r="T383" s="540"/>
      <c r="U383" s="540"/>
      <c r="V383" s="540"/>
      <c r="W383" s="540"/>
      <c r="X383" s="540"/>
      <c r="Y383" s="540"/>
      <c r="Z383" s="540"/>
    </row>
    <row r="384" ht="14.25" customHeight="1">
      <c r="A384" s="540"/>
      <c r="B384" s="540"/>
      <c r="C384" s="540"/>
      <c r="D384" s="540"/>
      <c r="E384" s="540"/>
      <c r="F384" s="540"/>
      <c r="G384" s="540"/>
      <c r="H384" s="540"/>
      <c r="I384" s="540"/>
      <c r="J384" s="540"/>
      <c r="K384" s="540"/>
      <c r="L384" s="540"/>
      <c r="M384" s="540"/>
      <c r="N384" s="540"/>
      <c r="O384" s="540"/>
      <c r="P384" s="540"/>
      <c r="Q384" s="540"/>
      <c r="R384" s="540"/>
      <c r="S384" s="540"/>
      <c r="T384" s="540"/>
      <c r="U384" s="540"/>
      <c r="V384" s="540"/>
      <c r="W384" s="540"/>
      <c r="X384" s="540"/>
      <c r="Y384" s="540"/>
      <c r="Z384" s="540"/>
    </row>
    <row r="385" ht="14.25" customHeight="1">
      <c r="A385" s="540"/>
      <c r="B385" s="540"/>
      <c r="C385" s="540"/>
      <c r="D385" s="540"/>
      <c r="E385" s="540"/>
      <c r="F385" s="540"/>
      <c r="G385" s="540"/>
      <c r="H385" s="540"/>
      <c r="I385" s="540"/>
      <c r="J385" s="540"/>
      <c r="K385" s="540"/>
      <c r="L385" s="540"/>
      <c r="M385" s="540"/>
      <c r="N385" s="540"/>
      <c r="O385" s="540"/>
      <c r="P385" s="540"/>
      <c r="Q385" s="540"/>
      <c r="R385" s="540"/>
      <c r="S385" s="540"/>
      <c r="T385" s="540"/>
      <c r="U385" s="540"/>
      <c r="V385" s="540"/>
      <c r="W385" s="540"/>
      <c r="X385" s="540"/>
      <c r="Y385" s="540"/>
      <c r="Z385" s="540"/>
    </row>
    <row r="386" ht="14.25" customHeight="1">
      <c r="A386" s="540"/>
      <c r="B386" s="540"/>
      <c r="C386" s="540"/>
      <c r="D386" s="540"/>
      <c r="E386" s="540"/>
      <c r="F386" s="540"/>
      <c r="G386" s="540"/>
      <c r="H386" s="540"/>
      <c r="I386" s="540"/>
      <c r="J386" s="540"/>
      <c r="K386" s="540"/>
      <c r="L386" s="540"/>
      <c r="M386" s="540"/>
      <c r="N386" s="540"/>
      <c r="O386" s="540"/>
      <c r="P386" s="540"/>
      <c r="Q386" s="540"/>
      <c r="R386" s="540"/>
      <c r="S386" s="540"/>
      <c r="T386" s="540"/>
      <c r="U386" s="540"/>
      <c r="V386" s="540"/>
      <c r="W386" s="540"/>
      <c r="X386" s="540"/>
      <c r="Y386" s="540"/>
      <c r="Z386" s="540"/>
    </row>
    <row r="387" ht="14.25" customHeight="1">
      <c r="A387" s="540"/>
      <c r="B387" s="540"/>
      <c r="C387" s="540"/>
      <c r="D387" s="540"/>
      <c r="E387" s="540"/>
      <c r="F387" s="540"/>
      <c r="G387" s="540"/>
      <c r="H387" s="540"/>
      <c r="I387" s="540"/>
      <c r="J387" s="540"/>
      <c r="K387" s="540"/>
      <c r="L387" s="540"/>
      <c r="M387" s="540"/>
      <c r="N387" s="540"/>
      <c r="O387" s="540"/>
      <c r="P387" s="540"/>
      <c r="Q387" s="540"/>
      <c r="R387" s="540"/>
      <c r="S387" s="540"/>
      <c r="T387" s="540"/>
      <c r="U387" s="540"/>
      <c r="V387" s="540"/>
      <c r="W387" s="540"/>
      <c r="X387" s="540"/>
      <c r="Y387" s="540"/>
      <c r="Z387" s="540"/>
    </row>
    <row r="388" ht="14.25" customHeight="1">
      <c r="A388" s="540"/>
      <c r="B388" s="540"/>
      <c r="C388" s="540"/>
      <c r="D388" s="540"/>
      <c r="E388" s="540"/>
      <c r="F388" s="540"/>
      <c r="G388" s="540"/>
      <c r="H388" s="540"/>
      <c r="I388" s="540"/>
      <c r="J388" s="540"/>
      <c r="K388" s="540"/>
      <c r="L388" s="540"/>
      <c r="M388" s="540"/>
      <c r="N388" s="540"/>
      <c r="O388" s="540"/>
      <c r="P388" s="540"/>
      <c r="Q388" s="540"/>
      <c r="R388" s="540"/>
      <c r="S388" s="540"/>
      <c r="T388" s="540"/>
      <c r="U388" s="540"/>
      <c r="V388" s="540"/>
      <c r="W388" s="540"/>
      <c r="X388" s="540"/>
      <c r="Y388" s="540"/>
      <c r="Z388" s="540"/>
    </row>
    <row r="389" ht="14.25" customHeight="1">
      <c r="A389" s="540"/>
      <c r="B389" s="540"/>
      <c r="C389" s="540"/>
      <c r="D389" s="540"/>
      <c r="E389" s="540"/>
      <c r="F389" s="540"/>
      <c r="G389" s="540"/>
      <c r="H389" s="540"/>
      <c r="I389" s="540"/>
      <c r="J389" s="540"/>
      <c r="K389" s="540"/>
      <c r="L389" s="540"/>
      <c r="M389" s="540"/>
      <c r="N389" s="540"/>
      <c r="O389" s="540"/>
      <c r="P389" s="540"/>
      <c r="Q389" s="540"/>
      <c r="R389" s="540"/>
      <c r="S389" s="540"/>
      <c r="T389" s="540"/>
      <c r="U389" s="540"/>
      <c r="V389" s="540"/>
      <c r="W389" s="540"/>
      <c r="X389" s="540"/>
      <c r="Y389" s="540"/>
      <c r="Z389" s="540"/>
    </row>
    <row r="390" ht="14.25" customHeight="1">
      <c r="A390" s="540"/>
      <c r="B390" s="540"/>
      <c r="C390" s="540"/>
      <c r="D390" s="540"/>
      <c r="E390" s="540"/>
      <c r="F390" s="540"/>
      <c r="G390" s="540"/>
      <c r="H390" s="540"/>
      <c r="I390" s="540"/>
      <c r="J390" s="540"/>
      <c r="K390" s="540"/>
      <c r="L390" s="540"/>
      <c r="M390" s="540"/>
      <c r="N390" s="540"/>
      <c r="O390" s="540"/>
      <c r="P390" s="540"/>
      <c r="Q390" s="540"/>
      <c r="R390" s="540"/>
      <c r="S390" s="540"/>
      <c r="T390" s="540"/>
      <c r="U390" s="540"/>
      <c r="V390" s="540"/>
      <c r="W390" s="540"/>
      <c r="X390" s="540"/>
      <c r="Y390" s="540"/>
      <c r="Z390" s="540"/>
    </row>
    <row r="391" ht="14.25" customHeight="1">
      <c r="A391" s="540"/>
      <c r="B391" s="540"/>
      <c r="C391" s="540"/>
      <c r="D391" s="540"/>
      <c r="E391" s="540"/>
      <c r="F391" s="540"/>
      <c r="G391" s="540"/>
      <c r="H391" s="540"/>
      <c r="I391" s="540"/>
      <c r="J391" s="540"/>
      <c r="K391" s="540"/>
      <c r="L391" s="540"/>
      <c r="M391" s="540"/>
      <c r="N391" s="540"/>
      <c r="O391" s="540"/>
      <c r="P391" s="540"/>
      <c r="Q391" s="540"/>
      <c r="R391" s="540"/>
      <c r="S391" s="540"/>
      <c r="T391" s="540"/>
      <c r="U391" s="540"/>
      <c r="V391" s="540"/>
      <c r="W391" s="540"/>
      <c r="X391" s="540"/>
      <c r="Y391" s="540"/>
      <c r="Z391" s="540"/>
    </row>
    <row r="392" ht="14.25" customHeight="1">
      <c r="A392" s="540"/>
      <c r="B392" s="540"/>
      <c r="C392" s="540"/>
      <c r="D392" s="540"/>
      <c r="E392" s="540"/>
      <c r="F392" s="540"/>
      <c r="G392" s="540"/>
      <c r="H392" s="540"/>
      <c r="I392" s="540"/>
      <c r="J392" s="540"/>
      <c r="K392" s="540"/>
      <c r="L392" s="540"/>
      <c r="M392" s="540"/>
      <c r="N392" s="540"/>
      <c r="O392" s="540"/>
      <c r="P392" s="540"/>
      <c r="Q392" s="540"/>
      <c r="R392" s="540"/>
      <c r="S392" s="540"/>
      <c r="T392" s="540"/>
      <c r="U392" s="540"/>
      <c r="V392" s="540"/>
      <c r="W392" s="540"/>
      <c r="X392" s="540"/>
      <c r="Y392" s="540"/>
      <c r="Z392" s="540"/>
    </row>
    <row r="393" ht="14.25" customHeight="1">
      <c r="A393" s="540"/>
      <c r="B393" s="540"/>
      <c r="C393" s="540"/>
      <c r="D393" s="540"/>
      <c r="E393" s="540"/>
      <c r="F393" s="540"/>
      <c r="G393" s="540"/>
      <c r="H393" s="540"/>
      <c r="I393" s="540"/>
      <c r="J393" s="540"/>
      <c r="K393" s="540"/>
      <c r="L393" s="540"/>
      <c r="M393" s="540"/>
      <c r="N393" s="540"/>
      <c r="O393" s="540"/>
      <c r="P393" s="540"/>
      <c r="Q393" s="540"/>
      <c r="R393" s="540"/>
      <c r="S393" s="540"/>
      <c r="T393" s="540"/>
      <c r="U393" s="540"/>
      <c r="V393" s="540"/>
      <c r="W393" s="540"/>
      <c r="X393" s="540"/>
      <c r="Y393" s="540"/>
      <c r="Z393" s="540"/>
    </row>
    <row r="394" ht="14.25" customHeight="1">
      <c r="A394" s="540"/>
      <c r="B394" s="540"/>
      <c r="C394" s="540"/>
      <c r="D394" s="540"/>
      <c r="E394" s="540"/>
      <c r="F394" s="540"/>
      <c r="G394" s="540"/>
      <c r="H394" s="540"/>
      <c r="I394" s="540"/>
      <c r="J394" s="540"/>
      <c r="K394" s="540"/>
      <c r="L394" s="540"/>
      <c r="M394" s="540"/>
      <c r="N394" s="540"/>
      <c r="O394" s="540"/>
      <c r="P394" s="540"/>
      <c r="Q394" s="540"/>
      <c r="R394" s="540"/>
      <c r="S394" s="540"/>
      <c r="T394" s="540"/>
      <c r="U394" s="540"/>
      <c r="V394" s="540"/>
      <c r="W394" s="540"/>
      <c r="X394" s="540"/>
      <c r="Y394" s="540"/>
      <c r="Z394" s="540"/>
    </row>
    <row r="395" ht="14.25" customHeight="1">
      <c r="A395" s="540"/>
      <c r="B395" s="540"/>
      <c r="C395" s="540"/>
      <c r="D395" s="540"/>
      <c r="E395" s="540"/>
      <c r="F395" s="540"/>
      <c r="G395" s="540"/>
      <c r="H395" s="540"/>
      <c r="I395" s="540"/>
      <c r="J395" s="540"/>
      <c r="K395" s="540"/>
      <c r="L395" s="540"/>
      <c r="M395" s="540"/>
      <c r="N395" s="540"/>
      <c r="O395" s="540"/>
      <c r="P395" s="540"/>
      <c r="Q395" s="540"/>
      <c r="R395" s="540"/>
      <c r="S395" s="540"/>
      <c r="T395" s="540"/>
      <c r="U395" s="540"/>
      <c r="V395" s="540"/>
      <c r="W395" s="540"/>
      <c r="X395" s="540"/>
      <c r="Y395" s="540"/>
      <c r="Z395" s="540"/>
    </row>
    <row r="396" ht="14.25" customHeight="1">
      <c r="A396" s="540"/>
      <c r="B396" s="540"/>
      <c r="C396" s="540"/>
      <c r="D396" s="540"/>
      <c r="E396" s="540"/>
      <c r="F396" s="540"/>
      <c r="G396" s="540"/>
      <c r="H396" s="540"/>
      <c r="I396" s="540"/>
      <c r="J396" s="540"/>
      <c r="K396" s="540"/>
      <c r="L396" s="540"/>
      <c r="M396" s="540"/>
      <c r="N396" s="540"/>
      <c r="O396" s="540"/>
      <c r="P396" s="540"/>
      <c r="Q396" s="540"/>
      <c r="R396" s="540"/>
      <c r="S396" s="540"/>
      <c r="T396" s="540"/>
      <c r="U396" s="540"/>
      <c r="V396" s="540"/>
      <c r="W396" s="540"/>
      <c r="X396" s="540"/>
      <c r="Y396" s="540"/>
      <c r="Z396" s="540"/>
    </row>
    <row r="397" ht="14.25" customHeight="1">
      <c r="A397" s="540"/>
      <c r="B397" s="540"/>
      <c r="C397" s="540"/>
      <c r="D397" s="540"/>
      <c r="E397" s="540"/>
      <c r="F397" s="540"/>
      <c r="G397" s="540"/>
      <c r="H397" s="540"/>
      <c r="I397" s="540"/>
      <c r="J397" s="540"/>
      <c r="K397" s="540"/>
      <c r="L397" s="540"/>
      <c r="M397" s="540"/>
      <c r="N397" s="540"/>
      <c r="O397" s="540"/>
      <c r="P397" s="540"/>
      <c r="Q397" s="540"/>
      <c r="R397" s="540"/>
      <c r="S397" s="540"/>
      <c r="T397" s="540"/>
      <c r="U397" s="540"/>
      <c r="V397" s="540"/>
      <c r="W397" s="540"/>
      <c r="X397" s="540"/>
      <c r="Y397" s="540"/>
      <c r="Z397" s="540"/>
    </row>
    <row r="398" ht="14.25" customHeight="1">
      <c r="A398" s="540"/>
      <c r="B398" s="540"/>
      <c r="C398" s="540"/>
      <c r="D398" s="540"/>
      <c r="E398" s="540"/>
      <c r="F398" s="540"/>
      <c r="G398" s="540"/>
      <c r="H398" s="540"/>
      <c r="I398" s="540"/>
      <c r="J398" s="540"/>
      <c r="K398" s="540"/>
      <c r="L398" s="540"/>
      <c r="M398" s="540"/>
      <c r="N398" s="540"/>
      <c r="O398" s="540"/>
      <c r="P398" s="540"/>
      <c r="Q398" s="540"/>
      <c r="R398" s="540"/>
      <c r="S398" s="540"/>
      <c r="T398" s="540"/>
      <c r="U398" s="540"/>
      <c r="V398" s="540"/>
      <c r="W398" s="540"/>
      <c r="X398" s="540"/>
      <c r="Y398" s="540"/>
      <c r="Z398" s="540"/>
    </row>
    <row r="399" ht="14.25" customHeight="1">
      <c r="A399" s="540"/>
      <c r="B399" s="540"/>
      <c r="C399" s="540"/>
      <c r="D399" s="540"/>
      <c r="E399" s="540"/>
      <c r="F399" s="540"/>
      <c r="G399" s="540"/>
      <c r="H399" s="540"/>
      <c r="I399" s="540"/>
      <c r="J399" s="540"/>
      <c r="K399" s="540"/>
      <c r="L399" s="540"/>
      <c r="M399" s="540"/>
      <c r="N399" s="540"/>
      <c r="O399" s="540"/>
      <c r="P399" s="540"/>
      <c r="Q399" s="540"/>
      <c r="R399" s="540"/>
      <c r="S399" s="540"/>
      <c r="T399" s="540"/>
      <c r="U399" s="540"/>
      <c r="V399" s="540"/>
      <c r="W399" s="540"/>
      <c r="X399" s="540"/>
      <c r="Y399" s="540"/>
      <c r="Z399" s="540"/>
    </row>
    <row r="400" ht="14.25" customHeight="1">
      <c r="A400" s="540"/>
      <c r="B400" s="540"/>
      <c r="C400" s="540"/>
      <c r="D400" s="540"/>
      <c r="E400" s="540"/>
      <c r="F400" s="540"/>
      <c r="G400" s="540"/>
      <c r="H400" s="540"/>
      <c r="I400" s="540"/>
      <c r="J400" s="540"/>
      <c r="K400" s="540"/>
      <c r="L400" s="540"/>
      <c r="M400" s="540"/>
      <c r="N400" s="540"/>
      <c r="O400" s="540"/>
      <c r="P400" s="540"/>
      <c r="Q400" s="540"/>
      <c r="R400" s="540"/>
      <c r="S400" s="540"/>
      <c r="T400" s="540"/>
      <c r="U400" s="540"/>
      <c r="V400" s="540"/>
      <c r="W400" s="540"/>
      <c r="X400" s="540"/>
      <c r="Y400" s="540"/>
      <c r="Z400" s="540"/>
    </row>
    <row r="401" ht="14.25" customHeight="1">
      <c r="A401" s="540"/>
      <c r="B401" s="540"/>
      <c r="C401" s="540"/>
      <c r="D401" s="540"/>
      <c r="E401" s="540"/>
      <c r="F401" s="540"/>
      <c r="G401" s="540"/>
      <c r="H401" s="540"/>
      <c r="I401" s="540"/>
      <c r="J401" s="540"/>
      <c r="K401" s="540"/>
      <c r="L401" s="540"/>
      <c r="M401" s="540"/>
      <c r="N401" s="540"/>
      <c r="O401" s="540"/>
      <c r="P401" s="540"/>
      <c r="Q401" s="540"/>
      <c r="R401" s="540"/>
      <c r="S401" s="540"/>
      <c r="T401" s="540"/>
      <c r="U401" s="540"/>
      <c r="V401" s="540"/>
      <c r="W401" s="540"/>
      <c r="X401" s="540"/>
      <c r="Y401" s="540"/>
      <c r="Z401" s="540"/>
    </row>
    <row r="402" ht="14.25" customHeight="1">
      <c r="A402" s="540"/>
      <c r="B402" s="540"/>
      <c r="C402" s="540"/>
      <c r="D402" s="540"/>
      <c r="E402" s="540"/>
      <c r="F402" s="540"/>
      <c r="G402" s="540"/>
      <c r="H402" s="540"/>
      <c r="I402" s="540"/>
      <c r="J402" s="540"/>
      <c r="K402" s="540"/>
      <c r="L402" s="540"/>
      <c r="M402" s="540"/>
      <c r="N402" s="540"/>
      <c r="O402" s="540"/>
      <c r="P402" s="540"/>
      <c r="Q402" s="540"/>
      <c r="R402" s="540"/>
      <c r="S402" s="540"/>
      <c r="T402" s="540"/>
      <c r="U402" s="540"/>
      <c r="V402" s="540"/>
      <c r="W402" s="540"/>
      <c r="X402" s="540"/>
      <c r="Y402" s="540"/>
      <c r="Z402" s="540"/>
    </row>
    <row r="403" ht="14.25" customHeight="1">
      <c r="A403" s="540"/>
      <c r="B403" s="540"/>
      <c r="C403" s="540"/>
      <c r="D403" s="540"/>
      <c r="E403" s="540"/>
      <c r="F403" s="540"/>
      <c r="G403" s="540"/>
      <c r="H403" s="540"/>
      <c r="I403" s="540"/>
      <c r="J403" s="540"/>
      <c r="K403" s="540"/>
      <c r="L403" s="540"/>
      <c r="M403" s="540"/>
      <c r="N403" s="540"/>
      <c r="O403" s="540"/>
      <c r="P403" s="540"/>
      <c r="Q403" s="540"/>
      <c r="R403" s="540"/>
      <c r="S403" s="540"/>
      <c r="T403" s="540"/>
      <c r="U403" s="540"/>
      <c r="V403" s="540"/>
      <c r="W403" s="540"/>
      <c r="X403" s="540"/>
      <c r="Y403" s="540"/>
      <c r="Z403" s="540"/>
    </row>
    <row r="404" ht="14.25" customHeight="1">
      <c r="A404" s="540"/>
      <c r="B404" s="540"/>
      <c r="C404" s="540"/>
      <c r="D404" s="540"/>
      <c r="E404" s="540"/>
      <c r="F404" s="540"/>
      <c r="G404" s="540"/>
      <c r="H404" s="540"/>
      <c r="I404" s="540"/>
      <c r="J404" s="540"/>
      <c r="K404" s="540"/>
      <c r="L404" s="540"/>
      <c r="M404" s="540"/>
      <c r="N404" s="540"/>
      <c r="O404" s="540"/>
      <c r="P404" s="540"/>
      <c r="Q404" s="540"/>
      <c r="R404" s="540"/>
      <c r="S404" s="540"/>
      <c r="T404" s="540"/>
      <c r="U404" s="540"/>
      <c r="V404" s="540"/>
      <c r="W404" s="540"/>
      <c r="X404" s="540"/>
      <c r="Y404" s="540"/>
      <c r="Z404" s="540"/>
    </row>
    <row r="405" ht="14.25" customHeight="1">
      <c r="A405" s="540"/>
      <c r="B405" s="540"/>
      <c r="C405" s="540"/>
      <c r="D405" s="540"/>
      <c r="E405" s="540"/>
      <c r="F405" s="540"/>
      <c r="G405" s="540"/>
      <c r="H405" s="540"/>
      <c r="I405" s="540"/>
      <c r="J405" s="540"/>
      <c r="K405" s="540"/>
      <c r="L405" s="540"/>
      <c r="M405" s="540"/>
      <c r="N405" s="540"/>
      <c r="O405" s="540"/>
      <c r="P405" s="540"/>
      <c r="Q405" s="540"/>
      <c r="R405" s="540"/>
      <c r="S405" s="540"/>
      <c r="T405" s="540"/>
      <c r="U405" s="540"/>
      <c r="V405" s="540"/>
      <c r="W405" s="540"/>
      <c r="X405" s="540"/>
      <c r="Y405" s="540"/>
      <c r="Z405" s="540"/>
    </row>
    <row r="406" ht="14.25" customHeight="1">
      <c r="A406" s="540"/>
      <c r="B406" s="540"/>
      <c r="C406" s="540"/>
      <c r="D406" s="540"/>
      <c r="E406" s="540"/>
      <c r="F406" s="540"/>
      <c r="G406" s="540"/>
      <c r="H406" s="540"/>
      <c r="I406" s="540"/>
      <c r="J406" s="540"/>
      <c r="K406" s="540"/>
      <c r="L406" s="540"/>
      <c r="M406" s="540"/>
      <c r="N406" s="540"/>
      <c r="O406" s="540"/>
      <c r="P406" s="540"/>
      <c r="Q406" s="540"/>
      <c r="R406" s="540"/>
      <c r="S406" s="540"/>
      <c r="T406" s="540"/>
      <c r="U406" s="540"/>
      <c r="V406" s="540"/>
      <c r="W406" s="540"/>
      <c r="X406" s="540"/>
      <c r="Y406" s="540"/>
      <c r="Z406" s="540"/>
    </row>
    <row r="407" ht="14.25" customHeight="1">
      <c r="A407" s="540"/>
      <c r="B407" s="540"/>
      <c r="C407" s="540"/>
      <c r="D407" s="540"/>
      <c r="E407" s="540"/>
      <c r="F407" s="540"/>
      <c r="G407" s="540"/>
      <c r="H407" s="540"/>
      <c r="I407" s="540"/>
      <c r="J407" s="540"/>
      <c r="K407" s="540"/>
      <c r="L407" s="540"/>
      <c r="M407" s="540"/>
      <c r="N407" s="540"/>
      <c r="O407" s="540"/>
      <c r="P407" s="540"/>
      <c r="Q407" s="540"/>
      <c r="R407" s="540"/>
      <c r="S407" s="540"/>
      <c r="T407" s="540"/>
      <c r="U407" s="540"/>
      <c r="V407" s="540"/>
      <c r="W407" s="540"/>
      <c r="X407" s="540"/>
      <c r="Y407" s="540"/>
      <c r="Z407" s="540"/>
    </row>
    <row r="408" ht="14.25" customHeight="1">
      <c r="A408" s="540"/>
      <c r="B408" s="540"/>
      <c r="C408" s="540"/>
      <c r="D408" s="540"/>
      <c r="E408" s="540"/>
      <c r="F408" s="540"/>
      <c r="G408" s="540"/>
      <c r="H408" s="540"/>
      <c r="I408" s="540"/>
      <c r="J408" s="540"/>
      <c r="K408" s="540"/>
      <c r="L408" s="540"/>
      <c r="M408" s="540"/>
      <c r="N408" s="540"/>
      <c r="O408" s="540"/>
      <c r="P408" s="540"/>
      <c r="Q408" s="540"/>
      <c r="R408" s="540"/>
      <c r="S408" s="540"/>
      <c r="T408" s="540"/>
      <c r="U408" s="540"/>
      <c r="V408" s="540"/>
      <c r="W408" s="540"/>
      <c r="X408" s="540"/>
      <c r="Y408" s="540"/>
      <c r="Z408" s="540"/>
    </row>
    <row r="409" ht="14.25" customHeight="1">
      <c r="A409" s="540"/>
      <c r="B409" s="540"/>
      <c r="C409" s="540"/>
      <c r="D409" s="540"/>
      <c r="E409" s="540"/>
      <c r="F409" s="540"/>
      <c r="G409" s="540"/>
      <c r="H409" s="540"/>
      <c r="I409" s="540"/>
      <c r="J409" s="540"/>
      <c r="K409" s="540"/>
      <c r="L409" s="540"/>
      <c r="M409" s="540"/>
      <c r="N409" s="540"/>
      <c r="O409" s="540"/>
      <c r="P409" s="540"/>
      <c r="Q409" s="540"/>
      <c r="R409" s="540"/>
      <c r="S409" s="540"/>
      <c r="T409" s="540"/>
      <c r="U409" s="540"/>
      <c r="V409" s="540"/>
      <c r="W409" s="540"/>
      <c r="X409" s="540"/>
      <c r="Y409" s="540"/>
      <c r="Z409" s="540"/>
    </row>
    <row r="410" ht="14.25" customHeight="1">
      <c r="A410" s="540"/>
      <c r="B410" s="540"/>
      <c r="C410" s="540"/>
      <c r="D410" s="540"/>
      <c r="E410" s="540"/>
      <c r="F410" s="540"/>
      <c r="G410" s="540"/>
      <c r="H410" s="540"/>
      <c r="I410" s="540"/>
      <c r="J410" s="540"/>
      <c r="K410" s="540"/>
      <c r="L410" s="540"/>
      <c r="M410" s="540"/>
      <c r="N410" s="540"/>
      <c r="O410" s="540"/>
      <c r="P410" s="540"/>
      <c r="Q410" s="540"/>
      <c r="R410" s="540"/>
      <c r="S410" s="540"/>
      <c r="T410" s="540"/>
      <c r="U410" s="540"/>
      <c r="V410" s="540"/>
      <c r="W410" s="540"/>
      <c r="X410" s="540"/>
      <c r="Y410" s="540"/>
      <c r="Z410" s="540"/>
    </row>
    <row r="411" ht="14.25" customHeight="1">
      <c r="A411" s="540"/>
      <c r="B411" s="540"/>
      <c r="C411" s="540"/>
      <c r="D411" s="540"/>
      <c r="E411" s="540"/>
      <c r="F411" s="540"/>
      <c r="G411" s="540"/>
      <c r="H411" s="540"/>
      <c r="I411" s="540"/>
      <c r="J411" s="540"/>
      <c r="K411" s="540"/>
      <c r="L411" s="540"/>
      <c r="M411" s="540"/>
      <c r="N411" s="540"/>
      <c r="O411" s="540"/>
      <c r="P411" s="540"/>
      <c r="Q411" s="540"/>
      <c r="R411" s="540"/>
      <c r="S411" s="540"/>
      <c r="T411" s="540"/>
      <c r="U411" s="540"/>
      <c r="V411" s="540"/>
      <c r="W411" s="540"/>
      <c r="X411" s="540"/>
      <c r="Y411" s="540"/>
      <c r="Z411" s="540"/>
    </row>
    <row r="412" ht="14.25" customHeight="1">
      <c r="A412" s="540"/>
      <c r="B412" s="540"/>
      <c r="C412" s="540"/>
      <c r="D412" s="540"/>
      <c r="E412" s="540"/>
      <c r="F412" s="540"/>
      <c r="G412" s="540"/>
      <c r="H412" s="540"/>
      <c r="I412" s="540"/>
      <c r="J412" s="540"/>
      <c r="K412" s="540"/>
      <c r="L412" s="540"/>
      <c r="M412" s="540"/>
      <c r="N412" s="540"/>
      <c r="O412" s="540"/>
      <c r="P412" s="540"/>
      <c r="Q412" s="540"/>
      <c r="R412" s="540"/>
      <c r="S412" s="540"/>
      <c r="T412" s="540"/>
      <c r="U412" s="540"/>
      <c r="V412" s="540"/>
      <c r="W412" s="540"/>
      <c r="X412" s="540"/>
      <c r="Y412" s="540"/>
      <c r="Z412" s="540"/>
    </row>
    <row r="413" ht="14.25" customHeight="1">
      <c r="A413" s="540"/>
      <c r="B413" s="540"/>
      <c r="C413" s="540"/>
      <c r="D413" s="540"/>
      <c r="E413" s="540"/>
      <c r="F413" s="540"/>
      <c r="G413" s="540"/>
      <c r="H413" s="540"/>
      <c r="I413" s="540"/>
      <c r="J413" s="540"/>
      <c r="K413" s="540"/>
      <c r="L413" s="540"/>
      <c r="M413" s="540"/>
      <c r="N413" s="540"/>
      <c r="O413" s="540"/>
      <c r="P413" s="540"/>
      <c r="Q413" s="540"/>
      <c r="R413" s="540"/>
      <c r="S413" s="540"/>
      <c r="T413" s="540"/>
      <c r="U413" s="540"/>
      <c r="V413" s="540"/>
      <c r="W413" s="540"/>
      <c r="X413" s="540"/>
      <c r="Y413" s="540"/>
      <c r="Z413" s="540"/>
    </row>
    <row r="414" ht="14.25" customHeight="1">
      <c r="A414" s="540"/>
      <c r="B414" s="540"/>
      <c r="C414" s="540"/>
      <c r="D414" s="540"/>
      <c r="E414" s="540"/>
      <c r="F414" s="540"/>
      <c r="G414" s="540"/>
      <c r="H414" s="540"/>
      <c r="I414" s="540"/>
      <c r="J414" s="540"/>
      <c r="K414" s="540"/>
      <c r="L414" s="540"/>
      <c r="M414" s="540"/>
      <c r="N414" s="540"/>
      <c r="O414" s="540"/>
      <c r="P414" s="540"/>
      <c r="Q414" s="540"/>
      <c r="R414" s="540"/>
      <c r="S414" s="540"/>
      <c r="T414" s="540"/>
      <c r="U414" s="540"/>
      <c r="V414" s="540"/>
      <c r="W414" s="540"/>
      <c r="X414" s="540"/>
      <c r="Y414" s="540"/>
      <c r="Z414" s="540"/>
    </row>
    <row r="415" ht="14.25" customHeight="1">
      <c r="A415" s="540"/>
      <c r="B415" s="540"/>
      <c r="C415" s="540"/>
      <c r="D415" s="540"/>
      <c r="E415" s="540"/>
      <c r="F415" s="540"/>
      <c r="G415" s="540"/>
      <c r="H415" s="540"/>
      <c r="I415" s="540"/>
      <c r="J415" s="540"/>
      <c r="K415" s="540"/>
      <c r="L415" s="540"/>
      <c r="M415" s="540"/>
      <c r="N415" s="540"/>
      <c r="O415" s="540"/>
      <c r="P415" s="540"/>
      <c r="Q415" s="540"/>
      <c r="R415" s="540"/>
      <c r="S415" s="540"/>
      <c r="T415" s="540"/>
      <c r="U415" s="540"/>
      <c r="V415" s="540"/>
      <c r="W415" s="540"/>
      <c r="X415" s="540"/>
      <c r="Y415" s="540"/>
      <c r="Z415" s="540"/>
    </row>
    <row r="416" ht="14.25" customHeight="1">
      <c r="A416" s="540"/>
      <c r="B416" s="540"/>
      <c r="C416" s="540"/>
      <c r="D416" s="540"/>
      <c r="E416" s="540"/>
      <c r="F416" s="540"/>
      <c r="G416" s="540"/>
      <c r="H416" s="540"/>
      <c r="I416" s="540"/>
      <c r="J416" s="540"/>
      <c r="K416" s="540"/>
      <c r="L416" s="540"/>
      <c r="M416" s="540"/>
      <c r="N416" s="540"/>
      <c r="O416" s="540"/>
      <c r="P416" s="540"/>
      <c r="Q416" s="540"/>
      <c r="R416" s="540"/>
      <c r="S416" s="540"/>
      <c r="T416" s="540"/>
      <c r="U416" s="540"/>
      <c r="V416" s="540"/>
      <c r="W416" s="540"/>
      <c r="X416" s="540"/>
      <c r="Y416" s="540"/>
      <c r="Z416" s="540"/>
    </row>
    <row r="417" ht="14.25" customHeight="1">
      <c r="A417" s="540"/>
      <c r="B417" s="540"/>
      <c r="C417" s="540"/>
      <c r="D417" s="540"/>
      <c r="E417" s="540"/>
      <c r="F417" s="540"/>
      <c r="G417" s="540"/>
      <c r="H417" s="540"/>
      <c r="I417" s="540"/>
      <c r="J417" s="540"/>
      <c r="K417" s="540"/>
      <c r="L417" s="540"/>
      <c r="M417" s="540"/>
      <c r="N417" s="540"/>
      <c r="O417" s="540"/>
      <c r="P417" s="540"/>
      <c r="Q417" s="540"/>
      <c r="R417" s="540"/>
      <c r="S417" s="540"/>
      <c r="T417" s="540"/>
      <c r="U417" s="540"/>
      <c r="V417" s="540"/>
      <c r="W417" s="540"/>
      <c r="X417" s="540"/>
      <c r="Y417" s="540"/>
      <c r="Z417" s="540"/>
    </row>
    <row r="418" ht="14.25" customHeight="1">
      <c r="A418" s="540"/>
      <c r="B418" s="540"/>
      <c r="C418" s="540"/>
      <c r="D418" s="540"/>
      <c r="E418" s="540"/>
      <c r="F418" s="540"/>
      <c r="G418" s="540"/>
      <c r="H418" s="540"/>
      <c r="I418" s="540"/>
      <c r="J418" s="540"/>
      <c r="K418" s="540"/>
      <c r="L418" s="540"/>
      <c r="M418" s="540"/>
      <c r="N418" s="540"/>
      <c r="O418" s="540"/>
      <c r="P418" s="540"/>
      <c r="Q418" s="540"/>
      <c r="R418" s="540"/>
      <c r="S418" s="540"/>
      <c r="T418" s="540"/>
      <c r="U418" s="540"/>
      <c r="V418" s="540"/>
      <c r="W418" s="540"/>
      <c r="X418" s="540"/>
      <c r="Y418" s="540"/>
      <c r="Z418" s="540"/>
    </row>
    <row r="419" ht="14.25" customHeight="1">
      <c r="A419" s="540"/>
      <c r="B419" s="540"/>
      <c r="C419" s="540"/>
      <c r="D419" s="540"/>
      <c r="E419" s="540"/>
      <c r="F419" s="540"/>
      <c r="G419" s="540"/>
      <c r="H419" s="540"/>
      <c r="I419" s="540"/>
      <c r="J419" s="540"/>
      <c r="K419" s="540"/>
      <c r="L419" s="540"/>
      <c r="M419" s="540"/>
      <c r="N419" s="540"/>
      <c r="O419" s="540"/>
      <c r="P419" s="540"/>
      <c r="Q419" s="540"/>
      <c r="R419" s="540"/>
      <c r="S419" s="540"/>
      <c r="T419" s="540"/>
      <c r="U419" s="540"/>
      <c r="V419" s="540"/>
      <c r="W419" s="540"/>
      <c r="X419" s="540"/>
      <c r="Y419" s="540"/>
      <c r="Z419" s="540"/>
    </row>
    <row r="420" ht="14.25" customHeight="1">
      <c r="A420" s="540"/>
      <c r="B420" s="540"/>
      <c r="C420" s="540"/>
      <c r="D420" s="540"/>
      <c r="E420" s="540"/>
      <c r="F420" s="540"/>
      <c r="G420" s="540"/>
      <c r="H420" s="540"/>
      <c r="I420" s="540"/>
      <c r="J420" s="540"/>
      <c r="K420" s="540"/>
      <c r="L420" s="540"/>
      <c r="M420" s="540"/>
      <c r="N420" s="540"/>
      <c r="O420" s="540"/>
      <c r="P420" s="540"/>
      <c r="Q420" s="540"/>
      <c r="R420" s="540"/>
      <c r="S420" s="540"/>
      <c r="T420" s="540"/>
      <c r="U420" s="540"/>
      <c r="V420" s="540"/>
      <c r="W420" s="540"/>
      <c r="X420" s="540"/>
      <c r="Y420" s="540"/>
      <c r="Z420" s="540"/>
    </row>
    <row r="421" ht="14.25" customHeight="1">
      <c r="A421" s="540"/>
      <c r="B421" s="540"/>
      <c r="C421" s="540"/>
      <c r="D421" s="540"/>
      <c r="E421" s="540"/>
      <c r="F421" s="540"/>
      <c r="G421" s="540"/>
      <c r="H421" s="540"/>
      <c r="I421" s="540"/>
      <c r="J421" s="540"/>
      <c r="K421" s="540"/>
      <c r="L421" s="540"/>
      <c r="M421" s="540"/>
      <c r="N421" s="540"/>
      <c r="O421" s="540"/>
      <c r="P421" s="540"/>
      <c r="Q421" s="540"/>
      <c r="R421" s="540"/>
      <c r="S421" s="540"/>
      <c r="T421" s="540"/>
      <c r="U421" s="540"/>
      <c r="V421" s="540"/>
      <c r="W421" s="540"/>
      <c r="X421" s="540"/>
      <c r="Y421" s="540"/>
      <c r="Z421" s="540"/>
    </row>
    <row r="422" ht="14.25" customHeight="1">
      <c r="A422" s="540"/>
      <c r="B422" s="540"/>
      <c r="C422" s="540"/>
      <c r="D422" s="540"/>
      <c r="E422" s="540"/>
      <c r="F422" s="540"/>
      <c r="G422" s="540"/>
      <c r="H422" s="540"/>
      <c r="I422" s="540"/>
      <c r="J422" s="540"/>
      <c r="K422" s="540"/>
      <c r="L422" s="540"/>
      <c r="M422" s="540"/>
      <c r="N422" s="540"/>
      <c r="O422" s="540"/>
      <c r="P422" s="540"/>
      <c r="Q422" s="540"/>
      <c r="R422" s="540"/>
      <c r="S422" s="540"/>
      <c r="T422" s="540"/>
      <c r="U422" s="540"/>
      <c r="V422" s="540"/>
      <c r="W422" s="540"/>
      <c r="X422" s="540"/>
      <c r="Y422" s="540"/>
      <c r="Z422" s="540"/>
    </row>
    <row r="423" ht="14.25" customHeight="1">
      <c r="A423" s="540"/>
      <c r="B423" s="540"/>
      <c r="C423" s="540"/>
      <c r="D423" s="540"/>
      <c r="E423" s="540"/>
      <c r="F423" s="540"/>
      <c r="G423" s="540"/>
      <c r="H423" s="540"/>
      <c r="I423" s="540"/>
      <c r="J423" s="540"/>
      <c r="K423" s="540"/>
      <c r="L423" s="540"/>
      <c r="M423" s="540"/>
      <c r="N423" s="540"/>
      <c r="O423" s="540"/>
      <c r="P423" s="540"/>
      <c r="Q423" s="540"/>
      <c r="R423" s="540"/>
      <c r="S423" s="540"/>
      <c r="T423" s="540"/>
      <c r="U423" s="540"/>
      <c r="V423" s="540"/>
      <c r="W423" s="540"/>
      <c r="X423" s="540"/>
      <c r="Y423" s="540"/>
      <c r="Z423" s="540"/>
    </row>
    <row r="424" ht="14.25" customHeight="1">
      <c r="A424" s="540"/>
      <c r="B424" s="540"/>
      <c r="C424" s="540"/>
      <c r="D424" s="540"/>
      <c r="E424" s="540"/>
      <c r="F424" s="540"/>
      <c r="G424" s="540"/>
      <c r="H424" s="540"/>
      <c r="I424" s="540"/>
      <c r="J424" s="540"/>
      <c r="K424" s="540"/>
      <c r="L424" s="540"/>
      <c r="M424" s="540"/>
      <c r="N424" s="540"/>
      <c r="O424" s="540"/>
      <c r="P424" s="540"/>
      <c r="Q424" s="540"/>
      <c r="R424" s="540"/>
      <c r="S424" s="540"/>
      <c r="T424" s="540"/>
      <c r="U424" s="540"/>
      <c r="V424" s="540"/>
      <c r="W424" s="540"/>
      <c r="X424" s="540"/>
      <c r="Y424" s="540"/>
      <c r="Z424" s="540"/>
    </row>
    <row r="425" ht="14.25" customHeight="1">
      <c r="A425" s="540"/>
      <c r="B425" s="540"/>
      <c r="C425" s="540"/>
      <c r="D425" s="540"/>
      <c r="E425" s="540"/>
      <c r="F425" s="540"/>
      <c r="G425" s="540"/>
      <c r="H425" s="540"/>
      <c r="I425" s="540"/>
      <c r="J425" s="540"/>
      <c r="K425" s="540"/>
      <c r="L425" s="540"/>
      <c r="M425" s="540"/>
      <c r="N425" s="540"/>
      <c r="O425" s="540"/>
      <c r="P425" s="540"/>
      <c r="Q425" s="540"/>
      <c r="R425" s="540"/>
      <c r="S425" s="540"/>
      <c r="T425" s="540"/>
      <c r="U425" s="540"/>
      <c r="V425" s="540"/>
      <c r="W425" s="540"/>
      <c r="X425" s="540"/>
      <c r="Y425" s="540"/>
      <c r="Z425" s="540"/>
    </row>
    <row r="426" ht="14.25" customHeight="1">
      <c r="A426" s="540"/>
      <c r="B426" s="540"/>
      <c r="C426" s="540"/>
      <c r="D426" s="540"/>
      <c r="E426" s="540"/>
      <c r="F426" s="540"/>
      <c r="G426" s="540"/>
      <c r="H426" s="540"/>
      <c r="I426" s="540"/>
      <c r="J426" s="540"/>
      <c r="K426" s="540"/>
      <c r="L426" s="540"/>
      <c r="M426" s="540"/>
      <c r="N426" s="540"/>
      <c r="O426" s="540"/>
      <c r="P426" s="540"/>
      <c r="Q426" s="540"/>
      <c r="R426" s="540"/>
      <c r="S426" s="540"/>
      <c r="T426" s="540"/>
      <c r="U426" s="540"/>
      <c r="V426" s="540"/>
      <c r="W426" s="540"/>
      <c r="X426" s="540"/>
      <c r="Y426" s="540"/>
      <c r="Z426" s="540"/>
    </row>
    <row r="427" ht="14.25" customHeight="1">
      <c r="A427" s="540"/>
      <c r="B427" s="540"/>
      <c r="C427" s="540"/>
      <c r="D427" s="540"/>
      <c r="E427" s="540"/>
      <c r="F427" s="540"/>
      <c r="G427" s="540"/>
      <c r="H427" s="540"/>
      <c r="I427" s="540"/>
      <c r="J427" s="540"/>
      <c r="K427" s="540"/>
      <c r="L427" s="540"/>
      <c r="M427" s="540"/>
      <c r="N427" s="540"/>
      <c r="O427" s="540"/>
      <c r="P427" s="540"/>
      <c r="Q427" s="540"/>
      <c r="R427" s="540"/>
      <c r="S427" s="540"/>
      <c r="T427" s="540"/>
      <c r="U427" s="540"/>
      <c r="V427" s="540"/>
      <c r="W427" s="540"/>
      <c r="X427" s="540"/>
      <c r="Y427" s="540"/>
      <c r="Z427" s="540"/>
    </row>
    <row r="428" ht="14.25" customHeight="1">
      <c r="A428" s="540"/>
      <c r="B428" s="540"/>
      <c r="C428" s="540"/>
      <c r="D428" s="540"/>
      <c r="E428" s="540"/>
      <c r="F428" s="540"/>
      <c r="G428" s="540"/>
      <c r="H428" s="540"/>
      <c r="I428" s="540"/>
      <c r="J428" s="540"/>
      <c r="K428" s="540"/>
      <c r="L428" s="540"/>
      <c r="M428" s="540"/>
      <c r="N428" s="540"/>
      <c r="O428" s="540"/>
      <c r="P428" s="540"/>
      <c r="Q428" s="540"/>
      <c r="R428" s="540"/>
      <c r="S428" s="540"/>
      <c r="T428" s="540"/>
      <c r="U428" s="540"/>
      <c r="V428" s="540"/>
      <c r="W428" s="540"/>
      <c r="X428" s="540"/>
      <c r="Y428" s="540"/>
      <c r="Z428" s="540"/>
    </row>
    <row r="429" ht="14.25" customHeight="1">
      <c r="A429" s="540"/>
      <c r="B429" s="540"/>
      <c r="C429" s="540"/>
      <c r="D429" s="540"/>
      <c r="E429" s="540"/>
      <c r="F429" s="540"/>
      <c r="G429" s="540"/>
      <c r="H429" s="540"/>
      <c r="I429" s="540"/>
      <c r="J429" s="540"/>
      <c r="K429" s="540"/>
      <c r="L429" s="540"/>
      <c r="M429" s="540"/>
      <c r="N429" s="540"/>
      <c r="O429" s="540"/>
      <c r="P429" s="540"/>
      <c r="Q429" s="540"/>
      <c r="R429" s="540"/>
      <c r="S429" s="540"/>
      <c r="T429" s="540"/>
      <c r="U429" s="540"/>
      <c r="V429" s="540"/>
      <c r="W429" s="540"/>
      <c r="X429" s="540"/>
      <c r="Y429" s="540"/>
      <c r="Z429" s="540"/>
    </row>
    <row r="430" ht="14.25" customHeight="1">
      <c r="A430" s="540"/>
      <c r="B430" s="540"/>
      <c r="C430" s="540"/>
      <c r="D430" s="540"/>
      <c r="E430" s="540"/>
      <c r="F430" s="540"/>
      <c r="G430" s="540"/>
      <c r="H430" s="540"/>
      <c r="I430" s="540"/>
      <c r="J430" s="540"/>
      <c r="K430" s="540"/>
      <c r="L430" s="540"/>
      <c r="M430" s="540"/>
      <c r="N430" s="540"/>
      <c r="O430" s="540"/>
      <c r="P430" s="540"/>
      <c r="Q430" s="540"/>
      <c r="R430" s="540"/>
      <c r="S430" s="540"/>
      <c r="T430" s="540"/>
      <c r="U430" s="540"/>
      <c r="V430" s="540"/>
      <c r="W430" s="540"/>
      <c r="X430" s="540"/>
      <c r="Y430" s="540"/>
      <c r="Z430" s="540"/>
    </row>
    <row r="431" ht="14.25" customHeight="1">
      <c r="A431" s="540"/>
      <c r="B431" s="540"/>
      <c r="C431" s="540"/>
      <c r="D431" s="540"/>
      <c r="E431" s="540"/>
      <c r="F431" s="540"/>
      <c r="G431" s="540"/>
      <c r="H431" s="540"/>
      <c r="I431" s="540"/>
      <c r="J431" s="540"/>
      <c r="K431" s="540"/>
      <c r="L431" s="540"/>
      <c r="M431" s="540"/>
      <c r="N431" s="540"/>
      <c r="O431" s="540"/>
      <c r="P431" s="540"/>
      <c r="Q431" s="540"/>
      <c r="R431" s="540"/>
      <c r="S431" s="540"/>
      <c r="T431" s="540"/>
      <c r="U431" s="540"/>
      <c r="V431" s="540"/>
      <c r="W431" s="540"/>
      <c r="X431" s="540"/>
      <c r="Y431" s="540"/>
      <c r="Z431" s="540"/>
    </row>
    <row r="432" ht="14.25" customHeight="1">
      <c r="A432" s="540"/>
      <c r="B432" s="540"/>
      <c r="C432" s="540"/>
      <c r="D432" s="540"/>
      <c r="E432" s="540"/>
      <c r="F432" s="540"/>
      <c r="G432" s="540"/>
      <c r="H432" s="540"/>
      <c r="I432" s="540"/>
      <c r="J432" s="540"/>
      <c r="K432" s="540"/>
      <c r="L432" s="540"/>
      <c r="M432" s="540"/>
      <c r="N432" s="540"/>
      <c r="O432" s="540"/>
      <c r="P432" s="540"/>
      <c r="Q432" s="540"/>
      <c r="R432" s="540"/>
      <c r="S432" s="540"/>
      <c r="T432" s="540"/>
      <c r="U432" s="540"/>
      <c r="V432" s="540"/>
      <c r="W432" s="540"/>
      <c r="X432" s="540"/>
      <c r="Y432" s="540"/>
      <c r="Z432" s="540"/>
    </row>
    <row r="433" ht="14.25" customHeight="1">
      <c r="A433" s="540"/>
      <c r="B433" s="540"/>
      <c r="C433" s="540"/>
      <c r="D433" s="540"/>
      <c r="E433" s="540"/>
      <c r="F433" s="540"/>
      <c r="G433" s="540"/>
      <c r="H433" s="540"/>
      <c r="I433" s="540"/>
      <c r="J433" s="540"/>
      <c r="K433" s="540"/>
      <c r="L433" s="540"/>
      <c r="M433" s="540"/>
      <c r="N433" s="540"/>
      <c r="O433" s="540"/>
      <c r="P433" s="540"/>
      <c r="Q433" s="540"/>
      <c r="R433" s="540"/>
      <c r="S433" s="540"/>
      <c r="T433" s="540"/>
      <c r="U433" s="540"/>
      <c r="V433" s="540"/>
      <c r="W433" s="540"/>
      <c r="X433" s="540"/>
      <c r="Y433" s="540"/>
      <c r="Z433" s="540"/>
    </row>
    <row r="434" ht="14.25" customHeight="1">
      <c r="A434" s="540"/>
      <c r="B434" s="540"/>
      <c r="C434" s="540"/>
      <c r="D434" s="540"/>
      <c r="E434" s="540"/>
      <c r="F434" s="540"/>
      <c r="G434" s="540"/>
      <c r="H434" s="540"/>
      <c r="I434" s="540"/>
      <c r="J434" s="540"/>
      <c r="K434" s="540"/>
      <c r="L434" s="540"/>
      <c r="M434" s="540"/>
      <c r="N434" s="540"/>
      <c r="O434" s="540"/>
      <c r="P434" s="540"/>
      <c r="Q434" s="540"/>
      <c r="R434" s="540"/>
      <c r="S434" s="540"/>
      <c r="T434" s="540"/>
      <c r="U434" s="540"/>
      <c r="V434" s="540"/>
      <c r="W434" s="540"/>
      <c r="X434" s="540"/>
      <c r="Y434" s="540"/>
      <c r="Z434" s="540"/>
    </row>
    <row r="435" ht="14.25" customHeight="1">
      <c r="A435" s="540"/>
      <c r="B435" s="540"/>
      <c r="C435" s="540"/>
      <c r="D435" s="540"/>
      <c r="E435" s="540"/>
      <c r="F435" s="540"/>
      <c r="G435" s="540"/>
      <c r="H435" s="540"/>
      <c r="I435" s="540"/>
      <c r="J435" s="540"/>
      <c r="K435" s="540"/>
      <c r="L435" s="540"/>
      <c r="M435" s="540"/>
      <c r="N435" s="540"/>
      <c r="O435" s="540"/>
      <c r="P435" s="540"/>
      <c r="Q435" s="540"/>
      <c r="R435" s="540"/>
      <c r="S435" s="540"/>
      <c r="T435" s="540"/>
      <c r="U435" s="540"/>
      <c r="V435" s="540"/>
      <c r="W435" s="540"/>
      <c r="X435" s="540"/>
      <c r="Y435" s="540"/>
      <c r="Z435" s="540"/>
    </row>
    <row r="436" ht="14.25" customHeight="1">
      <c r="A436" s="540"/>
      <c r="B436" s="540"/>
      <c r="C436" s="540"/>
      <c r="D436" s="540"/>
      <c r="E436" s="540"/>
      <c r="F436" s="540"/>
      <c r="G436" s="540"/>
      <c r="H436" s="540"/>
      <c r="I436" s="540"/>
      <c r="J436" s="540"/>
      <c r="K436" s="540"/>
      <c r="L436" s="540"/>
      <c r="M436" s="540"/>
      <c r="N436" s="540"/>
      <c r="O436" s="540"/>
      <c r="P436" s="540"/>
      <c r="Q436" s="540"/>
      <c r="R436" s="540"/>
      <c r="S436" s="540"/>
      <c r="T436" s="540"/>
      <c r="U436" s="540"/>
      <c r="V436" s="540"/>
      <c r="W436" s="540"/>
      <c r="X436" s="540"/>
      <c r="Y436" s="540"/>
      <c r="Z436" s="540"/>
    </row>
    <row r="437" ht="14.25" customHeight="1">
      <c r="A437" s="540"/>
      <c r="B437" s="540"/>
      <c r="C437" s="540"/>
      <c r="D437" s="540"/>
      <c r="E437" s="540"/>
      <c r="F437" s="540"/>
      <c r="G437" s="540"/>
      <c r="H437" s="540"/>
      <c r="I437" s="540"/>
      <c r="J437" s="540"/>
      <c r="K437" s="540"/>
      <c r="L437" s="540"/>
      <c r="M437" s="540"/>
      <c r="N437" s="540"/>
      <c r="O437" s="540"/>
      <c r="P437" s="540"/>
      <c r="Q437" s="540"/>
      <c r="R437" s="540"/>
      <c r="S437" s="540"/>
      <c r="T437" s="540"/>
      <c r="U437" s="540"/>
      <c r="V437" s="540"/>
      <c r="W437" s="540"/>
      <c r="X437" s="540"/>
      <c r="Y437" s="540"/>
      <c r="Z437" s="540"/>
    </row>
    <row r="438" ht="14.25" customHeight="1">
      <c r="A438" s="540"/>
      <c r="B438" s="540"/>
      <c r="C438" s="540"/>
      <c r="D438" s="540"/>
      <c r="E438" s="540"/>
      <c r="F438" s="540"/>
      <c r="G438" s="540"/>
      <c r="H438" s="540"/>
      <c r="I438" s="540"/>
      <c r="J438" s="540"/>
      <c r="K438" s="540"/>
      <c r="L438" s="540"/>
      <c r="M438" s="540"/>
      <c r="N438" s="540"/>
      <c r="O438" s="540"/>
      <c r="P438" s="540"/>
      <c r="Q438" s="540"/>
      <c r="R438" s="540"/>
      <c r="S438" s="540"/>
      <c r="T438" s="540"/>
      <c r="U438" s="540"/>
      <c r="V438" s="540"/>
      <c r="W438" s="540"/>
      <c r="X438" s="540"/>
      <c r="Y438" s="540"/>
      <c r="Z438" s="540"/>
    </row>
    <row r="439" ht="14.25" customHeight="1">
      <c r="A439" s="540"/>
      <c r="B439" s="540"/>
      <c r="C439" s="540"/>
      <c r="D439" s="540"/>
      <c r="E439" s="540"/>
      <c r="F439" s="540"/>
      <c r="G439" s="540"/>
      <c r="H439" s="540"/>
      <c r="I439" s="540"/>
      <c r="J439" s="540"/>
      <c r="K439" s="540"/>
      <c r="L439" s="540"/>
      <c r="M439" s="540"/>
      <c r="N439" s="540"/>
      <c r="O439" s="540"/>
      <c r="P439" s="540"/>
      <c r="Q439" s="540"/>
      <c r="R439" s="540"/>
      <c r="S439" s="540"/>
      <c r="T439" s="540"/>
      <c r="U439" s="540"/>
      <c r="V439" s="540"/>
      <c r="W439" s="540"/>
      <c r="X439" s="540"/>
      <c r="Y439" s="540"/>
      <c r="Z439" s="540"/>
    </row>
    <row r="440" ht="14.25" customHeight="1">
      <c r="A440" s="540"/>
      <c r="B440" s="540"/>
      <c r="C440" s="540"/>
      <c r="D440" s="540"/>
      <c r="E440" s="540"/>
      <c r="F440" s="540"/>
      <c r="G440" s="540"/>
      <c r="H440" s="540"/>
      <c r="I440" s="540"/>
      <c r="J440" s="540"/>
      <c r="K440" s="540"/>
      <c r="L440" s="540"/>
      <c r="M440" s="540"/>
      <c r="N440" s="540"/>
      <c r="O440" s="540"/>
      <c r="P440" s="540"/>
      <c r="Q440" s="540"/>
      <c r="R440" s="540"/>
      <c r="S440" s="540"/>
      <c r="T440" s="540"/>
      <c r="U440" s="540"/>
      <c r="V440" s="540"/>
      <c r="W440" s="540"/>
      <c r="X440" s="540"/>
      <c r="Y440" s="540"/>
      <c r="Z440" s="540"/>
    </row>
    <row r="441" ht="14.25" customHeight="1">
      <c r="A441" s="540"/>
      <c r="B441" s="540"/>
      <c r="C441" s="540"/>
      <c r="D441" s="540"/>
      <c r="E441" s="540"/>
      <c r="F441" s="540"/>
      <c r="G441" s="540"/>
      <c r="H441" s="540"/>
      <c r="I441" s="540"/>
      <c r="J441" s="540"/>
      <c r="K441" s="540"/>
      <c r="L441" s="540"/>
      <c r="M441" s="540"/>
      <c r="N441" s="540"/>
      <c r="O441" s="540"/>
      <c r="P441" s="540"/>
      <c r="Q441" s="540"/>
      <c r="R441" s="540"/>
      <c r="S441" s="540"/>
      <c r="T441" s="540"/>
      <c r="U441" s="540"/>
      <c r="V441" s="540"/>
      <c r="W441" s="540"/>
      <c r="X441" s="540"/>
      <c r="Y441" s="540"/>
      <c r="Z441" s="540"/>
    </row>
    <row r="442" ht="14.25" customHeight="1">
      <c r="A442" s="540"/>
      <c r="B442" s="540"/>
      <c r="C442" s="540"/>
      <c r="D442" s="540"/>
      <c r="E442" s="540"/>
      <c r="F442" s="540"/>
      <c r="G442" s="540"/>
      <c r="H442" s="540"/>
      <c r="I442" s="540"/>
      <c r="J442" s="540"/>
      <c r="K442" s="540"/>
      <c r="L442" s="540"/>
      <c r="M442" s="540"/>
      <c r="N442" s="540"/>
      <c r="O442" s="540"/>
      <c r="P442" s="540"/>
      <c r="Q442" s="540"/>
      <c r="R442" s="540"/>
      <c r="S442" s="540"/>
      <c r="T442" s="540"/>
      <c r="U442" s="540"/>
      <c r="V442" s="540"/>
      <c r="W442" s="540"/>
      <c r="X442" s="540"/>
      <c r="Y442" s="540"/>
      <c r="Z442" s="540"/>
    </row>
    <row r="443" ht="14.25" customHeight="1">
      <c r="A443" s="540"/>
      <c r="B443" s="540"/>
      <c r="C443" s="540"/>
      <c r="D443" s="540"/>
      <c r="E443" s="540"/>
      <c r="F443" s="540"/>
      <c r="G443" s="540"/>
      <c r="H443" s="540"/>
      <c r="I443" s="540"/>
      <c r="J443" s="540"/>
      <c r="K443" s="540"/>
      <c r="L443" s="540"/>
      <c r="M443" s="540"/>
      <c r="N443" s="540"/>
      <c r="O443" s="540"/>
      <c r="P443" s="540"/>
      <c r="Q443" s="540"/>
      <c r="R443" s="540"/>
      <c r="S443" s="540"/>
      <c r="T443" s="540"/>
      <c r="U443" s="540"/>
      <c r="V443" s="540"/>
      <c r="W443" s="540"/>
      <c r="X443" s="540"/>
      <c r="Y443" s="540"/>
      <c r="Z443" s="540"/>
    </row>
    <row r="444" ht="14.25" customHeight="1">
      <c r="A444" s="540"/>
      <c r="B444" s="540"/>
      <c r="C444" s="540"/>
      <c r="D444" s="540"/>
      <c r="E444" s="540"/>
      <c r="F444" s="540"/>
      <c r="G444" s="540"/>
      <c r="H444" s="540"/>
      <c r="I444" s="540"/>
      <c r="J444" s="540"/>
      <c r="K444" s="540"/>
      <c r="L444" s="540"/>
      <c r="M444" s="540"/>
      <c r="N444" s="540"/>
      <c r="O444" s="540"/>
      <c r="P444" s="540"/>
      <c r="Q444" s="540"/>
      <c r="R444" s="540"/>
      <c r="S444" s="540"/>
      <c r="T444" s="540"/>
      <c r="U444" s="540"/>
      <c r="V444" s="540"/>
      <c r="W444" s="540"/>
      <c r="X444" s="540"/>
      <c r="Y444" s="540"/>
      <c r="Z444" s="540"/>
    </row>
    <row r="445" ht="14.25" customHeight="1">
      <c r="A445" s="540"/>
      <c r="B445" s="540"/>
      <c r="C445" s="540"/>
      <c r="D445" s="540"/>
      <c r="E445" s="540"/>
      <c r="F445" s="540"/>
      <c r="G445" s="540"/>
      <c r="H445" s="540"/>
      <c r="I445" s="540"/>
      <c r="J445" s="540"/>
      <c r="K445" s="540"/>
      <c r="L445" s="540"/>
      <c r="M445" s="540"/>
      <c r="N445" s="540"/>
      <c r="O445" s="540"/>
      <c r="P445" s="540"/>
      <c r="Q445" s="540"/>
      <c r="R445" s="540"/>
      <c r="S445" s="540"/>
      <c r="T445" s="540"/>
      <c r="U445" s="540"/>
      <c r="V445" s="540"/>
      <c r="W445" s="540"/>
      <c r="X445" s="540"/>
      <c r="Y445" s="540"/>
      <c r="Z445" s="540"/>
    </row>
    <row r="446" ht="14.25" customHeight="1">
      <c r="A446" s="540"/>
      <c r="B446" s="540"/>
      <c r="C446" s="540"/>
      <c r="D446" s="540"/>
      <c r="E446" s="540"/>
      <c r="F446" s="540"/>
      <c r="G446" s="540"/>
      <c r="H446" s="540"/>
      <c r="I446" s="540"/>
      <c r="J446" s="540"/>
      <c r="K446" s="540"/>
      <c r="L446" s="540"/>
      <c r="M446" s="540"/>
      <c r="N446" s="540"/>
      <c r="O446" s="540"/>
      <c r="P446" s="540"/>
      <c r="Q446" s="540"/>
      <c r="R446" s="540"/>
      <c r="S446" s="540"/>
      <c r="T446" s="540"/>
      <c r="U446" s="540"/>
      <c r="V446" s="540"/>
      <c r="W446" s="540"/>
      <c r="X446" s="540"/>
      <c r="Y446" s="540"/>
      <c r="Z446" s="540"/>
    </row>
    <row r="447" ht="14.25" customHeight="1">
      <c r="A447" s="540"/>
      <c r="B447" s="540"/>
      <c r="C447" s="540"/>
      <c r="D447" s="540"/>
      <c r="E447" s="540"/>
      <c r="F447" s="540"/>
      <c r="G447" s="540"/>
      <c r="H447" s="540"/>
      <c r="I447" s="540"/>
      <c r="J447" s="540"/>
      <c r="K447" s="540"/>
      <c r="L447" s="540"/>
      <c r="M447" s="540"/>
      <c r="N447" s="540"/>
      <c r="O447" s="540"/>
      <c r="P447" s="540"/>
      <c r="Q447" s="540"/>
      <c r="R447" s="540"/>
      <c r="S447" s="540"/>
      <c r="T447" s="540"/>
      <c r="U447" s="540"/>
      <c r="V447" s="540"/>
      <c r="W447" s="540"/>
      <c r="X447" s="540"/>
      <c r="Y447" s="540"/>
      <c r="Z447" s="540"/>
    </row>
    <row r="448" ht="14.25" customHeight="1">
      <c r="A448" s="540"/>
      <c r="B448" s="540"/>
      <c r="C448" s="540"/>
      <c r="D448" s="540"/>
      <c r="E448" s="540"/>
      <c r="F448" s="540"/>
      <c r="G448" s="540"/>
      <c r="H448" s="540"/>
      <c r="I448" s="540"/>
      <c r="J448" s="540"/>
      <c r="K448" s="540"/>
      <c r="L448" s="540"/>
      <c r="M448" s="540"/>
      <c r="N448" s="540"/>
      <c r="O448" s="540"/>
      <c r="P448" s="540"/>
      <c r="Q448" s="540"/>
      <c r="R448" s="540"/>
      <c r="S448" s="540"/>
      <c r="T448" s="540"/>
      <c r="U448" s="540"/>
      <c r="V448" s="540"/>
      <c r="W448" s="540"/>
      <c r="X448" s="540"/>
      <c r="Y448" s="540"/>
      <c r="Z448" s="540"/>
    </row>
    <row r="449" ht="14.25" customHeight="1">
      <c r="A449" s="540"/>
      <c r="B449" s="540"/>
      <c r="C449" s="540"/>
      <c r="D449" s="540"/>
      <c r="E449" s="540"/>
      <c r="F449" s="540"/>
      <c r="G449" s="540"/>
      <c r="H449" s="540"/>
      <c r="I449" s="540"/>
      <c r="J449" s="540"/>
      <c r="K449" s="540"/>
      <c r="L449" s="540"/>
      <c r="M449" s="540"/>
      <c r="N449" s="540"/>
      <c r="O449" s="540"/>
      <c r="P449" s="540"/>
      <c r="Q449" s="540"/>
      <c r="R449" s="540"/>
      <c r="S449" s="540"/>
      <c r="T449" s="540"/>
      <c r="U449" s="540"/>
      <c r="V449" s="540"/>
      <c r="W449" s="540"/>
      <c r="X449" s="540"/>
      <c r="Y449" s="540"/>
      <c r="Z449" s="540"/>
    </row>
    <row r="450" ht="14.25" customHeight="1">
      <c r="A450" s="540"/>
      <c r="B450" s="540"/>
      <c r="C450" s="540"/>
      <c r="D450" s="540"/>
      <c r="E450" s="540"/>
      <c r="F450" s="540"/>
      <c r="G450" s="540"/>
      <c r="H450" s="540"/>
      <c r="I450" s="540"/>
      <c r="J450" s="540"/>
      <c r="K450" s="540"/>
      <c r="L450" s="540"/>
      <c r="M450" s="540"/>
      <c r="N450" s="540"/>
      <c r="O450" s="540"/>
      <c r="P450" s="540"/>
      <c r="Q450" s="540"/>
      <c r="R450" s="540"/>
      <c r="S450" s="540"/>
      <c r="T450" s="540"/>
      <c r="U450" s="540"/>
      <c r="V450" s="540"/>
      <c r="W450" s="540"/>
      <c r="X450" s="540"/>
      <c r="Y450" s="540"/>
      <c r="Z450" s="540"/>
    </row>
    <row r="451" ht="14.25" customHeight="1">
      <c r="A451" s="540"/>
      <c r="B451" s="540"/>
      <c r="C451" s="540"/>
      <c r="D451" s="540"/>
      <c r="E451" s="540"/>
      <c r="F451" s="540"/>
      <c r="G451" s="540"/>
      <c r="H451" s="540"/>
      <c r="I451" s="540"/>
      <c r="J451" s="540"/>
      <c r="K451" s="540"/>
      <c r="L451" s="540"/>
      <c r="M451" s="540"/>
      <c r="N451" s="540"/>
      <c r="O451" s="540"/>
      <c r="P451" s="540"/>
      <c r="Q451" s="540"/>
      <c r="R451" s="540"/>
      <c r="S451" s="540"/>
      <c r="T451" s="540"/>
      <c r="U451" s="540"/>
      <c r="V451" s="540"/>
      <c r="W451" s="540"/>
      <c r="X451" s="540"/>
      <c r="Y451" s="540"/>
      <c r="Z451" s="540"/>
    </row>
    <row r="452" ht="14.25" customHeight="1">
      <c r="A452" s="540"/>
      <c r="B452" s="540"/>
      <c r="C452" s="540"/>
      <c r="D452" s="540"/>
      <c r="E452" s="540"/>
      <c r="F452" s="540"/>
      <c r="G452" s="540"/>
      <c r="H452" s="540"/>
      <c r="I452" s="540"/>
      <c r="J452" s="540"/>
      <c r="K452" s="540"/>
      <c r="L452" s="540"/>
      <c r="M452" s="540"/>
      <c r="N452" s="540"/>
      <c r="O452" s="540"/>
      <c r="P452" s="540"/>
      <c r="Q452" s="540"/>
      <c r="R452" s="540"/>
      <c r="S452" s="540"/>
      <c r="T452" s="540"/>
      <c r="U452" s="540"/>
      <c r="V452" s="540"/>
      <c r="W452" s="540"/>
      <c r="X452" s="540"/>
      <c r="Y452" s="540"/>
      <c r="Z452" s="540"/>
    </row>
    <row r="453" ht="14.25" customHeight="1">
      <c r="A453" s="540"/>
      <c r="B453" s="540"/>
      <c r="C453" s="540"/>
      <c r="D453" s="540"/>
      <c r="E453" s="540"/>
      <c r="F453" s="540"/>
      <c r="G453" s="540"/>
      <c r="H453" s="540"/>
      <c r="I453" s="540"/>
      <c r="J453" s="540"/>
      <c r="K453" s="540"/>
      <c r="L453" s="540"/>
      <c r="M453" s="540"/>
      <c r="N453" s="540"/>
      <c r="O453" s="540"/>
      <c r="P453" s="540"/>
      <c r="Q453" s="540"/>
      <c r="R453" s="540"/>
      <c r="S453" s="540"/>
      <c r="T453" s="540"/>
      <c r="U453" s="540"/>
      <c r="V453" s="540"/>
      <c r="W453" s="540"/>
      <c r="X453" s="540"/>
      <c r="Y453" s="540"/>
      <c r="Z453" s="540"/>
    </row>
    <row r="454" ht="14.25" customHeight="1">
      <c r="A454" s="540"/>
      <c r="B454" s="540"/>
      <c r="C454" s="540"/>
      <c r="D454" s="540"/>
      <c r="E454" s="540"/>
      <c r="F454" s="540"/>
      <c r="G454" s="540"/>
      <c r="H454" s="540"/>
      <c r="I454" s="540"/>
      <c r="J454" s="540"/>
      <c r="K454" s="540"/>
      <c r="L454" s="540"/>
      <c r="M454" s="540"/>
      <c r="N454" s="540"/>
      <c r="O454" s="540"/>
      <c r="P454" s="540"/>
      <c r="Q454" s="540"/>
      <c r="R454" s="540"/>
      <c r="S454" s="540"/>
      <c r="T454" s="540"/>
      <c r="U454" s="540"/>
      <c r="V454" s="540"/>
      <c r="W454" s="540"/>
      <c r="X454" s="540"/>
      <c r="Y454" s="540"/>
      <c r="Z454" s="540"/>
    </row>
    <row r="455" ht="14.25" customHeight="1">
      <c r="A455" s="540"/>
      <c r="B455" s="540"/>
      <c r="C455" s="540"/>
      <c r="D455" s="540"/>
      <c r="E455" s="540"/>
      <c r="F455" s="540"/>
      <c r="G455" s="540"/>
      <c r="H455" s="540"/>
      <c r="I455" s="540"/>
      <c r="J455" s="540"/>
      <c r="K455" s="540"/>
      <c r="L455" s="540"/>
      <c r="M455" s="540"/>
      <c r="N455" s="540"/>
      <c r="O455" s="540"/>
      <c r="P455" s="540"/>
      <c r="Q455" s="540"/>
      <c r="R455" s="540"/>
      <c r="S455" s="540"/>
      <c r="T455" s="540"/>
      <c r="U455" s="540"/>
      <c r="V455" s="540"/>
      <c r="W455" s="540"/>
      <c r="X455" s="540"/>
      <c r="Y455" s="540"/>
      <c r="Z455" s="540"/>
    </row>
    <row r="456" ht="14.25" customHeight="1">
      <c r="A456" s="540"/>
      <c r="B456" s="540"/>
      <c r="C456" s="540"/>
      <c r="D456" s="540"/>
      <c r="E456" s="540"/>
      <c r="F456" s="540"/>
      <c r="G456" s="540"/>
      <c r="H456" s="540"/>
      <c r="I456" s="540"/>
      <c r="J456" s="540"/>
      <c r="K456" s="540"/>
      <c r="L456" s="540"/>
      <c r="M456" s="540"/>
      <c r="N456" s="540"/>
      <c r="O456" s="540"/>
      <c r="P456" s="540"/>
      <c r="Q456" s="540"/>
      <c r="R456" s="540"/>
      <c r="S456" s="540"/>
      <c r="T456" s="540"/>
      <c r="U456" s="540"/>
      <c r="V456" s="540"/>
      <c r="W456" s="540"/>
      <c r="X456" s="540"/>
      <c r="Y456" s="540"/>
      <c r="Z456" s="540"/>
    </row>
    <row r="457" ht="14.25" customHeight="1">
      <c r="A457" s="540"/>
      <c r="B457" s="540"/>
      <c r="C457" s="540"/>
      <c r="D457" s="540"/>
      <c r="E457" s="540"/>
      <c r="F457" s="540"/>
      <c r="G457" s="540"/>
      <c r="H457" s="540"/>
      <c r="I457" s="540"/>
      <c r="J457" s="540"/>
      <c r="K457" s="540"/>
      <c r="L457" s="540"/>
      <c r="M457" s="540"/>
      <c r="N457" s="540"/>
      <c r="O457" s="540"/>
      <c r="P457" s="540"/>
      <c r="Q457" s="540"/>
      <c r="R457" s="540"/>
      <c r="S457" s="540"/>
      <c r="T457" s="540"/>
      <c r="U457" s="540"/>
      <c r="V457" s="540"/>
      <c r="W457" s="540"/>
      <c r="X457" s="540"/>
      <c r="Y457" s="540"/>
      <c r="Z457" s="540"/>
    </row>
    <row r="458" ht="14.25" customHeight="1">
      <c r="A458" s="540"/>
      <c r="B458" s="540"/>
      <c r="C458" s="540"/>
      <c r="D458" s="540"/>
      <c r="E458" s="540"/>
      <c r="F458" s="540"/>
      <c r="G458" s="540"/>
      <c r="H458" s="540"/>
      <c r="I458" s="540"/>
      <c r="J458" s="540"/>
      <c r="K458" s="540"/>
      <c r="L458" s="540"/>
      <c r="M458" s="540"/>
      <c r="N458" s="540"/>
      <c r="O458" s="540"/>
      <c r="P458" s="540"/>
      <c r="Q458" s="540"/>
      <c r="R458" s="540"/>
      <c r="S458" s="540"/>
      <c r="T458" s="540"/>
      <c r="U458" s="540"/>
      <c r="V458" s="540"/>
      <c r="W458" s="540"/>
      <c r="X458" s="540"/>
      <c r="Y458" s="540"/>
      <c r="Z458" s="540"/>
    </row>
    <row r="459" ht="14.25" customHeight="1">
      <c r="A459" s="540"/>
      <c r="B459" s="540"/>
      <c r="C459" s="540"/>
      <c r="D459" s="540"/>
      <c r="E459" s="540"/>
      <c r="F459" s="540"/>
      <c r="G459" s="540"/>
      <c r="H459" s="540"/>
      <c r="I459" s="540"/>
      <c r="J459" s="540"/>
      <c r="K459" s="540"/>
      <c r="L459" s="540"/>
      <c r="M459" s="540"/>
      <c r="N459" s="540"/>
      <c r="O459" s="540"/>
      <c r="P459" s="540"/>
      <c r="Q459" s="540"/>
      <c r="R459" s="540"/>
      <c r="S459" s="540"/>
      <c r="T459" s="540"/>
      <c r="U459" s="540"/>
      <c r="V459" s="540"/>
      <c r="W459" s="540"/>
      <c r="X459" s="540"/>
      <c r="Y459" s="540"/>
      <c r="Z459" s="540"/>
    </row>
    <row r="460" ht="14.25" customHeight="1">
      <c r="A460" s="540"/>
      <c r="B460" s="540"/>
      <c r="C460" s="540"/>
      <c r="D460" s="540"/>
      <c r="E460" s="540"/>
      <c r="F460" s="540"/>
      <c r="G460" s="540"/>
      <c r="H460" s="540"/>
      <c r="I460" s="540"/>
      <c r="J460" s="540"/>
      <c r="K460" s="540"/>
      <c r="L460" s="540"/>
      <c r="M460" s="540"/>
      <c r="N460" s="540"/>
      <c r="O460" s="540"/>
      <c r="P460" s="540"/>
      <c r="Q460" s="540"/>
      <c r="R460" s="540"/>
      <c r="S460" s="540"/>
      <c r="T460" s="540"/>
      <c r="U460" s="540"/>
      <c r="V460" s="540"/>
      <c r="W460" s="540"/>
      <c r="X460" s="540"/>
      <c r="Y460" s="540"/>
      <c r="Z460" s="540"/>
    </row>
    <row r="461" ht="14.25" customHeight="1">
      <c r="A461" s="540"/>
      <c r="B461" s="540"/>
      <c r="C461" s="540"/>
      <c r="D461" s="540"/>
      <c r="E461" s="540"/>
      <c r="F461" s="540"/>
      <c r="G461" s="540"/>
      <c r="H461" s="540"/>
      <c r="I461" s="540"/>
      <c r="J461" s="540"/>
      <c r="K461" s="540"/>
      <c r="L461" s="540"/>
      <c r="M461" s="540"/>
      <c r="N461" s="540"/>
      <c r="O461" s="540"/>
      <c r="P461" s="540"/>
      <c r="Q461" s="540"/>
      <c r="R461" s="540"/>
      <c r="S461" s="540"/>
      <c r="T461" s="540"/>
      <c r="U461" s="540"/>
      <c r="V461" s="540"/>
      <c r="W461" s="540"/>
      <c r="X461" s="540"/>
      <c r="Y461" s="540"/>
      <c r="Z461" s="540"/>
    </row>
    <row r="462" ht="14.25" customHeight="1">
      <c r="A462" s="540"/>
      <c r="B462" s="540"/>
      <c r="C462" s="540"/>
      <c r="D462" s="540"/>
      <c r="E462" s="540"/>
      <c r="F462" s="540"/>
      <c r="G462" s="540"/>
      <c r="H462" s="540"/>
      <c r="I462" s="540"/>
      <c r="J462" s="540"/>
      <c r="K462" s="540"/>
      <c r="L462" s="540"/>
      <c r="M462" s="540"/>
      <c r="N462" s="540"/>
      <c r="O462" s="540"/>
      <c r="P462" s="540"/>
      <c r="Q462" s="540"/>
      <c r="R462" s="540"/>
      <c r="S462" s="540"/>
      <c r="T462" s="540"/>
      <c r="U462" s="540"/>
      <c r="V462" s="540"/>
      <c r="W462" s="540"/>
      <c r="X462" s="540"/>
      <c r="Y462" s="540"/>
      <c r="Z462" s="540"/>
    </row>
    <row r="463" ht="14.25" customHeight="1">
      <c r="A463" s="540"/>
      <c r="B463" s="540"/>
      <c r="C463" s="540"/>
      <c r="D463" s="540"/>
      <c r="E463" s="540"/>
      <c r="F463" s="540"/>
      <c r="G463" s="540"/>
      <c r="H463" s="540"/>
      <c r="I463" s="540"/>
      <c r="J463" s="540"/>
      <c r="K463" s="540"/>
      <c r="L463" s="540"/>
      <c r="M463" s="540"/>
      <c r="N463" s="540"/>
      <c r="O463" s="540"/>
      <c r="P463" s="540"/>
      <c r="Q463" s="540"/>
      <c r="R463" s="540"/>
      <c r="S463" s="540"/>
      <c r="T463" s="540"/>
      <c r="U463" s="540"/>
      <c r="V463" s="540"/>
      <c r="W463" s="540"/>
      <c r="X463" s="540"/>
      <c r="Y463" s="540"/>
      <c r="Z463" s="540"/>
    </row>
    <row r="464" ht="14.25" customHeight="1">
      <c r="A464" s="540"/>
      <c r="B464" s="540"/>
      <c r="C464" s="540"/>
      <c r="D464" s="540"/>
      <c r="E464" s="540"/>
      <c r="F464" s="540"/>
      <c r="G464" s="540"/>
      <c r="H464" s="540"/>
      <c r="I464" s="540"/>
      <c r="J464" s="540"/>
      <c r="K464" s="540"/>
      <c r="L464" s="540"/>
      <c r="M464" s="540"/>
      <c r="N464" s="540"/>
      <c r="O464" s="540"/>
      <c r="P464" s="540"/>
      <c r="Q464" s="540"/>
      <c r="R464" s="540"/>
      <c r="S464" s="540"/>
      <c r="T464" s="540"/>
      <c r="U464" s="540"/>
      <c r="V464" s="540"/>
      <c r="W464" s="540"/>
      <c r="X464" s="540"/>
      <c r="Y464" s="540"/>
      <c r="Z464" s="540"/>
    </row>
    <row r="465" ht="14.25" customHeight="1">
      <c r="A465" s="540"/>
      <c r="B465" s="540"/>
      <c r="C465" s="540"/>
      <c r="D465" s="540"/>
      <c r="E465" s="540"/>
      <c r="F465" s="540"/>
      <c r="G465" s="540"/>
      <c r="H465" s="540"/>
      <c r="I465" s="540"/>
      <c r="J465" s="540"/>
      <c r="K465" s="540"/>
      <c r="L465" s="540"/>
      <c r="M465" s="540"/>
      <c r="N465" s="540"/>
      <c r="O465" s="540"/>
      <c r="P465" s="540"/>
      <c r="Q465" s="540"/>
      <c r="R465" s="540"/>
      <c r="S465" s="540"/>
      <c r="T465" s="540"/>
      <c r="U465" s="540"/>
      <c r="V465" s="540"/>
      <c r="W465" s="540"/>
      <c r="X465" s="540"/>
      <c r="Y465" s="540"/>
      <c r="Z465" s="540"/>
    </row>
    <row r="466" ht="14.25" customHeight="1">
      <c r="A466" s="540"/>
      <c r="B466" s="540"/>
      <c r="C466" s="540"/>
      <c r="D466" s="540"/>
      <c r="E466" s="540"/>
      <c r="F466" s="540"/>
      <c r="G466" s="540"/>
      <c r="H466" s="540"/>
      <c r="I466" s="540"/>
      <c r="J466" s="540"/>
      <c r="K466" s="540"/>
      <c r="L466" s="540"/>
      <c r="M466" s="540"/>
      <c r="N466" s="540"/>
      <c r="O466" s="540"/>
      <c r="P466" s="540"/>
      <c r="Q466" s="540"/>
      <c r="R466" s="540"/>
      <c r="S466" s="540"/>
      <c r="T466" s="540"/>
      <c r="U466" s="540"/>
      <c r="V466" s="540"/>
      <c r="W466" s="540"/>
      <c r="X466" s="540"/>
      <c r="Y466" s="540"/>
      <c r="Z466" s="540"/>
    </row>
    <row r="467" ht="14.25" customHeight="1">
      <c r="A467" s="540"/>
      <c r="B467" s="540"/>
      <c r="C467" s="540"/>
      <c r="D467" s="540"/>
      <c r="E467" s="540"/>
      <c r="F467" s="540"/>
      <c r="G467" s="540"/>
      <c r="H467" s="540"/>
      <c r="I467" s="540"/>
      <c r="J467" s="540"/>
      <c r="K467" s="540"/>
      <c r="L467" s="540"/>
      <c r="M467" s="540"/>
      <c r="N467" s="540"/>
      <c r="O467" s="540"/>
      <c r="P467" s="540"/>
      <c r="Q467" s="540"/>
      <c r="R467" s="540"/>
      <c r="S467" s="540"/>
      <c r="T467" s="540"/>
      <c r="U467" s="540"/>
      <c r="V467" s="540"/>
      <c r="W467" s="540"/>
      <c r="X467" s="540"/>
      <c r="Y467" s="540"/>
      <c r="Z467" s="540"/>
    </row>
    <row r="468" ht="14.25" customHeight="1">
      <c r="A468" s="540"/>
      <c r="B468" s="540"/>
      <c r="C468" s="540"/>
      <c r="D468" s="540"/>
      <c r="E468" s="540"/>
      <c r="F468" s="540"/>
      <c r="G468" s="540"/>
      <c r="H468" s="540"/>
      <c r="I468" s="540"/>
      <c r="J468" s="540"/>
      <c r="K468" s="540"/>
      <c r="L468" s="540"/>
      <c r="M468" s="540"/>
      <c r="N468" s="540"/>
      <c r="O468" s="540"/>
      <c r="P468" s="540"/>
      <c r="Q468" s="540"/>
      <c r="R468" s="540"/>
      <c r="S468" s="540"/>
      <c r="T468" s="540"/>
      <c r="U468" s="540"/>
      <c r="V468" s="540"/>
      <c r="W468" s="540"/>
      <c r="X468" s="540"/>
      <c r="Y468" s="540"/>
      <c r="Z468" s="540"/>
    </row>
    <row r="469" ht="14.25" customHeight="1">
      <c r="A469" s="540"/>
      <c r="B469" s="540"/>
      <c r="C469" s="540"/>
      <c r="D469" s="540"/>
      <c r="E469" s="540"/>
      <c r="F469" s="540"/>
      <c r="G469" s="540"/>
      <c r="H469" s="540"/>
      <c r="I469" s="540"/>
      <c r="J469" s="540"/>
      <c r="K469" s="540"/>
      <c r="L469" s="540"/>
      <c r="M469" s="540"/>
      <c r="N469" s="540"/>
      <c r="O469" s="540"/>
      <c r="P469" s="540"/>
      <c r="Q469" s="540"/>
      <c r="R469" s="540"/>
      <c r="S469" s="540"/>
      <c r="T469" s="540"/>
      <c r="U469" s="540"/>
      <c r="V469" s="540"/>
      <c r="W469" s="540"/>
      <c r="X469" s="540"/>
      <c r="Y469" s="540"/>
      <c r="Z469" s="540"/>
    </row>
    <row r="470" ht="14.25" customHeight="1">
      <c r="A470" s="540"/>
      <c r="B470" s="540"/>
      <c r="C470" s="540"/>
      <c r="D470" s="540"/>
      <c r="E470" s="540"/>
      <c r="F470" s="540"/>
      <c r="G470" s="540"/>
      <c r="H470" s="540"/>
      <c r="I470" s="540"/>
      <c r="J470" s="540"/>
      <c r="K470" s="540"/>
      <c r="L470" s="540"/>
      <c r="M470" s="540"/>
      <c r="N470" s="540"/>
      <c r="O470" s="540"/>
      <c r="P470" s="540"/>
      <c r="Q470" s="540"/>
      <c r="R470" s="540"/>
      <c r="S470" s="540"/>
      <c r="T470" s="540"/>
      <c r="U470" s="540"/>
      <c r="V470" s="540"/>
      <c r="W470" s="540"/>
      <c r="X470" s="540"/>
      <c r="Y470" s="540"/>
      <c r="Z470" s="540"/>
    </row>
    <row r="471" ht="14.25" customHeight="1">
      <c r="A471" s="540"/>
      <c r="B471" s="540"/>
      <c r="C471" s="540"/>
      <c r="D471" s="540"/>
      <c r="E471" s="540"/>
      <c r="F471" s="540"/>
      <c r="G471" s="540"/>
      <c r="H471" s="540"/>
      <c r="I471" s="540"/>
      <c r="J471" s="540"/>
      <c r="K471" s="540"/>
      <c r="L471" s="540"/>
      <c r="M471" s="540"/>
      <c r="N471" s="540"/>
      <c r="O471" s="540"/>
      <c r="P471" s="540"/>
      <c r="Q471" s="540"/>
      <c r="R471" s="540"/>
      <c r="S471" s="540"/>
      <c r="T471" s="540"/>
      <c r="U471" s="540"/>
      <c r="V471" s="540"/>
      <c r="W471" s="540"/>
      <c r="X471" s="540"/>
      <c r="Y471" s="540"/>
      <c r="Z471" s="540"/>
    </row>
    <row r="472" ht="14.25" customHeight="1">
      <c r="A472" s="540"/>
      <c r="B472" s="540"/>
      <c r="C472" s="540"/>
      <c r="D472" s="540"/>
      <c r="E472" s="540"/>
      <c r="F472" s="540"/>
      <c r="G472" s="540"/>
      <c r="H472" s="540"/>
      <c r="I472" s="540"/>
      <c r="J472" s="540"/>
      <c r="K472" s="540"/>
      <c r="L472" s="540"/>
      <c r="M472" s="540"/>
      <c r="N472" s="540"/>
      <c r="O472" s="540"/>
      <c r="P472" s="540"/>
      <c r="Q472" s="540"/>
      <c r="R472" s="540"/>
      <c r="S472" s="540"/>
      <c r="T472" s="540"/>
      <c r="U472" s="540"/>
      <c r="V472" s="540"/>
      <c r="W472" s="540"/>
      <c r="X472" s="540"/>
      <c r="Y472" s="540"/>
      <c r="Z472" s="540"/>
    </row>
    <row r="473" ht="14.25" customHeight="1">
      <c r="A473" s="540"/>
      <c r="B473" s="540"/>
      <c r="C473" s="540"/>
      <c r="D473" s="540"/>
      <c r="E473" s="540"/>
      <c r="F473" s="540"/>
      <c r="G473" s="540"/>
      <c r="H473" s="540"/>
      <c r="I473" s="540"/>
      <c r="J473" s="540"/>
      <c r="K473" s="540"/>
      <c r="L473" s="540"/>
      <c r="M473" s="540"/>
      <c r="N473" s="540"/>
      <c r="O473" s="540"/>
      <c r="P473" s="540"/>
      <c r="Q473" s="540"/>
      <c r="R473" s="540"/>
      <c r="S473" s="540"/>
      <c r="T473" s="540"/>
      <c r="U473" s="540"/>
      <c r="V473" s="540"/>
      <c r="W473" s="540"/>
      <c r="X473" s="540"/>
      <c r="Y473" s="540"/>
      <c r="Z473" s="540"/>
    </row>
    <row r="474" ht="14.25" customHeight="1">
      <c r="A474" s="540"/>
      <c r="B474" s="540"/>
      <c r="C474" s="540"/>
      <c r="D474" s="540"/>
      <c r="E474" s="540"/>
      <c r="F474" s="540"/>
      <c r="G474" s="540"/>
      <c r="H474" s="540"/>
      <c r="I474" s="540"/>
      <c r="J474" s="540"/>
      <c r="K474" s="540"/>
      <c r="L474" s="540"/>
      <c r="M474" s="540"/>
      <c r="N474" s="540"/>
      <c r="O474" s="540"/>
      <c r="P474" s="540"/>
      <c r="Q474" s="540"/>
      <c r="R474" s="540"/>
      <c r="S474" s="540"/>
      <c r="T474" s="540"/>
      <c r="U474" s="540"/>
      <c r="V474" s="540"/>
      <c r="W474" s="540"/>
      <c r="X474" s="540"/>
      <c r="Y474" s="540"/>
      <c r="Z474" s="540"/>
    </row>
    <row r="475" ht="14.25" customHeight="1">
      <c r="A475" s="540"/>
      <c r="B475" s="540"/>
      <c r="C475" s="540"/>
      <c r="D475" s="540"/>
      <c r="E475" s="540"/>
      <c r="F475" s="540"/>
      <c r="G475" s="540"/>
      <c r="H475" s="540"/>
      <c r="I475" s="540"/>
      <c r="J475" s="540"/>
      <c r="K475" s="540"/>
      <c r="L475" s="540"/>
      <c r="M475" s="540"/>
      <c r="N475" s="540"/>
      <c r="O475" s="540"/>
      <c r="P475" s="540"/>
      <c r="Q475" s="540"/>
      <c r="R475" s="540"/>
      <c r="S475" s="540"/>
      <c r="T475" s="540"/>
      <c r="U475" s="540"/>
      <c r="V475" s="540"/>
      <c r="W475" s="540"/>
      <c r="X475" s="540"/>
      <c r="Y475" s="540"/>
      <c r="Z475" s="540"/>
    </row>
    <row r="476" ht="14.25" customHeight="1">
      <c r="A476" s="540"/>
      <c r="B476" s="540"/>
      <c r="C476" s="540"/>
      <c r="D476" s="540"/>
      <c r="E476" s="540"/>
      <c r="F476" s="540"/>
      <c r="G476" s="540"/>
      <c r="H476" s="540"/>
      <c r="I476" s="540"/>
      <c r="J476" s="540"/>
      <c r="K476" s="540"/>
      <c r="L476" s="540"/>
      <c r="M476" s="540"/>
      <c r="N476" s="540"/>
      <c r="O476" s="540"/>
      <c r="P476" s="540"/>
      <c r="Q476" s="540"/>
      <c r="R476" s="540"/>
      <c r="S476" s="540"/>
      <c r="T476" s="540"/>
      <c r="U476" s="540"/>
      <c r="V476" s="540"/>
      <c r="W476" s="540"/>
      <c r="X476" s="540"/>
      <c r="Y476" s="540"/>
      <c r="Z476" s="540"/>
    </row>
    <row r="477" ht="14.25" customHeight="1">
      <c r="A477" s="540"/>
      <c r="B477" s="540"/>
      <c r="C477" s="540"/>
      <c r="D477" s="540"/>
      <c r="E477" s="540"/>
      <c r="F477" s="540"/>
      <c r="G477" s="540"/>
      <c r="H477" s="540"/>
      <c r="I477" s="540"/>
      <c r="J477" s="540"/>
      <c r="K477" s="540"/>
      <c r="L477" s="540"/>
      <c r="M477" s="540"/>
      <c r="N477" s="540"/>
      <c r="O477" s="540"/>
      <c r="P477" s="540"/>
      <c r="Q477" s="540"/>
      <c r="R477" s="540"/>
      <c r="S477" s="540"/>
      <c r="T477" s="540"/>
      <c r="U477" s="540"/>
      <c r="V477" s="540"/>
      <c r="W477" s="540"/>
      <c r="X477" s="540"/>
      <c r="Y477" s="540"/>
      <c r="Z477" s="540"/>
    </row>
    <row r="478" ht="14.25" customHeight="1">
      <c r="A478" s="540"/>
      <c r="B478" s="540"/>
      <c r="C478" s="540"/>
      <c r="D478" s="540"/>
      <c r="E478" s="540"/>
      <c r="F478" s="540"/>
      <c r="G478" s="540"/>
      <c r="H478" s="540"/>
      <c r="I478" s="540"/>
      <c r="J478" s="540"/>
      <c r="K478" s="540"/>
      <c r="L478" s="540"/>
      <c r="M478" s="540"/>
      <c r="N478" s="540"/>
      <c r="O478" s="540"/>
      <c r="P478" s="540"/>
      <c r="Q478" s="540"/>
      <c r="R478" s="540"/>
      <c r="S478" s="540"/>
      <c r="T478" s="540"/>
      <c r="U478" s="540"/>
      <c r="V478" s="540"/>
      <c r="W478" s="540"/>
      <c r="X478" s="540"/>
      <c r="Y478" s="540"/>
      <c r="Z478" s="540"/>
    </row>
    <row r="479" ht="14.25" customHeight="1">
      <c r="A479" s="540"/>
      <c r="B479" s="540"/>
      <c r="C479" s="540"/>
      <c r="D479" s="540"/>
      <c r="E479" s="540"/>
      <c r="F479" s="540"/>
      <c r="G479" s="540"/>
      <c r="H479" s="540"/>
      <c r="I479" s="540"/>
      <c r="J479" s="540"/>
      <c r="K479" s="540"/>
      <c r="L479" s="540"/>
      <c r="M479" s="540"/>
      <c r="N479" s="540"/>
      <c r="O479" s="540"/>
      <c r="P479" s="540"/>
      <c r="Q479" s="540"/>
      <c r="R479" s="540"/>
      <c r="S479" s="540"/>
      <c r="T479" s="540"/>
      <c r="U479" s="540"/>
      <c r="V479" s="540"/>
      <c r="W479" s="540"/>
      <c r="X479" s="540"/>
      <c r="Y479" s="540"/>
      <c r="Z479" s="540"/>
    </row>
    <row r="480" ht="14.25" customHeight="1">
      <c r="A480" s="540"/>
      <c r="B480" s="540"/>
      <c r="C480" s="540"/>
      <c r="D480" s="540"/>
      <c r="E480" s="540"/>
      <c r="F480" s="540"/>
      <c r="G480" s="540"/>
      <c r="H480" s="540"/>
      <c r="I480" s="540"/>
      <c r="J480" s="540"/>
      <c r="K480" s="540"/>
      <c r="L480" s="540"/>
      <c r="M480" s="540"/>
      <c r="N480" s="540"/>
      <c r="O480" s="540"/>
      <c r="P480" s="540"/>
      <c r="Q480" s="540"/>
      <c r="R480" s="540"/>
      <c r="S480" s="540"/>
      <c r="T480" s="540"/>
      <c r="U480" s="540"/>
      <c r="V480" s="540"/>
      <c r="W480" s="540"/>
      <c r="X480" s="540"/>
      <c r="Y480" s="540"/>
      <c r="Z480" s="540"/>
    </row>
    <row r="481" ht="14.25" customHeight="1">
      <c r="A481" s="540"/>
      <c r="B481" s="540"/>
      <c r="C481" s="540"/>
      <c r="D481" s="540"/>
      <c r="E481" s="540"/>
      <c r="F481" s="540"/>
      <c r="G481" s="540"/>
      <c r="H481" s="540"/>
      <c r="I481" s="540"/>
      <c r="J481" s="540"/>
      <c r="K481" s="540"/>
      <c r="L481" s="540"/>
      <c r="M481" s="540"/>
      <c r="N481" s="540"/>
      <c r="O481" s="540"/>
      <c r="P481" s="540"/>
      <c r="Q481" s="540"/>
      <c r="R481" s="540"/>
      <c r="S481" s="540"/>
      <c r="T481" s="540"/>
      <c r="U481" s="540"/>
      <c r="V481" s="540"/>
      <c r="W481" s="540"/>
      <c r="X481" s="540"/>
      <c r="Y481" s="540"/>
      <c r="Z481" s="540"/>
    </row>
    <row r="482" ht="14.25" customHeight="1">
      <c r="A482" s="540"/>
      <c r="B482" s="540"/>
      <c r="C482" s="540"/>
      <c r="D482" s="540"/>
      <c r="E482" s="540"/>
      <c r="F482" s="540"/>
      <c r="G482" s="540"/>
      <c r="H482" s="540"/>
      <c r="I482" s="540"/>
      <c r="J482" s="540"/>
      <c r="K482" s="540"/>
      <c r="L482" s="540"/>
      <c r="M482" s="540"/>
      <c r="N482" s="540"/>
      <c r="O482" s="540"/>
      <c r="P482" s="540"/>
      <c r="Q482" s="540"/>
      <c r="R482" s="540"/>
      <c r="S482" s="540"/>
      <c r="T482" s="540"/>
      <c r="U482" s="540"/>
      <c r="V482" s="540"/>
      <c r="W482" s="540"/>
      <c r="X482" s="540"/>
      <c r="Y482" s="540"/>
      <c r="Z482" s="540"/>
    </row>
    <row r="483" ht="14.25" customHeight="1">
      <c r="A483" s="540"/>
      <c r="B483" s="540"/>
      <c r="C483" s="540"/>
      <c r="D483" s="540"/>
      <c r="E483" s="540"/>
      <c r="F483" s="540"/>
      <c r="G483" s="540"/>
      <c r="H483" s="540"/>
      <c r="I483" s="540"/>
      <c r="J483" s="540"/>
      <c r="K483" s="540"/>
      <c r="L483" s="540"/>
      <c r="M483" s="540"/>
      <c r="N483" s="540"/>
      <c r="O483" s="540"/>
      <c r="P483" s="540"/>
      <c r="Q483" s="540"/>
      <c r="R483" s="540"/>
      <c r="S483" s="540"/>
      <c r="T483" s="540"/>
      <c r="U483" s="540"/>
      <c r="V483" s="540"/>
      <c r="W483" s="540"/>
      <c r="X483" s="540"/>
      <c r="Y483" s="540"/>
      <c r="Z483" s="540"/>
    </row>
    <row r="484" ht="14.25" customHeight="1">
      <c r="A484" s="540"/>
      <c r="B484" s="540"/>
      <c r="C484" s="540"/>
      <c r="D484" s="540"/>
      <c r="E484" s="540"/>
      <c r="F484" s="540"/>
      <c r="G484" s="540"/>
      <c r="H484" s="540"/>
      <c r="I484" s="540"/>
      <c r="J484" s="540"/>
      <c r="K484" s="540"/>
      <c r="L484" s="540"/>
      <c r="M484" s="540"/>
      <c r="N484" s="540"/>
      <c r="O484" s="540"/>
      <c r="P484" s="540"/>
      <c r="Q484" s="540"/>
      <c r="R484" s="540"/>
      <c r="S484" s="540"/>
      <c r="T484" s="540"/>
      <c r="U484" s="540"/>
      <c r="V484" s="540"/>
      <c r="W484" s="540"/>
      <c r="X484" s="540"/>
      <c r="Y484" s="540"/>
      <c r="Z484" s="540"/>
    </row>
    <row r="485" ht="14.25" customHeight="1">
      <c r="A485" s="540"/>
      <c r="B485" s="540"/>
      <c r="C485" s="540"/>
      <c r="D485" s="540"/>
      <c r="E485" s="540"/>
      <c r="F485" s="540"/>
      <c r="G485" s="540"/>
      <c r="H485" s="540"/>
      <c r="I485" s="540"/>
      <c r="J485" s="540"/>
      <c r="K485" s="540"/>
      <c r="L485" s="540"/>
      <c r="M485" s="540"/>
      <c r="N485" s="540"/>
      <c r="O485" s="540"/>
      <c r="P485" s="540"/>
      <c r="Q485" s="540"/>
      <c r="R485" s="540"/>
      <c r="S485" s="540"/>
      <c r="T485" s="540"/>
      <c r="U485" s="540"/>
      <c r="V485" s="540"/>
      <c r="W485" s="540"/>
      <c r="X485" s="540"/>
      <c r="Y485" s="540"/>
      <c r="Z485" s="540"/>
    </row>
    <row r="486" ht="14.25" customHeight="1">
      <c r="A486" s="540"/>
      <c r="B486" s="540"/>
      <c r="C486" s="540"/>
      <c r="D486" s="540"/>
      <c r="E486" s="540"/>
      <c r="F486" s="540"/>
      <c r="G486" s="540"/>
      <c r="H486" s="540"/>
      <c r="I486" s="540"/>
      <c r="J486" s="540"/>
      <c r="K486" s="540"/>
      <c r="L486" s="540"/>
      <c r="M486" s="540"/>
      <c r="N486" s="540"/>
      <c r="O486" s="540"/>
      <c r="P486" s="540"/>
      <c r="Q486" s="540"/>
      <c r="R486" s="540"/>
      <c r="S486" s="540"/>
      <c r="T486" s="540"/>
      <c r="U486" s="540"/>
      <c r="V486" s="540"/>
      <c r="W486" s="540"/>
      <c r="X486" s="540"/>
      <c r="Y486" s="540"/>
      <c r="Z486" s="540"/>
    </row>
    <row r="487" ht="14.25" customHeight="1">
      <c r="A487" s="540"/>
      <c r="B487" s="540"/>
      <c r="C487" s="540"/>
      <c r="D487" s="540"/>
      <c r="E487" s="540"/>
      <c r="F487" s="540"/>
      <c r="G487" s="540"/>
      <c r="H487" s="540"/>
      <c r="I487" s="540"/>
      <c r="J487" s="540"/>
      <c r="K487" s="540"/>
      <c r="L487" s="540"/>
      <c r="M487" s="540"/>
      <c r="N487" s="540"/>
      <c r="O487" s="540"/>
      <c r="P487" s="540"/>
      <c r="Q487" s="540"/>
      <c r="R487" s="540"/>
      <c r="S487" s="540"/>
      <c r="T487" s="540"/>
      <c r="U487" s="540"/>
      <c r="V487" s="540"/>
      <c r="W487" s="540"/>
      <c r="X487" s="540"/>
      <c r="Y487" s="540"/>
      <c r="Z487" s="540"/>
    </row>
    <row r="488" ht="14.25" customHeight="1">
      <c r="A488" s="540"/>
      <c r="B488" s="540"/>
      <c r="C488" s="540"/>
      <c r="D488" s="540"/>
      <c r="E488" s="540"/>
      <c r="F488" s="540"/>
      <c r="G488" s="540"/>
      <c r="H488" s="540"/>
      <c r="I488" s="540"/>
      <c r="J488" s="540"/>
      <c r="K488" s="540"/>
      <c r="L488" s="540"/>
      <c r="M488" s="540"/>
      <c r="N488" s="540"/>
      <c r="O488" s="540"/>
      <c r="P488" s="540"/>
      <c r="Q488" s="540"/>
      <c r="R488" s="540"/>
      <c r="S488" s="540"/>
      <c r="T488" s="540"/>
      <c r="U488" s="540"/>
      <c r="V488" s="540"/>
      <c r="W488" s="540"/>
      <c r="X488" s="540"/>
      <c r="Y488" s="540"/>
      <c r="Z488" s="540"/>
    </row>
    <row r="489" ht="14.25" customHeight="1">
      <c r="A489" s="540"/>
      <c r="B489" s="540"/>
      <c r="C489" s="540"/>
      <c r="D489" s="540"/>
      <c r="E489" s="540"/>
      <c r="F489" s="540"/>
      <c r="G489" s="540"/>
      <c r="H489" s="540"/>
      <c r="I489" s="540"/>
      <c r="J489" s="540"/>
      <c r="K489" s="540"/>
      <c r="L489" s="540"/>
      <c r="M489" s="540"/>
      <c r="N489" s="540"/>
      <c r="O489" s="540"/>
      <c r="P489" s="540"/>
      <c r="Q489" s="540"/>
      <c r="R489" s="540"/>
      <c r="S489" s="540"/>
      <c r="T489" s="540"/>
      <c r="U489" s="540"/>
      <c r="V489" s="540"/>
      <c r="W489" s="540"/>
      <c r="X489" s="540"/>
      <c r="Y489" s="540"/>
      <c r="Z489" s="540"/>
    </row>
    <row r="490" ht="14.25" customHeight="1">
      <c r="A490" s="540"/>
      <c r="B490" s="540"/>
      <c r="C490" s="540"/>
      <c r="D490" s="540"/>
      <c r="E490" s="540"/>
      <c r="F490" s="540"/>
      <c r="G490" s="540"/>
      <c r="H490" s="540"/>
      <c r="I490" s="540"/>
      <c r="J490" s="540"/>
      <c r="K490" s="540"/>
      <c r="L490" s="540"/>
      <c r="M490" s="540"/>
      <c r="N490" s="540"/>
      <c r="O490" s="540"/>
      <c r="P490" s="540"/>
      <c r="Q490" s="540"/>
      <c r="R490" s="540"/>
      <c r="S490" s="540"/>
      <c r="T490" s="540"/>
      <c r="U490" s="540"/>
      <c r="V490" s="540"/>
      <c r="W490" s="540"/>
      <c r="X490" s="540"/>
      <c r="Y490" s="540"/>
      <c r="Z490" s="540"/>
    </row>
    <row r="491" ht="14.25" customHeight="1">
      <c r="A491" s="540"/>
      <c r="B491" s="540"/>
      <c r="C491" s="540"/>
      <c r="D491" s="540"/>
      <c r="E491" s="540"/>
      <c r="F491" s="540"/>
      <c r="G491" s="540"/>
      <c r="H491" s="540"/>
      <c r="I491" s="540"/>
      <c r="J491" s="540"/>
      <c r="K491" s="540"/>
      <c r="L491" s="540"/>
      <c r="M491" s="540"/>
      <c r="N491" s="540"/>
      <c r="O491" s="540"/>
      <c r="P491" s="540"/>
      <c r="Q491" s="540"/>
      <c r="R491" s="540"/>
      <c r="S491" s="540"/>
      <c r="T491" s="540"/>
      <c r="U491" s="540"/>
      <c r="V491" s="540"/>
      <c r="W491" s="540"/>
      <c r="X491" s="540"/>
      <c r="Y491" s="540"/>
      <c r="Z491" s="540"/>
    </row>
    <row r="492" ht="14.25" customHeight="1">
      <c r="A492" s="540"/>
      <c r="B492" s="540"/>
      <c r="C492" s="540"/>
      <c r="D492" s="540"/>
      <c r="E492" s="540"/>
      <c r="F492" s="540"/>
      <c r="G492" s="540"/>
      <c r="H492" s="540"/>
      <c r="I492" s="540"/>
      <c r="J492" s="540"/>
      <c r="K492" s="540"/>
      <c r="L492" s="540"/>
      <c r="M492" s="540"/>
      <c r="N492" s="540"/>
      <c r="O492" s="540"/>
      <c r="P492" s="540"/>
      <c r="Q492" s="540"/>
      <c r="R492" s="540"/>
      <c r="S492" s="540"/>
      <c r="T492" s="540"/>
      <c r="U492" s="540"/>
      <c r="V492" s="540"/>
      <c r="W492" s="540"/>
      <c r="X492" s="540"/>
      <c r="Y492" s="540"/>
      <c r="Z492" s="540"/>
    </row>
    <row r="493" ht="14.25" customHeight="1">
      <c r="A493" s="540"/>
      <c r="B493" s="540"/>
      <c r="C493" s="540"/>
      <c r="D493" s="540"/>
      <c r="E493" s="540"/>
      <c r="F493" s="540"/>
      <c r="G493" s="540"/>
      <c r="H493" s="540"/>
      <c r="I493" s="540"/>
      <c r="J493" s="540"/>
      <c r="K493" s="540"/>
      <c r="L493" s="540"/>
      <c r="M493" s="540"/>
      <c r="N493" s="540"/>
      <c r="O493" s="540"/>
      <c r="P493" s="540"/>
      <c r="Q493" s="540"/>
      <c r="R493" s="540"/>
      <c r="S493" s="540"/>
      <c r="T493" s="540"/>
      <c r="U493" s="540"/>
      <c r="V493" s="540"/>
      <c r="W493" s="540"/>
      <c r="X493" s="540"/>
      <c r="Y493" s="540"/>
      <c r="Z493" s="540"/>
    </row>
    <row r="494" ht="14.25" customHeight="1">
      <c r="A494" s="540"/>
      <c r="B494" s="540"/>
      <c r="C494" s="540"/>
      <c r="D494" s="540"/>
      <c r="E494" s="540"/>
      <c r="F494" s="540"/>
      <c r="G494" s="540"/>
      <c r="H494" s="540"/>
      <c r="I494" s="540"/>
      <c r="J494" s="540"/>
      <c r="K494" s="540"/>
      <c r="L494" s="540"/>
      <c r="M494" s="540"/>
      <c r="N494" s="540"/>
      <c r="O494" s="540"/>
      <c r="P494" s="540"/>
      <c r="Q494" s="540"/>
      <c r="R494" s="540"/>
      <c r="S494" s="540"/>
      <c r="T494" s="540"/>
      <c r="U494" s="540"/>
      <c r="V494" s="540"/>
      <c r="W494" s="540"/>
      <c r="X494" s="540"/>
      <c r="Y494" s="540"/>
      <c r="Z494" s="540"/>
    </row>
    <row r="495" ht="14.25" customHeight="1">
      <c r="A495" s="540"/>
      <c r="B495" s="540"/>
      <c r="C495" s="540"/>
      <c r="D495" s="540"/>
      <c r="E495" s="540"/>
      <c r="F495" s="540"/>
      <c r="G495" s="540"/>
      <c r="H495" s="540"/>
      <c r="I495" s="540"/>
      <c r="J495" s="540"/>
      <c r="K495" s="540"/>
      <c r="L495" s="540"/>
      <c r="M495" s="540"/>
      <c r="N495" s="540"/>
      <c r="O495" s="540"/>
      <c r="P495" s="540"/>
      <c r="Q495" s="540"/>
      <c r="R495" s="540"/>
      <c r="S495" s="540"/>
      <c r="T495" s="540"/>
      <c r="U495" s="540"/>
      <c r="V495" s="540"/>
      <c r="W495" s="540"/>
      <c r="X495" s="540"/>
      <c r="Y495" s="540"/>
      <c r="Z495" s="540"/>
    </row>
    <row r="496" ht="14.25" customHeight="1">
      <c r="A496" s="540"/>
      <c r="B496" s="540"/>
      <c r="C496" s="540"/>
      <c r="D496" s="540"/>
      <c r="E496" s="540"/>
      <c r="F496" s="540"/>
      <c r="G496" s="540"/>
      <c r="H496" s="540"/>
      <c r="I496" s="540"/>
      <c r="J496" s="540"/>
      <c r="K496" s="540"/>
      <c r="L496" s="540"/>
      <c r="M496" s="540"/>
      <c r="N496" s="540"/>
      <c r="O496" s="540"/>
      <c r="P496" s="540"/>
      <c r="Q496" s="540"/>
      <c r="R496" s="540"/>
      <c r="S496" s="540"/>
      <c r="T496" s="540"/>
      <c r="U496" s="540"/>
      <c r="V496" s="540"/>
      <c r="W496" s="540"/>
      <c r="X496" s="540"/>
      <c r="Y496" s="540"/>
      <c r="Z496" s="540"/>
    </row>
    <row r="497" ht="14.25" customHeight="1">
      <c r="A497" s="540"/>
      <c r="B497" s="540"/>
      <c r="C497" s="540"/>
      <c r="D497" s="540"/>
      <c r="E497" s="540"/>
      <c r="F497" s="540"/>
      <c r="G497" s="540"/>
      <c r="H497" s="540"/>
      <c r="I497" s="540"/>
      <c r="J497" s="540"/>
      <c r="K497" s="540"/>
      <c r="L497" s="540"/>
      <c r="M497" s="540"/>
      <c r="N497" s="540"/>
      <c r="O497" s="540"/>
      <c r="P497" s="540"/>
      <c r="Q497" s="540"/>
      <c r="R497" s="540"/>
      <c r="S497" s="540"/>
      <c r="T497" s="540"/>
      <c r="U497" s="540"/>
      <c r="V497" s="540"/>
      <c r="W497" s="540"/>
      <c r="X497" s="540"/>
      <c r="Y497" s="540"/>
      <c r="Z497" s="540"/>
    </row>
    <row r="498" ht="14.25" customHeight="1">
      <c r="A498" s="540"/>
      <c r="B498" s="540"/>
      <c r="C498" s="540"/>
      <c r="D498" s="540"/>
      <c r="E498" s="540"/>
      <c r="F498" s="540"/>
      <c r="G498" s="540"/>
      <c r="H498" s="540"/>
      <c r="I498" s="540"/>
      <c r="J498" s="540"/>
      <c r="K498" s="540"/>
      <c r="L498" s="540"/>
      <c r="M498" s="540"/>
      <c r="N498" s="540"/>
      <c r="O498" s="540"/>
      <c r="P498" s="540"/>
      <c r="Q498" s="540"/>
      <c r="R498" s="540"/>
      <c r="S498" s="540"/>
      <c r="T498" s="540"/>
      <c r="U498" s="540"/>
      <c r="V498" s="540"/>
      <c r="W498" s="540"/>
      <c r="X498" s="540"/>
      <c r="Y498" s="540"/>
      <c r="Z498" s="540"/>
    </row>
    <row r="499" ht="14.25" customHeight="1">
      <c r="A499" s="540"/>
      <c r="B499" s="540"/>
      <c r="C499" s="540"/>
      <c r="D499" s="540"/>
      <c r="E499" s="540"/>
      <c r="F499" s="540"/>
      <c r="G499" s="540"/>
      <c r="H499" s="540"/>
      <c r="I499" s="540"/>
      <c r="J499" s="540"/>
      <c r="K499" s="540"/>
      <c r="L499" s="540"/>
      <c r="M499" s="540"/>
      <c r="N499" s="540"/>
      <c r="O499" s="540"/>
      <c r="P499" s="540"/>
      <c r="Q499" s="540"/>
      <c r="R499" s="540"/>
      <c r="S499" s="540"/>
      <c r="T499" s="540"/>
      <c r="U499" s="540"/>
      <c r="V499" s="540"/>
      <c r="W499" s="540"/>
      <c r="X499" s="540"/>
      <c r="Y499" s="540"/>
      <c r="Z499" s="540"/>
    </row>
    <row r="500" ht="14.25" customHeight="1">
      <c r="A500" s="540"/>
      <c r="B500" s="540"/>
      <c r="C500" s="540"/>
      <c r="D500" s="540"/>
      <c r="E500" s="540"/>
      <c r="F500" s="540"/>
      <c r="G500" s="540"/>
      <c r="H500" s="540"/>
      <c r="I500" s="540"/>
      <c r="J500" s="540"/>
      <c r="K500" s="540"/>
      <c r="L500" s="540"/>
      <c r="M500" s="540"/>
      <c r="N500" s="540"/>
      <c r="O500" s="540"/>
      <c r="P500" s="540"/>
      <c r="Q500" s="540"/>
      <c r="R500" s="540"/>
      <c r="S500" s="540"/>
      <c r="T500" s="540"/>
      <c r="U500" s="540"/>
      <c r="V500" s="540"/>
      <c r="W500" s="540"/>
      <c r="X500" s="540"/>
      <c r="Y500" s="540"/>
      <c r="Z500" s="540"/>
    </row>
    <row r="501" ht="14.25" customHeight="1">
      <c r="A501" s="540"/>
      <c r="B501" s="540"/>
      <c r="C501" s="540"/>
      <c r="D501" s="540"/>
      <c r="E501" s="540"/>
      <c r="F501" s="540"/>
      <c r="G501" s="540"/>
      <c r="H501" s="540"/>
      <c r="I501" s="540"/>
      <c r="J501" s="540"/>
      <c r="K501" s="540"/>
      <c r="L501" s="540"/>
      <c r="M501" s="540"/>
      <c r="N501" s="540"/>
      <c r="O501" s="540"/>
      <c r="P501" s="540"/>
      <c r="Q501" s="540"/>
      <c r="R501" s="540"/>
      <c r="S501" s="540"/>
      <c r="T501" s="540"/>
      <c r="U501" s="540"/>
      <c r="V501" s="540"/>
      <c r="W501" s="540"/>
      <c r="X501" s="540"/>
      <c r="Y501" s="540"/>
      <c r="Z501" s="540"/>
    </row>
    <row r="502" ht="14.25" customHeight="1">
      <c r="A502" s="540"/>
      <c r="B502" s="540"/>
      <c r="C502" s="540"/>
      <c r="D502" s="540"/>
      <c r="E502" s="540"/>
      <c r="F502" s="540"/>
      <c r="G502" s="540"/>
      <c r="H502" s="540"/>
      <c r="I502" s="540"/>
      <c r="J502" s="540"/>
      <c r="K502" s="540"/>
      <c r="L502" s="540"/>
      <c r="M502" s="540"/>
      <c r="N502" s="540"/>
      <c r="O502" s="540"/>
      <c r="P502" s="540"/>
      <c r="Q502" s="540"/>
      <c r="R502" s="540"/>
      <c r="S502" s="540"/>
      <c r="T502" s="540"/>
      <c r="U502" s="540"/>
      <c r="V502" s="540"/>
      <c r="W502" s="540"/>
      <c r="X502" s="540"/>
      <c r="Y502" s="540"/>
      <c r="Z502" s="540"/>
    </row>
    <row r="503" ht="14.25" customHeight="1">
      <c r="A503" s="540"/>
      <c r="B503" s="540"/>
      <c r="C503" s="540"/>
      <c r="D503" s="540"/>
      <c r="E503" s="540"/>
      <c r="F503" s="540"/>
      <c r="G503" s="540"/>
      <c r="H503" s="540"/>
      <c r="I503" s="540"/>
      <c r="J503" s="540"/>
      <c r="K503" s="540"/>
      <c r="L503" s="540"/>
      <c r="M503" s="540"/>
      <c r="N503" s="540"/>
      <c r="O503" s="540"/>
      <c r="P503" s="540"/>
      <c r="Q503" s="540"/>
      <c r="R503" s="540"/>
      <c r="S503" s="540"/>
      <c r="T503" s="540"/>
      <c r="U503" s="540"/>
      <c r="V503" s="540"/>
      <c r="W503" s="540"/>
      <c r="X503" s="540"/>
      <c r="Y503" s="540"/>
      <c r="Z503" s="540"/>
    </row>
    <row r="504" ht="14.25" customHeight="1">
      <c r="A504" s="540"/>
      <c r="B504" s="540"/>
      <c r="C504" s="540"/>
      <c r="D504" s="540"/>
      <c r="E504" s="540"/>
      <c r="F504" s="540"/>
      <c r="G504" s="540"/>
      <c r="H504" s="540"/>
      <c r="I504" s="540"/>
      <c r="J504" s="540"/>
      <c r="K504" s="540"/>
      <c r="L504" s="540"/>
      <c r="M504" s="540"/>
      <c r="N504" s="540"/>
      <c r="O504" s="540"/>
      <c r="P504" s="540"/>
      <c r="Q504" s="540"/>
      <c r="R504" s="540"/>
      <c r="S504" s="540"/>
      <c r="T504" s="540"/>
      <c r="U504" s="540"/>
      <c r="V504" s="540"/>
      <c r="W504" s="540"/>
      <c r="X504" s="540"/>
      <c r="Y504" s="540"/>
      <c r="Z504" s="540"/>
    </row>
    <row r="505" ht="14.25" customHeight="1">
      <c r="A505" s="540"/>
      <c r="B505" s="540"/>
      <c r="C505" s="540"/>
      <c r="D505" s="540"/>
      <c r="E505" s="540"/>
      <c r="F505" s="540"/>
      <c r="G505" s="540"/>
      <c r="H505" s="540"/>
      <c r="I505" s="540"/>
      <c r="J505" s="540"/>
      <c r="K505" s="540"/>
      <c r="L505" s="540"/>
      <c r="M505" s="540"/>
      <c r="N505" s="540"/>
      <c r="O505" s="540"/>
      <c r="P505" s="540"/>
      <c r="Q505" s="540"/>
      <c r="R505" s="540"/>
      <c r="S505" s="540"/>
      <c r="T505" s="540"/>
      <c r="U505" s="540"/>
      <c r="V505" s="540"/>
      <c r="W505" s="540"/>
      <c r="X505" s="540"/>
      <c r="Y505" s="540"/>
      <c r="Z505" s="540"/>
    </row>
    <row r="506" ht="14.25" customHeight="1">
      <c r="A506" s="540"/>
      <c r="B506" s="540"/>
      <c r="C506" s="540"/>
      <c r="D506" s="540"/>
      <c r="E506" s="540"/>
      <c r="F506" s="540"/>
      <c r="G506" s="540"/>
      <c r="H506" s="540"/>
      <c r="I506" s="540"/>
      <c r="J506" s="540"/>
      <c r="K506" s="540"/>
      <c r="L506" s="540"/>
      <c r="M506" s="540"/>
      <c r="N506" s="540"/>
      <c r="O506" s="540"/>
      <c r="P506" s="540"/>
      <c r="Q506" s="540"/>
      <c r="R506" s="540"/>
      <c r="S506" s="540"/>
      <c r="T506" s="540"/>
      <c r="U506" s="540"/>
      <c r="V506" s="540"/>
      <c r="W506" s="540"/>
      <c r="X506" s="540"/>
      <c r="Y506" s="540"/>
      <c r="Z506" s="540"/>
    </row>
    <row r="507" ht="14.25" customHeight="1">
      <c r="A507" s="540"/>
      <c r="B507" s="540"/>
      <c r="C507" s="540"/>
      <c r="D507" s="540"/>
      <c r="E507" s="540"/>
      <c r="F507" s="540"/>
      <c r="G507" s="540"/>
      <c r="H507" s="540"/>
      <c r="I507" s="540"/>
      <c r="J507" s="540"/>
      <c r="K507" s="540"/>
      <c r="L507" s="540"/>
      <c r="M507" s="540"/>
      <c r="N507" s="540"/>
      <c r="O507" s="540"/>
      <c r="P507" s="540"/>
      <c r="Q507" s="540"/>
      <c r="R507" s="540"/>
      <c r="S507" s="540"/>
      <c r="T507" s="540"/>
      <c r="U507" s="540"/>
      <c r="V507" s="540"/>
      <c r="W507" s="540"/>
      <c r="X507" s="540"/>
      <c r="Y507" s="540"/>
      <c r="Z507" s="540"/>
    </row>
    <row r="508" ht="14.25" customHeight="1">
      <c r="A508" s="540"/>
      <c r="B508" s="540"/>
      <c r="C508" s="540"/>
      <c r="D508" s="540"/>
      <c r="E508" s="540"/>
      <c r="F508" s="540"/>
      <c r="G508" s="540"/>
      <c r="H508" s="540"/>
      <c r="I508" s="540"/>
      <c r="J508" s="540"/>
      <c r="K508" s="540"/>
      <c r="L508" s="540"/>
      <c r="M508" s="540"/>
      <c r="N508" s="540"/>
      <c r="O508" s="540"/>
      <c r="P508" s="540"/>
      <c r="Q508" s="540"/>
      <c r="R508" s="540"/>
      <c r="S508" s="540"/>
      <c r="T508" s="540"/>
      <c r="U508" s="540"/>
      <c r="V508" s="540"/>
      <c r="W508" s="540"/>
      <c r="X508" s="540"/>
      <c r="Y508" s="540"/>
      <c r="Z508" s="540"/>
    </row>
    <row r="509" ht="14.25" customHeight="1">
      <c r="A509" s="540"/>
      <c r="B509" s="540"/>
      <c r="C509" s="540"/>
      <c r="D509" s="540"/>
      <c r="E509" s="540"/>
      <c r="F509" s="540"/>
      <c r="G509" s="540"/>
      <c r="H509" s="540"/>
      <c r="I509" s="540"/>
      <c r="J509" s="540"/>
      <c r="K509" s="540"/>
      <c r="L509" s="540"/>
      <c r="M509" s="540"/>
      <c r="N509" s="540"/>
      <c r="O509" s="540"/>
      <c r="P509" s="540"/>
      <c r="Q509" s="540"/>
      <c r="R509" s="540"/>
      <c r="S509" s="540"/>
      <c r="T509" s="540"/>
      <c r="U509" s="540"/>
      <c r="V509" s="540"/>
      <c r="W509" s="540"/>
      <c r="X509" s="540"/>
      <c r="Y509" s="540"/>
      <c r="Z509" s="540"/>
    </row>
    <row r="510" ht="14.25" customHeight="1">
      <c r="A510" s="540"/>
      <c r="B510" s="540"/>
      <c r="C510" s="540"/>
      <c r="D510" s="540"/>
      <c r="E510" s="540"/>
      <c r="F510" s="540"/>
      <c r="G510" s="540"/>
      <c r="H510" s="540"/>
      <c r="I510" s="540"/>
      <c r="J510" s="540"/>
      <c r="K510" s="540"/>
      <c r="L510" s="540"/>
      <c r="M510" s="540"/>
      <c r="N510" s="540"/>
      <c r="O510" s="540"/>
      <c r="P510" s="540"/>
      <c r="Q510" s="540"/>
      <c r="R510" s="540"/>
      <c r="S510" s="540"/>
      <c r="T510" s="540"/>
      <c r="U510" s="540"/>
      <c r="V510" s="540"/>
      <c r="W510" s="540"/>
      <c r="X510" s="540"/>
      <c r="Y510" s="540"/>
      <c r="Z510" s="540"/>
    </row>
    <row r="511" ht="14.25" customHeight="1">
      <c r="A511" s="540"/>
      <c r="B511" s="540"/>
      <c r="C511" s="540"/>
      <c r="D511" s="540"/>
      <c r="E511" s="540"/>
      <c r="F511" s="540"/>
      <c r="G511" s="540"/>
      <c r="H511" s="540"/>
      <c r="I511" s="540"/>
      <c r="J511" s="540"/>
      <c r="K511" s="540"/>
      <c r="L511" s="540"/>
      <c r="M511" s="540"/>
      <c r="N511" s="540"/>
      <c r="O511" s="540"/>
      <c r="P511" s="540"/>
      <c r="Q511" s="540"/>
      <c r="R511" s="540"/>
      <c r="S511" s="540"/>
      <c r="T511" s="540"/>
      <c r="U511" s="540"/>
      <c r="V511" s="540"/>
      <c r="W511" s="540"/>
      <c r="X511" s="540"/>
      <c r="Y511" s="540"/>
      <c r="Z511" s="540"/>
    </row>
    <row r="512" ht="14.25" customHeight="1">
      <c r="A512" s="540"/>
      <c r="B512" s="540"/>
      <c r="C512" s="540"/>
      <c r="D512" s="540"/>
      <c r="E512" s="540"/>
      <c r="F512" s="540"/>
      <c r="G512" s="540"/>
      <c r="H512" s="540"/>
      <c r="I512" s="540"/>
      <c r="J512" s="540"/>
      <c r="K512" s="540"/>
      <c r="L512" s="540"/>
      <c r="M512" s="540"/>
      <c r="N512" s="540"/>
      <c r="O512" s="540"/>
      <c r="P512" s="540"/>
      <c r="Q512" s="540"/>
      <c r="R512" s="540"/>
      <c r="S512" s="540"/>
      <c r="T512" s="540"/>
      <c r="U512" s="540"/>
      <c r="V512" s="540"/>
      <c r="W512" s="540"/>
      <c r="X512" s="540"/>
      <c r="Y512" s="540"/>
      <c r="Z512" s="540"/>
    </row>
    <row r="513" ht="14.25" customHeight="1">
      <c r="A513" s="540"/>
      <c r="B513" s="540"/>
      <c r="C513" s="540"/>
      <c r="D513" s="540"/>
      <c r="E513" s="540"/>
      <c r="F513" s="540"/>
      <c r="G513" s="540"/>
      <c r="H513" s="540"/>
      <c r="I513" s="540"/>
      <c r="J513" s="540"/>
      <c r="K513" s="540"/>
      <c r="L513" s="540"/>
      <c r="M513" s="540"/>
      <c r="N513" s="540"/>
      <c r="O513" s="540"/>
      <c r="P513" s="540"/>
      <c r="Q513" s="540"/>
      <c r="R513" s="540"/>
      <c r="S513" s="540"/>
      <c r="T513" s="540"/>
      <c r="U513" s="540"/>
      <c r="V513" s="540"/>
      <c r="W513" s="540"/>
      <c r="X513" s="540"/>
      <c r="Y513" s="540"/>
      <c r="Z513" s="540"/>
    </row>
    <row r="514" ht="14.25" customHeight="1">
      <c r="A514" s="540"/>
      <c r="B514" s="540"/>
      <c r="C514" s="540"/>
      <c r="D514" s="540"/>
      <c r="E514" s="540"/>
      <c r="F514" s="540"/>
      <c r="G514" s="540"/>
      <c r="H514" s="540"/>
      <c r="I514" s="540"/>
      <c r="J514" s="540"/>
      <c r="K514" s="540"/>
      <c r="L514" s="540"/>
      <c r="M514" s="540"/>
      <c r="N514" s="540"/>
      <c r="O514" s="540"/>
      <c r="P514" s="540"/>
      <c r="Q514" s="540"/>
      <c r="R514" s="540"/>
      <c r="S514" s="540"/>
      <c r="T514" s="540"/>
      <c r="U514" s="540"/>
      <c r="V514" s="540"/>
      <c r="W514" s="540"/>
      <c r="X514" s="540"/>
      <c r="Y514" s="540"/>
      <c r="Z514" s="540"/>
    </row>
    <row r="515" ht="14.25" customHeight="1">
      <c r="A515" s="540"/>
      <c r="B515" s="540"/>
      <c r="C515" s="540"/>
      <c r="D515" s="540"/>
      <c r="E515" s="540"/>
      <c r="F515" s="540"/>
      <c r="G515" s="540"/>
      <c r="H515" s="540"/>
      <c r="I515" s="540"/>
      <c r="J515" s="540"/>
      <c r="K515" s="540"/>
      <c r="L515" s="540"/>
      <c r="M515" s="540"/>
      <c r="N515" s="540"/>
      <c r="O515" s="540"/>
      <c r="P515" s="540"/>
      <c r="Q515" s="540"/>
      <c r="R515" s="540"/>
      <c r="S515" s="540"/>
      <c r="T515" s="540"/>
      <c r="U515" s="540"/>
      <c r="V515" s="540"/>
      <c r="W515" s="540"/>
      <c r="X515" s="540"/>
      <c r="Y515" s="540"/>
      <c r="Z515" s="540"/>
    </row>
    <row r="516" ht="14.25" customHeight="1">
      <c r="A516" s="540"/>
      <c r="B516" s="540"/>
      <c r="C516" s="540"/>
      <c r="D516" s="540"/>
      <c r="E516" s="540"/>
      <c r="F516" s="540"/>
      <c r="G516" s="540"/>
      <c r="H516" s="540"/>
      <c r="I516" s="540"/>
      <c r="J516" s="540"/>
      <c r="K516" s="540"/>
      <c r="L516" s="540"/>
      <c r="M516" s="540"/>
      <c r="N516" s="540"/>
      <c r="O516" s="540"/>
      <c r="P516" s="540"/>
      <c r="Q516" s="540"/>
      <c r="R516" s="540"/>
      <c r="S516" s="540"/>
      <c r="T516" s="540"/>
      <c r="U516" s="540"/>
      <c r="V516" s="540"/>
      <c r="W516" s="540"/>
      <c r="X516" s="540"/>
      <c r="Y516" s="540"/>
      <c r="Z516" s="540"/>
    </row>
    <row r="517" ht="14.25" customHeight="1">
      <c r="A517" s="540"/>
      <c r="B517" s="540"/>
      <c r="C517" s="540"/>
      <c r="D517" s="540"/>
      <c r="E517" s="540"/>
      <c r="F517" s="540"/>
      <c r="G517" s="540"/>
      <c r="H517" s="540"/>
      <c r="I517" s="540"/>
      <c r="J517" s="540"/>
      <c r="K517" s="540"/>
      <c r="L517" s="540"/>
      <c r="M517" s="540"/>
      <c r="N517" s="540"/>
      <c r="O517" s="540"/>
      <c r="P517" s="540"/>
      <c r="Q517" s="540"/>
      <c r="R517" s="540"/>
      <c r="S517" s="540"/>
      <c r="T517" s="540"/>
      <c r="U517" s="540"/>
      <c r="V517" s="540"/>
      <c r="W517" s="540"/>
      <c r="X517" s="540"/>
      <c r="Y517" s="540"/>
      <c r="Z517" s="540"/>
    </row>
    <row r="518" ht="14.25" customHeight="1">
      <c r="A518" s="540"/>
      <c r="B518" s="540"/>
      <c r="C518" s="540"/>
      <c r="D518" s="540"/>
      <c r="E518" s="540"/>
      <c r="F518" s="540"/>
      <c r="G518" s="540"/>
      <c r="H518" s="540"/>
      <c r="I518" s="540"/>
      <c r="J518" s="540"/>
      <c r="K518" s="540"/>
      <c r="L518" s="540"/>
      <c r="M518" s="540"/>
      <c r="N518" s="540"/>
      <c r="O518" s="540"/>
      <c r="P518" s="540"/>
      <c r="Q518" s="540"/>
      <c r="R518" s="540"/>
      <c r="S518" s="540"/>
      <c r="T518" s="540"/>
      <c r="U518" s="540"/>
      <c r="V518" s="540"/>
      <c r="W518" s="540"/>
      <c r="X518" s="540"/>
      <c r="Y518" s="540"/>
      <c r="Z518" s="540"/>
    </row>
    <row r="519" ht="14.25" customHeight="1">
      <c r="A519" s="540"/>
      <c r="B519" s="540"/>
      <c r="C519" s="540"/>
      <c r="D519" s="540"/>
      <c r="E519" s="540"/>
      <c r="F519" s="540"/>
      <c r="G519" s="540"/>
      <c r="H519" s="540"/>
      <c r="I519" s="540"/>
      <c r="J519" s="540"/>
      <c r="K519" s="540"/>
      <c r="L519" s="540"/>
      <c r="M519" s="540"/>
      <c r="N519" s="540"/>
      <c r="O519" s="540"/>
      <c r="P519" s="540"/>
      <c r="Q519" s="540"/>
      <c r="R519" s="540"/>
      <c r="S519" s="540"/>
      <c r="T519" s="540"/>
      <c r="U519" s="540"/>
      <c r="V519" s="540"/>
      <c r="W519" s="540"/>
      <c r="X519" s="540"/>
      <c r="Y519" s="540"/>
      <c r="Z519" s="540"/>
    </row>
    <row r="520" ht="14.25" customHeight="1">
      <c r="A520" s="540"/>
      <c r="B520" s="540"/>
      <c r="C520" s="540"/>
      <c r="D520" s="540"/>
      <c r="E520" s="540"/>
      <c r="F520" s="540"/>
      <c r="G520" s="540"/>
      <c r="H520" s="540"/>
      <c r="I520" s="540"/>
      <c r="J520" s="540"/>
      <c r="K520" s="540"/>
      <c r="L520" s="540"/>
      <c r="M520" s="540"/>
      <c r="N520" s="540"/>
      <c r="O520" s="540"/>
      <c r="P520" s="540"/>
      <c r="Q520" s="540"/>
      <c r="R520" s="540"/>
      <c r="S520" s="540"/>
      <c r="T520" s="540"/>
      <c r="U520" s="540"/>
      <c r="V520" s="540"/>
      <c r="W520" s="540"/>
      <c r="X520" s="540"/>
      <c r="Y520" s="540"/>
      <c r="Z520" s="540"/>
    </row>
    <row r="521" ht="14.25" customHeight="1">
      <c r="A521" s="540"/>
      <c r="B521" s="540"/>
      <c r="C521" s="540"/>
      <c r="D521" s="540"/>
      <c r="E521" s="540"/>
      <c r="F521" s="540"/>
      <c r="G521" s="540"/>
      <c r="H521" s="540"/>
      <c r="I521" s="540"/>
      <c r="J521" s="540"/>
      <c r="K521" s="540"/>
      <c r="L521" s="540"/>
      <c r="M521" s="540"/>
      <c r="N521" s="540"/>
      <c r="O521" s="540"/>
      <c r="P521" s="540"/>
      <c r="Q521" s="540"/>
      <c r="R521" s="540"/>
      <c r="S521" s="540"/>
      <c r="T521" s="540"/>
      <c r="U521" s="540"/>
      <c r="V521" s="540"/>
      <c r="W521" s="540"/>
      <c r="X521" s="540"/>
      <c r="Y521" s="540"/>
      <c r="Z521" s="540"/>
    </row>
    <row r="522" ht="14.25" customHeight="1">
      <c r="A522" s="540"/>
      <c r="B522" s="540"/>
      <c r="C522" s="540"/>
      <c r="D522" s="540"/>
      <c r="E522" s="540"/>
      <c r="F522" s="540"/>
      <c r="G522" s="540"/>
      <c r="H522" s="540"/>
      <c r="I522" s="540"/>
      <c r="J522" s="540"/>
      <c r="K522" s="540"/>
      <c r="L522" s="540"/>
      <c r="M522" s="540"/>
      <c r="N522" s="540"/>
      <c r="O522" s="540"/>
      <c r="P522" s="540"/>
      <c r="Q522" s="540"/>
      <c r="R522" s="540"/>
      <c r="S522" s="540"/>
      <c r="T522" s="540"/>
      <c r="U522" s="540"/>
      <c r="V522" s="540"/>
      <c r="W522" s="540"/>
      <c r="X522" s="540"/>
      <c r="Y522" s="540"/>
      <c r="Z522" s="540"/>
    </row>
    <row r="523" ht="14.25" customHeight="1">
      <c r="A523" s="540"/>
      <c r="B523" s="540"/>
      <c r="C523" s="540"/>
      <c r="D523" s="540"/>
      <c r="E523" s="540"/>
      <c r="F523" s="540"/>
      <c r="G523" s="540"/>
      <c r="H523" s="540"/>
      <c r="I523" s="540"/>
      <c r="J523" s="540"/>
      <c r="K523" s="540"/>
      <c r="L523" s="540"/>
      <c r="M523" s="540"/>
      <c r="N523" s="540"/>
      <c r="O523" s="540"/>
      <c r="P523" s="540"/>
      <c r="Q523" s="540"/>
      <c r="R523" s="540"/>
      <c r="S523" s="540"/>
      <c r="T523" s="540"/>
      <c r="U523" s="540"/>
      <c r="V523" s="540"/>
      <c r="W523" s="540"/>
      <c r="X523" s="540"/>
      <c r="Y523" s="540"/>
      <c r="Z523" s="540"/>
    </row>
    <row r="524" ht="14.25" customHeight="1">
      <c r="A524" s="540"/>
      <c r="B524" s="540"/>
      <c r="C524" s="540"/>
      <c r="D524" s="540"/>
      <c r="E524" s="540"/>
      <c r="F524" s="540"/>
      <c r="G524" s="540"/>
      <c r="H524" s="540"/>
      <c r="I524" s="540"/>
      <c r="J524" s="540"/>
      <c r="K524" s="540"/>
      <c r="L524" s="540"/>
      <c r="M524" s="540"/>
      <c r="N524" s="540"/>
      <c r="O524" s="540"/>
      <c r="P524" s="540"/>
      <c r="Q524" s="540"/>
      <c r="R524" s="540"/>
      <c r="S524" s="540"/>
      <c r="T524" s="540"/>
      <c r="U524" s="540"/>
      <c r="V524" s="540"/>
      <c r="W524" s="540"/>
      <c r="X524" s="540"/>
      <c r="Y524" s="540"/>
      <c r="Z524" s="540"/>
    </row>
    <row r="525" ht="14.25" customHeight="1">
      <c r="A525" s="540"/>
      <c r="B525" s="540"/>
      <c r="C525" s="540"/>
      <c r="D525" s="540"/>
      <c r="E525" s="540"/>
      <c r="F525" s="540"/>
      <c r="G525" s="540"/>
      <c r="H525" s="540"/>
      <c r="I525" s="540"/>
      <c r="J525" s="540"/>
      <c r="K525" s="540"/>
      <c r="L525" s="540"/>
      <c r="M525" s="540"/>
      <c r="N525" s="540"/>
      <c r="O525" s="540"/>
      <c r="P525" s="540"/>
      <c r="Q525" s="540"/>
      <c r="R525" s="540"/>
      <c r="S525" s="540"/>
      <c r="T525" s="540"/>
      <c r="U525" s="540"/>
      <c r="V525" s="540"/>
      <c r="W525" s="540"/>
      <c r="X525" s="540"/>
      <c r="Y525" s="540"/>
      <c r="Z525" s="540"/>
    </row>
    <row r="526" ht="14.25" customHeight="1">
      <c r="A526" s="540"/>
      <c r="B526" s="540"/>
      <c r="C526" s="540"/>
      <c r="D526" s="540"/>
      <c r="E526" s="540"/>
      <c r="F526" s="540"/>
      <c r="G526" s="540"/>
      <c r="H526" s="540"/>
      <c r="I526" s="540"/>
      <c r="J526" s="540"/>
      <c r="K526" s="540"/>
      <c r="L526" s="540"/>
      <c r="M526" s="540"/>
      <c r="N526" s="540"/>
      <c r="O526" s="540"/>
      <c r="P526" s="540"/>
      <c r="Q526" s="540"/>
      <c r="R526" s="540"/>
      <c r="S526" s="540"/>
      <c r="T526" s="540"/>
      <c r="U526" s="540"/>
      <c r="V526" s="540"/>
      <c r="W526" s="540"/>
      <c r="X526" s="540"/>
      <c r="Y526" s="540"/>
      <c r="Z526" s="540"/>
    </row>
    <row r="527" ht="14.25" customHeight="1">
      <c r="A527" s="540"/>
      <c r="B527" s="540"/>
      <c r="C527" s="540"/>
      <c r="D527" s="540"/>
      <c r="E527" s="540"/>
      <c r="F527" s="540"/>
      <c r="G527" s="540"/>
      <c r="H527" s="540"/>
      <c r="I527" s="540"/>
      <c r="J527" s="540"/>
      <c r="K527" s="540"/>
      <c r="L527" s="540"/>
      <c r="M527" s="540"/>
      <c r="N527" s="540"/>
      <c r="O527" s="540"/>
      <c r="P527" s="540"/>
      <c r="Q527" s="540"/>
      <c r="R527" s="540"/>
      <c r="S527" s="540"/>
      <c r="T527" s="540"/>
      <c r="U527" s="540"/>
      <c r="V527" s="540"/>
      <c r="W527" s="540"/>
      <c r="X527" s="540"/>
      <c r="Y527" s="540"/>
      <c r="Z527" s="540"/>
    </row>
    <row r="528" ht="14.25" customHeight="1">
      <c r="A528" s="540"/>
      <c r="B528" s="540"/>
      <c r="C528" s="540"/>
      <c r="D528" s="540"/>
      <c r="E528" s="540"/>
      <c r="F528" s="540"/>
      <c r="G528" s="540"/>
      <c r="H528" s="540"/>
      <c r="I528" s="540"/>
      <c r="J528" s="540"/>
      <c r="K528" s="540"/>
      <c r="L528" s="540"/>
      <c r="M528" s="540"/>
      <c r="N528" s="540"/>
      <c r="O528" s="540"/>
      <c r="P528" s="540"/>
      <c r="Q528" s="540"/>
      <c r="R528" s="540"/>
      <c r="S528" s="540"/>
      <c r="T528" s="540"/>
      <c r="U528" s="540"/>
      <c r="V528" s="540"/>
      <c r="W528" s="540"/>
      <c r="X528" s="540"/>
      <c r="Y528" s="540"/>
      <c r="Z528" s="540"/>
    </row>
    <row r="529" ht="14.25" customHeight="1">
      <c r="A529" s="540"/>
      <c r="B529" s="540"/>
      <c r="C529" s="540"/>
      <c r="D529" s="540"/>
      <c r="E529" s="540"/>
      <c r="F529" s="540"/>
      <c r="G529" s="540"/>
      <c r="H529" s="540"/>
      <c r="I529" s="540"/>
      <c r="J529" s="540"/>
      <c r="K529" s="540"/>
      <c r="L529" s="540"/>
      <c r="M529" s="540"/>
      <c r="N529" s="540"/>
      <c r="O529" s="540"/>
      <c r="P529" s="540"/>
      <c r="Q529" s="540"/>
      <c r="R529" s="540"/>
      <c r="S529" s="540"/>
      <c r="T529" s="540"/>
      <c r="U529" s="540"/>
      <c r="V529" s="540"/>
      <c r="W529" s="540"/>
      <c r="X529" s="540"/>
      <c r="Y529" s="540"/>
      <c r="Z529" s="540"/>
    </row>
    <row r="530" ht="14.25" customHeight="1">
      <c r="A530" s="540"/>
      <c r="B530" s="540"/>
      <c r="C530" s="540"/>
      <c r="D530" s="540"/>
      <c r="E530" s="540"/>
      <c r="F530" s="540"/>
      <c r="G530" s="540"/>
      <c r="H530" s="540"/>
      <c r="I530" s="540"/>
      <c r="J530" s="540"/>
      <c r="K530" s="540"/>
      <c r="L530" s="540"/>
      <c r="M530" s="540"/>
      <c r="N530" s="540"/>
      <c r="O530" s="540"/>
      <c r="P530" s="540"/>
      <c r="Q530" s="540"/>
      <c r="R530" s="540"/>
      <c r="S530" s="540"/>
      <c r="T530" s="540"/>
      <c r="U530" s="540"/>
      <c r="V530" s="540"/>
      <c r="W530" s="540"/>
      <c r="X530" s="540"/>
      <c r="Y530" s="540"/>
      <c r="Z530" s="540"/>
    </row>
    <row r="531" ht="14.25" customHeight="1">
      <c r="A531" s="540"/>
      <c r="B531" s="540"/>
      <c r="C531" s="540"/>
      <c r="D531" s="540"/>
      <c r="E531" s="540"/>
      <c r="F531" s="540"/>
      <c r="G531" s="540"/>
      <c r="H531" s="540"/>
      <c r="I531" s="540"/>
      <c r="J531" s="540"/>
      <c r="K531" s="540"/>
      <c r="L531" s="540"/>
      <c r="M531" s="540"/>
      <c r="N531" s="540"/>
      <c r="O531" s="540"/>
      <c r="P531" s="540"/>
      <c r="Q531" s="540"/>
      <c r="R531" s="540"/>
      <c r="S531" s="540"/>
      <c r="T531" s="540"/>
      <c r="U531" s="540"/>
      <c r="V531" s="540"/>
      <c r="W531" s="540"/>
      <c r="X531" s="540"/>
      <c r="Y531" s="540"/>
      <c r="Z531" s="540"/>
    </row>
    <row r="532" ht="14.25" customHeight="1">
      <c r="A532" s="540"/>
      <c r="B532" s="540"/>
      <c r="C532" s="540"/>
      <c r="D532" s="540"/>
      <c r="E532" s="540"/>
      <c r="F532" s="540"/>
      <c r="G532" s="540"/>
      <c r="H532" s="540"/>
      <c r="I532" s="540"/>
      <c r="J532" s="540"/>
      <c r="K532" s="540"/>
      <c r="L532" s="540"/>
      <c r="M532" s="540"/>
      <c r="N532" s="540"/>
      <c r="O532" s="540"/>
      <c r="P532" s="540"/>
      <c r="Q532" s="540"/>
      <c r="R532" s="540"/>
      <c r="S532" s="540"/>
      <c r="T532" s="540"/>
      <c r="U532" s="540"/>
      <c r="V532" s="540"/>
      <c r="W532" s="540"/>
      <c r="X532" s="540"/>
      <c r="Y532" s="540"/>
      <c r="Z532" s="540"/>
    </row>
    <row r="533" ht="14.25" customHeight="1">
      <c r="A533" s="540"/>
      <c r="B533" s="540"/>
      <c r="C533" s="540"/>
      <c r="D533" s="540"/>
      <c r="E533" s="540"/>
      <c r="F533" s="540"/>
      <c r="G533" s="540"/>
      <c r="H533" s="540"/>
      <c r="I533" s="540"/>
      <c r="J533" s="540"/>
      <c r="K533" s="540"/>
      <c r="L533" s="540"/>
      <c r="M533" s="540"/>
      <c r="N533" s="540"/>
      <c r="O533" s="540"/>
      <c r="P533" s="540"/>
      <c r="Q533" s="540"/>
      <c r="R533" s="540"/>
      <c r="S533" s="540"/>
      <c r="T533" s="540"/>
      <c r="U533" s="540"/>
      <c r="V533" s="540"/>
      <c r="W533" s="540"/>
      <c r="X533" s="540"/>
      <c r="Y533" s="540"/>
      <c r="Z533" s="540"/>
    </row>
    <row r="534" ht="14.25" customHeight="1">
      <c r="A534" s="540"/>
      <c r="B534" s="540"/>
      <c r="C534" s="540"/>
      <c r="D534" s="540"/>
      <c r="E534" s="540"/>
      <c r="F534" s="540"/>
      <c r="G534" s="540"/>
      <c r="H534" s="540"/>
      <c r="I534" s="540"/>
      <c r="J534" s="540"/>
      <c r="K534" s="540"/>
      <c r="L534" s="540"/>
      <c r="M534" s="540"/>
      <c r="N534" s="540"/>
      <c r="O534" s="540"/>
      <c r="P534" s="540"/>
      <c r="Q534" s="540"/>
      <c r="R534" s="540"/>
      <c r="S534" s="540"/>
      <c r="T534" s="540"/>
      <c r="U534" s="540"/>
      <c r="V534" s="540"/>
      <c r="W534" s="540"/>
      <c r="X534" s="540"/>
      <c r="Y534" s="540"/>
      <c r="Z534" s="540"/>
    </row>
    <row r="535" ht="14.25" customHeight="1">
      <c r="A535" s="540"/>
      <c r="B535" s="540"/>
      <c r="C535" s="540"/>
      <c r="D535" s="540"/>
      <c r="E535" s="540"/>
      <c r="F535" s="540"/>
      <c r="G535" s="540"/>
      <c r="H535" s="540"/>
      <c r="I535" s="540"/>
      <c r="J535" s="540"/>
      <c r="K535" s="540"/>
      <c r="L535" s="540"/>
      <c r="M535" s="540"/>
      <c r="N535" s="540"/>
      <c r="O535" s="540"/>
      <c r="P535" s="540"/>
      <c r="Q535" s="540"/>
      <c r="R535" s="540"/>
      <c r="S535" s="540"/>
      <c r="T535" s="540"/>
      <c r="U535" s="540"/>
      <c r="V535" s="540"/>
      <c r="W535" s="540"/>
      <c r="X535" s="540"/>
      <c r="Y535" s="540"/>
      <c r="Z535" s="540"/>
    </row>
    <row r="536" ht="14.25" customHeight="1">
      <c r="A536" s="540"/>
      <c r="B536" s="540"/>
      <c r="C536" s="540"/>
      <c r="D536" s="540"/>
      <c r="E536" s="540"/>
      <c r="F536" s="540"/>
      <c r="G536" s="540"/>
      <c r="H536" s="540"/>
      <c r="I536" s="540"/>
      <c r="J536" s="540"/>
      <c r="K536" s="540"/>
      <c r="L536" s="540"/>
      <c r="M536" s="540"/>
      <c r="N536" s="540"/>
      <c r="O536" s="540"/>
      <c r="P536" s="540"/>
      <c r="Q536" s="540"/>
      <c r="R536" s="540"/>
      <c r="S536" s="540"/>
      <c r="T536" s="540"/>
      <c r="U536" s="540"/>
      <c r="V536" s="540"/>
      <c r="W536" s="540"/>
      <c r="X536" s="540"/>
      <c r="Y536" s="540"/>
      <c r="Z536" s="540"/>
    </row>
    <row r="537" ht="14.25" customHeight="1">
      <c r="A537" s="540"/>
      <c r="B537" s="540"/>
      <c r="C537" s="540"/>
      <c r="D537" s="540"/>
      <c r="E537" s="540"/>
      <c r="F537" s="540"/>
      <c r="G537" s="540"/>
      <c r="H537" s="540"/>
      <c r="I537" s="540"/>
      <c r="J537" s="540"/>
      <c r="K537" s="540"/>
      <c r="L537" s="540"/>
      <c r="M537" s="540"/>
      <c r="N537" s="540"/>
      <c r="O537" s="540"/>
      <c r="P537" s="540"/>
      <c r="Q537" s="540"/>
      <c r="R537" s="540"/>
      <c r="S537" s="540"/>
      <c r="T537" s="540"/>
      <c r="U537" s="540"/>
      <c r="V537" s="540"/>
      <c r="W537" s="540"/>
      <c r="X537" s="540"/>
      <c r="Y537" s="540"/>
      <c r="Z537" s="540"/>
    </row>
    <row r="538" ht="14.25" customHeight="1">
      <c r="A538" s="540"/>
      <c r="B538" s="540"/>
      <c r="C538" s="540"/>
      <c r="D538" s="540"/>
      <c r="E538" s="540"/>
      <c r="F538" s="540"/>
      <c r="G538" s="540"/>
      <c r="H538" s="540"/>
      <c r="I538" s="540"/>
      <c r="J538" s="540"/>
      <c r="K538" s="540"/>
      <c r="L538" s="540"/>
      <c r="M538" s="540"/>
      <c r="N538" s="540"/>
      <c r="O538" s="540"/>
      <c r="P538" s="540"/>
      <c r="Q538" s="540"/>
      <c r="R538" s="540"/>
      <c r="S538" s="540"/>
      <c r="T538" s="540"/>
      <c r="U538" s="540"/>
      <c r="V538" s="540"/>
      <c r="W538" s="540"/>
      <c r="X538" s="540"/>
      <c r="Y538" s="540"/>
      <c r="Z538" s="540"/>
    </row>
    <row r="539" ht="14.25" customHeight="1">
      <c r="A539" s="540"/>
      <c r="B539" s="540"/>
      <c r="C539" s="540"/>
      <c r="D539" s="540"/>
      <c r="E539" s="540"/>
      <c r="F539" s="540"/>
      <c r="G539" s="540"/>
      <c r="H539" s="540"/>
      <c r="I539" s="540"/>
      <c r="J539" s="540"/>
      <c r="K539" s="540"/>
      <c r="L539" s="540"/>
      <c r="M539" s="540"/>
      <c r="N539" s="540"/>
      <c r="O539" s="540"/>
      <c r="P539" s="540"/>
      <c r="Q539" s="540"/>
      <c r="R539" s="540"/>
      <c r="S539" s="540"/>
      <c r="T539" s="540"/>
      <c r="U539" s="540"/>
      <c r="V539" s="540"/>
      <c r="W539" s="540"/>
      <c r="X539" s="540"/>
      <c r="Y539" s="540"/>
      <c r="Z539" s="540"/>
    </row>
    <row r="540" ht="14.25" customHeight="1">
      <c r="A540" s="540"/>
      <c r="B540" s="540"/>
      <c r="C540" s="540"/>
      <c r="D540" s="540"/>
      <c r="E540" s="540"/>
      <c r="F540" s="540"/>
      <c r="G540" s="540"/>
      <c r="H540" s="540"/>
      <c r="I540" s="540"/>
      <c r="J540" s="540"/>
      <c r="K540" s="540"/>
      <c r="L540" s="540"/>
      <c r="M540" s="540"/>
      <c r="N540" s="540"/>
      <c r="O540" s="540"/>
      <c r="P540" s="540"/>
      <c r="Q540" s="540"/>
      <c r="R540" s="540"/>
      <c r="S540" s="540"/>
      <c r="T540" s="540"/>
      <c r="U540" s="540"/>
      <c r="V540" s="540"/>
      <c r="W540" s="540"/>
      <c r="X540" s="540"/>
      <c r="Y540" s="540"/>
      <c r="Z540" s="540"/>
    </row>
    <row r="541" ht="14.25" customHeight="1">
      <c r="A541" s="540"/>
      <c r="B541" s="540"/>
      <c r="C541" s="540"/>
      <c r="D541" s="540"/>
      <c r="E541" s="540"/>
      <c r="F541" s="540"/>
      <c r="G541" s="540"/>
      <c r="H541" s="540"/>
      <c r="I541" s="540"/>
      <c r="J541" s="540"/>
      <c r="K541" s="540"/>
      <c r="L541" s="540"/>
      <c r="M541" s="540"/>
      <c r="N541" s="540"/>
      <c r="O541" s="540"/>
      <c r="P541" s="540"/>
      <c r="Q541" s="540"/>
      <c r="R541" s="540"/>
      <c r="S541" s="540"/>
      <c r="T541" s="540"/>
      <c r="U541" s="540"/>
      <c r="V541" s="540"/>
      <c r="W541" s="540"/>
      <c r="X541" s="540"/>
      <c r="Y541" s="540"/>
      <c r="Z541" s="540"/>
    </row>
    <row r="542" ht="14.25" customHeight="1">
      <c r="A542" s="540"/>
      <c r="B542" s="540"/>
      <c r="C542" s="540"/>
      <c r="D542" s="540"/>
      <c r="E542" s="540"/>
      <c r="F542" s="540"/>
      <c r="G542" s="540"/>
      <c r="H542" s="540"/>
      <c r="I542" s="540"/>
      <c r="J542" s="540"/>
      <c r="K542" s="540"/>
      <c r="L542" s="540"/>
      <c r="M542" s="540"/>
      <c r="N542" s="540"/>
      <c r="O542" s="540"/>
      <c r="P542" s="540"/>
      <c r="Q542" s="540"/>
      <c r="R542" s="540"/>
      <c r="S542" s="540"/>
      <c r="T542" s="540"/>
      <c r="U542" s="540"/>
      <c r="V542" s="540"/>
      <c r="W542" s="540"/>
      <c r="X542" s="540"/>
      <c r="Y542" s="540"/>
      <c r="Z542" s="540"/>
    </row>
    <row r="543" ht="14.25" customHeight="1">
      <c r="A543" s="540"/>
      <c r="B543" s="540"/>
      <c r="C543" s="540"/>
      <c r="D543" s="540"/>
      <c r="E543" s="540"/>
      <c r="F543" s="540"/>
      <c r="G543" s="540"/>
      <c r="H543" s="540"/>
      <c r="I543" s="540"/>
      <c r="J543" s="540"/>
      <c r="K543" s="540"/>
      <c r="L543" s="540"/>
      <c r="M543" s="540"/>
      <c r="N543" s="540"/>
      <c r="O543" s="540"/>
      <c r="P543" s="540"/>
      <c r="Q543" s="540"/>
      <c r="R543" s="540"/>
      <c r="S543" s="540"/>
      <c r="T543" s="540"/>
      <c r="U543" s="540"/>
      <c r="V543" s="540"/>
      <c r="W543" s="540"/>
      <c r="X543" s="540"/>
      <c r="Y543" s="540"/>
      <c r="Z543" s="540"/>
    </row>
    <row r="544" ht="14.25" customHeight="1">
      <c r="A544" s="540"/>
      <c r="B544" s="540"/>
      <c r="C544" s="540"/>
      <c r="D544" s="540"/>
      <c r="E544" s="540"/>
      <c r="F544" s="540"/>
      <c r="G544" s="540"/>
      <c r="H544" s="540"/>
      <c r="I544" s="540"/>
      <c r="J544" s="540"/>
      <c r="K544" s="540"/>
      <c r="L544" s="540"/>
      <c r="M544" s="540"/>
      <c r="N544" s="540"/>
      <c r="O544" s="540"/>
      <c r="P544" s="540"/>
      <c r="Q544" s="540"/>
      <c r="R544" s="540"/>
      <c r="S544" s="540"/>
      <c r="T544" s="540"/>
      <c r="U544" s="540"/>
      <c r="V544" s="540"/>
      <c r="W544" s="540"/>
      <c r="X544" s="540"/>
      <c r="Y544" s="540"/>
      <c r="Z544" s="540"/>
    </row>
    <row r="545" ht="14.25" customHeight="1">
      <c r="A545" s="540"/>
      <c r="B545" s="540"/>
      <c r="C545" s="540"/>
      <c r="D545" s="540"/>
      <c r="E545" s="540"/>
      <c r="F545" s="540"/>
      <c r="G545" s="540"/>
      <c r="H545" s="540"/>
      <c r="I545" s="540"/>
      <c r="J545" s="540"/>
      <c r="K545" s="540"/>
      <c r="L545" s="540"/>
      <c r="M545" s="540"/>
      <c r="N545" s="540"/>
      <c r="O545" s="540"/>
      <c r="P545" s="540"/>
      <c r="Q545" s="540"/>
      <c r="R545" s="540"/>
      <c r="S545" s="540"/>
      <c r="T545" s="540"/>
      <c r="U545" s="540"/>
      <c r="V545" s="540"/>
      <c r="W545" s="540"/>
      <c r="X545" s="540"/>
      <c r="Y545" s="540"/>
      <c r="Z545" s="540"/>
    </row>
    <row r="546" ht="14.25" customHeight="1">
      <c r="A546" s="540"/>
      <c r="B546" s="540"/>
      <c r="C546" s="540"/>
      <c r="D546" s="540"/>
      <c r="E546" s="540"/>
      <c r="F546" s="540"/>
      <c r="G546" s="540"/>
      <c r="H546" s="540"/>
      <c r="I546" s="540"/>
      <c r="J546" s="540"/>
      <c r="K546" s="540"/>
      <c r="L546" s="540"/>
      <c r="M546" s="540"/>
      <c r="N546" s="540"/>
      <c r="O546" s="540"/>
      <c r="P546" s="540"/>
      <c r="Q546" s="540"/>
      <c r="R546" s="540"/>
      <c r="S546" s="540"/>
      <c r="T546" s="540"/>
      <c r="U546" s="540"/>
      <c r="V546" s="540"/>
      <c r="W546" s="540"/>
      <c r="X546" s="540"/>
      <c r="Y546" s="540"/>
      <c r="Z546" s="540"/>
    </row>
    <row r="547" ht="14.25" customHeight="1">
      <c r="A547" s="540"/>
      <c r="B547" s="540"/>
      <c r="C547" s="540"/>
      <c r="D547" s="540"/>
      <c r="E547" s="540"/>
      <c r="F547" s="540"/>
      <c r="G547" s="540"/>
      <c r="H547" s="540"/>
      <c r="I547" s="540"/>
      <c r="J547" s="540"/>
      <c r="K547" s="540"/>
      <c r="L547" s="540"/>
      <c r="M547" s="540"/>
      <c r="N547" s="540"/>
      <c r="O547" s="540"/>
      <c r="P547" s="540"/>
      <c r="Q547" s="540"/>
      <c r="R547" s="540"/>
      <c r="S547" s="540"/>
      <c r="T547" s="540"/>
      <c r="U547" s="540"/>
      <c r="V547" s="540"/>
      <c r="W547" s="540"/>
      <c r="X547" s="540"/>
      <c r="Y547" s="540"/>
      <c r="Z547" s="540"/>
    </row>
    <row r="548" ht="14.25" customHeight="1">
      <c r="A548" s="540"/>
      <c r="B548" s="540"/>
      <c r="C548" s="540"/>
      <c r="D548" s="540"/>
      <c r="E548" s="540"/>
      <c r="F548" s="540"/>
      <c r="G548" s="540"/>
      <c r="H548" s="540"/>
      <c r="I548" s="540"/>
      <c r="J548" s="540"/>
      <c r="K548" s="540"/>
      <c r="L548" s="540"/>
      <c r="M548" s="540"/>
      <c r="N548" s="540"/>
      <c r="O548" s="540"/>
      <c r="P548" s="540"/>
      <c r="Q548" s="540"/>
      <c r="R548" s="540"/>
      <c r="S548" s="540"/>
      <c r="T548" s="540"/>
      <c r="U548" s="540"/>
      <c r="V548" s="540"/>
      <c r="W548" s="540"/>
      <c r="X548" s="540"/>
      <c r="Y548" s="540"/>
      <c r="Z548" s="540"/>
    </row>
    <row r="549" ht="14.25" customHeight="1">
      <c r="A549" s="540"/>
      <c r="B549" s="540"/>
      <c r="C549" s="540"/>
      <c r="D549" s="540"/>
      <c r="E549" s="540"/>
      <c r="F549" s="540"/>
      <c r="G549" s="540"/>
      <c r="H549" s="540"/>
      <c r="I549" s="540"/>
      <c r="J549" s="540"/>
      <c r="K549" s="540"/>
      <c r="L549" s="540"/>
      <c r="M549" s="540"/>
      <c r="N549" s="540"/>
      <c r="O549" s="540"/>
      <c r="P549" s="540"/>
      <c r="Q549" s="540"/>
      <c r="R549" s="540"/>
      <c r="S549" s="540"/>
      <c r="T549" s="540"/>
      <c r="U549" s="540"/>
      <c r="V549" s="540"/>
      <c r="W549" s="540"/>
      <c r="X549" s="540"/>
      <c r="Y549" s="540"/>
      <c r="Z549" s="540"/>
    </row>
    <row r="550" ht="14.25" customHeight="1">
      <c r="A550" s="540"/>
      <c r="B550" s="540"/>
      <c r="C550" s="540"/>
      <c r="D550" s="540"/>
      <c r="E550" s="540"/>
      <c r="F550" s="540"/>
      <c r="G550" s="540"/>
      <c r="H550" s="540"/>
      <c r="I550" s="540"/>
      <c r="J550" s="540"/>
      <c r="K550" s="540"/>
      <c r="L550" s="540"/>
      <c r="M550" s="540"/>
      <c r="N550" s="540"/>
      <c r="O550" s="540"/>
      <c r="P550" s="540"/>
      <c r="Q550" s="540"/>
      <c r="R550" s="540"/>
      <c r="S550" s="540"/>
      <c r="T550" s="540"/>
      <c r="U550" s="540"/>
      <c r="V550" s="540"/>
      <c r="W550" s="540"/>
      <c r="X550" s="540"/>
      <c r="Y550" s="540"/>
      <c r="Z550" s="540"/>
    </row>
    <row r="551" ht="14.25" customHeight="1">
      <c r="A551" s="540"/>
      <c r="B551" s="540"/>
      <c r="C551" s="540"/>
      <c r="D551" s="540"/>
      <c r="E551" s="540"/>
      <c r="F551" s="540"/>
      <c r="G551" s="540"/>
      <c r="H551" s="540"/>
      <c r="I551" s="540"/>
      <c r="J551" s="540"/>
      <c r="K551" s="540"/>
      <c r="L551" s="540"/>
      <c r="M551" s="540"/>
      <c r="N551" s="540"/>
      <c r="O551" s="540"/>
      <c r="P551" s="540"/>
      <c r="Q551" s="540"/>
      <c r="R551" s="540"/>
      <c r="S551" s="540"/>
      <c r="T551" s="540"/>
      <c r="U551" s="540"/>
      <c r="V551" s="540"/>
      <c r="W551" s="540"/>
      <c r="X551" s="540"/>
      <c r="Y551" s="540"/>
      <c r="Z551" s="540"/>
    </row>
    <row r="552" ht="14.25" customHeight="1">
      <c r="A552" s="540"/>
      <c r="B552" s="540"/>
      <c r="C552" s="540"/>
      <c r="D552" s="540"/>
      <c r="E552" s="540"/>
      <c r="F552" s="540"/>
      <c r="G552" s="540"/>
      <c r="H552" s="540"/>
      <c r="I552" s="540"/>
      <c r="J552" s="540"/>
      <c r="K552" s="540"/>
      <c r="L552" s="540"/>
      <c r="M552" s="540"/>
      <c r="N552" s="540"/>
      <c r="O552" s="540"/>
      <c r="P552" s="540"/>
      <c r="Q552" s="540"/>
      <c r="R552" s="540"/>
      <c r="S552" s="540"/>
      <c r="T552" s="540"/>
      <c r="U552" s="540"/>
      <c r="V552" s="540"/>
      <c r="W552" s="540"/>
      <c r="X552" s="540"/>
      <c r="Y552" s="540"/>
      <c r="Z552" s="540"/>
    </row>
    <row r="553" ht="14.25" customHeight="1">
      <c r="A553" s="540"/>
      <c r="B553" s="540"/>
      <c r="C553" s="540"/>
      <c r="D553" s="540"/>
      <c r="E553" s="540"/>
      <c r="F553" s="540"/>
      <c r="G553" s="540"/>
      <c r="H553" s="540"/>
      <c r="I553" s="540"/>
      <c r="J553" s="540"/>
      <c r="K553" s="540"/>
      <c r="L553" s="540"/>
      <c r="M553" s="540"/>
      <c r="N553" s="540"/>
      <c r="O553" s="540"/>
      <c r="P553" s="540"/>
      <c r="Q553" s="540"/>
      <c r="R553" s="540"/>
      <c r="S553" s="540"/>
      <c r="T553" s="540"/>
      <c r="U553" s="540"/>
      <c r="V553" s="540"/>
      <c r="W553" s="540"/>
      <c r="X553" s="540"/>
      <c r="Y553" s="540"/>
      <c r="Z553" s="540"/>
    </row>
    <row r="554" ht="14.25" customHeight="1">
      <c r="A554" s="540"/>
      <c r="B554" s="540"/>
      <c r="C554" s="540"/>
      <c r="D554" s="540"/>
      <c r="E554" s="540"/>
      <c r="F554" s="540"/>
      <c r="G554" s="540"/>
      <c r="H554" s="540"/>
      <c r="I554" s="540"/>
      <c r="J554" s="540"/>
      <c r="K554" s="540"/>
      <c r="L554" s="540"/>
      <c r="M554" s="540"/>
      <c r="N554" s="540"/>
      <c r="O554" s="540"/>
      <c r="P554" s="540"/>
      <c r="Q554" s="540"/>
      <c r="R554" s="540"/>
      <c r="S554" s="540"/>
      <c r="T554" s="540"/>
      <c r="U554" s="540"/>
      <c r="V554" s="540"/>
      <c r="W554" s="540"/>
      <c r="X554" s="540"/>
      <c r="Y554" s="540"/>
      <c r="Z554" s="540"/>
    </row>
    <row r="555" ht="14.25" customHeight="1">
      <c r="A555" s="540"/>
      <c r="B555" s="540"/>
      <c r="C555" s="540"/>
      <c r="D555" s="540"/>
      <c r="E555" s="540"/>
      <c r="F555" s="540"/>
      <c r="G555" s="540"/>
      <c r="H555" s="540"/>
      <c r="I555" s="540"/>
      <c r="J555" s="540"/>
      <c r="K555" s="540"/>
      <c r="L555" s="540"/>
      <c r="M555" s="540"/>
      <c r="N555" s="540"/>
      <c r="O555" s="540"/>
      <c r="P555" s="540"/>
      <c r="Q555" s="540"/>
      <c r="R555" s="540"/>
      <c r="S555" s="540"/>
      <c r="T555" s="540"/>
      <c r="U555" s="540"/>
      <c r="V555" s="540"/>
      <c r="W555" s="540"/>
      <c r="X555" s="540"/>
      <c r="Y555" s="540"/>
      <c r="Z555" s="540"/>
    </row>
    <row r="556" ht="14.25" customHeight="1">
      <c r="A556" s="540"/>
      <c r="B556" s="540"/>
      <c r="C556" s="540"/>
      <c r="D556" s="540"/>
      <c r="E556" s="540"/>
      <c r="F556" s="540"/>
      <c r="G556" s="540"/>
      <c r="H556" s="540"/>
      <c r="I556" s="540"/>
      <c r="J556" s="540"/>
      <c r="K556" s="540"/>
      <c r="L556" s="540"/>
      <c r="M556" s="540"/>
      <c r="N556" s="540"/>
      <c r="O556" s="540"/>
      <c r="P556" s="540"/>
      <c r="Q556" s="540"/>
      <c r="R556" s="540"/>
      <c r="S556" s="540"/>
      <c r="T556" s="540"/>
      <c r="U556" s="540"/>
      <c r="V556" s="540"/>
      <c r="W556" s="540"/>
      <c r="X556" s="540"/>
      <c r="Y556" s="540"/>
      <c r="Z556" s="540"/>
    </row>
    <row r="557" ht="14.25" customHeight="1">
      <c r="A557" s="540"/>
      <c r="B557" s="540"/>
      <c r="C557" s="540"/>
      <c r="D557" s="540"/>
      <c r="E557" s="540"/>
      <c r="F557" s="540"/>
      <c r="G557" s="540"/>
      <c r="H557" s="540"/>
      <c r="I557" s="540"/>
      <c r="J557" s="540"/>
      <c r="K557" s="540"/>
      <c r="L557" s="540"/>
      <c r="M557" s="540"/>
      <c r="N557" s="540"/>
      <c r="O557" s="540"/>
      <c r="P557" s="540"/>
      <c r="Q557" s="540"/>
      <c r="R557" s="540"/>
      <c r="S557" s="540"/>
      <c r="T557" s="540"/>
      <c r="U557" s="540"/>
      <c r="V557" s="540"/>
      <c r="W557" s="540"/>
      <c r="X557" s="540"/>
      <c r="Y557" s="540"/>
      <c r="Z557" s="540"/>
    </row>
    <row r="558" ht="14.25" customHeight="1">
      <c r="A558" s="540"/>
      <c r="B558" s="540"/>
      <c r="C558" s="540"/>
      <c r="D558" s="540"/>
      <c r="E558" s="540"/>
      <c r="F558" s="540"/>
      <c r="G558" s="540"/>
      <c r="H558" s="540"/>
      <c r="I558" s="540"/>
      <c r="J558" s="540"/>
      <c r="K558" s="540"/>
      <c r="L558" s="540"/>
      <c r="M558" s="540"/>
      <c r="N558" s="540"/>
      <c r="O558" s="540"/>
      <c r="P558" s="540"/>
      <c r="Q558" s="540"/>
      <c r="R558" s="540"/>
      <c r="S558" s="540"/>
      <c r="T558" s="540"/>
      <c r="U558" s="540"/>
      <c r="V558" s="540"/>
      <c r="W558" s="540"/>
      <c r="X558" s="540"/>
      <c r="Y558" s="540"/>
      <c r="Z558" s="540"/>
    </row>
    <row r="559" ht="14.25" customHeight="1">
      <c r="A559" s="540"/>
      <c r="B559" s="540"/>
      <c r="C559" s="540"/>
      <c r="D559" s="540"/>
      <c r="E559" s="540"/>
      <c r="F559" s="540"/>
      <c r="G559" s="540"/>
      <c r="H559" s="540"/>
      <c r="I559" s="540"/>
      <c r="J559" s="540"/>
      <c r="K559" s="540"/>
      <c r="L559" s="540"/>
      <c r="M559" s="540"/>
      <c r="N559" s="540"/>
      <c r="O559" s="540"/>
      <c r="P559" s="540"/>
      <c r="Q559" s="540"/>
      <c r="R559" s="540"/>
      <c r="S559" s="540"/>
      <c r="T559" s="540"/>
      <c r="U559" s="540"/>
      <c r="V559" s="540"/>
      <c r="W559" s="540"/>
      <c r="X559" s="540"/>
      <c r="Y559" s="540"/>
      <c r="Z559" s="540"/>
    </row>
    <row r="560" ht="14.25" customHeight="1">
      <c r="A560" s="540"/>
      <c r="B560" s="540"/>
      <c r="C560" s="540"/>
      <c r="D560" s="540"/>
      <c r="E560" s="540"/>
      <c r="F560" s="540"/>
      <c r="G560" s="540"/>
      <c r="H560" s="540"/>
      <c r="I560" s="540"/>
      <c r="J560" s="540"/>
      <c r="K560" s="540"/>
      <c r="L560" s="540"/>
      <c r="M560" s="540"/>
      <c r="N560" s="540"/>
      <c r="O560" s="540"/>
      <c r="P560" s="540"/>
      <c r="Q560" s="540"/>
      <c r="R560" s="540"/>
      <c r="S560" s="540"/>
      <c r="T560" s="540"/>
      <c r="U560" s="540"/>
      <c r="V560" s="540"/>
      <c r="W560" s="540"/>
      <c r="X560" s="540"/>
      <c r="Y560" s="540"/>
      <c r="Z560" s="540"/>
    </row>
    <row r="561" ht="14.25" customHeight="1">
      <c r="A561" s="540"/>
      <c r="B561" s="540"/>
      <c r="C561" s="540"/>
      <c r="D561" s="540"/>
      <c r="E561" s="540"/>
      <c r="F561" s="540"/>
      <c r="G561" s="540"/>
      <c r="H561" s="540"/>
      <c r="I561" s="540"/>
      <c r="J561" s="540"/>
      <c r="K561" s="540"/>
      <c r="L561" s="540"/>
      <c r="M561" s="540"/>
      <c r="N561" s="540"/>
      <c r="O561" s="540"/>
      <c r="P561" s="540"/>
      <c r="Q561" s="540"/>
      <c r="R561" s="540"/>
      <c r="S561" s="540"/>
      <c r="T561" s="540"/>
      <c r="U561" s="540"/>
      <c r="V561" s="540"/>
      <c r="W561" s="540"/>
      <c r="X561" s="540"/>
      <c r="Y561" s="540"/>
      <c r="Z561" s="540"/>
    </row>
    <row r="562" ht="14.25" customHeight="1">
      <c r="A562" s="540"/>
      <c r="B562" s="540"/>
      <c r="C562" s="540"/>
      <c r="D562" s="540"/>
      <c r="E562" s="540"/>
      <c r="F562" s="540"/>
      <c r="G562" s="540"/>
      <c r="H562" s="540"/>
      <c r="I562" s="540"/>
      <c r="J562" s="540"/>
      <c r="K562" s="540"/>
      <c r="L562" s="540"/>
      <c r="M562" s="540"/>
      <c r="N562" s="540"/>
      <c r="O562" s="540"/>
      <c r="P562" s="540"/>
      <c r="Q562" s="540"/>
      <c r="R562" s="540"/>
      <c r="S562" s="540"/>
      <c r="T562" s="540"/>
      <c r="U562" s="540"/>
      <c r="V562" s="540"/>
      <c r="W562" s="540"/>
      <c r="X562" s="540"/>
      <c r="Y562" s="540"/>
      <c r="Z562" s="540"/>
    </row>
    <row r="563" ht="14.25" customHeight="1">
      <c r="A563" s="540"/>
      <c r="B563" s="540"/>
      <c r="C563" s="540"/>
      <c r="D563" s="540"/>
      <c r="E563" s="540"/>
      <c r="F563" s="540"/>
      <c r="G563" s="540"/>
      <c r="H563" s="540"/>
      <c r="I563" s="540"/>
      <c r="J563" s="540"/>
      <c r="K563" s="540"/>
      <c r="L563" s="540"/>
      <c r="M563" s="540"/>
      <c r="N563" s="540"/>
      <c r="O563" s="540"/>
      <c r="P563" s="540"/>
      <c r="Q563" s="540"/>
      <c r="R563" s="540"/>
      <c r="S563" s="540"/>
      <c r="T563" s="540"/>
      <c r="U563" s="540"/>
      <c r="V563" s="540"/>
      <c r="W563" s="540"/>
      <c r="X563" s="540"/>
      <c r="Y563" s="540"/>
      <c r="Z563" s="540"/>
    </row>
    <row r="564" ht="14.25" customHeight="1">
      <c r="A564" s="540"/>
      <c r="B564" s="540"/>
      <c r="C564" s="540"/>
      <c r="D564" s="540"/>
      <c r="E564" s="540"/>
      <c r="F564" s="540"/>
      <c r="G564" s="540"/>
      <c r="H564" s="540"/>
      <c r="I564" s="540"/>
      <c r="J564" s="540"/>
      <c r="K564" s="540"/>
      <c r="L564" s="540"/>
      <c r="M564" s="540"/>
      <c r="N564" s="540"/>
      <c r="O564" s="540"/>
      <c r="P564" s="540"/>
      <c r="Q564" s="540"/>
      <c r="R564" s="540"/>
      <c r="S564" s="540"/>
      <c r="T564" s="540"/>
      <c r="U564" s="540"/>
      <c r="V564" s="540"/>
      <c r="W564" s="540"/>
      <c r="X564" s="540"/>
      <c r="Y564" s="540"/>
      <c r="Z564" s="540"/>
    </row>
    <row r="565" ht="14.25" customHeight="1">
      <c r="A565" s="540"/>
      <c r="B565" s="540"/>
      <c r="C565" s="540"/>
      <c r="D565" s="540"/>
      <c r="E565" s="540"/>
      <c r="F565" s="540"/>
      <c r="G565" s="540"/>
      <c r="H565" s="540"/>
      <c r="I565" s="540"/>
      <c r="J565" s="540"/>
      <c r="K565" s="540"/>
      <c r="L565" s="540"/>
      <c r="M565" s="540"/>
      <c r="N565" s="540"/>
      <c r="O565" s="540"/>
      <c r="P565" s="540"/>
      <c r="Q565" s="540"/>
      <c r="R565" s="540"/>
      <c r="S565" s="540"/>
      <c r="T565" s="540"/>
      <c r="U565" s="540"/>
      <c r="V565" s="540"/>
      <c r="W565" s="540"/>
      <c r="X565" s="540"/>
      <c r="Y565" s="540"/>
      <c r="Z565" s="540"/>
    </row>
    <row r="566" ht="14.25" customHeight="1">
      <c r="A566" s="540"/>
      <c r="B566" s="540"/>
      <c r="C566" s="540"/>
      <c r="D566" s="540"/>
      <c r="E566" s="540"/>
      <c r="F566" s="540"/>
      <c r="G566" s="540"/>
      <c r="H566" s="540"/>
      <c r="I566" s="540"/>
      <c r="J566" s="540"/>
      <c r="K566" s="540"/>
      <c r="L566" s="540"/>
      <c r="M566" s="540"/>
      <c r="N566" s="540"/>
      <c r="O566" s="540"/>
      <c r="P566" s="540"/>
      <c r="Q566" s="540"/>
      <c r="R566" s="540"/>
      <c r="S566" s="540"/>
      <c r="T566" s="540"/>
      <c r="U566" s="540"/>
      <c r="V566" s="540"/>
      <c r="W566" s="540"/>
      <c r="X566" s="540"/>
      <c r="Y566" s="540"/>
      <c r="Z566" s="540"/>
    </row>
    <row r="567" ht="14.25" customHeight="1">
      <c r="A567" s="540"/>
      <c r="B567" s="540"/>
      <c r="C567" s="540"/>
      <c r="D567" s="540"/>
      <c r="E567" s="540"/>
      <c r="F567" s="540"/>
      <c r="G567" s="540"/>
      <c r="H567" s="540"/>
      <c r="I567" s="540"/>
      <c r="J567" s="540"/>
      <c r="K567" s="540"/>
      <c r="L567" s="540"/>
      <c r="M567" s="540"/>
      <c r="N567" s="540"/>
      <c r="O567" s="540"/>
      <c r="P567" s="540"/>
      <c r="Q567" s="540"/>
      <c r="R567" s="540"/>
      <c r="S567" s="540"/>
      <c r="T567" s="540"/>
      <c r="U567" s="540"/>
      <c r="V567" s="540"/>
      <c r="W567" s="540"/>
      <c r="X567" s="540"/>
      <c r="Y567" s="540"/>
      <c r="Z567" s="540"/>
    </row>
    <row r="568" ht="14.25" customHeight="1">
      <c r="A568" s="540"/>
      <c r="B568" s="540"/>
      <c r="C568" s="540"/>
      <c r="D568" s="540"/>
      <c r="E568" s="540"/>
      <c r="F568" s="540"/>
      <c r="G568" s="540"/>
      <c r="H568" s="540"/>
      <c r="I568" s="540"/>
      <c r="J568" s="540"/>
      <c r="K568" s="540"/>
      <c r="L568" s="540"/>
      <c r="M568" s="540"/>
      <c r="N568" s="540"/>
      <c r="O568" s="540"/>
      <c r="P568" s="540"/>
      <c r="Q568" s="540"/>
      <c r="R568" s="540"/>
      <c r="S568" s="540"/>
      <c r="T568" s="540"/>
      <c r="U568" s="540"/>
      <c r="V568" s="540"/>
      <c r="W568" s="540"/>
      <c r="X568" s="540"/>
      <c r="Y568" s="540"/>
      <c r="Z568" s="540"/>
    </row>
    <row r="569" ht="14.25" customHeight="1">
      <c r="A569" s="540"/>
      <c r="B569" s="540"/>
      <c r="C569" s="540"/>
      <c r="D569" s="540"/>
      <c r="E569" s="540"/>
      <c r="F569" s="540"/>
      <c r="G569" s="540"/>
      <c r="H569" s="540"/>
      <c r="I569" s="540"/>
      <c r="J569" s="540"/>
      <c r="K569" s="540"/>
      <c r="L569" s="540"/>
      <c r="M569" s="540"/>
      <c r="N569" s="540"/>
      <c r="O569" s="540"/>
      <c r="P569" s="540"/>
      <c r="Q569" s="540"/>
      <c r="R569" s="540"/>
      <c r="S569" s="540"/>
      <c r="T569" s="540"/>
      <c r="U569" s="540"/>
      <c r="V569" s="540"/>
      <c r="W569" s="540"/>
      <c r="X569" s="540"/>
      <c r="Y569" s="540"/>
      <c r="Z569" s="540"/>
    </row>
    <row r="570" ht="14.25" customHeight="1">
      <c r="A570" s="540"/>
      <c r="B570" s="540"/>
      <c r="C570" s="540"/>
      <c r="D570" s="540"/>
      <c r="E570" s="540"/>
      <c r="F570" s="540"/>
      <c r="G570" s="540"/>
      <c r="H570" s="540"/>
      <c r="I570" s="540"/>
      <c r="J570" s="540"/>
      <c r="K570" s="540"/>
      <c r="L570" s="540"/>
      <c r="M570" s="540"/>
      <c r="N570" s="540"/>
      <c r="O570" s="540"/>
      <c r="P570" s="540"/>
      <c r="Q570" s="540"/>
      <c r="R570" s="540"/>
      <c r="S570" s="540"/>
      <c r="T570" s="540"/>
      <c r="U570" s="540"/>
      <c r="V570" s="540"/>
      <c r="W570" s="540"/>
      <c r="X570" s="540"/>
      <c r="Y570" s="540"/>
      <c r="Z570" s="540"/>
    </row>
    <row r="571" ht="14.25" customHeight="1">
      <c r="A571" s="540"/>
      <c r="B571" s="540"/>
      <c r="C571" s="540"/>
      <c r="D571" s="540"/>
      <c r="E571" s="540"/>
      <c r="F571" s="540"/>
      <c r="G571" s="540"/>
      <c r="H571" s="540"/>
      <c r="I571" s="540"/>
      <c r="J571" s="540"/>
      <c r="K571" s="540"/>
      <c r="L571" s="540"/>
      <c r="M571" s="540"/>
      <c r="N571" s="540"/>
      <c r="O571" s="540"/>
      <c r="P571" s="540"/>
      <c r="Q571" s="540"/>
      <c r="R571" s="540"/>
      <c r="S571" s="540"/>
      <c r="T571" s="540"/>
      <c r="U571" s="540"/>
      <c r="V571" s="540"/>
      <c r="W571" s="540"/>
      <c r="X571" s="540"/>
      <c r="Y571" s="540"/>
      <c r="Z571" s="540"/>
    </row>
    <row r="572" ht="14.25" customHeight="1">
      <c r="A572" s="540"/>
      <c r="B572" s="540"/>
      <c r="C572" s="540"/>
      <c r="D572" s="540"/>
      <c r="E572" s="540"/>
      <c r="F572" s="540"/>
      <c r="G572" s="540"/>
      <c r="H572" s="540"/>
      <c r="I572" s="540"/>
      <c r="J572" s="540"/>
      <c r="K572" s="540"/>
      <c r="L572" s="540"/>
      <c r="M572" s="540"/>
      <c r="N572" s="540"/>
      <c r="O572" s="540"/>
      <c r="P572" s="540"/>
      <c r="Q572" s="540"/>
      <c r="R572" s="540"/>
      <c r="S572" s="540"/>
      <c r="T572" s="540"/>
      <c r="U572" s="540"/>
      <c r="V572" s="540"/>
      <c r="W572" s="540"/>
      <c r="X572" s="540"/>
      <c r="Y572" s="540"/>
      <c r="Z572" s="540"/>
    </row>
    <row r="573" ht="14.25" customHeight="1">
      <c r="A573" s="540"/>
      <c r="B573" s="540"/>
      <c r="C573" s="540"/>
      <c r="D573" s="540"/>
      <c r="E573" s="540"/>
      <c r="F573" s="540"/>
      <c r="G573" s="540"/>
      <c r="H573" s="540"/>
      <c r="I573" s="540"/>
      <c r="J573" s="540"/>
      <c r="K573" s="540"/>
      <c r="L573" s="540"/>
      <c r="M573" s="540"/>
      <c r="N573" s="540"/>
      <c r="O573" s="540"/>
      <c r="P573" s="540"/>
      <c r="Q573" s="540"/>
      <c r="R573" s="540"/>
      <c r="S573" s="540"/>
      <c r="T573" s="540"/>
      <c r="U573" s="540"/>
      <c r="V573" s="540"/>
      <c r="W573" s="540"/>
      <c r="X573" s="540"/>
      <c r="Y573" s="540"/>
      <c r="Z573" s="540"/>
    </row>
    <row r="574" ht="14.25" customHeight="1">
      <c r="A574" s="540"/>
      <c r="B574" s="540"/>
      <c r="C574" s="540"/>
      <c r="D574" s="540"/>
      <c r="E574" s="540"/>
      <c r="F574" s="540"/>
      <c r="G574" s="540"/>
      <c r="H574" s="540"/>
      <c r="I574" s="540"/>
      <c r="J574" s="540"/>
      <c r="K574" s="540"/>
      <c r="L574" s="540"/>
      <c r="M574" s="540"/>
      <c r="N574" s="540"/>
      <c r="O574" s="540"/>
      <c r="P574" s="540"/>
      <c r="Q574" s="540"/>
      <c r="R574" s="540"/>
      <c r="S574" s="540"/>
      <c r="T574" s="540"/>
      <c r="U574" s="540"/>
      <c r="V574" s="540"/>
      <c r="W574" s="540"/>
      <c r="X574" s="540"/>
      <c r="Y574" s="540"/>
      <c r="Z574" s="540"/>
    </row>
    <row r="575" ht="14.25" customHeight="1">
      <c r="A575" s="540"/>
      <c r="B575" s="540"/>
      <c r="C575" s="540"/>
      <c r="D575" s="540"/>
      <c r="E575" s="540"/>
      <c r="F575" s="540"/>
      <c r="G575" s="540"/>
      <c r="H575" s="540"/>
      <c r="I575" s="540"/>
      <c r="J575" s="540"/>
      <c r="K575" s="540"/>
      <c r="L575" s="540"/>
      <c r="M575" s="540"/>
      <c r="N575" s="540"/>
      <c r="O575" s="540"/>
      <c r="P575" s="540"/>
      <c r="Q575" s="540"/>
      <c r="R575" s="540"/>
      <c r="S575" s="540"/>
      <c r="T575" s="540"/>
      <c r="U575" s="540"/>
      <c r="V575" s="540"/>
      <c r="W575" s="540"/>
      <c r="X575" s="540"/>
      <c r="Y575" s="540"/>
      <c r="Z575" s="540"/>
    </row>
    <row r="576" ht="14.25" customHeight="1">
      <c r="A576" s="540"/>
      <c r="B576" s="540"/>
      <c r="C576" s="540"/>
      <c r="D576" s="540"/>
      <c r="E576" s="540"/>
      <c r="F576" s="540"/>
      <c r="G576" s="540"/>
      <c r="H576" s="540"/>
      <c r="I576" s="540"/>
      <c r="J576" s="540"/>
      <c r="K576" s="540"/>
      <c r="L576" s="540"/>
      <c r="M576" s="540"/>
      <c r="N576" s="540"/>
      <c r="O576" s="540"/>
      <c r="P576" s="540"/>
      <c r="Q576" s="540"/>
      <c r="R576" s="540"/>
      <c r="S576" s="540"/>
      <c r="T576" s="540"/>
      <c r="U576" s="540"/>
      <c r="V576" s="540"/>
      <c r="W576" s="540"/>
      <c r="X576" s="540"/>
      <c r="Y576" s="540"/>
      <c r="Z576" s="540"/>
    </row>
    <row r="577" ht="14.25" customHeight="1">
      <c r="A577" s="540"/>
      <c r="B577" s="540"/>
      <c r="C577" s="540"/>
      <c r="D577" s="540"/>
      <c r="E577" s="540"/>
      <c r="F577" s="540"/>
      <c r="G577" s="540"/>
      <c r="H577" s="540"/>
      <c r="I577" s="540"/>
      <c r="J577" s="540"/>
      <c r="K577" s="540"/>
      <c r="L577" s="540"/>
      <c r="M577" s="540"/>
      <c r="N577" s="540"/>
      <c r="O577" s="540"/>
      <c r="P577" s="540"/>
      <c r="Q577" s="540"/>
      <c r="R577" s="540"/>
      <c r="S577" s="540"/>
      <c r="T577" s="540"/>
      <c r="U577" s="540"/>
      <c r="V577" s="540"/>
      <c r="W577" s="540"/>
      <c r="X577" s="540"/>
      <c r="Y577" s="540"/>
      <c r="Z577" s="540"/>
    </row>
    <row r="578" ht="14.25" customHeight="1">
      <c r="A578" s="540"/>
      <c r="B578" s="540"/>
      <c r="C578" s="540"/>
      <c r="D578" s="540"/>
      <c r="E578" s="540"/>
      <c r="F578" s="540"/>
      <c r="G578" s="540"/>
      <c r="H578" s="540"/>
      <c r="I578" s="540"/>
      <c r="J578" s="540"/>
      <c r="K578" s="540"/>
      <c r="L578" s="540"/>
      <c r="M578" s="540"/>
      <c r="N578" s="540"/>
      <c r="O578" s="540"/>
      <c r="P578" s="540"/>
      <c r="Q578" s="540"/>
      <c r="R578" s="540"/>
      <c r="S578" s="540"/>
      <c r="T578" s="540"/>
      <c r="U578" s="540"/>
      <c r="V578" s="540"/>
      <c r="W578" s="540"/>
      <c r="X578" s="540"/>
      <c r="Y578" s="540"/>
      <c r="Z578" s="540"/>
    </row>
    <row r="579" ht="14.25" customHeight="1">
      <c r="A579" s="540"/>
      <c r="B579" s="540"/>
      <c r="C579" s="540"/>
      <c r="D579" s="540"/>
      <c r="E579" s="540"/>
      <c r="F579" s="540"/>
      <c r="G579" s="540"/>
      <c r="H579" s="540"/>
      <c r="I579" s="540"/>
      <c r="J579" s="540"/>
      <c r="K579" s="540"/>
      <c r="L579" s="540"/>
      <c r="M579" s="540"/>
      <c r="N579" s="540"/>
      <c r="O579" s="540"/>
      <c r="P579" s="540"/>
      <c r="Q579" s="540"/>
      <c r="R579" s="540"/>
      <c r="S579" s="540"/>
      <c r="T579" s="540"/>
      <c r="U579" s="540"/>
      <c r="V579" s="540"/>
      <c r="W579" s="540"/>
      <c r="X579" s="540"/>
      <c r="Y579" s="540"/>
      <c r="Z579" s="540"/>
    </row>
    <row r="580" ht="14.25" customHeight="1">
      <c r="A580" s="540"/>
      <c r="B580" s="540"/>
      <c r="C580" s="540"/>
      <c r="D580" s="540"/>
      <c r="E580" s="540"/>
      <c r="F580" s="540"/>
      <c r="G580" s="540"/>
      <c r="H580" s="540"/>
      <c r="I580" s="540"/>
      <c r="J580" s="540"/>
      <c r="K580" s="540"/>
      <c r="L580" s="540"/>
      <c r="M580" s="540"/>
      <c r="N580" s="540"/>
      <c r="O580" s="540"/>
      <c r="P580" s="540"/>
      <c r="Q580" s="540"/>
      <c r="R580" s="540"/>
      <c r="S580" s="540"/>
      <c r="T580" s="540"/>
      <c r="U580" s="540"/>
      <c r="V580" s="540"/>
      <c r="W580" s="540"/>
      <c r="X580" s="540"/>
      <c r="Y580" s="540"/>
      <c r="Z580" s="540"/>
    </row>
    <row r="581" ht="14.25" customHeight="1">
      <c r="A581" s="540"/>
      <c r="B581" s="540"/>
      <c r="C581" s="540"/>
      <c r="D581" s="540"/>
      <c r="E581" s="540"/>
      <c r="F581" s="540"/>
      <c r="G581" s="540"/>
      <c r="H581" s="540"/>
      <c r="I581" s="540"/>
      <c r="J581" s="540"/>
      <c r="K581" s="540"/>
      <c r="L581" s="540"/>
      <c r="M581" s="540"/>
      <c r="N581" s="540"/>
      <c r="O581" s="540"/>
      <c r="P581" s="540"/>
      <c r="Q581" s="540"/>
      <c r="R581" s="540"/>
      <c r="S581" s="540"/>
      <c r="T581" s="540"/>
      <c r="U581" s="540"/>
      <c r="V581" s="540"/>
      <c r="W581" s="540"/>
      <c r="X581" s="540"/>
      <c r="Y581" s="540"/>
      <c r="Z581" s="540"/>
    </row>
    <row r="582" ht="14.25" customHeight="1">
      <c r="A582" s="540"/>
      <c r="B582" s="540"/>
      <c r="C582" s="540"/>
      <c r="D582" s="540"/>
      <c r="E582" s="540"/>
      <c r="F582" s="540"/>
      <c r="G582" s="540"/>
      <c r="H582" s="540"/>
      <c r="I582" s="540"/>
      <c r="J582" s="540"/>
      <c r="K582" s="540"/>
      <c r="L582" s="540"/>
      <c r="M582" s="540"/>
      <c r="N582" s="540"/>
      <c r="O582" s="540"/>
      <c r="P582" s="540"/>
      <c r="Q582" s="540"/>
      <c r="R582" s="540"/>
      <c r="S582" s="540"/>
      <c r="T582" s="540"/>
      <c r="U582" s="540"/>
      <c r="V582" s="540"/>
      <c r="W582" s="540"/>
      <c r="X582" s="540"/>
      <c r="Y582" s="540"/>
      <c r="Z582" s="540"/>
    </row>
    <row r="583" ht="14.25" customHeight="1">
      <c r="A583" s="540"/>
      <c r="B583" s="540"/>
      <c r="C583" s="540"/>
      <c r="D583" s="540"/>
      <c r="E583" s="540"/>
      <c r="F583" s="540"/>
      <c r="G583" s="540"/>
      <c r="H583" s="540"/>
      <c r="I583" s="540"/>
      <c r="J583" s="540"/>
      <c r="K583" s="540"/>
      <c r="L583" s="540"/>
      <c r="M583" s="540"/>
      <c r="N583" s="540"/>
      <c r="O583" s="540"/>
      <c r="P583" s="540"/>
      <c r="Q583" s="540"/>
      <c r="R583" s="540"/>
      <c r="S583" s="540"/>
      <c r="T583" s="540"/>
      <c r="U583" s="540"/>
      <c r="V583" s="540"/>
      <c r="W583" s="540"/>
      <c r="X583" s="540"/>
      <c r="Y583" s="540"/>
      <c r="Z583" s="540"/>
    </row>
    <row r="584" ht="14.25" customHeight="1">
      <c r="A584" s="540"/>
      <c r="B584" s="540"/>
      <c r="C584" s="540"/>
      <c r="D584" s="540"/>
      <c r="E584" s="540"/>
      <c r="F584" s="540"/>
      <c r="G584" s="540"/>
      <c r="H584" s="540"/>
      <c r="I584" s="540"/>
      <c r="J584" s="540"/>
      <c r="K584" s="540"/>
      <c r="L584" s="540"/>
      <c r="M584" s="540"/>
      <c r="N584" s="540"/>
      <c r="O584" s="540"/>
      <c r="P584" s="540"/>
      <c r="Q584" s="540"/>
      <c r="R584" s="540"/>
      <c r="S584" s="540"/>
      <c r="T584" s="540"/>
      <c r="U584" s="540"/>
      <c r="V584" s="540"/>
      <c r="W584" s="540"/>
      <c r="X584" s="540"/>
      <c r="Y584" s="540"/>
      <c r="Z584" s="540"/>
    </row>
    <row r="585" ht="14.25" customHeight="1">
      <c r="A585" s="540"/>
      <c r="B585" s="540"/>
      <c r="C585" s="540"/>
      <c r="D585" s="540"/>
      <c r="E585" s="540"/>
      <c r="F585" s="540"/>
      <c r="G585" s="540"/>
      <c r="H585" s="540"/>
      <c r="I585" s="540"/>
      <c r="J585" s="540"/>
      <c r="K585" s="540"/>
      <c r="L585" s="540"/>
      <c r="M585" s="540"/>
      <c r="N585" s="540"/>
      <c r="O585" s="540"/>
      <c r="P585" s="540"/>
      <c r="Q585" s="540"/>
      <c r="R585" s="540"/>
      <c r="S585" s="540"/>
      <c r="T585" s="540"/>
      <c r="U585" s="540"/>
      <c r="V585" s="540"/>
      <c r="W585" s="540"/>
      <c r="X585" s="540"/>
      <c r="Y585" s="540"/>
      <c r="Z585" s="540"/>
    </row>
    <row r="586" ht="14.25" customHeight="1">
      <c r="A586" s="540"/>
      <c r="B586" s="540"/>
      <c r="C586" s="540"/>
      <c r="D586" s="540"/>
      <c r="E586" s="540"/>
      <c r="F586" s="540"/>
      <c r="G586" s="540"/>
      <c r="H586" s="540"/>
      <c r="I586" s="540"/>
      <c r="J586" s="540"/>
      <c r="K586" s="540"/>
      <c r="L586" s="540"/>
      <c r="M586" s="540"/>
      <c r="N586" s="540"/>
      <c r="O586" s="540"/>
      <c r="P586" s="540"/>
      <c r="Q586" s="540"/>
      <c r="R586" s="540"/>
      <c r="S586" s="540"/>
      <c r="T586" s="540"/>
      <c r="U586" s="540"/>
      <c r="V586" s="540"/>
      <c r="W586" s="540"/>
      <c r="X586" s="540"/>
      <c r="Y586" s="540"/>
      <c r="Z586" s="540"/>
    </row>
    <row r="587" ht="14.25" customHeight="1">
      <c r="A587" s="540"/>
      <c r="B587" s="540"/>
      <c r="C587" s="540"/>
      <c r="D587" s="540"/>
      <c r="E587" s="540"/>
      <c r="F587" s="540"/>
      <c r="G587" s="540"/>
      <c r="H587" s="540"/>
      <c r="I587" s="540"/>
      <c r="J587" s="540"/>
      <c r="K587" s="540"/>
      <c r="L587" s="540"/>
      <c r="M587" s="540"/>
      <c r="N587" s="540"/>
      <c r="O587" s="540"/>
      <c r="P587" s="540"/>
      <c r="Q587" s="540"/>
      <c r="R587" s="540"/>
      <c r="S587" s="540"/>
      <c r="T587" s="540"/>
      <c r="U587" s="540"/>
      <c r="V587" s="540"/>
      <c r="W587" s="540"/>
      <c r="X587" s="540"/>
      <c r="Y587" s="540"/>
      <c r="Z587" s="540"/>
    </row>
    <row r="588" ht="14.25" customHeight="1">
      <c r="A588" s="540"/>
      <c r="B588" s="540"/>
      <c r="C588" s="540"/>
      <c r="D588" s="540"/>
      <c r="E588" s="540"/>
      <c r="F588" s="540"/>
      <c r="G588" s="540"/>
      <c r="H588" s="540"/>
      <c r="I588" s="540"/>
      <c r="J588" s="540"/>
      <c r="K588" s="540"/>
      <c r="L588" s="540"/>
      <c r="M588" s="540"/>
      <c r="N588" s="540"/>
      <c r="O588" s="540"/>
      <c r="P588" s="540"/>
      <c r="Q588" s="540"/>
      <c r="R588" s="540"/>
      <c r="S588" s="540"/>
      <c r="T588" s="540"/>
      <c r="U588" s="540"/>
      <c r="V588" s="540"/>
      <c r="W588" s="540"/>
      <c r="X588" s="540"/>
      <c r="Y588" s="540"/>
      <c r="Z588" s="540"/>
    </row>
    <row r="589" ht="14.25" customHeight="1">
      <c r="A589" s="540"/>
      <c r="B589" s="540"/>
      <c r="C589" s="540"/>
      <c r="D589" s="540"/>
      <c r="E589" s="540"/>
      <c r="F589" s="540"/>
      <c r="G589" s="540"/>
      <c r="H589" s="540"/>
      <c r="I589" s="540"/>
      <c r="J589" s="540"/>
      <c r="K589" s="540"/>
      <c r="L589" s="540"/>
      <c r="M589" s="540"/>
      <c r="N589" s="540"/>
      <c r="O589" s="540"/>
      <c r="P589" s="540"/>
      <c r="Q589" s="540"/>
      <c r="R589" s="540"/>
      <c r="S589" s="540"/>
      <c r="T589" s="540"/>
      <c r="U589" s="540"/>
      <c r="V589" s="540"/>
      <c r="W589" s="540"/>
      <c r="X589" s="540"/>
      <c r="Y589" s="540"/>
      <c r="Z589" s="540"/>
    </row>
    <row r="590" ht="14.25" customHeight="1">
      <c r="A590" s="540"/>
      <c r="B590" s="540"/>
      <c r="C590" s="540"/>
      <c r="D590" s="540"/>
      <c r="E590" s="540"/>
      <c r="F590" s="540"/>
      <c r="G590" s="540"/>
      <c r="H590" s="540"/>
      <c r="I590" s="540"/>
      <c r="J590" s="540"/>
      <c r="K590" s="540"/>
      <c r="L590" s="540"/>
      <c r="M590" s="540"/>
      <c r="N590" s="540"/>
      <c r="O590" s="540"/>
      <c r="P590" s="540"/>
      <c r="Q590" s="540"/>
      <c r="R590" s="540"/>
      <c r="S590" s="540"/>
      <c r="T590" s="540"/>
      <c r="U590" s="540"/>
      <c r="V590" s="540"/>
      <c r="W590" s="540"/>
      <c r="X590" s="540"/>
      <c r="Y590" s="540"/>
      <c r="Z590" s="540"/>
    </row>
    <row r="591" ht="14.25" customHeight="1">
      <c r="A591" s="540"/>
      <c r="B591" s="540"/>
      <c r="C591" s="540"/>
      <c r="D591" s="540"/>
      <c r="E591" s="540"/>
      <c r="F591" s="540"/>
      <c r="G591" s="540"/>
      <c r="H591" s="540"/>
      <c r="I591" s="540"/>
      <c r="J591" s="540"/>
      <c r="K591" s="540"/>
      <c r="L591" s="540"/>
      <c r="M591" s="540"/>
      <c r="N591" s="540"/>
      <c r="O591" s="540"/>
      <c r="P591" s="540"/>
      <c r="Q591" s="540"/>
      <c r="R591" s="540"/>
      <c r="S591" s="540"/>
      <c r="T591" s="540"/>
      <c r="U591" s="540"/>
      <c r="V591" s="540"/>
      <c r="W591" s="540"/>
      <c r="X591" s="540"/>
      <c r="Y591" s="540"/>
      <c r="Z591" s="540"/>
    </row>
    <row r="592" ht="14.25" customHeight="1">
      <c r="A592" s="540"/>
      <c r="B592" s="540"/>
      <c r="C592" s="540"/>
      <c r="D592" s="540"/>
      <c r="E592" s="540"/>
      <c r="F592" s="540"/>
      <c r="G592" s="540"/>
      <c r="H592" s="540"/>
      <c r="I592" s="540"/>
      <c r="J592" s="540"/>
      <c r="K592" s="540"/>
      <c r="L592" s="540"/>
      <c r="M592" s="540"/>
      <c r="N592" s="540"/>
      <c r="O592" s="540"/>
      <c r="P592" s="540"/>
      <c r="Q592" s="540"/>
      <c r="R592" s="540"/>
      <c r="S592" s="540"/>
      <c r="T592" s="540"/>
      <c r="U592" s="540"/>
      <c r="V592" s="540"/>
      <c r="W592" s="540"/>
      <c r="X592" s="540"/>
      <c r="Y592" s="540"/>
      <c r="Z592" s="540"/>
    </row>
    <row r="593" ht="14.25" customHeight="1">
      <c r="A593" s="540"/>
      <c r="B593" s="540"/>
      <c r="C593" s="540"/>
      <c r="D593" s="540"/>
      <c r="E593" s="540"/>
      <c r="F593" s="540"/>
      <c r="G593" s="540"/>
      <c r="H593" s="540"/>
      <c r="I593" s="540"/>
      <c r="J593" s="540"/>
      <c r="K593" s="540"/>
      <c r="L593" s="540"/>
      <c r="M593" s="540"/>
      <c r="N593" s="540"/>
      <c r="O593" s="540"/>
      <c r="P593" s="540"/>
      <c r="Q593" s="540"/>
      <c r="R593" s="540"/>
      <c r="S593" s="540"/>
      <c r="T593" s="540"/>
      <c r="U593" s="540"/>
      <c r="V593" s="540"/>
      <c r="W593" s="540"/>
      <c r="X593" s="540"/>
      <c r="Y593" s="540"/>
      <c r="Z593" s="540"/>
    </row>
    <row r="594" ht="14.25" customHeight="1">
      <c r="A594" s="540"/>
      <c r="B594" s="540"/>
      <c r="C594" s="540"/>
      <c r="D594" s="540"/>
      <c r="E594" s="540"/>
      <c r="F594" s="540"/>
      <c r="G594" s="540"/>
      <c r="H594" s="540"/>
      <c r="I594" s="540"/>
      <c r="J594" s="540"/>
      <c r="K594" s="540"/>
      <c r="L594" s="540"/>
      <c r="M594" s="540"/>
      <c r="N594" s="540"/>
      <c r="O594" s="540"/>
      <c r="P594" s="540"/>
      <c r="Q594" s="540"/>
      <c r="R594" s="540"/>
      <c r="S594" s="540"/>
      <c r="T594" s="540"/>
      <c r="U594" s="540"/>
      <c r="V594" s="540"/>
      <c r="W594" s="540"/>
      <c r="X594" s="540"/>
      <c r="Y594" s="540"/>
      <c r="Z594" s="540"/>
    </row>
    <row r="595" ht="14.25" customHeight="1">
      <c r="A595" s="540"/>
      <c r="B595" s="540"/>
      <c r="C595" s="540"/>
      <c r="D595" s="540"/>
      <c r="E595" s="540"/>
      <c r="F595" s="540"/>
      <c r="G595" s="540"/>
      <c r="H595" s="540"/>
      <c r="I595" s="540"/>
      <c r="J595" s="540"/>
      <c r="K595" s="540"/>
      <c r="L595" s="540"/>
      <c r="M595" s="540"/>
      <c r="N595" s="540"/>
      <c r="O595" s="540"/>
      <c r="P595" s="540"/>
      <c r="Q595" s="540"/>
      <c r="R595" s="540"/>
      <c r="S595" s="540"/>
      <c r="T595" s="540"/>
      <c r="U595" s="540"/>
      <c r="V595" s="540"/>
      <c r="W595" s="540"/>
      <c r="X595" s="540"/>
      <c r="Y595" s="540"/>
      <c r="Z595" s="540"/>
    </row>
    <row r="596" ht="14.25" customHeight="1">
      <c r="A596" s="540"/>
      <c r="B596" s="540"/>
      <c r="C596" s="540"/>
      <c r="D596" s="540"/>
      <c r="E596" s="540"/>
      <c r="F596" s="540"/>
      <c r="G596" s="540"/>
      <c r="H596" s="540"/>
      <c r="I596" s="540"/>
      <c r="J596" s="540"/>
      <c r="K596" s="540"/>
      <c r="L596" s="540"/>
      <c r="M596" s="540"/>
      <c r="N596" s="540"/>
      <c r="O596" s="540"/>
      <c r="P596" s="540"/>
      <c r="Q596" s="540"/>
      <c r="R596" s="540"/>
      <c r="S596" s="540"/>
      <c r="T596" s="540"/>
      <c r="U596" s="540"/>
      <c r="V596" s="540"/>
      <c r="W596" s="540"/>
      <c r="X596" s="540"/>
      <c r="Y596" s="540"/>
      <c r="Z596" s="540"/>
    </row>
    <row r="597" ht="14.25" customHeight="1">
      <c r="A597" s="540"/>
      <c r="B597" s="540"/>
      <c r="C597" s="540"/>
      <c r="D597" s="540"/>
      <c r="E597" s="540"/>
      <c r="F597" s="540"/>
      <c r="G597" s="540"/>
      <c r="H597" s="540"/>
      <c r="I597" s="540"/>
      <c r="J597" s="540"/>
      <c r="K597" s="540"/>
      <c r="L597" s="540"/>
      <c r="M597" s="540"/>
      <c r="N597" s="540"/>
      <c r="O597" s="540"/>
      <c r="P597" s="540"/>
      <c r="Q597" s="540"/>
      <c r="R597" s="540"/>
      <c r="S597" s="540"/>
      <c r="T597" s="540"/>
      <c r="U597" s="540"/>
      <c r="V597" s="540"/>
      <c r="W597" s="540"/>
      <c r="X597" s="540"/>
      <c r="Y597" s="540"/>
      <c r="Z597" s="540"/>
    </row>
    <row r="598" ht="14.25" customHeight="1">
      <c r="A598" s="540"/>
      <c r="B598" s="540"/>
      <c r="C598" s="540"/>
      <c r="D598" s="540"/>
      <c r="E598" s="540"/>
      <c r="F598" s="540"/>
      <c r="G598" s="540"/>
      <c r="H598" s="540"/>
      <c r="I598" s="540"/>
      <c r="J598" s="540"/>
      <c r="K598" s="540"/>
      <c r="L598" s="540"/>
      <c r="M598" s="540"/>
      <c r="N598" s="540"/>
      <c r="O598" s="540"/>
      <c r="P598" s="540"/>
      <c r="Q598" s="540"/>
      <c r="R598" s="540"/>
      <c r="S598" s="540"/>
      <c r="T598" s="540"/>
      <c r="U598" s="540"/>
      <c r="V598" s="540"/>
      <c r="W598" s="540"/>
      <c r="X598" s="540"/>
      <c r="Y598" s="540"/>
      <c r="Z598" s="540"/>
    </row>
    <row r="599" ht="14.25" customHeight="1">
      <c r="A599" s="540"/>
      <c r="B599" s="540"/>
      <c r="C599" s="540"/>
      <c r="D599" s="540"/>
      <c r="E599" s="540"/>
      <c r="F599" s="540"/>
      <c r="G599" s="540"/>
      <c r="H599" s="540"/>
      <c r="I599" s="540"/>
      <c r="J599" s="540"/>
      <c r="K599" s="540"/>
      <c r="L599" s="540"/>
      <c r="M599" s="540"/>
      <c r="N599" s="540"/>
      <c r="O599" s="540"/>
      <c r="P599" s="540"/>
      <c r="Q599" s="540"/>
      <c r="R599" s="540"/>
      <c r="S599" s="540"/>
      <c r="T599" s="540"/>
      <c r="U599" s="540"/>
      <c r="V599" s="540"/>
      <c r="W599" s="540"/>
      <c r="X599" s="540"/>
      <c r="Y599" s="540"/>
      <c r="Z599" s="540"/>
    </row>
    <row r="600" ht="14.25" customHeight="1">
      <c r="A600" s="540"/>
      <c r="B600" s="540"/>
      <c r="C600" s="540"/>
      <c r="D600" s="540"/>
      <c r="E600" s="540"/>
      <c r="F600" s="540"/>
      <c r="G600" s="540"/>
      <c r="H600" s="540"/>
      <c r="I600" s="540"/>
      <c r="J600" s="540"/>
      <c r="K600" s="540"/>
      <c r="L600" s="540"/>
      <c r="M600" s="540"/>
      <c r="N600" s="540"/>
      <c r="O600" s="540"/>
      <c r="P600" s="540"/>
      <c r="Q600" s="540"/>
      <c r="R600" s="540"/>
      <c r="S600" s="540"/>
      <c r="T600" s="540"/>
      <c r="U600" s="540"/>
      <c r="V600" s="540"/>
      <c r="W600" s="540"/>
      <c r="X600" s="540"/>
      <c r="Y600" s="540"/>
      <c r="Z600" s="540"/>
    </row>
    <row r="601" ht="14.25" customHeight="1">
      <c r="A601" s="540"/>
      <c r="B601" s="540"/>
      <c r="C601" s="540"/>
      <c r="D601" s="540"/>
      <c r="E601" s="540"/>
      <c r="F601" s="540"/>
      <c r="G601" s="540"/>
      <c r="H601" s="540"/>
      <c r="I601" s="540"/>
      <c r="J601" s="540"/>
      <c r="K601" s="540"/>
      <c r="L601" s="540"/>
      <c r="M601" s="540"/>
      <c r="N601" s="540"/>
      <c r="O601" s="540"/>
      <c r="P601" s="540"/>
      <c r="Q601" s="540"/>
      <c r="R601" s="540"/>
      <c r="S601" s="540"/>
      <c r="T601" s="540"/>
      <c r="U601" s="540"/>
      <c r="V601" s="540"/>
      <c r="W601" s="540"/>
      <c r="X601" s="540"/>
      <c r="Y601" s="540"/>
      <c r="Z601" s="540"/>
    </row>
    <row r="602" ht="14.25" customHeight="1">
      <c r="A602" s="540"/>
      <c r="B602" s="540"/>
      <c r="C602" s="540"/>
      <c r="D602" s="540"/>
      <c r="E602" s="540"/>
      <c r="F602" s="540"/>
      <c r="G602" s="540"/>
      <c r="H602" s="540"/>
      <c r="I602" s="540"/>
      <c r="J602" s="540"/>
      <c r="K602" s="540"/>
      <c r="L602" s="540"/>
      <c r="M602" s="540"/>
      <c r="N602" s="540"/>
      <c r="O602" s="540"/>
      <c r="P602" s="540"/>
      <c r="Q602" s="540"/>
      <c r="R602" s="540"/>
      <c r="S602" s="540"/>
      <c r="T602" s="540"/>
      <c r="U602" s="540"/>
      <c r="V602" s="540"/>
      <c r="W602" s="540"/>
      <c r="X602" s="540"/>
      <c r="Y602" s="540"/>
      <c r="Z602" s="540"/>
    </row>
    <row r="603" ht="14.25" customHeight="1">
      <c r="A603" s="540"/>
      <c r="B603" s="540"/>
      <c r="C603" s="540"/>
      <c r="D603" s="540"/>
      <c r="E603" s="540"/>
      <c r="F603" s="540"/>
      <c r="G603" s="540"/>
      <c r="H603" s="540"/>
      <c r="I603" s="540"/>
      <c r="J603" s="540"/>
      <c r="K603" s="540"/>
      <c r="L603" s="540"/>
      <c r="M603" s="540"/>
      <c r="N603" s="540"/>
      <c r="O603" s="540"/>
      <c r="P603" s="540"/>
      <c r="Q603" s="540"/>
      <c r="R603" s="540"/>
      <c r="S603" s="540"/>
      <c r="T603" s="540"/>
      <c r="U603" s="540"/>
      <c r="V603" s="540"/>
      <c r="W603" s="540"/>
      <c r="X603" s="540"/>
      <c r="Y603" s="540"/>
      <c r="Z603" s="540"/>
    </row>
    <row r="604" ht="14.25" customHeight="1">
      <c r="A604" s="540"/>
      <c r="B604" s="540"/>
      <c r="C604" s="540"/>
      <c r="D604" s="540"/>
      <c r="E604" s="540"/>
      <c r="F604" s="540"/>
      <c r="G604" s="540"/>
      <c r="H604" s="540"/>
      <c r="I604" s="540"/>
      <c r="J604" s="540"/>
      <c r="K604" s="540"/>
      <c r="L604" s="540"/>
      <c r="M604" s="540"/>
      <c r="N604" s="540"/>
      <c r="O604" s="540"/>
      <c r="P604" s="540"/>
      <c r="Q604" s="540"/>
      <c r="R604" s="540"/>
      <c r="S604" s="540"/>
      <c r="T604" s="540"/>
      <c r="U604" s="540"/>
      <c r="V604" s="540"/>
      <c r="W604" s="540"/>
      <c r="X604" s="540"/>
      <c r="Y604" s="540"/>
      <c r="Z604" s="540"/>
    </row>
    <row r="605" ht="14.25" customHeight="1">
      <c r="A605" s="540"/>
      <c r="B605" s="540"/>
      <c r="C605" s="540"/>
      <c r="D605" s="540"/>
      <c r="E605" s="540"/>
      <c r="F605" s="540"/>
      <c r="G605" s="540"/>
      <c r="H605" s="540"/>
      <c r="I605" s="540"/>
      <c r="J605" s="540"/>
      <c r="K605" s="540"/>
      <c r="L605" s="540"/>
      <c r="M605" s="540"/>
      <c r="N605" s="540"/>
      <c r="O605" s="540"/>
      <c r="P605" s="540"/>
      <c r="Q605" s="540"/>
      <c r="R605" s="540"/>
      <c r="S605" s="540"/>
      <c r="T605" s="540"/>
      <c r="U605" s="540"/>
      <c r="V605" s="540"/>
      <c r="W605" s="540"/>
      <c r="X605" s="540"/>
      <c r="Y605" s="540"/>
      <c r="Z605" s="540"/>
    </row>
    <row r="606" ht="14.25" customHeight="1">
      <c r="A606" s="540"/>
      <c r="B606" s="540"/>
      <c r="C606" s="540"/>
      <c r="D606" s="540"/>
      <c r="E606" s="540"/>
      <c r="F606" s="540"/>
      <c r="G606" s="540"/>
      <c r="H606" s="540"/>
      <c r="I606" s="540"/>
      <c r="J606" s="540"/>
      <c r="K606" s="540"/>
      <c r="L606" s="540"/>
      <c r="M606" s="540"/>
      <c r="N606" s="540"/>
      <c r="O606" s="540"/>
      <c r="P606" s="540"/>
      <c r="Q606" s="540"/>
      <c r="R606" s="540"/>
      <c r="S606" s="540"/>
      <c r="T606" s="540"/>
      <c r="U606" s="540"/>
      <c r="V606" s="540"/>
      <c r="W606" s="540"/>
      <c r="X606" s="540"/>
      <c r="Y606" s="540"/>
      <c r="Z606" s="540"/>
    </row>
    <row r="607" ht="14.25" customHeight="1">
      <c r="A607" s="540"/>
      <c r="B607" s="540"/>
      <c r="C607" s="540"/>
      <c r="D607" s="540"/>
      <c r="E607" s="540"/>
      <c r="F607" s="540"/>
      <c r="G607" s="540"/>
      <c r="H607" s="540"/>
      <c r="I607" s="540"/>
      <c r="J607" s="540"/>
      <c r="K607" s="540"/>
      <c r="L607" s="540"/>
      <c r="M607" s="540"/>
      <c r="N607" s="540"/>
      <c r="O607" s="540"/>
      <c r="P607" s="540"/>
      <c r="Q607" s="540"/>
      <c r="R607" s="540"/>
      <c r="S607" s="540"/>
      <c r="T607" s="540"/>
      <c r="U607" s="540"/>
      <c r="V607" s="540"/>
      <c r="W607" s="540"/>
      <c r="X607" s="540"/>
      <c r="Y607" s="540"/>
      <c r="Z607" s="540"/>
    </row>
    <row r="608" ht="14.25" customHeight="1">
      <c r="A608" s="540"/>
      <c r="B608" s="540"/>
      <c r="C608" s="540"/>
      <c r="D608" s="540"/>
      <c r="E608" s="540"/>
      <c r="F608" s="540"/>
      <c r="G608" s="540"/>
      <c r="H608" s="540"/>
      <c r="I608" s="540"/>
      <c r="J608" s="540"/>
      <c r="K608" s="540"/>
      <c r="L608" s="540"/>
      <c r="M608" s="540"/>
      <c r="N608" s="540"/>
      <c r="O608" s="540"/>
      <c r="P608" s="540"/>
      <c r="Q608" s="540"/>
      <c r="R608" s="540"/>
      <c r="S608" s="540"/>
      <c r="T608" s="540"/>
      <c r="U608" s="540"/>
      <c r="V608" s="540"/>
      <c r="W608" s="540"/>
      <c r="X608" s="540"/>
      <c r="Y608" s="540"/>
      <c r="Z608" s="540"/>
    </row>
    <row r="609" ht="14.25" customHeight="1">
      <c r="A609" s="540"/>
      <c r="B609" s="540"/>
      <c r="C609" s="540"/>
      <c r="D609" s="540"/>
      <c r="E609" s="540"/>
      <c r="F609" s="540"/>
      <c r="G609" s="540"/>
      <c r="H609" s="540"/>
      <c r="I609" s="540"/>
      <c r="J609" s="540"/>
      <c r="K609" s="540"/>
      <c r="L609" s="540"/>
      <c r="M609" s="540"/>
      <c r="N609" s="540"/>
      <c r="O609" s="540"/>
      <c r="P609" s="540"/>
      <c r="Q609" s="540"/>
      <c r="R609" s="540"/>
      <c r="S609" s="540"/>
      <c r="T609" s="540"/>
      <c r="U609" s="540"/>
      <c r="V609" s="540"/>
      <c r="W609" s="540"/>
      <c r="X609" s="540"/>
      <c r="Y609" s="540"/>
      <c r="Z609" s="540"/>
    </row>
    <row r="610" ht="14.25" customHeight="1">
      <c r="A610" s="540"/>
      <c r="B610" s="540"/>
      <c r="C610" s="540"/>
      <c r="D610" s="540"/>
      <c r="E610" s="540"/>
      <c r="F610" s="540"/>
      <c r="G610" s="540"/>
      <c r="H610" s="540"/>
      <c r="I610" s="540"/>
      <c r="J610" s="540"/>
      <c r="K610" s="540"/>
      <c r="L610" s="540"/>
      <c r="M610" s="540"/>
      <c r="N610" s="540"/>
      <c r="O610" s="540"/>
      <c r="P610" s="540"/>
      <c r="Q610" s="540"/>
      <c r="R610" s="540"/>
      <c r="S610" s="540"/>
      <c r="T610" s="540"/>
      <c r="U610" s="540"/>
      <c r="V610" s="540"/>
      <c r="W610" s="540"/>
      <c r="X610" s="540"/>
      <c r="Y610" s="540"/>
      <c r="Z610" s="540"/>
    </row>
    <row r="611" ht="14.25" customHeight="1">
      <c r="A611" s="540"/>
      <c r="B611" s="540"/>
      <c r="C611" s="540"/>
      <c r="D611" s="540"/>
      <c r="E611" s="540"/>
      <c r="F611" s="540"/>
      <c r="G611" s="540"/>
      <c r="H611" s="540"/>
      <c r="I611" s="540"/>
      <c r="J611" s="540"/>
      <c r="K611" s="540"/>
      <c r="L611" s="540"/>
      <c r="M611" s="540"/>
      <c r="N611" s="540"/>
      <c r="O611" s="540"/>
      <c r="P611" s="540"/>
      <c r="Q611" s="540"/>
      <c r="R611" s="540"/>
      <c r="S611" s="540"/>
      <c r="T611" s="540"/>
      <c r="U611" s="540"/>
      <c r="V611" s="540"/>
      <c r="W611" s="540"/>
      <c r="X611" s="540"/>
      <c r="Y611" s="540"/>
      <c r="Z611" s="540"/>
    </row>
    <row r="612" ht="14.25" customHeight="1">
      <c r="A612" s="540"/>
      <c r="B612" s="540"/>
      <c r="C612" s="540"/>
      <c r="D612" s="540"/>
      <c r="E612" s="540"/>
      <c r="F612" s="540"/>
      <c r="G612" s="540"/>
      <c r="H612" s="540"/>
      <c r="I612" s="540"/>
      <c r="J612" s="540"/>
      <c r="K612" s="540"/>
      <c r="L612" s="540"/>
      <c r="M612" s="540"/>
      <c r="N612" s="540"/>
      <c r="O612" s="540"/>
      <c r="P612" s="540"/>
      <c r="Q612" s="540"/>
      <c r="R612" s="540"/>
      <c r="S612" s="540"/>
      <c r="T612" s="540"/>
      <c r="U612" s="540"/>
      <c r="V612" s="540"/>
      <c r="W612" s="540"/>
      <c r="X612" s="540"/>
      <c r="Y612" s="540"/>
      <c r="Z612" s="540"/>
    </row>
    <row r="613" ht="14.25" customHeight="1">
      <c r="A613" s="540"/>
      <c r="B613" s="540"/>
      <c r="C613" s="540"/>
      <c r="D613" s="540"/>
      <c r="E613" s="540"/>
      <c r="F613" s="540"/>
      <c r="G613" s="540"/>
      <c r="H613" s="540"/>
      <c r="I613" s="540"/>
      <c r="J613" s="540"/>
      <c r="K613" s="540"/>
      <c r="L613" s="540"/>
      <c r="M613" s="540"/>
      <c r="N613" s="540"/>
      <c r="O613" s="540"/>
      <c r="P613" s="540"/>
      <c r="Q613" s="540"/>
      <c r="R613" s="540"/>
      <c r="S613" s="540"/>
      <c r="T613" s="540"/>
      <c r="U613" s="540"/>
      <c r="V613" s="540"/>
      <c r="W613" s="540"/>
      <c r="X613" s="540"/>
      <c r="Y613" s="540"/>
      <c r="Z613" s="540"/>
    </row>
    <row r="614" ht="14.25" customHeight="1">
      <c r="A614" s="540"/>
      <c r="B614" s="540"/>
      <c r="C614" s="540"/>
      <c r="D614" s="540"/>
      <c r="E614" s="540"/>
      <c r="F614" s="540"/>
      <c r="G614" s="540"/>
      <c r="H614" s="540"/>
      <c r="I614" s="540"/>
      <c r="J614" s="540"/>
      <c r="K614" s="540"/>
      <c r="L614" s="540"/>
      <c r="M614" s="540"/>
      <c r="N614" s="540"/>
      <c r="O614" s="540"/>
      <c r="P614" s="540"/>
      <c r="Q614" s="540"/>
      <c r="R614" s="540"/>
      <c r="S614" s="540"/>
      <c r="T614" s="540"/>
      <c r="U614" s="540"/>
      <c r="V614" s="540"/>
      <c r="W614" s="540"/>
      <c r="X614" s="540"/>
      <c r="Y614" s="540"/>
      <c r="Z614" s="540"/>
    </row>
    <row r="615" ht="14.25" customHeight="1">
      <c r="A615" s="540"/>
      <c r="B615" s="540"/>
      <c r="C615" s="540"/>
      <c r="D615" s="540"/>
      <c r="E615" s="540"/>
      <c r="F615" s="540"/>
      <c r="G615" s="540"/>
      <c r="H615" s="540"/>
      <c r="I615" s="540"/>
      <c r="J615" s="540"/>
      <c r="K615" s="540"/>
      <c r="L615" s="540"/>
      <c r="M615" s="540"/>
      <c r="N615" s="540"/>
      <c r="O615" s="540"/>
      <c r="P615" s="540"/>
      <c r="Q615" s="540"/>
      <c r="R615" s="540"/>
      <c r="S615" s="540"/>
      <c r="T615" s="540"/>
      <c r="U615" s="540"/>
      <c r="V615" s="540"/>
      <c r="W615" s="540"/>
      <c r="X615" s="540"/>
      <c r="Y615" s="540"/>
      <c r="Z615" s="540"/>
    </row>
    <row r="616" ht="14.25" customHeight="1">
      <c r="A616" s="540"/>
      <c r="B616" s="540"/>
      <c r="C616" s="540"/>
      <c r="D616" s="540"/>
      <c r="E616" s="540"/>
      <c r="F616" s="540"/>
      <c r="G616" s="540"/>
      <c r="H616" s="540"/>
      <c r="I616" s="540"/>
      <c r="J616" s="540"/>
      <c r="K616" s="540"/>
      <c r="L616" s="540"/>
      <c r="M616" s="540"/>
      <c r="N616" s="540"/>
      <c r="O616" s="540"/>
      <c r="P616" s="540"/>
      <c r="Q616" s="540"/>
      <c r="R616" s="540"/>
      <c r="S616" s="540"/>
      <c r="T616" s="540"/>
      <c r="U616" s="540"/>
      <c r="V616" s="540"/>
      <c r="W616" s="540"/>
      <c r="X616" s="540"/>
      <c r="Y616" s="540"/>
      <c r="Z616" s="540"/>
    </row>
    <row r="617" ht="14.25" customHeight="1">
      <c r="A617" s="540"/>
      <c r="B617" s="540"/>
      <c r="C617" s="540"/>
      <c r="D617" s="540"/>
      <c r="E617" s="540"/>
      <c r="F617" s="540"/>
      <c r="G617" s="540"/>
      <c r="H617" s="540"/>
      <c r="I617" s="540"/>
      <c r="J617" s="540"/>
      <c r="K617" s="540"/>
      <c r="L617" s="540"/>
      <c r="M617" s="540"/>
      <c r="N617" s="540"/>
      <c r="O617" s="540"/>
      <c r="P617" s="540"/>
      <c r="Q617" s="540"/>
      <c r="R617" s="540"/>
      <c r="S617" s="540"/>
      <c r="T617" s="540"/>
      <c r="U617" s="540"/>
      <c r="V617" s="540"/>
      <c r="W617" s="540"/>
      <c r="X617" s="540"/>
      <c r="Y617" s="540"/>
      <c r="Z617" s="540"/>
    </row>
    <row r="618" ht="14.25" customHeight="1">
      <c r="A618" s="540"/>
      <c r="B618" s="540"/>
      <c r="C618" s="540"/>
      <c r="D618" s="540"/>
      <c r="E618" s="540"/>
      <c r="F618" s="540"/>
      <c r="G618" s="540"/>
      <c r="H618" s="540"/>
      <c r="I618" s="540"/>
      <c r="J618" s="540"/>
      <c r="K618" s="540"/>
      <c r="L618" s="540"/>
      <c r="M618" s="540"/>
      <c r="N618" s="540"/>
      <c r="O618" s="540"/>
      <c r="P618" s="540"/>
      <c r="Q618" s="540"/>
      <c r="R618" s="540"/>
      <c r="S618" s="540"/>
      <c r="T618" s="540"/>
      <c r="U618" s="540"/>
      <c r="V618" s="540"/>
      <c r="W618" s="540"/>
      <c r="X618" s="540"/>
      <c r="Y618" s="540"/>
      <c r="Z618" s="540"/>
    </row>
    <row r="619" ht="14.25" customHeight="1">
      <c r="A619" s="540"/>
      <c r="B619" s="540"/>
      <c r="C619" s="540"/>
      <c r="D619" s="540"/>
      <c r="E619" s="540"/>
      <c r="F619" s="540"/>
      <c r="G619" s="540"/>
      <c r="H619" s="540"/>
      <c r="I619" s="540"/>
      <c r="J619" s="540"/>
      <c r="K619" s="540"/>
      <c r="L619" s="540"/>
      <c r="M619" s="540"/>
      <c r="N619" s="540"/>
      <c r="O619" s="540"/>
      <c r="P619" s="540"/>
      <c r="Q619" s="540"/>
      <c r="R619" s="540"/>
      <c r="S619" s="540"/>
      <c r="T619" s="540"/>
      <c r="U619" s="540"/>
      <c r="V619" s="540"/>
      <c r="W619" s="540"/>
      <c r="X619" s="540"/>
      <c r="Y619" s="540"/>
      <c r="Z619" s="540"/>
    </row>
    <row r="620" ht="14.25" customHeight="1">
      <c r="A620" s="540"/>
      <c r="B620" s="540"/>
      <c r="C620" s="540"/>
      <c r="D620" s="540"/>
      <c r="E620" s="540"/>
      <c r="F620" s="540"/>
      <c r="G620" s="540"/>
      <c r="H620" s="540"/>
      <c r="I620" s="540"/>
      <c r="J620" s="540"/>
      <c r="K620" s="540"/>
      <c r="L620" s="540"/>
      <c r="M620" s="540"/>
      <c r="N620" s="540"/>
      <c r="O620" s="540"/>
      <c r="P620" s="540"/>
      <c r="Q620" s="540"/>
      <c r="R620" s="540"/>
      <c r="S620" s="540"/>
      <c r="T620" s="540"/>
      <c r="U620" s="540"/>
      <c r="V620" s="540"/>
      <c r="W620" s="540"/>
      <c r="X620" s="540"/>
      <c r="Y620" s="540"/>
      <c r="Z620" s="540"/>
    </row>
    <row r="621" ht="14.25" customHeight="1">
      <c r="A621" s="540"/>
      <c r="B621" s="540"/>
      <c r="C621" s="540"/>
      <c r="D621" s="540"/>
      <c r="E621" s="540"/>
      <c r="F621" s="540"/>
      <c r="G621" s="540"/>
      <c r="H621" s="540"/>
      <c r="I621" s="540"/>
      <c r="J621" s="540"/>
      <c r="K621" s="540"/>
      <c r="L621" s="540"/>
      <c r="M621" s="540"/>
      <c r="N621" s="540"/>
      <c r="O621" s="540"/>
      <c r="P621" s="540"/>
      <c r="Q621" s="540"/>
      <c r="R621" s="540"/>
      <c r="S621" s="540"/>
      <c r="T621" s="540"/>
      <c r="U621" s="540"/>
      <c r="V621" s="540"/>
      <c r="W621" s="540"/>
      <c r="X621" s="540"/>
      <c r="Y621" s="540"/>
      <c r="Z621" s="540"/>
    </row>
    <row r="622" ht="14.25" customHeight="1">
      <c r="A622" s="540"/>
      <c r="B622" s="540"/>
      <c r="C622" s="540"/>
      <c r="D622" s="540"/>
      <c r="E622" s="540"/>
      <c r="F622" s="540"/>
      <c r="G622" s="540"/>
      <c r="H622" s="540"/>
      <c r="I622" s="540"/>
      <c r="J622" s="540"/>
      <c r="K622" s="540"/>
      <c r="L622" s="540"/>
      <c r="M622" s="540"/>
      <c r="N622" s="540"/>
      <c r="O622" s="540"/>
      <c r="P622" s="540"/>
      <c r="Q622" s="540"/>
      <c r="R622" s="540"/>
      <c r="S622" s="540"/>
      <c r="T622" s="540"/>
      <c r="U622" s="540"/>
      <c r="V622" s="540"/>
      <c r="W622" s="540"/>
      <c r="X622" s="540"/>
      <c r="Y622" s="540"/>
      <c r="Z622" s="540"/>
    </row>
    <row r="623" ht="14.25" customHeight="1">
      <c r="A623" s="540"/>
      <c r="B623" s="540"/>
      <c r="C623" s="540"/>
      <c r="D623" s="540"/>
      <c r="E623" s="540"/>
      <c r="F623" s="540"/>
      <c r="G623" s="540"/>
      <c r="H623" s="540"/>
      <c r="I623" s="540"/>
      <c r="J623" s="540"/>
      <c r="K623" s="540"/>
      <c r="L623" s="540"/>
      <c r="M623" s="540"/>
      <c r="N623" s="540"/>
      <c r="O623" s="540"/>
      <c r="P623" s="540"/>
      <c r="Q623" s="540"/>
      <c r="R623" s="540"/>
      <c r="S623" s="540"/>
      <c r="T623" s="540"/>
      <c r="U623" s="540"/>
      <c r="V623" s="540"/>
      <c r="W623" s="540"/>
      <c r="X623" s="540"/>
      <c r="Y623" s="540"/>
      <c r="Z623" s="540"/>
    </row>
    <row r="624" ht="14.25" customHeight="1">
      <c r="A624" s="540"/>
      <c r="B624" s="540"/>
      <c r="C624" s="540"/>
      <c r="D624" s="540"/>
      <c r="E624" s="540"/>
      <c r="F624" s="540"/>
      <c r="G624" s="540"/>
      <c r="H624" s="540"/>
      <c r="I624" s="540"/>
      <c r="J624" s="540"/>
      <c r="K624" s="540"/>
      <c r="L624" s="540"/>
      <c r="M624" s="540"/>
      <c r="N624" s="540"/>
      <c r="O624" s="540"/>
      <c r="P624" s="540"/>
      <c r="Q624" s="540"/>
      <c r="R624" s="540"/>
      <c r="S624" s="540"/>
      <c r="T624" s="540"/>
      <c r="U624" s="540"/>
      <c r="V624" s="540"/>
      <c r="W624" s="540"/>
      <c r="X624" s="540"/>
      <c r="Y624" s="540"/>
      <c r="Z624" s="540"/>
    </row>
    <row r="625" ht="14.25" customHeight="1">
      <c r="A625" s="540"/>
      <c r="B625" s="540"/>
      <c r="C625" s="540"/>
      <c r="D625" s="540"/>
      <c r="E625" s="540"/>
      <c r="F625" s="540"/>
      <c r="G625" s="540"/>
      <c r="H625" s="540"/>
      <c r="I625" s="540"/>
      <c r="J625" s="540"/>
      <c r="K625" s="540"/>
      <c r="L625" s="540"/>
      <c r="M625" s="540"/>
      <c r="N625" s="540"/>
      <c r="O625" s="540"/>
      <c r="P625" s="540"/>
      <c r="Q625" s="540"/>
      <c r="R625" s="540"/>
      <c r="S625" s="540"/>
      <c r="T625" s="540"/>
      <c r="U625" s="540"/>
      <c r="V625" s="540"/>
      <c r="W625" s="540"/>
      <c r="X625" s="540"/>
      <c r="Y625" s="540"/>
      <c r="Z625" s="540"/>
    </row>
    <row r="626" ht="14.25" customHeight="1">
      <c r="A626" s="540"/>
      <c r="B626" s="540"/>
      <c r="C626" s="540"/>
      <c r="D626" s="540"/>
      <c r="E626" s="540"/>
      <c r="F626" s="540"/>
      <c r="G626" s="540"/>
      <c r="H626" s="540"/>
      <c r="I626" s="540"/>
      <c r="J626" s="540"/>
      <c r="K626" s="540"/>
      <c r="L626" s="540"/>
      <c r="M626" s="540"/>
      <c r="N626" s="540"/>
      <c r="O626" s="540"/>
      <c r="P626" s="540"/>
      <c r="Q626" s="540"/>
      <c r="R626" s="540"/>
      <c r="S626" s="540"/>
      <c r="T626" s="540"/>
      <c r="U626" s="540"/>
      <c r="V626" s="540"/>
      <c r="W626" s="540"/>
      <c r="X626" s="540"/>
      <c r="Y626" s="540"/>
      <c r="Z626" s="540"/>
    </row>
    <row r="627" ht="14.25" customHeight="1">
      <c r="A627" s="540"/>
      <c r="B627" s="540"/>
      <c r="C627" s="540"/>
      <c r="D627" s="540"/>
      <c r="E627" s="540"/>
      <c r="F627" s="540"/>
      <c r="G627" s="540"/>
      <c r="H627" s="540"/>
      <c r="I627" s="540"/>
      <c r="J627" s="540"/>
      <c r="K627" s="540"/>
      <c r="L627" s="540"/>
      <c r="M627" s="540"/>
      <c r="N627" s="540"/>
      <c r="O627" s="540"/>
      <c r="P627" s="540"/>
      <c r="Q627" s="540"/>
      <c r="R627" s="540"/>
      <c r="S627" s="540"/>
      <c r="T627" s="540"/>
      <c r="U627" s="540"/>
      <c r="V627" s="540"/>
      <c r="W627" s="540"/>
      <c r="X627" s="540"/>
      <c r="Y627" s="540"/>
      <c r="Z627" s="540"/>
    </row>
    <row r="628" ht="14.25" customHeight="1">
      <c r="A628" s="540"/>
      <c r="B628" s="540"/>
      <c r="C628" s="540"/>
      <c r="D628" s="540"/>
      <c r="E628" s="540"/>
      <c r="F628" s="540"/>
      <c r="G628" s="540"/>
      <c r="H628" s="540"/>
      <c r="I628" s="540"/>
      <c r="J628" s="540"/>
      <c r="K628" s="540"/>
      <c r="L628" s="540"/>
      <c r="M628" s="540"/>
      <c r="N628" s="540"/>
      <c r="O628" s="540"/>
      <c r="P628" s="540"/>
      <c r="Q628" s="540"/>
      <c r="R628" s="540"/>
      <c r="S628" s="540"/>
      <c r="T628" s="540"/>
      <c r="U628" s="540"/>
      <c r="V628" s="540"/>
      <c r="W628" s="540"/>
      <c r="X628" s="540"/>
      <c r="Y628" s="540"/>
      <c r="Z628" s="540"/>
    </row>
    <row r="629" ht="14.25" customHeight="1">
      <c r="A629" s="540"/>
      <c r="B629" s="540"/>
      <c r="C629" s="540"/>
      <c r="D629" s="540"/>
      <c r="E629" s="540"/>
      <c r="F629" s="540"/>
      <c r="G629" s="540"/>
      <c r="H629" s="540"/>
      <c r="I629" s="540"/>
      <c r="J629" s="540"/>
      <c r="K629" s="540"/>
      <c r="L629" s="540"/>
      <c r="M629" s="540"/>
      <c r="N629" s="540"/>
      <c r="O629" s="540"/>
      <c r="P629" s="540"/>
      <c r="Q629" s="540"/>
      <c r="R629" s="540"/>
      <c r="S629" s="540"/>
      <c r="T629" s="540"/>
      <c r="U629" s="540"/>
      <c r="V629" s="540"/>
      <c r="W629" s="540"/>
      <c r="X629" s="540"/>
      <c r="Y629" s="540"/>
      <c r="Z629" s="540"/>
    </row>
    <row r="630" ht="14.25" customHeight="1">
      <c r="A630" s="540"/>
      <c r="B630" s="540"/>
      <c r="C630" s="540"/>
      <c r="D630" s="540"/>
      <c r="E630" s="540"/>
      <c r="F630" s="540"/>
      <c r="G630" s="540"/>
      <c r="H630" s="540"/>
      <c r="I630" s="540"/>
      <c r="J630" s="540"/>
      <c r="K630" s="540"/>
      <c r="L630" s="540"/>
      <c r="M630" s="540"/>
      <c r="N630" s="540"/>
      <c r="O630" s="540"/>
      <c r="P630" s="540"/>
      <c r="Q630" s="540"/>
      <c r="R630" s="540"/>
      <c r="S630" s="540"/>
      <c r="T630" s="540"/>
      <c r="U630" s="540"/>
      <c r="V630" s="540"/>
      <c r="W630" s="540"/>
      <c r="X630" s="540"/>
      <c r="Y630" s="540"/>
      <c r="Z630" s="540"/>
    </row>
    <row r="631" ht="14.25" customHeight="1">
      <c r="A631" s="540"/>
      <c r="B631" s="540"/>
      <c r="C631" s="540"/>
      <c r="D631" s="540"/>
      <c r="E631" s="540"/>
      <c r="F631" s="540"/>
      <c r="G631" s="540"/>
      <c r="H631" s="540"/>
      <c r="I631" s="540"/>
      <c r="J631" s="540"/>
      <c r="K631" s="540"/>
      <c r="L631" s="540"/>
      <c r="M631" s="540"/>
      <c r="N631" s="540"/>
      <c r="O631" s="540"/>
      <c r="P631" s="540"/>
      <c r="Q631" s="540"/>
      <c r="R631" s="540"/>
      <c r="S631" s="540"/>
      <c r="T631" s="540"/>
      <c r="U631" s="540"/>
      <c r="V631" s="540"/>
      <c r="W631" s="540"/>
      <c r="X631" s="540"/>
      <c r="Y631" s="540"/>
      <c r="Z631" s="540"/>
    </row>
    <row r="632" ht="14.25" customHeight="1">
      <c r="A632" s="540"/>
      <c r="B632" s="540"/>
      <c r="C632" s="540"/>
      <c r="D632" s="540"/>
      <c r="E632" s="540"/>
      <c r="F632" s="540"/>
      <c r="G632" s="540"/>
      <c r="H632" s="540"/>
      <c r="I632" s="540"/>
      <c r="J632" s="540"/>
      <c r="K632" s="540"/>
      <c r="L632" s="540"/>
      <c r="M632" s="540"/>
      <c r="N632" s="540"/>
      <c r="O632" s="540"/>
      <c r="P632" s="540"/>
      <c r="Q632" s="540"/>
      <c r="R632" s="540"/>
      <c r="S632" s="540"/>
      <c r="T632" s="540"/>
      <c r="U632" s="540"/>
      <c r="V632" s="540"/>
      <c r="W632" s="540"/>
      <c r="X632" s="540"/>
      <c r="Y632" s="540"/>
      <c r="Z632" s="540"/>
    </row>
    <row r="633" ht="14.25" customHeight="1">
      <c r="A633" s="540"/>
      <c r="B633" s="540"/>
      <c r="C633" s="540"/>
      <c r="D633" s="540"/>
      <c r="E633" s="540"/>
      <c r="F633" s="540"/>
      <c r="G633" s="540"/>
      <c r="H633" s="540"/>
      <c r="I633" s="540"/>
      <c r="J633" s="540"/>
      <c r="K633" s="540"/>
      <c r="L633" s="540"/>
      <c r="M633" s="540"/>
      <c r="N633" s="540"/>
      <c r="O633" s="540"/>
      <c r="P633" s="540"/>
      <c r="Q633" s="540"/>
      <c r="R633" s="540"/>
      <c r="S633" s="540"/>
      <c r="T633" s="540"/>
      <c r="U633" s="540"/>
      <c r="V633" s="540"/>
      <c r="W633" s="540"/>
      <c r="X633" s="540"/>
      <c r="Y633" s="540"/>
      <c r="Z633" s="540"/>
    </row>
    <row r="634" ht="14.25" customHeight="1">
      <c r="A634" s="540"/>
      <c r="B634" s="540"/>
      <c r="C634" s="540"/>
      <c r="D634" s="540"/>
      <c r="E634" s="540"/>
      <c r="F634" s="540"/>
      <c r="G634" s="540"/>
      <c r="H634" s="540"/>
      <c r="I634" s="540"/>
      <c r="J634" s="540"/>
      <c r="K634" s="540"/>
      <c r="L634" s="540"/>
      <c r="M634" s="540"/>
      <c r="N634" s="540"/>
      <c r="O634" s="540"/>
      <c r="P634" s="540"/>
      <c r="Q634" s="540"/>
      <c r="R634" s="540"/>
      <c r="S634" s="540"/>
      <c r="T634" s="540"/>
      <c r="U634" s="540"/>
      <c r="V634" s="540"/>
      <c r="W634" s="540"/>
      <c r="X634" s="540"/>
      <c r="Y634" s="540"/>
      <c r="Z634" s="540"/>
    </row>
    <row r="635" ht="14.25" customHeight="1">
      <c r="A635" s="540"/>
      <c r="B635" s="540"/>
      <c r="C635" s="540"/>
      <c r="D635" s="540"/>
      <c r="E635" s="540"/>
      <c r="F635" s="540"/>
      <c r="G635" s="540"/>
      <c r="H635" s="540"/>
      <c r="I635" s="540"/>
      <c r="J635" s="540"/>
      <c r="K635" s="540"/>
      <c r="L635" s="540"/>
      <c r="M635" s="540"/>
      <c r="N635" s="540"/>
      <c r="O635" s="540"/>
      <c r="P635" s="540"/>
      <c r="Q635" s="540"/>
      <c r="R635" s="540"/>
      <c r="S635" s="540"/>
      <c r="T635" s="540"/>
      <c r="U635" s="540"/>
      <c r="V635" s="540"/>
      <c r="W635" s="540"/>
      <c r="X635" s="540"/>
      <c r="Y635" s="540"/>
      <c r="Z635" s="540"/>
    </row>
    <row r="636" ht="14.25" customHeight="1">
      <c r="A636" s="540"/>
      <c r="B636" s="540"/>
      <c r="C636" s="540"/>
      <c r="D636" s="540"/>
      <c r="E636" s="540"/>
      <c r="F636" s="540"/>
      <c r="G636" s="540"/>
      <c r="H636" s="540"/>
      <c r="I636" s="540"/>
      <c r="J636" s="540"/>
      <c r="K636" s="540"/>
      <c r="L636" s="540"/>
      <c r="M636" s="540"/>
      <c r="N636" s="540"/>
      <c r="O636" s="540"/>
      <c r="P636" s="540"/>
      <c r="Q636" s="540"/>
      <c r="R636" s="540"/>
      <c r="S636" s="540"/>
      <c r="T636" s="540"/>
      <c r="U636" s="540"/>
      <c r="V636" s="540"/>
      <c r="W636" s="540"/>
      <c r="X636" s="540"/>
      <c r="Y636" s="540"/>
      <c r="Z636" s="540"/>
    </row>
    <row r="637" ht="14.25" customHeight="1">
      <c r="A637" s="540"/>
      <c r="B637" s="540"/>
      <c r="C637" s="540"/>
      <c r="D637" s="540"/>
      <c r="E637" s="540"/>
      <c r="F637" s="540"/>
      <c r="G637" s="540"/>
      <c r="H637" s="540"/>
      <c r="I637" s="540"/>
      <c r="J637" s="540"/>
      <c r="K637" s="540"/>
      <c r="L637" s="540"/>
      <c r="M637" s="540"/>
      <c r="N637" s="540"/>
      <c r="O637" s="540"/>
      <c r="P637" s="540"/>
      <c r="Q637" s="540"/>
      <c r="R637" s="540"/>
      <c r="S637" s="540"/>
      <c r="T637" s="540"/>
      <c r="U637" s="540"/>
      <c r="V637" s="540"/>
      <c r="W637" s="540"/>
      <c r="X637" s="540"/>
      <c r="Y637" s="540"/>
      <c r="Z637" s="540"/>
    </row>
    <row r="638" ht="14.25" customHeight="1">
      <c r="A638" s="540"/>
      <c r="B638" s="540"/>
      <c r="C638" s="540"/>
      <c r="D638" s="540"/>
      <c r="E638" s="540"/>
      <c r="F638" s="540"/>
      <c r="G638" s="540"/>
      <c r="H638" s="540"/>
      <c r="I638" s="540"/>
      <c r="J638" s="540"/>
      <c r="K638" s="540"/>
      <c r="L638" s="540"/>
      <c r="M638" s="540"/>
      <c r="N638" s="540"/>
      <c r="O638" s="540"/>
      <c r="P638" s="540"/>
      <c r="Q638" s="540"/>
      <c r="R638" s="540"/>
      <c r="S638" s="540"/>
      <c r="T638" s="540"/>
      <c r="U638" s="540"/>
      <c r="V638" s="540"/>
      <c r="W638" s="540"/>
      <c r="X638" s="540"/>
      <c r="Y638" s="540"/>
      <c r="Z638" s="540"/>
    </row>
    <row r="639" ht="14.25" customHeight="1">
      <c r="A639" s="540"/>
      <c r="B639" s="540"/>
      <c r="C639" s="540"/>
      <c r="D639" s="540"/>
      <c r="E639" s="540"/>
      <c r="F639" s="540"/>
      <c r="G639" s="540"/>
      <c r="H639" s="540"/>
      <c r="I639" s="540"/>
      <c r="J639" s="540"/>
      <c r="K639" s="540"/>
      <c r="L639" s="540"/>
      <c r="M639" s="540"/>
      <c r="N639" s="540"/>
      <c r="O639" s="540"/>
      <c r="P639" s="540"/>
      <c r="Q639" s="540"/>
      <c r="R639" s="540"/>
      <c r="S639" s="540"/>
      <c r="T639" s="540"/>
      <c r="U639" s="540"/>
      <c r="V639" s="540"/>
      <c r="W639" s="540"/>
      <c r="X639" s="540"/>
      <c r="Y639" s="540"/>
      <c r="Z639" s="540"/>
    </row>
    <row r="640" ht="14.25" customHeight="1">
      <c r="A640" s="540"/>
      <c r="B640" s="540"/>
      <c r="C640" s="540"/>
      <c r="D640" s="540"/>
      <c r="E640" s="540"/>
      <c r="F640" s="540"/>
      <c r="G640" s="540"/>
      <c r="H640" s="540"/>
      <c r="I640" s="540"/>
      <c r="J640" s="540"/>
      <c r="K640" s="540"/>
      <c r="L640" s="540"/>
      <c r="M640" s="540"/>
      <c r="N640" s="540"/>
      <c r="O640" s="540"/>
      <c r="P640" s="540"/>
      <c r="Q640" s="540"/>
      <c r="R640" s="540"/>
      <c r="S640" s="540"/>
      <c r="T640" s="540"/>
      <c r="U640" s="540"/>
      <c r="V640" s="540"/>
      <c r="W640" s="540"/>
      <c r="X640" s="540"/>
      <c r="Y640" s="540"/>
      <c r="Z640" s="540"/>
    </row>
    <row r="641" ht="14.25" customHeight="1">
      <c r="A641" s="540"/>
      <c r="B641" s="540"/>
      <c r="C641" s="540"/>
      <c r="D641" s="540"/>
      <c r="E641" s="540"/>
      <c r="F641" s="540"/>
      <c r="G641" s="540"/>
      <c r="H641" s="540"/>
      <c r="I641" s="540"/>
      <c r="J641" s="540"/>
      <c r="K641" s="540"/>
      <c r="L641" s="540"/>
      <c r="M641" s="540"/>
      <c r="N641" s="540"/>
      <c r="O641" s="540"/>
      <c r="P641" s="540"/>
      <c r="Q641" s="540"/>
      <c r="R641" s="540"/>
      <c r="S641" s="540"/>
      <c r="T641" s="540"/>
      <c r="U641" s="540"/>
      <c r="V641" s="540"/>
      <c r="W641" s="540"/>
      <c r="X641" s="540"/>
      <c r="Y641" s="540"/>
      <c r="Z641" s="540"/>
    </row>
    <row r="642" ht="14.25" customHeight="1">
      <c r="A642" s="540"/>
      <c r="B642" s="540"/>
      <c r="C642" s="540"/>
      <c r="D642" s="540"/>
      <c r="E642" s="540"/>
      <c r="F642" s="540"/>
      <c r="G642" s="540"/>
      <c r="H642" s="540"/>
      <c r="I642" s="540"/>
      <c r="J642" s="540"/>
      <c r="K642" s="540"/>
      <c r="L642" s="540"/>
      <c r="M642" s="540"/>
      <c r="N642" s="540"/>
      <c r="O642" s="540"/>
      <c r="P642" s="540"/>
      <c r="Q642" s="540"/>
      <c r="R642" s="540"/>
      <c r="S642" s="540"/>
      <c r="T642" s="540"/>
      <c r="U642" s="540"/>
      <c r="V642" s="540"/>
      <c r="W642" s="540"/>
      <c r="X642" s="540"/>
      <c r="Y642" s="540"/>
      <c r="Z642" s="540"/>
    </row>
    <row r="643" ht="14.25" customHeight="1">
      <c r="A643" s="540"/>
      <c r="B643" s="540"/>
      <c r="C643" s="540"/>
      <c r="D643" s="540"/>
      <c r="E643" s="540"/>
      <c r="F643" s="540"/>
      <c r="G643" s="540"/>
      <c r="H643" s="540"/>
      <c r="I643" s="540"/>
      <c r="J643" s="540"/>
      <c r="K643" s="540"/>
      <c r="L643" s="540"/>
      <c r="M643" s="540"/>
      <c r="N643" s="540"/>
      <c r="O643" s="540"/>
      <c r="P643" s="540"/>
      <c r="Q643" s="540"/>
      <c r="R643" s="540"/>
      <c r="S643" s="540"/>
      <c r="T643" s="540"/>
      <c r="U643" s="540"/>
      <c r="V643" s="540"/>
      <c r="W643" s="540"/>
      <c r="X643" s="540"/>
      <c r="Y643" s="540"/>
      <c r="Z643" s="540"/>
    </row>
    <row r="644" ht="14.25" customHeight="1">
      <c r="A644" s="540"/>
      <c r="B644" s="540"/>
      <c r="C644" s="540"/>
      <c r="D644" s="540"/>
      <c r="E644" s="540"/>
      <c r="F644" s="540"/>
      <c r="G644" s="540"/>
      <c r="H644" s="540"/>
      <c r="I644" s="540"/>
      <c r="J644" s="540"/>
      <c r="K644" s="540"/>
      <c r="L644" s="540"/>
      <c r="M644" s="540"/>
      <c r="N644" s="540"/>
      <c r="O644" s="540"/>
      <c r="P644" s="540"/>
      <c r="Q644" s="540"/>
      <c r="R644" s="540"/>
      <c r="S644" s="540"/>
      <c r="T644" s="540"/>
      <c r="U644" s="540"/>
      <c r="V644" s="540"/>
      <c r="W644" s="540"/>
      <c r="X644" s="540"/>
      <c r="Y644" s="540"/>
      <c r="Z644" s="540"/>
    </row>
    <row r="645" ht="14.25" customHeight="1">
      <c r="A645" s="540"/>
      <c r="B645" s="540"/>
      <c r="C645" s="540"/>
      <c r="D645" s="540"/>
      <c r="E645" s="540"/>
      <c r="F645" s="540"/>
      <c r="G645" s="540"/>
      <c r="H645" s="540"/>
      <c r="I645" s="540"/>
      <c r="J645" s="540"/>
      <c r="K645" s="540"/>
      <c r="L645" s="540"/>
      <c r="M645" s="540"/>
      <c r="N645" s="540"/>
      <c r="O645" s="540"/>
      <c r="P645" s="540"/>
      <c r="Q645" s="540"/>
      <c r="R645" s="540"/>
      <c r="S645" s="540"/>
      <c r="T645" s="540"/>
      <c r="U645" s="540"/>
      <c r="V645" s="540"/>
      <c r="W645" s="540"/>
      <c r="X645" s="540"/>
      <c r="Y645" s="540"/>
      <c r="Z645" s="540"/>
    </row>
    <row r="646" ht="14.25" customHeight="1">
      <c r="A646" s="540"/>
      <c r="B646" s="540"/>
      <c r="C646" s="540"/>
      <c r="D646" s="540"/>
      <c r="E646" s="540"/>
      <c r="F646" s="540"/>
      <c r="G646" s="540"/>
      <c r="H646" s="540"/>
      <c r="I646" s="540"/>
      <c r="J646" s="540"/>
      <c r="K646" s="540"/>
      <c r="L646" s="540"/>
      <c r="M646" s="540"/>
      <c r="N646" s="540"/>
      <c r="O646" s="540"/>
      <c r="P646" s="540"/>
      <c r="Q646" s="540"/>
      <c r="R646" s="540"/>
      <c r="S646" s="540"/>
      <c r="T646" s="540"/>
      <c r="U646" s="540"/>
      <c r="V646" s="540"/>
      <c r="W646" s="540"/>
      <c r="X646" s="540"/>
      <c r="Y646" s="540"/>
      <c r="Z646" s="540"/>
    </row>
    <row r="647" ht="14.25" customHeight="1">
      <c r="A647" s="540"/>
      <c r="B647" s="540"/>
      <c r="C647" s="540"/>
      <c r="D647" s="540"/>
      <c r="E647" s="540"/>
      <c r="F647" s="540"/>
      <c r="G647" s="540"/>
      <c r="H647" s="540"/>
      <c r="I647" s="540"/>
      <c r="J647" s="540"/>
      <c r="K647" s="540"/>
      <c r="L647" s="540"/>
      <c r="M647" s="540"/>
      <c r="N647" s="540"/>
      <c r="O647" s="540"/>
      <c r="P647" s="540"/>
      <c r="Q647" s="540"/>
      <c r="R647" s="540"/>
      <c r="S647" s="540"/>
      <c r="T647" s="540"/>
      <c r="U647" s="540"/>
      <c r="V647" s="540"/>
      <c r="W647" s="540"/>
      <c r="X647" s="540"/>
      <c r="Y647" s="540"/>
      <c r="Z647" s="540"/>
    </row>
    <row r="648" ht="14.25" customHeight="1">
      <c r="A648" s="540"/>
      <c r="B648" s="540"/>
      <c r="C648" s="540"/>
      <c r="D648" s="540"/>
      <c r="E648" s="540"/>
      <c r="F648" s="540"/>
      <c r="G648" s="540"/>
      <c r="H648" s="540"/>
      <c r="I648" s="540"/>
      <c r="J648" s="540"/>
      <c r="K648" s="540"/>
      <c r="L648" s="540"/>
      <c r="M648" s="540"/>
      <c r="N648" s="540"/>
      <c r="O648" s="540"/>
      <c r="P648" s="540"/>
      <c r="Q648" s="540"/>
      <c r="R648" s="540"/>
      <c r="S648" s="540"/>
      <c r="T648" s="540"/>
      <c r="U648" s="540"/>
      <c r="V648" s="540"/>
      <c r="W648" s="540"/>
      <c r="X648" s="540"/>
      <c r="Y648" s="540"/>
      <c r="Z648" s="540"/>
    </row>
    <row r="649" ht="14.25" customHeight="1">
      <c r="A649" s="540"/>
      <c r="B649" s="540"/>
      <c r="C649" s="540"/>
      <c r="D649" s="540"/>
      <c r="E649" s="540"/>
      <c r="F649" s="540"/>
      <c r="G649" s="540"/>
      <c r="H649" s="540"/>
      <c r="I649" s="540"/>
      <c r="J649" s="540"/>
      <c r="K649" s="540"/>
      <c r="L649" s="540"/>
      <c r="M649" s="540"/>
      <c r="N649" s="540"/>
      <c r="O649" s="540"/>
      <c r="P649" s="540"/>
      <c r="Q649" s="540"/>
      <c r="R649" s="540"/>
      <c r="S649" s="540"/>
      <c r="T649" s="540"/>
      <c r="U649" s="540"/>
      <c r="V649" s="540"/>
      <c r="W649" s="540"/>
      <c r="X649" s="540"/>
      <c r="Y649" s="540"/>
      <c r="Z649" s="540"/>
    </row>
    <row r="650" ht="14.25" customHeight="1">
      <c r="A650" s="540"/>
      <c r="B650" s="540"/>
      <c r="C650" s="540"/>
      <c r="D650" s="540"/>
      <c r="E650" s="540"/>
      <c r="F650" s="540"/>
      <c r="G650" s="540"/>
      <c r="H650" s="540"/>
      <c r="I650" s="540"/>
      <c r="J650" s="540"/>
      <c r="K650" s="540"/>
      <c r="L650" s="540"/>
      <c r="M650" s="540"/>
      <c r="N650" s="540"/>
      <c r="O650" s="540"/>
      <c r="P650" s="540"/>
      <c r="Q650" s="540"/>
      <c r="R650" s="540"/>
      <c r="S650" s="540"/>
      <c r="T650" s="540"/>
      <c r="U650" s="540"/>
      <c r="V650" s="540"/>
      <c r="W650" s="540"/>
      <c r="X650" s="540"/>
      <c r="Y650" s="540"/>
      <c r="Z650" s="540"/>
    </row>
    <row r="651" ht="14.25" customHeight="1">
      <c r="A651" s="540"/>
      <c r="B651" s="540"/>
      <c r="C651" s="540"/>
      <c r="D651" s="540"/>
      <c r="E651" s="540"/>
      <c r="F651" s="540"/>
      <c r="G651" s="540"/>
      <c r="H651" s="540"/>
      <c r="I651" s="540"/>
      <c r="J651" s="540"/>
      <c r="K651" s="540"/>
      <c r="L651" s="540"/>
      <c r="M651" s="540"/>
      <c r="N651" s="540"/>
      <c r="O651" s="540"/>
      <c r="P651" s="540"/>
      <c r="Q651" s="540"/>
      <c r="R651" s="540"/>
      <c r="S651" s="540"/>
      <c r="T651" s="540"/>
      <c r="U651" s="540"/>
      <c r="V651" s="540"/>
      <c r="W651" s="540"/>
      <c r="X651" s="540"/>
      <c r="Y651" s="540"/>
      <c r="Z651" s="540"/>
    </row>
    <row r="652" ht="14.25" customHeight="1">
      <c r="A652" s="540"/>
      <c r="B652" s="540"/>
      <c r="C652" s="540"/>
      <c r="D652" s="540"/>
      <c r="E652" s="540"/>
      <c r="F652" s="540"/>
      <c r="G652" s="540"/>
      <c r="H652" s="540"/>
      <c r="I652" s="540"/>
      <c r="J652" s="540"/>
      <c r="K652" s="540"/>
      <c r="L652" s="540"/>
      <c r="M652" s="540"/>
      <c r="N652" s="540"/>
      <c r="O652" s="540"/>
      <c r="P652" s="540"/>
      <c r="Q652" s="540"/>
      <c r="R652" s="540"/>
      <c r="S652" s="540"/>
      <c r="T652" s="540"/>
      <c r="U652" s="540"/>
      <c r="V652" s="540"/>
      <c r="W652" s="540"/>
      <c r="X652" s="540"/>
      <c r="Y652" s="540"/>
      <c r="Z652" s="540"/>
    </row>
    <row r="653" ht="14.25" customHeight="1">
      <c r="A653" s="540"/>
      <c r="B653" s="540"/>
      <c r="C653" s="540"/>
      <c r="D653" s="540"/>
      <c r="E653" s="540"/>
      <c r="F653" s="540"/>
      <c r="G653" s="540"/>
      <c r="H653" s="540"/>
      <c r="I653" s="540"/>
      <c r="J653" s="540"/>
      <c r="K653" s="540"/>
      <c r="L653" s="540"/>
      <c r="M653" s="540"/>
      <c r="N653" s="540"/>
      <c r="O653" s="540"/>
      <c r="P653" s="540"/>
      <c r="Q653" s="540"/>
      <c r="R653" s="540"/>
      <c r="S653" s="540"/>
      <c r="T653" s="540"/>
      <c r="U653" s="540"/>
      <c r="V653" s="540"/>
      <c r="W653" s="540"/>
      <c r="X653" s="540"/>
      <c r="Y653" s="540"/>
      <c r="Z653" s="540"/>
    </row>
    <row r="654" ht="14.25" customHeight="1">
      <c r="A654" s="540"/>
      <c r="B654" s="540"/>
      <c r="C654" s="540"/>
      <c r="D654" s="540"/>
      <c r="E654" s="540"/>
      <c r="F654" s="540"/>
      <c r="G654" s="540"/>
      <c r="H654" s="540"/>
      <c r="I654" s="540"/>
      <c r="J654" s="540"/>
      <c r="K654" s="540"/>
      <c r="L654" s="540"/>
      <c r="M654" s="540"/>
      <c r="N654" s="540"/>
      <c r="O654" s="540"/>
      <c r="P654" s="540"/>
      <c r="Q654" s="540"/>
      <c r="R654" s="540"/>
      <c r="S654" s="540"/>
      <c r="T654" s="540"/>
      <c r="U654" s="540"/>
      <c r="V654" s="540"/>
      <c r="W654" s="540"/>
      <c r="X654" s="540"/>
      <c r="Y654" s="540"/>
      <c r="Z654" s="540"/>
    </row>
    <row r="655" ht="14.25" customHeight="1">
      <c r="A655" s="540"/>
      <c r="B655" s="540"/>
      <c r="C655" s="540"/>
      <c r="D655" s="540"/>
      <c r="E655" s="540"/>
      <c r="F655" s="540"/>
      <c r="G655" s="540"/>
      <c r="H655" s="540"/>
      <c r="I655" s="540"/>
      <c r="J655" s="540"/>
      <c r="K655" s="540"/>
      <c r="L655" s="540"/>
      <c r="M655" s="540"/>
      <c r="N655" s="540"/>
      <c r="O655" s="540"/>
      <c r="P655" s="540"/>
      <c r="Q655" s="540"/>
      <c r="R655" s="540"/>
      <c r="S655" s="540"/>
      <c r="T655" s="540"/>
      <c r="U655" s="540"/>
      <c r="V655" s="540"/>
      <c r="W655" s="540"/>
      <c r="X655" s="540"/>
      <c r="Y655" s="540"/>
      <c r="Z655" s="540"/>
    </row>
    <row r="656" ht="14.25" customHeight="1">
      <c r="A656" s="540"/>
      <c r="B656" s="540"/>
      <c r="C656" s="540"/>
      <c r="D656" s="540"/>
      <c r="E656" s="540"/>
      <c r="F656" s="540"/>
      <c r="G656" s="540"/>
      <c r="H656" s="540"/>
      <c r="I656" s="540"/>
      <c r="J656" s="540"/>
      <c r="K656" s="540"/>
      <c r="L656" s="540"/>
      <c r="M656" s="540"/>
      <c r="N656" s="540"/>
      <c r="O656" s="540"/>
      <c r="P656" s="540"/>
      <c r="Q656" s="540"/>
      <c r="R656" s="540"/>
      <c r="S656" s="540"/>
      <c r="T656" s="540"/>
      <c r="U656" s="540"/>
      <c r="V656" s="540"/>
      <c r="W656" s="540"/>
      <c r="X656" s="540"/>
      <c r="Y656" s="540"/>
      <c r="Z656" s="540"/>
    </row>
    <row r="657" ht="14.25" customHeight="1">
      <c r="A657" s="540"/>
      <c r="B657" s="540"/>
      <c r="C657" s="540"/>
      <c r="D657" s="540"/>
      <c r="E657" s="540"/>
      <c r="F657" s="540"/>
      <c r="G657" s="540"/>
      <c r="H657" s="540"/>
      <c r="I657" s="540"/>
      <c r="J657" s="540"/>
      <c r="K657" s="540"/>
      <c r="L657" s="540"/>
      <c r="M657" s="540"/>
      <c r="N657" s="540"/>
      <c r="O657" s="540"/>
      <c r="P657" s="540"/>
      <c r="Q657" s="540"/>
      <c r="R657" s="540"/>
      <c r="S657" s="540"/>
      <c r="T657" s="540"/>
      <c r="U657" s="540"/>
      <c r="V657" s="540"/>
      <c r="W657" s="540"/>
      <c r="X657" s="540"/>
      <c r="Y657" s="540"/>
      <c r="Z657" s="540"/>
    </row>
    <row r="658" ht="14.25" customHeight="1">
      <c r="A658" s="540"/>
      <c r="B658" s="540"/>
      <c r="C658" s="540"/>
      <c r="D658" s="540"/>
      <c r="E658" s="540"/>
      <c r="F658" s="540"/>
      <c r="G658" s="540"/>
      <c r="H658" s="540"/>
      <c r="I658" s="540"/>
      <c r="J658" s="540"/>
      <c r="K658" s="540"/>
      <c r="L658" s="540"/>
      <c r="M658" s="540"/>
      <c r="N658" s="540"/>
      <c r="O658" s="540"/>
      <c r="P658" s="540"/>
      <c r="Q658" s="540"/>
      <c r="R658" s="540"/>
      <c r="S658" s="540"/>
      <c r="T658" s="540"/>
      <c r="U658" s="540"/>
      <c r="V658" s="540"/>
      <c r="W658" s="540"/>
      <c r="X658" s="540"/>
      <c r="Y658" s="540"/>
      <c r="Z658" s="540"/>
    </row>
    <row r="659" ht="14.25" customHeight="1">
      <c r="A659" s="540"/>
      <c r="B659" s="540"/>
      <c r="C659" s="540"/>
      <c r="D659" s="540"/>
      <c r="E659" s="540"/>
      <c r="F659" s="540"/>
      <c r="G659" s="540"/>
      <c r="H659" s="540"/>
      <c r="I659" s="540"/>
      <c r="J659" s="540"/>
      <c r="K659" s="540"/>
      <c r="L659" s="540"/>
      <c r="M659" s="540"/>
      <c r="N659" s="540"/>
      <c r="O659" s="540"/>
      <c r="P659" s="540"/>
      <c r="Q659" s="540"/>
      <c r="R659" s="540"/>
      <c r="S659" s="540"/>
      <c r="T659" s="540"/>
      <c r="U659" s="540"/>
      <c r="V659" s="540"/>
      <c r="W659" s="540"/>
      <c r="X659" s="540"/>
      <c r="Y659" s="540"/>
      <c r="Z659" s="540"/>
    </row>
    <row r="660" ht="14.25" customHeight="1">
      <c r="A660" s="540"/>
      <c r="B660" s="540"/>
      <c r="C660" s="540"/>
      <c r="D660" s="540"/>
      <c r="E660" s="540"/>
      <c r="F660" s="540"/>
      <c r="G660" s="540"/>
      <c r="H660" s="540"/>
      <c r="I660" s="540"/>
      <c r="J660" s="540"/>
      <c r="K660" s="540"/>
      <c r="L660" s="540"/>
      <c r="M660" s="540"/>
      <c r="N660" s="540"/>
      <c r="O660" s="540"/>
      <c r="P660" s="540"/>
      <c r="Q660" s="540"/>
      <c r="R660" s="540"/>
      <c r="S660" s="540"/>
      <c r="T660" s="540"/>
      <c r="U660" s="540"/>
      <c r="V660" s="540"/>
      <c r="W660" s="540"/>
      <c r="X660" s="540"/>
      <c r="Y660" s="540"/>
      <c r="Z660" s="540"/>
    </row>
    <row r="661" ht="14.25" customHeight="1">
      <c r="A661" s="540"/>
      <c r="B661" s="540"/>
      <c r="C661" s="540"/>
      <c r="D661" s="540"/>
      <c r="E661" s="540"/>
      <c r="F661" s="540"/>
      <c r="G661" s="540"/>
      <c r="H661" s="540"/>
      <c r="I661" s="540"/>
      <c r="J661" s="540"/>
      <c r="K661" s="540"/>
      <c r="L661" s="540"/>
      <c r="M661" s="540"/>
      <c r="N661" s="540"/>
      <c r="O661" s="540"/>
      <c r="P661" s="540"/>
      <c r="Q661" s="540"/>
      <c r="R661" s="540"/>
      <c r="S661" s="540"/>
      <c r="T661" s="540"/>
      <c r="U661" s="540"/>
      <c r="V661" s="540"/>
      <c r="W661" s="540"/>
      <c r="X661" s="540"/>
      <c r="Y661" s="540"/>
      <c r="Z661" s="540"/>
    </row>
    <row r="662" ht="14.25" customHeight="1">
      <c r="A662" s="540"/>
      <c r="B662" s="540"/>
      <c r="C662" s="540"/>
      <c r="D662" s="540"/>
      <c r="E662" s="540"/>
      <c r="F662" s="540"/>
      <c r="G662" s="540"/>
      <c r="H662" s="540"/>
      <c r="I662" s="540"/>
      <c r="J662" s="540"/>
      <c r="K662" s="540"/>
      <c r="L662" s="540"/>
      <c r="M662" s="540"/>
      <c r="N662" s="540"/>
      <c r="O662" s="540"/>
      <c r="P662" s="540"/>
      <c r="Q662" s="540"/>
      <c r="R662" s="540"/>
      <c r="S662" s="540"/>
      <c r="T662" s="540"/>
      <c r="U662" s="540"/>
      <c r="V662" s="540"/>
      <c r="W662" s="540"/>
      <c r="X662" s="540"/>
      <c r="Y662" s="540"/>
      <c r="Z662" s="540"/>
    </row>
    <row r="663" ht="14.25" customHeight="1">
      <c r="A663" s="540"/>
      <c r="B663" s="540"/>
      <c r="C663" s="540"/>
      <c r="D663" s="540"/>
      <c r="E663" s="540"/>
      <c r="F663" s="540"/>
      <c r="G663" s="540"/>
      <c r="H663" s="540"/>
      <c r="I663" s="540"/>
      <c r="J663" s="540"/>
      <c r="K663" s="540"/>
      <c r="L663" s="540"/>
      <c r="M663" s="540"/>
      <c r="N663" s="540"/>
      <c r="O663" s="540"/>
      <c r="P663" s="540"/>
      <c r="Q663" s="540"/>
      <c r="R663" s="540"/>
      <c r="S663" s="540"/>
      <c r="T663" s="540"/>
      <c r="U663" s="540"/>
      <c r="V663" s="540"/>
      <c r="W663" s="540"/>
      <c r="X663" s="540"/>
      <c r="Y663" s="540"/>
      <c r="Z663" s="540"/>
    </row>
    <row r="664" ht="14.25" customHeight="1">
      <c r="A664" s="540"/>
      <c r="B664" s="540"/>
      <c r="C664" s="540"/>
      <c r="D664" s="540"/>
      <c r="E664" s="540"/>
      <c r="F664" s="540"/>
      <c r="G664" s="540"/>
      <c r="H664" s="540"/>
      <c r="I664" s="540"/>
      <c r="J664" s="540"/>
      <c r="K664" s="540"/>
      <c r="L664" s="540"/>
      <c r="M664" s="540"/>
      <c r="N664" s="540"/>
      <c r="O664" s="540"/>
      <c r="P664" s="540"/>
      <c r="Q664" s="540"/>
      <c r="R664" s="540"/>
      <c r="S664" s="540"/>
      <c r="T664" s="540"/>
      <c r="U664" s="540"/>
      <c r="V664" s="540"/>
      <c r="W664" s="540"/>
      <c r="X664" s="540"/>
      <c r="Y664" s="540"/>
      <c r="Z664" s="540"/>
    </row>
    <row r="665" ht="14.25" customHeight="1">
      <c r="A665" s="540"/>
      <c r="B665" s="540"/>
      <c r="C665" s="540"/>
      <c r="D665" s="540"/>
      <c r="E665" s="540"/>
      <c r="F665" s="540"/>
      <c r="G665" s="540"/>
      <c r="H665" s="540"/>
      <c r="I665" s="540"/>
      <c r="J665" s="540"/>
      <c r="K665" s="540"/>
      <c r="L665" s="540"/>
      <c r="M665" s="540"/>
      <c r="N665" s="540"/>
      <c r="O665" s="540"/>
      <c r="P665" s="540"/>
      <c r="Q665" s="540"/>
      <c r="R665" s="540"/>
      <c r="S665" s="540"/>
      <c r="T665" s="540"/>
      <c r="U665" s="540"/>
      <c r="V665" s="540"/>
      <c r="W665" s="540"/>
      <c r="X665" s="540"/>
      <c r="Y665" s="540"/>
      <c r="Z665" s="540"/>
    </row>
    <row r="666" ht="14.25" customHeight="1">
      <c r="A666" s="540"/>
      <c r="B666" s="540"/>
      <c r="C666" s="540"/>
      <c r="D666" s="540"/>
      <c r="E666" s="540"/>
      <c r="F666" s="540"/>
      <c r="G666" s="540"/>
      <c r="H666" s="540"/>
      <c r="I666" s="540"/>
      <c r="J666" s="540"/>
      <c r="K666" s="540"/>
      <c r="L666" s="540"/>
      <c r="M666" s="540"/>
      <c r="N666" s="540"/>
      <c r="O666" s="540"/>
      <c r="P666" s="540"/>
      <c r="Q666" s="540"/>
      <c r="R666" s="540"/>
      <c r="S666" s="540"/>
      <c r="T666" s="540"/>
      <c r="U666" s="540"/>
      <c r="V666" s="540"/>
      <c r="W666" s="540"/>
      <c r="X666" s="540"/>
      <c r="Y666" s="540"/>
      <c r="Z666" s="540"/>
    </row>
    <row r="667" ht="14.25" customHeight="1">
      <c r="A667" s="540"/>
      <c r="B667" s="540"/>
      <c r="C667" s="540"/>
      <c r="D667" s="540"/>
      <c r="E667" s="540"/>
      <c r="F667" s="540"/>
      <c r="G667" s="540"/>
      <c r="H667" s="540"/>
      <c r="I667" s="540"/>
      <c r="J667" s="540"/>
      <c r="K667" s="540"/>
      <c r="L667" s="540"/>
      <c r="M667" s="540"/>
      <c r="N667" s="540"/>
      <c r="O667" s="540"/>
      <c r="P667" s="540"/>
      <c r="Q667" s="540"/>
      <c r="R667" s="540"/>
      <c r="S667" s="540"/>
      <c r="T667" s="540"/>
      <c r="U667" s="540"/>
      <c r="V667" s="540"/>
      <c r="W667" s="540"/>
      <c r="X667" s="540"/>
      <c r="Y667" s="540"/>
      <c r="Z667" s="540"/>
    </row>
    <row r="668" ht="14.25" customHeight="1">
      <c r="A668" s="540"/>
      <c r="B668" s="540"/>
      <c r="C668" s="540"/>
      <c r="D668" s="540"/>
      <c r="E668" s="540"/>
      <c r="F668" s="540"/>
      <c r="G668" s="540"/>
      <c r="H668" s="540"/>
      <c r="I668" s="540"/>
      <c r="J668" s="540"/>
      <c r="K668" s="540"/>
      <c r="L668" s="540"/>
      <c r="M668" s="540"/>
      <c r="N668" s="540"/>
      <c r="O668" s="540"/>
      <c r="P668" s="540"/>
      <c r="Q668" s="540"/>
      <c r="R668" s="540"/>
      <c r="S668" s="540"/>
      <c r="T668" s="540"/>
      <c r="U668" s="540"/>
      <c r="V668" s="540"/>
      <c r="W668" s="540"/>
      <c r="X668" s="540"/>
      <c r="Y668" s="540"/>
      <c r="Z668" s="540"/>
    </row>
    <row r="669" ht="14.25" customHeight="1">
      <c r="A669" s="540"/>
      <c r="B669" s="540"/>
      <c r="C669" s="540"/>
      <c r="D669" s="540"/>
      <c r="E669" s="540"/>
      <c r="F669" s="540"/>
      <c r="G669" s="540"/>
      <c r="H669" s="540"/>
      <c r="I669" s="540"/>
      <c r="J669" s="540"/>
      <c r="K669" s="540"/>
      <c r="L669" s="540"/>
      <c r="M669" s="540"/>
      <c r="N669" s="540"/>
      <c r="O669" s="540"/>
      <c r="P669" s="540"/>
      <c r="Q669" s="540"/>
      <c r="R669" s="540"/>
      <c r="S669" s="540"/>
      <c r="T669" s="540"/>
      <c r="U669" s="540"/>
      <c r="V669" s="540"/>
      <c r="W669" s="540"/>
      <c r="X669" s="540"/>
      <c r="Y669" s="540"/>
      <c r="Z669" s="540"/>
    </row>
    <row r="670" ht="14.25" customHeight="1">
      <c r="A670" s="540"/>
      <c r="B670" s="540"/>
      <c r="C670" s="540"/>
      <c r="D670" s="540"/>
      <c r="E670" s="540"/>
      <c r="F670" s="540"/>
      <c r="G670" s="540"/>
      <c r="H670" s="540"/>
      <c r="I670" s="540"/>
      <c r="J670" s="540"/>
      <c r="K670" s="540"/>
      <c r="L670" s="540"/>
      <c r="M670" s="540"/>
      <c r="N670" s="540"/>
      <c r="O670" s="540"/>
      <c r="P670" s="540"/>
      <c r="Q670" s="540"/>
      <c r="R670" s="540"/>
      <c r="S670" s="540"/>
      <c r="T670" s="540"/>
      <c r="U670" s="540"/>
      <c r="V670" s="540"/>
      <c r="W670" s="540"/>
      <c r="X670" s="540"/>
      <c r="Y670" s="540"/>
      <c r="Z670" s="540"/>
    </row>
    <row r="671" ht="14.25" customHeight="1">
      <c r="A671" s="540"/>
      <c r="B671" s="540"/>
      <c r="C671" s="540"/>
      <c r="D671" s="540"/>
      <c r="E671" s="540"/>
      <c r="F671" s="540"/>
      <c r="G671" s="540"/>
      <c r="H671" s="540"/>
      <c r="I671" s="540"/>
      <c r="J671" s="540"/>
      <c r="K671" s="540"/>
      <c r="L671" s="540"/>
      <c r="M671" s="540"/>
      <c r="N671" s="540"/>
      <c r="O671" s="540"/>
      <c r="P671" s="540"/>
      <c r="Q671" s="540"/>
      <c r="R671" s="540"/>
      <c r="S671" s="540"/>
      <c r="T671" s="540"/>
      <c r="U671" s="540"/>
      <c r="V671" s="540"/>
      <c r="W671" s="540"/>
      <c r="X671" s="540"/>
      <c r="Y671" s="540"/>
      <c r="Z671" s="540"/>
    </row>
    <row r="672" ht="14.25" customHeight="1">
      <c r="A672" s="540"/>
      <c r="B672" s="540"/>
      <c r="C672" s="540"/>
      <c r="D672" s="540"/>
      <c r="E672" s="540"/>
      <c r="F672" s="540"/>
      <c r="G672" s="540"/>
      <c r="H672" s="540"/>
      <c r="I672" s="540"/>
      <c r="J672" s="540"/>
      <c r="K672" s="540"/>
      <c r="L672" s="540"/>
      <c r="M672" s="540"/>
      <c r="N672" s="540"/>
      <c r="O672" s="540"/>
      <c r="P672" s="540"/>
      <c r="Q672" s="540"/>
      <c r="R672" s="540"/>
      <c r="S672" s="540"/>
      <c r="T672" s="540"/>
      <c r="U672" s="540"/>
      <c r="V672" s="540"/>
      <c r="W672" s="540"/>
      <c r="X672" s="540"/>
      <c r="Y672" s="540"/>
      <c r="Z672" s="540"/>
    </row>
    <row r="673" ht="14.25" customHeight="1">
      <c r="A673" s="540"/>
      <c r="B673" s="540"/>
      <c r="C673" s="540"/>
      <c r="D673" s="540"/>
      <c r="E673" s="540"/>
      <c r="F673" s="540"/>
      <c r="G673" s="540"/>
      <c r="H673" s="540"/>
      <c r="I673" s="540"/>
      <c r="J673" s="540"/>
      <c r="K673" s="540"/>
      <c r="L673" s="540"/>
      <c r="M673" s="540"/>
      <c r="N673" s="540"/>
      <c r="O673" s="540"/>
      <c r="P673" s="540"/>
      <c r="Q673" s="540"/>
      <c r="R673" s="540"/>
      <c r="S673" s="540"/>
      <c r="T673" s="540"/>
      <c r="U673" s="540"/>
      <c r="V673" s="540"/>
      <c r="W673" s="540"/>
      <c r="X673" s="540"/>
      <c r="Y673" s="540"/>
      <c r="Z673" s="540"/>
    </row>
    <row r="674" ht="14.25" customHeight="1">
      <c r="A674" s="540"/>
      <c r="B674" s="540"/>
      <c r="C674" s="540"/>
      <c r="D674" s="540"/>
      <c r="E674" s="540"/>
      <c r="F674" s="540"/>
      <c r="G674" s="540"/>
      <c r="H674" s="540"/>
      <c r="I674" s="540"/>
      <c r="J674" s="540"/>
      <c r="K674" s="540"/>
      <c r="L674" s="540"/>
      <c r="M674" s="540"/>
      <c r="N674" s="540"/>
      <c r="O674" s="540"/>
      <c r="P674" s="540"/>
      <c r="Q674" s="540"/>
      <c r="R674" s="540"/>
      <c r="S674" s="540"/>
      <c r="T674" s="540"/>
      <c r="U674" s="540"/>
      <c r="V674" s="540"/>
      <c r="W674" s="540"/>
      <c r="X674" s="540"/>
      <c r="Y674" s="540"/>
      <c r="Z674" s="540"/>
    </row>
    <row r="675" ht="14.25" customHeight="1">
      <c r="A675" s="540"/>
      <c r="B675" s="540"/>
      <c r="C675" s="540"/>
      <c r="D675" s="540"/>
      <c r="E675" s="540"/>
      <c r="F675" s="540"/>
      <c r="G675" s="540"/>
      <c r="H675" s="540"/>
      <c r="I675" s="540"/>
      <c r="J675" s="540"/>
      <c r="K675" s="540"/>
      <c r="L675" s="540"/>
      <c r="M675" s="540"/>
      <c r="N675" s="540"/>
      <c r="O675" s="540"/>
      <c r="P675" s="540"/>
      <c r="Q675" s="540"/>
      <c r="R675" s="540"/>
      <c r="S675" s="540"/>
      <c r="T675" s="540"/>
      <c r="U675" s="540"/>
      <c r="V675" s="540"/>
      <c r="W675" s="540"/>
      <c r="X675" s="540"/>
      <c r="Y675" s="540"/>
      <c r="Z675" s="540"/>
    </row>
    <row r="676" ht="14.25" customHeight="1">
      <c r="A676" s="540"/>
      <c r="B676" s="540"/>
      <c r="C676" s="540"/>
      <c r="D676" s="540"/>
      <c r="E676" s="540"/>
      <c r="F676" s="540"/>
      <c r="G676" s="540"/>
      <c r="H676" s="540"/>
      <c r="I676" s="540"/>
      <c r="J676" s="540"/>
      <c r="K676" s="540"/>
      <c r="L676" s="540"/>
      <c r="M676" s="540"/>
      <c r="N676" s="540"/>
      <c r="O676" s="540"/>
      <c r="P676" s="540"/>
      <c r="Q676" s="540"/>
      <c r="R676" s="540"/>
      <c r="S676" s="540"/>
      <c r="T676" s="540"/>
      <c r="U676" s="540"/>
      <c r="V676" s="540"/>
      <c r="W676" s="540"/>
      <c r="X676" s="540"/>
      <c r="Y676" s="540"/>
      <c r="Z676" s="540"/>
    </row>
    <row r="677" ht="14.25" customHeight="1">
      <c r="A677" s="540"/>
      <c r="B677" s="540"/>
      <c r="C677" s="540"/>
      <c r="D677" s="540"/>
      <c r="E677" s="540"/>
      <c r="F677" s="540"/>
      <c r="G677" s="540"/>
      <c r="H677" s="540"/>
      <c r="I677" s="540"/>
      <c r="J677" s="540"/>
      <c r="K677" s="540"/>
      <c r="L677" s="540"/>
      <c r="M677" s="540"/>
      <c r="N677" s="540"/>
      <c r="O677" s="540"/>
      <c r="P677" s="540"/>
      <c r="Q677" s="540"/>
      <c r="R677" s="540"/>
      <c r="S677" s="540"/>
      <c r="T677" s="540"/>
      <c r="U677" s="540"/>
      <c r="V677" s="540"/>
      <c r="W677" s="540"/>
      <c r="X677" s="540"/>
      <c r="Y677" s="540"/>
      <c r="Z677" s="540"/>
    </row>
    <row r="678" ht="14.25" customHeight="1">
      <c r="A678" s="540"/>
      <c r="B678" s="540"/>
      <c r="C678" s="540"/>
      <c r="D678" s="540"/>
      <c r="E678" s="540"/>
      <c r="F678" s="540"/>
      <c r="G678" s="540"/>
      <c r="H678" s="540"/>
      <c r="I678" s="540"/>
      <c r="J678" s="540"/>
      <c r="K678" s="540"/>
      <c r="L678" s="540"/>
      <c r="M678" s="540"/>
      <c r="N678" s="540"/>
      <c r="O678" s="540"/>
      <c r="P678" s="540"/>
      <c r="Q678" s="540"/>
      <c r="R678" s="540"/>
      <c r="S678" s="540"/>
      <c r="T678" s="540"/>
      <c r="U678" s="540"/>
      <c r="V678" s="540"/>
      <c r="W678" s="540"/>
      <c r="X678" s="540"/>
      <c r="Y678" s="540"/>
      <c r="Z678" s="540"/>
    </row>
    <row r="679" ht="14.25" customHeight="1">
      <c r="A679" s="540"/>
      <c r="B679" s="540"/>
      <c r="C679" s="540"/>
      <c r="D679" s="540"/>
      <c r="E679" s="540"/>
      <c r="F679" s="540"/>
      <c r="G679" s="540"/>
      <c r="H679" s="540"/>
      <c r="I679" s="540"/>
      <c r="J679" s="540"/>
      <c r="K679" s="540"/>
      <c r="L679" s="540"/>
      <c r="M679" s="540"/>
      <c r="N679" s="540"/>
      <c r="O679" s="540"/>
      <c r="P679" s="540"/>
      <c r="Q679" s="540"/>
      <c r="R679" s="540"/>
      <c r="S679" s="540"/>
      <c r="T679" s="540"/>
      <c r="U679" s="540"/>
      <c r="V679" s="540"/>
      <c r="W679" s="540"/>
      <c r="X679" s="540"/>
      <c r="Y679" s="540"/>
      <c r="Z679" s="540"/>
    </row>
    <row r="680" ht="14.25" customHeight="1">
      <c r="A680" s="540"/>
      <c r="B680" s="540"/>
      <c r="C680" s="540"/>
      <c r="D680" s="540"/>
      <c r="E680" s="540"/>
      <c r="F680" s="540"/>
      <c r="G680" s="540"/>
      <c r="H680" s="540"/>
      <c r="I680" s="540"/>
      <c r="J680" s="540"/>
      <c r="K680" s="540"/>
      <c r="L680" s="540"/>
      <c r="M680" s="540"/>
      <c r="N680" s="540"/>
      <c r="O680" s="540"/>
      <c r="P680" s="540"/>
      <c r="Q680" s="540"/>
      <c r="R680" s="540"/>
      <c r="S680" s="540"/>
      <c r="T680" s="540"/>
      <c r="U680" s="540"/>
      <c r="V680" s="540"/>
      <c r="W680" s="540"/>
      <c r="X680" s="540"/>
      <c r="Y680" s="540"/>
      <c r="Z680" s="540"/>
    </row>
    <row r="681" ht="14.25" customHeight="1">
      <c r="A681" s="540"/>
      <c r="B681" s="540"/>
      <c r="C681" s="540"/>
      <c r="D681" s="540"/>
      <c r="E681" s="540"/>
      <c r="F681" s="540"/>
      <c r="G681" s="540"/>
      <c r="H681" s="540"/>
      <c r="I681" s="540"/>
      <c r="J681" s="540"/>
      <c r="K681" s="540"/>
      <c r="L681" s="540"/>
      <c r="M681" s="540"/>
      <c r="N681" s="540"/>
      <c r="O681" s="540"/>
      <c r="P681" s="540"/>
      <c r="Q681" s="540"/>
      <c r="R681" s="540"/>
      <c r="S681" s="540"/>
      <c r="T681" s="540"/>
      <c r="U681" s="540"/>
      <c r="V681" s="540"/>
      <c r="W681" s="540"/>
      <c r="X681" s="540"/>
      <c r="Y681" s="540"/>
      <c r="Z681" s="540"/>
    </row>
    <row r="682" ht="14.25" customHeight="1">
      <c r="A682" s="540"/>
      <c r="B682" s="540"/>
      <c r="C682" s="540"/>
      <c r="D682" s="540"/>
      <c r="E682" s="540"/>
      <c r="F682" s="540"/>
      <c r="G682" s="540"/>
      <c r="H682" s="540"/>
      <c r="I682" s="540"/>
      <c r="J682" s="540"/>
      <c r="K682" s="540"/>
      <c r="L682" s="540"/>
      <c r="M682" s="540"/>
      <c r="N682" s="540"/>
      <c r="O682" s="540"/>
      <c r="P682" s="540"/>
      <c r="Q682" s="540"/>
      <c r="R682" s="540"/>
      <c r="S682" s="540"/>
      <c r="T682" s="540"/>
      <c r="U682" s="540"/>
      <c r="V682" s="540"/>
      <c r="W682" s="540"/>
      <c r="X682" s="540"/>
      <c r="Y682" s="540"/>
      <c r="Z682" s="540"/>
    </row>
    <row r="683" ht="14.25" customHeight="1">
      <c r="A683" s="540"/>
      <c r="B683" s="540"/>
      <c r="C683" s="540"/>
      <c r="D683" s="540"/>
      <c r="E683" s="540"/>
      <c r="F683" s="540"/>
      <c r="G683" s="540"/>
      <c r="H683" s="540"/>
      <c r="I683" s="540"/>
      <c r="J683" s="540"/>
      <c r="K683" s="540"/>
      <c r="L683" s="540"/>
      <c r="M683" s="540"/>
      <c r="N683" s="540"/>
      <c r="O683" s="540"/>
      <c r="P683" s="540"/>
      <c r="Q683" s="540"/>
      <c r="R683" s="540"/>
      <c r="S683" s="540"/>
      <c r="T683" s="540"/>
      <c r="U683" s="540"/>
      <c r="V683" s="540"/>
      <c r="W683" s="540"/>
      <c r="X683" s="540"/>
      <c r="Y683" s="540"/>
      <c r="Z683" s="540"/>
    </row>
    <row r="684" ht="14.25" customHeight="1">
      <c r="A684" s="540"/>
      <c r="B684" s="540"/>
      <c r="C684" s="540"/>
      <c r="D684" s="540"/>
      <c r="E684" s="540"/>
      <c r="F684" s="540"/>
      <c r="G684" s="540"/>
      <c r="H684" s="540"/>
      <c r="I684" s="540"/>
      <c r="J684" s="540"/>
      <c r="K684" s="540"/>
      <c r="L684" s="540"/>
      <c r="M684" s="540"/>
      <c r="N684" s="540"/>
      <c r="O684" s="540"/>
      <c r="P684" s="540"/>
      <c r="Q684" s="540"/>
      <c r="R684" s="540"/>
      <c r="S684" s="540"/>
      <c r="T684" s="540"/>
      <c r="U684" s="540"/>
      <c r="V684" s="540"/>
      <c r="W684" s="540"/>
      <c r="X684" s="540"/>
      <c r="Y684" s="540"/>
      <c r="Z684" s="540"/>
    </row>
    <row r="685" ht="14.25" customHeight="1">
      <c r="A685" s="540"/>
      <c r="B685" s="540"/>
      <c r="C685" s="540"/>
      <c r="D685" s="540"/>
      <c r="E685" s="540"/>
      <c r="F685" s="540"/>
      <c r="G685" s="540"/>
      <c r="H685" s="540"/>
      <c r="I685" s="540"/>
      <c r="J685" s="540"/>
      <c r="K685" s="540"/>
      <c r="L685" s="540"/>
      <c r="M685" s="540"/>
      <c r="N685" s="540"/>
      <c r="O685" s="540"/>
      <c r="P685" s="540"/>
      <c r="Q685" s="540"/>
      <c r="R685" s="540"/>
      <c r="S685" s="540"/>
      <c r="T685" s="540"/>
      <c r="U685" s="540"/>
      <c r="V685" s="540"/>
      <c r="W685" s="540"/>
      <c r="X685" s="540"/>
      <c r="Y685" s="540"/>
      <c r="Z685" s="540"/>
    </row>
    <row r="686" ht="14.25" customHeight="1">
      <c r="A686" s="540"/>
      <c r="B686" s="540"/>
      <c r="C686" s="540"/>
      <c r="D686" s="540"/>
      <c r="E686" s="540"/>
      <c r="F686" s="540"/>
      <c r="G686" s="540"/>
      <c r="H686" s="540"/>
      <c r="I686" s="540"/>
      <c r="J686" s="540"/>
      <c r="K686" s="540"/>
      <c r="L686" s="540"/>
      <c r="M686" s="540"/>
      <c r="N686" s="540"/>
      <c r="O686" s="540"/>
      <c r="P686" s="540"/>
      <c r="Q686" s="540"/>
      <c r="R686" s="540"/>
      <c r="S686" s="540"/>
      <c r="T686" s="540"/>
      <c r="U686" s="540"/>
      <c r="V686" s="540"/>
      <c r="W686" s="540"/>
      <c r="X686" s="540"/>
      <c r="Y686" s="540"/>
      <c r="Z686" s="540"/>
    </row>
    <row r="687" ht="14.25" customHeight="1">
      <c r="A687" s="540"/>
      <c r="B687" s="540"/>
      <c r="C687" s="540"/>
      <c r="D687" s="540"/>
      <c r="E687" s="540"/>
      <c r="F687" s="540"/>
      <c r="G687" s="540"/>
      <c r="H687" s="540"/>
      <c r="I687" s="540"/>
      <c r="J687" s="540"/>
      <c r="K687" s="540"/>
      <c r="L687" s="540"/>
      <c r="M687" s="540"/>
      <c r="N687" s="540"/>
      <c r="O687" s="540"/>
      <c r="P687" s="540"/>
      <c r="Q687" s="540"/>
      <c r="R687" s="540"/>
      <c r="S687" s="540"/>
      <c r="T687" s="540"/>
      <c r="U687" s="540"/>
      <c r="V687" s="540"/>
      <c r="W687" s="540"/>
      <c r="X687" s="540"/>
      <c r="Y687" s="540"/>
      <c r="Z687" s="540"/>
    </row>
    <row r="688" ht="14.25" customHeight="1">
      <c r="A688" s="540"/>
      <c r="B688" s="540"/>
      <c r="C688" s="540"/>
      <c r="D688" s="540"/>
      <c r="E688" s="540"/>
      <c r="F688" s="540"/>
      <c r="G688" s="540"/>
      <c r="H688" s="540"/>
      <c r="I688" s="540"/>
      <c r="J688" s="540"/>
      <c r="K688" s="540"/>
      <c r="L688" s="540"/>
      <c r="M688" s="540"/>
      <c r="N688" s="540"/>
      <c r="O688" s="540"/>
      <c r="P688" s="540"/>
      <c r="Q688" s="540"/>
      <c r="R688" s="540"/>
      <c r="S688" s="540"/>
      <c r="T688" s="540"/>
      <c r="U688" s="540"/>
      <c r="V688" s="540"/>
      <c r="W688" s="540"/>
      <c r="X688" s="540"/>
      <c r="Y688" s="540"/>
      <c r="Z688" s="540"/>
    </row>
    <row r="689" ht="14.25" customHeight="1">
      <c r="A689" s="540"/>
      <c r="B689" s="540"/>
      <c r="C689" s="540"/>
      <c r="D689" s="540"/>
      <c r="E689" s="540"/>
      <c r="F689" s="540"/>
      <c r="G689" s="540"/>
      <c r="H689" s="540"/>
      <c r="I689" s="540"/>
      <c r="J689" s="540"/>
      <c r="K689" s="540"/>
      <c r="L689" s="540"/>
      <c r="M689" s="540"/>
      <c r="N689" s="540"/>
      <c r="O689" s="540"/>
      <c r="P689" s="540"/>
      <c r="Q689" s="540"/>
      <c r="R689" s="540"/>
      <c r="S689" s="540"/>
      <c r="T689" s="540"/>
      <c r="U689" s="540"/>
      <c r="V689" s="540"/>
      <c r="W689" s="540"/>
      <c r="X689" s="540"/>
      <c r="Y689" s="540"/>
      <c r="Z689" s="540"/>
    </row>
    <row r="690" ht="14.25" customHeight="1">
      <c r="A690" s="540"/>
      <c r="B690" s="540"/>
      <c r="C690" s="540"/>
      <c r="D690" s="540"/>
      <c r="E690" s="540"/>
      <c r="F690" s="540"/>
      <c r="G690" s="540"/>
      <c r="H690" s="540"/>
      <c r="I690" s="540"/>
      <c r="J690" s="540"/>
      <c r="K690" s="540"/>
      <c r="L690" s="540"/>
      <c r="M690" s="540"/>
      <c r="N690" s="540"/>
      <c r="O690" s="540"/>
      <c r="P690" s="540"/>
      <c r="Q690" s="540"/>
      <c r="R690" s="540"/>
      <c r="S690" s="540"/>
      <c r="T690" s="540"/>
      <c r="U690" s="540"/>
      <c r="V690" s="540"/>
      <c r="W690" s="540"/>
      <c r="X690" s="540"/>
      <c r="Y690" s="540"/>
      <c r="Z690" s="540"/>
    </row>
    <row r="691" ht="14.25" customHeight="1">
      <c r="A691" s="540"/>
      <c r="B691" s="540"/>
      <c r="C691" s="540"/>
      <c r="D691" s="540"/>
      <c r="E691" s="540"/>
      <c r="F691" s="540"/>
      <c r="G691" s="540"/>
      <c r="H691" s="540"/>
      <c r="I691" s="540"/>
      <c r="J691" s="540"/>
      <c r="K691" s="540"/>
      <c r="L691" s="540"/>
      <c r="M691" s="540"/>
      <c r="N691" s="540"/>
      <c r="O691" s="540"/>
      <c r="P691" s="540"/>
      <c r="Q691" s="540"/>
      <c r="R691" s="540"/>
      <c r="S691" s="540"/>
      <c r="T691" s="540"/>
      <c r="U691" s="540"/>
      <c r="V691" s="540"/>
      <c r="W691" s="540"/>
      <c r="X691" s="540"/>
      <c r="Y691" s="540"/>
      <c r="Z691" s="540"/>
    </row>
    <row r="692" ht="14.25" customHeight="1">
      <c r="A692" s="540"/>
      <c r="B692" s="540"/>
      <c r="C692" s="540"/>
      <c r="D692" s="540"/>
      <c r="E692" s="540"/>
      <c r="F692" s="540"/>
      <c r="G692" s="540"/>
      <c r="H692" s="540"/>
      <c r="I692" s="540"/>
      <c r="J692" s="540"/>
      <c r="K692" s="540"/>
      <c r="L692" s="540"/>
      <c r="M692" s="540"/>
      <c r="N692" s="540"/>
      <c r="O692" s="540"/>
      <c r="P692" s="540"/>
      <c r="Q692" s="540"/>
      <c r="R692" s="540"/>
      <c r="S692" s="540"/>
      <c r="T692" s="540"/>
      <c r="U692" s="540"/>
      <c r="V692" s="540"/>
      <c r="W692" s="540"/>
      <c r="X692" s="540"/>
      <c r="Y692" s="540"/>
      <c r="Z692" s="540"/>
    </row>
    <row r="693" ht="14.25" customHeight="1">
      <c r="A693" s="540"/>
      <c r="B693" s="540"/>
      <c r="C693" s="540"/>
      <c r="D693" s="540"/>
      <c r="E693" s="540"/>
      <c r="F693" s="540"/>
      <c r="G693" s="540"/>
      <c r="H693" s="540"/>
      <c r="I693" s="540"/>
      <c r="J693" s="540"/>
      <c r="K693" s="540"/>
      <c r="L693" s="540"/>
      <c r="M693" s="540"/>
      <c r="N693" s="540"/>
      <c r="O693" s="540"/>
      <c r="P693" s="540"/>
      <c r="Q693" s="540"/>
      <c r="R693" s="540"/>
      <c r="S693" s="540"/>
      <c r="T693" s="540"/>
      <c r="U693" s="540"/>
      <c r="V693" s="540"/>
      <c r="W693" s="540"/>
      <c r="X693" s="540"/>
      <c r="Y693" s="540"/>
      <c r="Z693" s="540"/>
    </row>
    <row r="694" ht="14.25" customHeight="1">
      <c r="A694" s="540"/>
      <c r="B694" s="540"/>
      <c r="C694" s="540"/>
      <c r="D694" s="540"/>
      <c r="E694" s="540"/>
      <c r="F694" s="540"/>
      <c r="G694" s="540"/>
      <c r="H694" s="540"/>
      <c r="I694" s="540"/>
      <c r="J694" s="540"/>
      <c r="K694" s="540"/>
      <c r="L694" s="540"/>
      <c r="M694" s="540"/>
      <c r="N694" s="540"/>
      <c r="O694" s="540"/>
      <c r="P694" s="540"/>
      <c r="Q694" s="540"/>
      <c r="R694" s="540"/>
      <c r="S694" s="540"/>
      <c r="T694" s="540"/>
      <c r="U694" s="540"/>
      <c r="V694" s="540"/>
      <c r="W694" s="540"/>
      <c r="X694" s="540"/>
      <c r="Y694" s="540"/>
      <c r="Z694" s="540"/>
    </row>
    <row r="695" ht="14.25" customHeight="1">
      <c r="A695" s="540"/>
      <c r="B695" s="540"/>
      <c r="C695" s="540"/>
      <c r="D695" s="540"/>
      <c r="E695" s="540"/>
      <c r="F695" s="540"/>
      <c r="G695" s="540"/>
      <c r="H695" s="540"/>
      <c r="I695" s="540"/>
      <c r="J695" s="540"/>
      <c r="K695" s="540"/>
      <c r="L695" s="540"/>
      <c r="M695" s="540"/>
      <c r="N695" s="540"/>
      <c r="O695" s="540"/>
      <c r="P695" s="540"/>
      <c r="Q695" s="540"/>
      <c r="R695" s="540"/>
      <c r="S695" s="540"/>
      <c r="T695" s="540"/>
      <c r="U695" s="540"/>
      <c r="V695" s="540"/>
      <c r="W695" s="540"/>
      <c r="X695" s="540"/>
      <c r="Y695" s="540"/>
      <c r="Z695" s="540"/>
    </row>
    <row r="696" ht="14.25" customHeight="1">
      <c r="A696" s="540"/>
      <c r="B696" s="540"/>
      <c r="C696" s="540"/>
      <c r="D696" s="540"/>
      <c r="E696" s="540"/>
      <c r="F696" s="540"/>
      <c r="G696" s="540"/>
      <c r="H696" s="540"/>
      <c r="I696" s="540"/>
      <c r="J696" s="540"/>
      <c r="K696" s="540"/>
      <c r="L696" s="540"/>
      <c r="M696" s="540"/>
      <c r="N696" s="540"/>
      <c r="O696" s="540"/>
      <c r="P696" s="540"/>
      <c r="Q696" s="540"/>
      <c r="R696" s="540"/>
      <c r="S696" s="540"/>
      <c r="T696" s="540"/>
      <c r="U696" s="540"/>
      <c r="V696" s="540"/>
      <c r="W696" s="540"/>
      <c r="X696" s="540"/>
      <c r="Y696" s="540"/>
      <c r="Z696" s="540"/>
    </row>
    <row r="697" ht="14.25" customHeight="1">
      <c r="A697" s="540"/>
      <c r="B697" s="540"/>
      <c r="C697" s="540"/>
      <c r="D697" s="540"/>
      <c r="E697" s="540"/>
      <c r="F697" s="540"/>
      <c r="G697" s="540"/>
      <c r="H697" s="540"/>
      <c r="I697" s="540"/>
      <c r="J697" s="540"/>
      <c r="K697" s="540"/>
      <c r="L697" s="540"/>
      <c r="M697" s="540"/>
      <c r="N697" s="540"/>
      <c r="O697" s="540"/>
      <c r="P697" s="540"/>
      <c r="Q697" s="540"/>
      <c r="R697" s="540"/>
      <c r="S697" s="540"/>
      <c r="T697" s="540"/>
      <c r="U697" s="540"/>
      <c r="V697" s="540"/>
      <c r="W697" s="540"/>
      <c r="X697" s="540"/>
      <c r="Y697" s="540"/>
      <c r="Z697" s="540"/>
    </row>
    <row r="698" ht="14.25" customHeight="1">
      <c r="A698" s="540"/>
      <c r="B698" s="540"/>
      <c r="C698" s="540"/>
      <c r="D698" s="540"/>
      <c r="E698" s="540"/>
      <c r="F698" s="540"/>
      <c r="G698" s="540"/>
      <c r="H698" s="540"/>
      <c r="I698" s="540"/>
      <c r="J698" s="540"/>
      <c r="K698" s="540"/>
      <c r="L698" s="540"/>
      <c r="M698" s="540"/>
      <c r="N698" s="540"/>
      <c r="O698" s="540"/>
      <c r="P698" s="540"/>
      <c r="Q698" s="540"/>
      <c r="R698" s="540"/>
      <c r="S698" s="540"/>
      <c r="T698" s="540"/>
      <c r="U698" s="540"/>
      <c r="V698" s="540"/>
      <c r="W698" s="540"/>
      <c r="X698" s="540"/>
      <c r="Y698" s="540"/>
      <c r="Z698" s="540"/>
    </row>
    <row r="699" ht="14.25" customHeight="1">
      <c r="A699" s="540"/>
      <c r="B699" s="540"/>
      <c r="C699" s="540"/>
      <c r="D699" s="540"/>
      <c r="E699" s="540"/>
      <c r="F699" s="540"/>
      <c r="G699" s="540"/>
      <c r="H699" s="540"/>
      <c r="I699" s="540"/>
      <c r="J699" s="540"/>
      <c r="K699" s="540"/>
      <c r="L699" s="540"/>
      <c r="M699" s="540"/>
      <c r="N699" s="540"/>
      <c r="O699" s="540"/>
      <c r="P699" s="540"/>
      <c r="Q699" s="540"/>
      <c r="R699" s="540"/>
      <c r="S699" s="540"/>
      <c r="T699" s="540"/>
      <c r="U699" s="540"/>
      <c r="V699" s="540"/>
      <c r="W699" s="540"/>
      <c r="X699" s="540"/>
      <c r="Y699" s="540"/>
      <c r="Z699" s="540"/>
    </row>
    <row r="700" ht="14.25" customHeight="1">
      <c r="A700" s="540"/>
      <c r="B700" s="540"/>
      <c r="C700" s="540"/>
      <c r="D700" s="540"/>
      <c r="E700" s="540"/>
      <c r="F700" s="540"/>
      <c r="G700" s="540"/>
      <c r="H700" s="540"/>
      <c r="I700" s="540"/>
      <c r="J700" s="540"/>
      <c r="K700" s="540"/>
      <c r="L700" s="540"/>
      <c r="M700" s="540"/>
      <c r="N700" s="540"/>
      <c r="O700" s="540"/>
      <c r="P700" s="540"/>
      <c r="Q700" s="540"/>
      <c r="R700" s="540"/>
      <c r="S700" s="540"/>
      <c r="T700" s="540"/>
      <c r="U700" s="540"/>
      <c r="V700" s="540"/>
      <c r="W700" s="540"/>
      <c r="X700" s="540"/>
      <c r="Y700" s="540"/>
      <c r="Z700" s="540"/>
    </row>
    <row r="701" ht="14.25" customHeight="1">
      <c r="A701" s="540"/>
      <c r="B701" s="540"/>
      <c r="C701" s="540"/>
      <c r="D701" s="540"/>
      <c r="E701" s="540"/>
      <c r="F701" s="540"/>
      <c r="G701" s="540"/>
      <c r="H701" s="540"/>
      <c r="I701" s="540"/>
      <c r="J701" s="540"/>
      <c r="K701" s="540"/>
      <c r="L701" s="540"/>
      <c r="M701" s="540"/>
      <c r="N701" s="540"/>
      <c r="O701" s="540"/>
      <c r="P701" s="540"/>
      <c r="Q701" s="540"/>
      <c r="R701" s="540"/>
      <c r="S701" s="540"/>
      <c r="T701" s="540"/>
      <c r="U701" s="540"/>
      <c r="V701" s="540"/>
      <c r="W701" s="540"/>
      <c r="X701" s="540"/>
      <c r="Y701" s="540"/>
      <c r="Z701" s="540"/>
    </row>
    <row r="702" ht="14.25" customHeight="1">
      <c r="A702" s="540"/>
      <c r="B702" s="540"/>
      <c r="C702" s="540"/>
      <c r="D702" s="540"/>
      <c r="E702" s="540"/>
      <c r="F702" s="540"/>
      <c r="G702" s="540"/>
      <c r="H702" s="540"/>
      <c r="I702" s="540"/>
      <c r="J702" s="540"/>
      <c r="K702" s="540"/>
      <c r="L702" s="540"/>
      <c r="M702" s="540"/>
      <c r="N702" s="540"/>
      <c r="O702" s="540"/>
      <c r="P702" s="540"/>
      <c r="Q702" s="540"/>
      <c r="R702" s="540"/>
      <c r="S702" s="540"/>
      <c r="T702" s="540"/>
      <c r="U702" s="540"/>
      <c r="V702" s="540"/>
      <c r="W702" s="540"/>
      <c r="X702" s="540"/>
      <c r="Y702" s="540"/>
      <c r="Z702" s="540"/>
    </row>
    <row r="703" ht="14.25" customHeight="1">
      <c r="A703" s="540"/>
      <c r="B703" s="540"/>
      <c r="C703" s="540"/>
      <c r="D703" s="540"/>
      <c r="E703" s="540"/>
      <c r="F703" s="540"/>
      <c r="G703" s="540"/>
      <c r="H703" s="540"/>
      <c r="I703" s="540"/>
      <c r="J703" s="540"/>
      <c r="K703" s="540"/>
      <c r="L703" s="540"/>
      <c r="M703" s="540"/>
      <c r="N703" s="540"/>
      <c r="O703" s="540"/>
      <c r="P703" s="540"/>
      <c r="Q703" s="540"/>
      <c r="R703" s="540"/>
      <c r="S703" s="540"/>
      <c r="T703" s="540"/>
      <c r="U703" s="540"/>
      <c r="V703" s="540"/>
      <c r="W703" s="540"/>
      <c r="X703" s="540"/>
      <c r="Y703" s="540"/>
      <c r="Z703" s="540"/>
    </row>
    <row r="704" ht="14.25" customHeight="1">
      <c r="A704" s="540"/>
      <c r="B704" s="540"/>
      <c r="C704" s="540"/>
      <c r="D704" s="540"/>
      <c r="E704" s="540"/>
      <c r="F704" s="540"/>
      <c r="G704" s="540"/>
      <c r="H704" s="540"/>
      <c r="I704" s="540"/>
      <c r="J704" s="540"/>
      <c r="K704" s="540"/>
      <c r="L704" s="540"/>
      <c r="M704" s="540"/>
      <c r="N704" s="540"/>
      <c r="O704" s="540"/>
      <c r="P704" s="540"/>
      <c r="Q704" s="540"/>
      <c r="R704" s="540"/>
      <c r="S704" s="540"/>
      <c r="T704" s="540"/>
      <c r="U704" s="540"/>
      <c r="V704" s="540"/>
      <c r="W704" s="540"/>
      <c r="X704" s="540"/>
      <c r="Y704" s="540"/>
      <c r="Z704" s="540"/>
    </row>
    <row r="705" ht="14.25" customHeight="1">
      <c r="A705" s="540"/>
      <c r="B705" s="540"/>
      <c r="C705" s="540"/>
      <c r="D705" s="540"/>
      <c r="E705" s="540"/>
      <c r="F705" s="540"/>
      <c r="G705" s="540"/>
      <c r="H705" s="540"/>
      <c r="I705" s="540"/>
      <c r="J705" s="540"/>
      <c r="K705" s="540"/>
      <c r="L705" s="540"/>
      <c r="M705" s="540"/>
      <c r="N705" s="540"/>
      <c r="O705" s="540"/>
      <c r="P705" s="540"/>
      <c r="Q705" s="540"/>
      <c r="R705" s="540"/>
      <c r="S705" s="540"/>
      <c r="T705" s="540"/>
      <c r="U705" s="540"/>
      <c r="V705" s="540"/>
      <c r="W705" s="540"/>
      <c r="X705" s="540"/>
      <c r="Y705" s="540"/>
      <c r="Z705" s="540"/>
    </row>
    <row r="706" ht="14.25" customHeight="1">
      <c r="A706" s="540"/>
      <c r="B706" s="540"/>
      <c r="C706" s="540"/>
      <c r="D706" s="540"/>
      <c r="E706" s="540"/>
      <c r="F706" s="540"/>
      <c r="G706" s="540"/>
      <c r="H706" s="540"/>
      <c r="I706" s="540"/>
      <c r="J706" s="540"/>
      <c r="K706" s="540"/>
      <c r="L706" s="540"/>
      <c r="M706" s="540"/>
      <c r="N706" s="540"/>
      <c r="O706" s="540"/>
      <c r="P706" s="540"/>
      <c r="Q706" s="540"/>
      <c r="R706" s="540"/>
      <c r="S706" s="540"/>
      <c r="T706" s="540"/>
      <c r="U706" s="540"/>
      <c r="V706" s="540"/>
      <c r="W706" s="540"/>
      <c r="X706" s="540"/>
      <c r="Y706" s="540"/>
      <c r="Z706" s="540"/>
    </row>
    <row r="707" ht="14.25" customHeight="1">
      <c r="A707" s="540"/>
      <c r="B707" s="540"/>
      <c r="C707" s="540"/>
      <c r="D707" s="540"/>
      <c r="E707" s="540"/>
      <c r="F707" s="540"/>
      <c r="G707" s="540"/>
      <c r="H707" s="540"/>
      <c r="I707" s="540"/>
      <c r="J707" s="540"/>
      <c r="K707" s="540"/>
      <c r="L707" s="540"/>
      <c r="M707" s="540"/>
      <c r="N707" s="540"/>
      <c r="O707" s="540"/>
      <c r="P707" s="540"/>
      <c r="Q707" s="540"/>
      <c r="R707" s="540"/>
      <c r="S707" s="540"/>
      <c r="T707" s="540"/>
      <c r="U707" s="540"/>
      <c r="V707" s="540"/>
      <c r="W707" s="540"/>
      <c r="X707" s="540"/>
      <c r="Y707" s="540"/>
      <c r="Z707" s="540"/>
    </row>
    <row r="708" ht="14.25" customHeight="1">
      <c r="A708" s="540"/>
      <c r="B708" s="540"/>
      <c r="C708" s="540"/>
      <c r="D708" s="540"/>
      <c r="E708" s="540"/>
      <c r="F708" s="540"/>
      <c r="G708" s="540"/>
      <c r="H708" s="540"/>
      <c r="I708" s="540"/>
      <c r="J708" s="540"/>
      <c r="K708" s="540"/>
      <c r="L708" s="540"/>
      <c r="M708" s="540"/>
      <c r="N708" s="540"/>
      <c r="O708" s="540"/>
      <c r="P708" s="540"/>
      <c r="Q708" s="540"/>
      <c r="R708" s="540"/>
      <c r="S708" s="540"/>
      <c r="T708" s="540"/>
      <c r="U708" s="540"/>
      <c r="V708" s="540"/>
      <c r="W708" s="540"/>
      <c r="X708" s="540"/>
      <c r="Y708" s="540"/>
      <c r="Z708" s="540"/>
    </row>
    <row r="709" ht="14.25" customHeight="1">
      <c r="A709" s="540"/>
      <c r="B709" s="540"/>
      <c r="C709" s="540"/>
      <c r="D709" s="540"/>
      <c r="E709" s="540"/>
      <c r="F709" s="540"/>
      <c r="G709" s="540"/>
      <c r="H709" s="540"/>
      <c r="I709" s="540"/>
      <c r="J709" s="540"/>
      <c r="K709" s="540"/>
      <c r="L709" s="540"/>
      <c r="M709" s="540"/>
      <c r="N709" s="540"/>
      <c r="O709" s="540"/>
      <c r="P709" s="540"/>
      <c r="Q709" s="540"/>
      <c r="R709" s="540"/>
      <c r="S709" s="540"/>
      <c r="T709" s="540"/>
      <c r="U709" s="540"/>
      <c r="V709" s="540"/>
      <c r="W709" s="540"/>
      <c r="X709" s="540"/>
      <c r="Y709" s="540"/>
      <c r="Z709" s="540"/>
    </row>
    <row r="710" ht="14.25" customHeight="1">
      <c r="A710" s="540"/>
      <c r="B710" s="540"/>
      <c r="C710" s="540"/>
      <c r="D710" s="540"/>
      <c r="E710" s="540"/>
      <c r="F710" s="540"/>
      <c r="G710" s="540"/>
      <c r="H710" s="540"/>
      <c r="I710" s="540"/>
      <c r="J710" s="540"/>
      <c r="K710" s="540"/>
      <c r="L710" s="540"/>
      <c r="M710" s="540"/>
      <c r="N710" s="540"/>
      <c r="O710" s="540"/>
      <c r="P710" s="540"/>
      <c r="Q710" s="540"/>
      <c r="R710" s="540"/>
      <c r="S710" s="540"/>
      <c r="T710" s="540"/>
      <c r="U710" s="540"/>
      <c r="V710" s="540"/>
      <c r="W710" s="540"/>
      <c r="X710" s="540"/>
      <c r="Y710" s="540"/>
      <c r="Z710" s="540"/>
    </row>
    <row r="711" ht="14.25" customHeight="1">
      <c r="A711" s="540"/>
      <c r="B711" s="540"/>
      <c r="C711" s="540"/>
      <c r="D711" s="540"/>
      <c r="E711" s="540"/>
      <c r="F711" s="540"/>
      <c r="G711" s="540"/>
      <c r="H711" s="540"/>
      <c r="I711" s="540"/>
      <c r="J711" s="540"/>
      <c r="K711" s="540"/>
      <c r="L711" s="540"/>
      <c r="M711" s="540"/>
      <c r="N711" s="540"/>
      <c r="O711" s="540"/>
      <c r="P711" s="540"/>
      <c r="Q711" s="540"/>
      <c r="R711" s="540"/>
      <c r="S711" s="540"/>
      <c r="T711" s="540"/>
      <c r="U711" s="540"/>
      <c r="V711" s="540"/>
      <c r="W711" s="540"/>
      <c r="X711" s="540"/>
      <c r="Y711" s="540"/>
      <c r="Z711" s="540"/>
    </row>
    <row r="712" ht="14.25" customHeight="1">
      <c r="A712" s="540"/>
      <c r="B712" s="540"/>
      <c r="C712" s="540"/>
      <c r="D712" s="540"/>
      <c r="E712" s="540"/>
      <c r="F712" s="540"/>
      <c r="G712" s="540"/>
      <c r="H712" s="540"/>
      <c r="I712" s="540"/>
      <c r="J712" s="540"/>
      <c r="K712" s="540"/>
      <c r="L712" s="540"/>
      <c r="M712" s="540"/>
      <c r="N712" s="540"/>
      <c r="O712" s="540"/>
      <c r="P712" s="540"/>
      <c r="Q712" s="540"/>
      <c r="R712" s="540"/>
      <c r="S712" s="540"/>
      <c r="T712" s="540"/>
      <c r="U712" s="540"/>
      <c r="V712" s="540"/>
      <c r="W712" s="540"/>
      <c r="X712" s="540"/>
      <c r="Y712" s="540"/>
      <c r="Z712" s="540"/>
    </row>
    <row r="713" ht="14.25" customHeight="1">
      <c r="A713" s="540"/>
      <c r="B713" s="540"/>
      <c r="C713" s="540"/>
      <c r="D713" s="540"/>
      <c r="E713" s="540"/>
      <c r="F713" s="540"/>
      <c r="G713" s="540"/>
      <c r="H713" s="540"/>
      <c r="I713" s="540"/>
      <c r="J713" s="540"/>
      <c r="K713" s="540"/>
      <c r="L713" s="540"/>
      <c r="M713" s="540"/>
      <c r="N713" s="540"/>
      <c r="O713" s="540"/>
      <c r="P713" s="540"/>
      <c r="Q713" s="540"/>
      <c r="R713" s="540"/>
      <c r="S713" s="540"/>
      <c r="T713" s="540"/>
      <c r="U713" s="540"/>
      <c r="V713" s="540"/>
      <c r="W713" s="540"/>
      <c r="X713" s="540"/>
      <c r="Y713" s="540"/>
      <c r="Z713" s="540"/>
    </row>
    <row r="714" ht="14.25" customHeight="1">
      <c r="A714" s="540"/>
      <c r="B714" s="540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</row>
    <row r="715" ht="14.25" customHeight="1">
      <c r="A715" s="540"/>
      <c r="B715" s="540"/>
      <c r="C715" s="540"/>
      <c r="D715" s="540"/>
      <c r="E715" s="540"/>
      <c r="F715" s="540"/>
      <c r="G715" s="540"/>
      <c r="H715" s="540"/>
      <c r="I715" s="540"/>
      <c r="J715" s="540"/>
      <c r="K715" s="540"/>
      <c r="L715" s="540"/>
      <c r="M715" s="540"/>
      <c r="N715" s="540"/>
      <c r="O715" s="540"/>
      <c r="P715" s="540"/>
      <c r="Q715" s="540"/>
      <c r="R715" s="540"/>
      <c r="S715" s="540"/>
      <c r="T715" s="540"/>
      <c r="U715" s="540"/>
      <c r="V715" s="540"/>
      <c r="W715" s="540"/>
      <c r="X715" s="540"/>
      <c r="Y715" s="540"/>
      <c r="Z715" s="540"/>
    </row>
    <row r="716" ht="14.25" customHeight="1">
      <c r="A716" s="540"/>
      <c r="B716" s="540"/>
      <c r="C716" s="540"/>
      <c r="D716" s="540"/>
      <c r="E716" s="540"/>
      <c r="F716" s="540"/>
      <c r="G716" s="540"/>
      <c r="H716" s="540"/>
      <c r="I716" s="540"/>
      <c r="J716" s="540"/>
      <c r="K716" s="540"/>
      <c r="L716" s="540"/>
      <c r="M716" s="540"/>
      <c r="N716" s="540"/>
      <c r="O716" s="540"/>
      <c r="P716" s="540"/>
      <c r="Q716" s="540"/>
      <c r="R716" s="540"/>
      <c r="S716" s="540"/>
      <c r="T716" s="540"/>
      <c r="U716" s="540"/>
      <c r="V716" s="540"/>
      <c r="W716" s="540"/>
      <c r="X716" s="540"/>
      <c r="Y716" s="540"/>
      <c r="Z716" s="540"/>
    </row>
    <row r="717" ht="14.25" customHeight="1">
      <c r="A717" s="540"/>
      <c r="B717" s="540"/>
      <c r="C717" s="540"/>
      <c r="D717" s="540"/>
      <c r="E717" s="540"/>
      <c r="F717" s="540"/>
      <c r="G717" s="540"/>
      <c r="H717" s="540"/>
      <c r="I717" s="540"/>
      <c r="J717" s="540"/>
      <c r="K717" s="540"/>
      <c r="L717" s="540"/>
      <c r="M717" s="540"/>
      <c r="N717" s="540"/>
      <c r="O717" s="540"/>
      <c r="P717" s="540"/>
      <c r="Q717" s="540"/>
      <c r="R717" s="540"/>
      <c r="S717" s="540"/>
      <c r="T717" s="540"/>
      <c r="U717" s="540"/>
      <c r="V717" s="540"/>
      <c r="W717" s="540"/>
      <c r="X717" s="540"/>
      <c r="Y717" s="540"/>
      <c r="Z717" s="540"/>
    </row>
    <row r="718" ht="14.25" customHeight="1">
      <c r="A718" s="540"/>
      <c r="B718" s="540"/>
      <c r="C718" s="540"/>
      <c r="D718" s="540"/>
      <c r="E718" s="540"/>
      <c r="F718" s="540"/>
      <c r="G718" s="540"/>
      <c r="H718" s="540"/>
      <c r="I718" s="540"/>
      <c r="J718" s="540"/>
      <c r="K718" s="540"/>
      <c r="L718" s="540"/>
      <c r="M718" s="540"/>
      <c r="N718" s="540"/>
      <c r="O718" s="540"/>
      <c r="P718" s="540"/>
      <c r="Q718" s="540"/>
      <c r="R718" s="540"/>
      <c r="S718" s="540"/>
      <c r="T718" s="540"/>
      <c r="U718" s="540"/>
      <c r="V718" s="540"/>
      <c r="W718" s="540"/>
      <c r="X718" s="540"/>
      <c r="Y718" s="540"/>
      <c r="Z718" s="540"/>
    </row>
    <row r="719" ht="14.25" customHeight="1">
      <c r="A719" s="540"/>
      <c r="B719" s="540"/>
      <c r="C719" s="540"/>
      <c r="D719" s="540"/>
      <c r="E719" s="540"/>
      <c r="F719" s="540"/>
      <c r="G719" s="540"/>
      <c r="H719" s="540"/>
      <c r="I719" s="540"/>
      <c r="J719" s="540"/>
      <c r="K719" s="540"/>
      <c r="L719" s="540"/>
      <c r="M719" s="540"/>
      <c r="N719" s="540"/>
      <c r="O719" s="540"/>
      <c r="P719" s="540"/>
      <c r="Q719" s="540"/>
      <c r="R719" s="540"/>
      <c r="S719" s="540"/>
      <c r="T719" s="540"/>
      <c r="U719" s="540"/>
      <c r="V719" s="540"/>
      <c r="W719" s="540"/>
      <c r="X719" s="540"/>
      <c r="Y719" s="540"/>
      <c r="Z719" s="540"/>
    </row>
    <row r="720" ht="14.25" customHeight="1">
      <c r="A720" s="540"/>
      <c r="B720" s="540"/>
      <c r="C720" s="540"/>
      <c r="D720" s="540"/>
      <c r="E720" s="540"/>
      <c r="F720" s="540"/>
      <c r="G720" s="540"/>
      <c r="H720" s="540"/>
      <c r="I720" s="540"/>
      <c r="J720" s="540"/>
      <c r="K720" s="540"/>
      <c r="L720" s="540"/>
      <c r="M720" s="540"/>
      <c r="N720" s="540"/>
      <c r="O720" s="540"/>
      <c r="P720" s="540"/>
      <c r="Q720" s="540"/>
      <c r="R720" s="540"/>
      <c r="S720" s="540"/>
      <c r="T720" s="540"/>
      <c r="U720" s="540"/>
      <c r="V720" s="540"/>
      <c r="W720" s="540"/>
      <c r="X720" s="540"/>
      <c r="Y720" s="540"/>
      <c r="Z720" s="540"/>
    </row>
    <row r="721" ht="14.25" customHeight="1">
      <c r="A721" s="540"/>
      <c r="B721" s="540"/>
      <c r="C721" s="540"/>
      <c r="D721" s="540"/>
      <c r="E721" s="540"/>
      <c r="F721" s="540"/>
      <c r="G721" s="540"/>
      <c r="H721" s="540"/>
      <c r="I721" s="540"/>
      <c r="J721" s="540"/>
      <c r="K721" s="540"/>
      <c r="L721" s="540"/>
      <c r="M721" s="540"/>
      <c r="N721" s="540"/>
      <c r="O721" s="540"/>
      <c r="P721" s="540"/>
      <c r="Q721" s="540"/>
      <c r="R721" s="540"/>
      <c r="S721" s="540"/>
      <c r="T721" s="540"/>
      <c r="U721" s="540"/>
      <c r="V721" s="540"/>
      <c r="W721" s="540"/>
      <c r="X721" s="540"/>
      <c r="Y721" s="540"/>
      <c r="Z721" s="540"/>
    </row>
    <row r="722" ht="14.25" customHeight="1">
      <c r="A722" s="540"/>
      <c r="B722" s="540"/>
      <c r="C722" s="540"/>
      <c r="D722" s="540"/>
      <c r="E722" s="540"/>
      <c r="F722" s="540"/>
      <c r="G722" s="540"/>
      <c r="H722" s="540"/>
      <c r="I722" s="540"/>
      <c r="J722" s="540"/>
      <c r="K722" s="540"/>
      <c r="L722" s="540"/>
      <c r="M722" s="540"/>
      <c r="N722" s="540"/>
      <c r="O722" s="540"/>
      <c r="P722" s="540"/>
      <c r="Q722" s="540"/>
      <c r="R722" s="540"/>
      <c r="S722" s="540"/>
      <c r="T722" s="540"/>
      <c r="U722" s="540"/>
      <c r="V722" s="540"/>
      <c r="W722" s="540"/>
      <c r="X722" s="540"/>
      <c r="Y722" s="540"/>
      <c r="Z722" s="540"/>
    </row>
    <row r="723" ht="14.25" customHeight="1">
      <c r="A723" s="540"/>
      <c r="B723" s="540"/>
      <c r="C723" s="540"/>
      <c r="D723" s="540"/>
      <c r="E723" s="540"/>
      <c r="F723" s="540"/>
      <c r="G723" s="540"/>
      <c r="H723" s="540"/>
      <c r="I723" s="540"/>
      <c r="J723" s="540"/>
      <c r="K723" s="540"/>
      <c r="L723" s="540"/>
      <c r="M723" s="540"/>
      <c r="N723" s="540"/>
      <c r="O723" s="540"/>
      <c r="P723" s="540"/>
      <c r="Q723" s="540"/>
      <c r="R723" s="540"/>
      <c r="S723" s="540"/>
      <c r="T723" s="540"/>
      <c r="U723" s="540"/>
      <c r="V723" s="540"/>
      <c r="W723" s="540"/>
      <c r="X723" s="540"/>
      <c r="Y723" s="540"/>
      <c r="Z723" s="540"/>
    </row>
    <row r="724" ht="14.25" customHeight="1">
      <c r="A724" s="540"/>
      <c r="B724" s="540"/>
      <c r="C724" s="540"/>
      <c r="D724" s="540"/>
      <c r="E724" s="540"/>
      <c r="F724" s="540"/>
      <c r="G724" s="540"/>
      <c r="H724" s="540"/>
      <c r="I724" s="540"/>
      <c r="J724" s="540"/>
      <c r="K724" s="540"/>
      <c r="L724" s="540"/>
      <c r="M724" s="540"/>
      <c r="N724" s="540"/>
      <c r="O724" s="540"/>
      <c r="P724" s="540"/>
      <c r="Q724" s="540"/>
      <c r="R724" s="540"/>
      <c r="S724" s="540"/>
      <c r="T724" s="540"/>
      <c r="U724" s="540"/>
      <c r="V724" s="540"/>
      <c r="W724" s="540"/>
      <c r="X724" s="540"/>
      <c r="Y724" s="540"/>
      <c r="Z724" s="540"/>
    </row>
    <row r="725" ht="14.25" customHeight="1">
      <c r="A725" s="540"/>
      <c r="B725" s="540"/>
      <c r="C725" s="540"/>
      <c r="D725" s="540"/>
      <c r="E725" s="540"/>
      <c r="F725" s="540"/>
      <c r="G725" s="540"/>
      <c r="H725" s="540"/>
      <c r="I725" s="540"/>
      <c r="J725" s="540"/>
      <c r="K725" s="540"/>
      <c r="L725" s="540"/>
      <c r="M725" s="540"/>
      <c r="N725" s="540"/>
      <c r="O725" s="540"/>
      <c r="P725" s="540"/>
      <c r="Q725" s="540"/>
      <c r="R725" s="540"/>
      <c r="S725" s="540"/>
      <c r="T725" s="540"/>
      <c r="U725" s="540"/>
      <c r="V725" s="540"/>
      <c r="W725" s="540"/>
      <c r="X725" s="540"/>
      <c r="Y725" s="540"/>
      <c r="Z725" s="540"/>
    </row>
    <row r="726" ht="14.25" customHeight="1">
      <c r="A726" s="540"/>
      <c r="B726" s="540"/>
      <c r="C726" s="540"/>
      <c r="D726" s="540"/>
      <c r="E726" s="540"/>
      <c r="F726" s="540"/>
      <c r="G726" s="540"/>
      <c r="H726" s="540"/>
      <c r="I726" s="540"/>
      <c r="J726" s="540"/>
      <c r="K726" s="540"/>
      <c r="L726" s="540"/>
      <c r="M726" s="540"/>
      <c r="N726" s="540"/>
      <c r="O726" s="540"/>
      <c r="P726" s="540"/>
      <c r="Q726" s="540"/>
      <c r="R726" s="540"/>
      <c r="S726" s="540"/>
      <c r="T726" s="540"/>
      <c r="U726" s="540"/>
      <c r="V726" s="540"/>
      <c r="W726" s="540"/>
      <c r="X726" s="540"/>
      <c r="Y726" s="540"/>
      <c r="Z726" s="540"/>
    </row>
    <row r="727" ht="14.25" customHeight="1">
      <c r="A727" s="540"/>
      <c r="B727" s="540"/>
      <c r="C727" s="540"/>
      <c r="D727" s="540"/>
      <c r="E727" s="540"/>
      <c r="F727" s="540"/>
      <c r="G727" s="540"/>
      <c r="H727" s="540"/>
      <c r="I727" s="540"/>
      <c r="J727" s="540"/>
      <c r="K727" s="540"/>
      <c r="L727" s="540"/>
      <c r="M727" s="540"/>
      <c r="N727" s="540"/>
      <c r="O727" s="540"/>
      <c r="P727" s="540"/>
      <c r="Q727" s="540"/>
      <c r="R727" s="540"/>
      <c r="S727" s="540"/>
      <c r="T727" s="540"/>
      <c r="U727" s="540"/>
      <c r="V727" s="540"/>
      <c r="W727" s="540"/>
      <c r="X727" s="540"/>
      <c r="Y727" s="540"/>
      <c r="Z727" s="540"/>
    </row>
    <row r="728" ht="14.25" customHeight="1">
      <c r="A728" s="540"/>
      <c r="B728" s="540"/>
      <c r="C728" s="540"/>
      <c r="D728" s="540"/>
      <c r="E728" s="540"/>
      <c r="F728" s="540"/>
      <c r="G728" s="540"/>
      <c r="H728" s="540"/>
      <c r="I728" s="540"/>
      <c r="J728" s="540"/>
      <c r="K728" s="540"/>
      <c r="L728" s="540"/>
      <c r="M728" s="540"/>
      <c r="N728" s="540"/>
      <c r="O728" s="540"/>
      <c r="P728" s="540"/>
      <c r="Q728" s="540"/>
      <c r="R728" s="540"/>
      <c r="S728" s="540"/>
      <c r="T728" s="540"/>
      <c r="U728" s="540"/>
      <c r="V728" s="540"/>
      <c r="W728" s="540"/>
      <c r="X728" s="540"/>
      <c r="Y728" s="540"/>
      <c r="Z728" s="540"/>
    </row>
    <row r="729" ht="14.25" customHeight="1">
      <c r="A729" s="540"/>
      <c r="B729" s="540"/>
      <c r="C729" s="540"/>
      <c r="D729" s="540"/>
      <c r="E729" s="540"/>
      <c r="F729" s="540"/>
      <c r="G729" s="540"/>
      <c r="H729" s="540"/>
      <c r="I729" s="540"/>
      <c r="J729" s="540"/>
      <c r="K729" s="540"/>
      <c r="L729" s="540"/>
      <c r="M729" s="540"/>
      <c r="N729" s="540"/>
      <c r="O729" s="540"/>
      <c r="P729" s="540"/>
      <c r="Q729" s="540"/>
      <c r="R729" s="540"/>
      <c r="S729" s="540"/>
      <c r="T729" s="540"/>
      <c r="U729" s="540"/>
      <c r="V729" s="540"/>
      <c r="W729" s="540"/>
      <c r="X729" s="540"/>
      <c r="Y729" s="540"/>
      <c r="Z729" s="540"/>
    </row>
    <row r="730" ht="14.25" customHeight="1">
      <c r="A730" s="540"/>
      <c r="B730" s="540"/>
      <c r="C730" s="540"/>
      <c r="D730" s="540"/>
      <c r="E730" s="540"/>
      <c r="F730" s="540"/>
      <c r="G730" s="540"/>
      <c r="H730" s="540"/>
      <c r="I730" s="540"/>
      <c r="J730" s="540"/>
      <c r="K730" s="540"/>
      <c r="L730" s="540"/>
      <c r="M730" s="540"/>
      <c r="N730" s="540"/>
      <c r="O730" s="540"/>
      <c r="P730" s="540"/>
      <c r="Q730" s="540"/>
      <c r="R730" s="540"/>
      <c r="S730" s="540"/>
      <c r="T730" s="540"/>
      <c r="U730" s="540"/>
      <c r="V730" s="540"/>
      <c r="W730" s="540"/>
      <c r="X730" s="540"/>
      <c r="Y730" s="540"/>
      <c r="Z730" s="540"/>
    </row>
    <row r="731" ht="14.25" customHeight="1">
      <c r="A731" s="540"/>
      <c r="B731" s="540"/>
      <c r="C731" s="540"/>
      <c r="D731" s="540"/>
      <c r="E731" s="540"/>
      <c r="F731" s="540"/>
      <c r="G731" s="540"/>
      <c r="H731" s="540"/>
      <c r="I731" s="540"/>
      <c r="J731" s="540"/>
      <c r="K731" s="540"/>
      <c r="L731" s="540"/>
      <c r="M731" s="540"/>
      <c r="N731" s="540"/>
      <c r="O731" s="540"/>
      <c r="P731" s="540"/>
      <c r="Q731" s="540"/>
      <c r="R731" s="540"/>
      <c r="S731" s="540"/>
      <c r="T731" s="540"/>
      <c r="U731" s="540"/>
      <c r="V731" s="540"/>
      <c r="W731" s="540"/>
      <c r="X731" s="540"/>
      <c r="Y731" s="540"/>
      <c r="Z731" s="540"/>
    </row>
    <row r="732" ht="14.25" customHeight="1">
      <c r="A732" s="540"/>
      <c r="B732" s="540"/>
      <c r="C732" s="540"/>
      <c r="D732" s="540"/>
      <c r="E732" s="540"/>
      <c r="F732" s="540"/>
      <c r="G732" s="540"/>
      <c r="H732" s="540"/>
      <c r="I732" s="540"/>
      <c r="J732" s="540"/>
      <c r="K732" s="540"/>
      <c r="L732" s="540"/>
      <c r="M732" s="540"/>
      <c r="N732" s="540"/>
      <c r="O732" s="540"/>
      <c r="P732" s="540"/>
      <c r="Q732" s="540"/>
      <c r="R732" s="540"/>
      <c r="S732" s="540"/>
      <c r="T732" s="540"/>
      <c r="U732" s="540"/>
      <c r="V732" s="540"/>
      <c r="W732" s="540"/>
      <c r="X732" s="540"/>
      <c r="Y732" s="540"/>
      <c r="Z732" s="540"/>
    </row>
    <row r="733" ht="14.25" customHeight="1">
      <c r="A733" s="540"/>
      <c r="B733" s="540"/>
      <c r="C733" s="540"/>
      <c r="D733" s="540"/>
      <c r="E733" s="540"/>
      <c r="F733" s="540"/>
      <c r="G733" s="540"/>
      <c r="H733" s="540"/>
      <c r="I733" s="540"/>
      <c r="J733" s="540"/>
      <c r="K733" s="540"/>
      <c r="L733" s="540"/>
      <c r="M733" s="540"/>
      <c r="N733" s="540"/>
      <c r="O733" s="540"/>
      <c r="P733" s="540"/>
      <c r="Q733" s="540"/>
      <c r="R733" s="540"/>
      <c r="S733" s="540"/>
      <c r="T733" s="540"/>
      <c r="U733" s="540"/>
      <c r="V733" s="540"/>
      <c r="W733" s="540"/>
      <c r="X733" s="540"/>
      <c r="Y733" s="540"/>
      <c r="Z733" s="540"/>
    </row>
    <row r="734" ht="14.25" customHeight="1">
      <c r="A734" s="540"/>
      <c r="B734" s="540"/>
      <c r="C734" s="540"/>
      <c r="D734" s="540"/>
      <c r="E734" s="540"/>
      <c r="F734" s="540"/>
      <c r="G734" s="540"/>
      <c r="H734" s="540"/>
      <c r="I734" s="540"/>
      <c r="J734" s="540"/>
      <c r="K734" s="540"/>
      <c r="L734" s="540"/>
      <c r="M734" s="540"/>
      <c r="N734" s="540"/>
      <c r="O734" s="540"/>
      <c r="P734" s="540"/>
      <c r="Q734" s="540"/>
      <c r="R734" s="540"/>
      <c r="S734" s="540"/>
      <c r="T734" s="540"/>
      <c r="U734" s="540"/>
      <c r="V734" s="540"/>
      <c r="W734" s="540"/>
      <c r="X734" s="540"/>
      <c r="Y734" s="540"/>
      <c r="Z734" s="540"/>
    </row>
    <row r="735" ht="14.25" customHeight="1">
      <c r="A735" s="540"/>
      <c r="B735" s="540"/>
      <c r="C735" s="540"/>
      <c r="D735" s="540"/>
      <c r="E735" s="540"/>
      <c r="F735" s="540"/>
      <c r="G735" s="540"/>
      <c r="H735" s="540"/>
      <c r="I735" s="540"/>
      <c r="J735" s="540"/>
      <c r="K735" s="540"/>
      <c r="L735" s="540"/>
      <c r="M735" s="540"/>
      <c r="N735" s="540"/>
      <c r="O735" s="540"/>
      <c r="P735" s="540"/>
      <c r="Q735" s="540"/>
      <c r="R735" s="540"/>
      <c r="S735" s="540"/>
      <c r="T735" s="540"/>
      <c r="U735" s="540"/>
      <c r="V735" s="540"/>
      <c r="W735" s="540"/>
      <c r="X735" s="540"/>
      <c r="Y735" s="540"/>
      <c r="Z735" s="540"/>
    </row>
    <row r="736" ht="14.25" customHeight="1">
      <c r="A736" s="540"/>
      <c r="B736" s="540"/>
      <c r="C736" s="540"/>
      <c r="D736" s="540"/>
      <c r="E736" s="540"/>
      <c r="F736" s="540"/>
      <c r="G736" s="540"/>
      <c r="H736" s="540"/>
      <c r="I736" s="540"/>
      <c r="J736" s="540"/>
      <c r="K736" s="540"/>
      <c r="L736" s="540"/>
      <c r="M736" s="540"/>
      <c r="N736" s="540"/>
      <c r="O736" s="540"/>
      <c r="P736" s="540"/>
      <c r="Q736" s="540"/>
      <c r="R736" s="540"/>
      <c r="S736" s="540"/>
      <c r="T736" s="540"/>
      <c r="U736" s="540"/>
      <c r="V736" s="540"/>
      <c r="W736" s="540"/>
      <c r="X736" s="540"/>
      <c r="Y736" s="540"/>
      <c r="Z736" s="540"/>
    </row>
    <row r="737" ht="14.25" customHeight="1">
      <c r="A737" s="540"/>
      <c r="B737" s="540"/>
      <c r="C737" s="540"/>
      <c r="D737" s="540"/>
      <c r="E737" s="540"/>
      <c r="F737" s="540"/>
      <c r="G737" s="540"/>
      <c r="H737" s="540"/>
      <c r="I737" s="540"/>
      <c r="J737" s="540"/>
      <c r="K737" s="540"/>
      <c r="L737" s="540"/>
      <c r="M737" s="540"/>
      <c r="N737" s="540"/>
      <c r="O737" s="540"/>
      <c r="P737" s="540"/>
      <c r="Q737" s="540"/>
      <c r="R737" s="540"/>
      <c r="S737" s="540"/>
      <c r="T737" s="540"/>
      <c r="U737" s="540"/>
      <c r="V737" s="540"/>
      <c r="W737" s="540"/>
      <c r="X737" s="540"/>
      <c r="Y737" s="540"/>
      <c r="Z737" s="540"/>
    </row>
    <row r="738" ht="14.25" customHeight="1">
      <c r="A738" s="540"/>
      <c r="B738" s="540"/>
      <c r="C738" s="540"/>
      <c r="D738" s="540"/>
      <c r="E738" s="540"/>
      <c r="F738" s="540"/>
      <c r="G738" s="540"/>
      <c r="H738" s="540"/>
      <c r="I738" s="540"/>
      <c r="J738" s="540"/>
      <c r="K738" s="540"/>
      <c r="L738" s="540"/>
      <c r="M738" s="540"/>
      <c r="N738" s="540"/>
      <c r="O738" s="540"/>
      <c r="P738" s="540"/>
      <c r="Q738" s="540"/>
      <c r="R738" s="540"/>
      <c r="S738" s="540"/>
      <c r="T738" s="540"/>
      <c r="U738" s="540"/>
      <c r="V738" s="540"/>
      <c r="W738" s="540"/>
      <c r="X738" s="540"/>
      <c r="Y738" s="540"/>
      <c r="Z738" s="540"/>
    </row>
    <row r="739" ht="14.25" customHeight="1">
      <c r="A739" s="540"/>
      <c r="B739" s="540"/>
      <c r="C739" s="540"/>
      <c r="D739" s="540"/>
      <c r="E739" s="540"/>
      <c r="F739" s="540"/>
      <c r="G739" s="540"/>
      <c r="H739" s="540"/>
      <c r="I739" s="540"/>
      <c r="J739" s="540"/>
      <c r="K739" s="540"/>
      <c r="L739" s="540"/>
      <c r="M739" s="540"/>
      <c r="N739" s="540"/>
      <c r="O739" s="540"/>
      <c r="P739" s="540"/>
      <c r="Q739" s="540"/>
      <c r="R739" s="540"/>
      <c r="S739" s="540"/>
      <c r="T739" s="540"/>
      <c r="U739" s="540"/>
      <c r="V739" s="540"/>
      <c r="W739" s="540"/>
      <c r="X739" s="540"/>
      <c r="Y739" s="540"/>
      <c r="Z739" s="540"/>
    </row>
    <row r="740" ht="14.25" customHeight="1">
      <c r="A740" s="540"/>
      <c r="B740" s="540"/>
      <c r="C740" s="540"/>
      <c r="D740" s="540"/>
      <c r="E740" s="540"/>
      <c r="F740" s="540"/>
      <c r="G740" s="540"/>
      <c r="H740" s="540"/>
      <c r="I740" s="540"/>
      <c r="J740" s="540"/>
      <c r="K740" s="540"/>
      <c r="L740" s="540"/>
      <c r="M740" s="540"/>
      <c r="N740" s="540"/>
      <c r="O740" s="540"/>
      <c r="P740" s="540"/>
      <c r="Q740" s="540"/>
      <c r="R740" s="540"/>
      <c r="S740" s="540"/>
      <c r="T740" s="540"/>
      <c r="U740" s="540"/>
      <c r="V740" s="540"/>
      <c r="W740" s="540"/>
      <c r="X740" s="540"/>
      <c r="Y740" s="540"/>
      <c r="Z740" s="540"/>
    </row>
    <row r="741" ht="14.25" customHeight="1">
      <c r="A741" s="540"/>
      <c r="B741" s="540"/>
      <c r="C741" s="540"/>
      <c r="D741" s="540"/>
      <c r="E741" s="540"/>
      <c r="F741" s="540"/>
      <c r="G741" s="540"/>
      <c r="H741" s="540"/>
      <c r="I741" s="540"/>
      <c r="J741" s="540"/>
      <c r="K741" s="540"/>
      <c r="L741" s="540"/>
      <c r="M741" s="540"/>
      <c r="N741" s="540"/>
      <c r="O741" s="540"/>
      <c r="P741" s="540"/>
      <c r="Q741" s="540"/>
      <c r="R741" s="540"/>
      <c r="S741" s="540"/>
      <c r="T741" s="540"/>
      <c r="U741" s="540"/>
      <c r="V741" s="540"/>
      <c r="W741" s="540"/>
      <c r="X741" s="540"/>
      <c r="Y741" s="540"/>
      <c r="Z741" s="540"/>
    </row>
    <row r="742" ht="14.25" customHeight="1">
      <c r="A742" s="540"/>
      <c r="B742" s="540"/>
      <c r="C742" s="540"/>
      <c r="D742" s="540"/>
      <c r="E742" s="540"/>
      <c r="F742" s="540"/>
      <c r="G742" s="540"/>
      <c r="H742" s="540"/>
      <c r="I742" s="540"/>
      <c r="J742" s="540"/>
      <c r="K742" s="540"/>
      <c r="L742" s="540"/>
      <c r="M742" s="540"/>
      <c r="N742" s="540"/>
      <c r="O742" s="540"/>
      <c r="P742" s="540"/>
      <c r="Q742" s="540"/>
      <c r="R742" s="540"/>
      <c r="S742" s="540"/>
      <c r="T742" s="540"/>
      <c r="U742" s="540"/>
      <c r="V742" s="540"/>
      <c r="W742" s="540"/>
      <c r="X742" s="540"/>
      <c r="Y742" s="540"/>
      <c r="Z742" s="540"/>
    </row>
    <row r="743" ht="14.25" customHeight="1">
      <c r="A743" s="540"/>
      <c r="B743" s="540"/>
      <c r="C743" s="540"/>
      <c r="D743" s="540"/>
      <c r="E743" s="540"/>
      <c r="F743" s="540"/>
      <c r="G743" s="540"/>
      <c r="H743" s="540"/>
      <c r="I743" s="540"/>
      <c r="J743" s="540"/>
      <c r="K743" s="540"/>
      <c r="L743" s="540"/>
      <c r="M743" s="540"/>
      <c r="N743" s="540"/>
      <c r="O743" s="540"/>
      <c r="P743" s="540"/>
      <c r="Q743" s="540"/>
      <c r="R743" s="540"/>
      <c r="S743" s="540"/>
      <c r="T743" s="540"/>
      <c r="U743" s="540"/>
      <c r="V743" s="540"/>
      <c r="W743" s="540"/>
      <c r="X743" s="540"/>
      <c r="Y743" s="540"/>
      <c r="Z743" s="540"/>
    </row>
    <row r="744" ht="14.25" customHeight="1">
      <c r="A744" s="540"/>
      <c r="B744" s="540"/>
      <c r="C744" s="540"/>
      <c r="D744" s="540"/>
      <c r="E744" s="540"/>
      <c r="F744" s="540"/>
      <c r="G744" s="540"/>
      <c r="H744" s="540"/>
      <c r="I744" s="540"/>
      <c r="J744" s="540"/>
      <c r="K744" s="540"/>
      <c r="L744" s="540"/>
      <c r="M744" s="540"/>
      <c r="N744" s="540"/>
      <c r="O744" s="540"/>
      <c r="P744" s="540"/>
      <c r="Q744" s="540"/>
      <c r="R744" s="540"/>
      <c r="S744" s="540"/>
      <c r="T744" s="540"/>
      <c r="U744" s="540"/>
      <c r="V744" s="540"/>
      <c r="W744" s="540"/>
      <c r="X744" s="540"/>
      <c r="Y744" s="540"/>
      <c r="Z744" s="540"/>
    </row>
    <row r="745" ht="14.25" customHeight="1">
      <c r="A745" s="540"/>
      <c r="B745" s="540"/>
      <c r="C745" s="540"/>
      <c r="D745" s="540"/>
      <c r="E745" s="540"/>
      <c r="F745" s="540"/>
      <c r="G745" s="540"/>
      <c r="H745" s="540"/>
      <c r="I745" s="540"/>
      <c r="J745" s="540"/>
      <c r="K745" s="540"/>
      <c r="L745" s="540"/>
      <c r="M745" s="540"/>
      <c r="N745" s="540"/>
      <c r="O745" s="540"/>
      <c r="P745" s="540"/>
      <c r="Q745" s="540"/>
      <c r="R745" s="540"/>
      <c r="S745" s="540"/>
      <c r="T745" s="540"/>
      <c r="U745" s="540"/>
      <c r="V745" s="540"/>
      <c r="W745" s="540"/>
      <c r="X745" s="540"/>
      <c r="Y745" s="540"/>
      <c r="Z745" s="540"/>
    </row>
    <row r="746" ht="14.25" customHeight="1">
      <c r="A746" s="540"/>
      <c r="B746" s="540"/>
      <c r="C746" s="540"/>
      <c r="D746" s="540"/>
      <c r="E746" s="540"/>
      <c r="F746" s="540"/>
      <c r="G746" s="540"/>
      <c r="H746" s="540"/>
      <c r="I746" s="540"/>
      <c r="J746" s="540"/>
      <c r="K746" s="540"/>
      <c r="L746" s="540"/>
      <c r="M746" s="540"/>
      <c r="N746" s="540"/>
      <c r="O746" s="540"/>
      <c r="P746" s="540"/>
      <c r="Q746" s="540"/>
      <c r="R746" s="540"/>
      <c r="S746" s="540"/>
      <c r="T746" s="540"/>
      <c r="U746" s="540"/>
      <c r="V746" s="540"/>
      <c r="W746" s="540"/>
      <c r="X746" s="540"/>
      <c r="Y746" s="540"/>
      <c r="Z746" s="540"/>
    </row>
    <row r="747" ht="14.25" customHeight="1">
      <c r="A747" s="540"/>
      <c r="B747" s="540"/>
      <c r="C747" s="540"/>
      <c r="D747" s="540"/>
      <c r="E747" s="540"/>
      <c r="F747" s="540"/>
      <c r="G747" s="540"/>
      <c r="H747" s="540"/>
      <c r="I747" s="540"/>
      <c r="J747" s="540"/>
      <c r="K747" s="540"/>
      <c r="L747" s="540"/>
      <c r="M747" s="540"/>
      <c r="N747" s="540"/>
      <c r="O747" s="540"/>
      <c r="P747" s="540"/>
      <c r="Q747" s="540"/>
      <c r="R747" s="540"/>
      <c r="S747" s="540"/>
      <c r="T747" s="540"/>
      <c r="U747" s="540"/>
      <c r="V747" s="540"/>
      <c r="W747" s="540"/>
      <c r="X747" s="540"/>
      <c r="Y747" s="540"/>
      <c r="Z747" s="540"/>
    </row>
    <row r="748" ht="14.25" customHeight="1">
      <c r="A748" s="540"/>
      <c r="B748" s="540"/>
      <c r="C748" s="540"/>
      <c r="D748" s="540"/>
      <c r="E748" s="540"/>
      <c r="F748" s="540"/>
      <c r="G748" s="540"/>
      <c r="H748" s="540"/>
      <c r="I748" s="540"/>
      <c r="J748" s="540"/>
      <c r="K748" s="540"/>
      <c r="L748" s="540"/>
      <c r="M748" s="540"/>
      <c r="N748" s="540"/>
      <c r="O748" s="540"/>
      <c r="P748" s="540"/>
      <c r="Q748" s="540"/>
      <c r="R748" s="540"/>
      <c r="S748" s="540"/>
      <c r="T748" s="540"/>
      <c r="U748" s="540"/>
      <c r="V748" s="540"/>
      <c r="W748" s="540"/>
      <c r="X748" s="540"/>
      <c r="Y748" s="540"/>
      <c r="Z748" s="540"/>
    </row>
    <row r="749" ht="14.25" customHeight="1">
      <c r="A749" s="540"/>
      <c r="B749" s="540"/>
      <c r="C749" s="540"/>
      <c r="D749" s="540"/>
      <c r="E749" s="540"/>
      <c r="F749" s="540"/>
      <c r="G749" s="540"/>
      <c r="H749" s="540"/>
      <c r="I749" s="540"/>
      <c r="J749" s="540"/>
      <c r="K749" s="540"/>
      <c r="L749" s="540"/>
      <c r="M749" s="540"/>
      <c r="N749" s="540"/>
      <c r="O749" s="540"/>
      <c r="P749" s="540"/>
      <c r="Q749" s="540"/>
      <c r="R749" s="540"/>
      <c r="S749" s="540"/>
      <c r="T749" s="540"/>
      <c r="U749" s="540"/>
      <c r="V749" s="540"/>
      <c r="W749" s="540"/>
      <c r="X749" s="540"/>
      <c r="Y749" s="540"/>
      <c r="Z749" s="540"/>
    </row>
    <row r="750" ht="14.25" customHeight="1">
      <c r="A750" s="540"/>
      <c r="B750" s="540"/>
      <c r="C750" s="540"/>
      <c r="D750" s="540"/>
      <c r="E750" s="540"/>
      <c r="F750" s="540"/>
      <c r="G750" s="540"/>
      <c r="H750" s="540"/>
      <c r="I750" s="540"/>
      <c r="J750" s="540"/>
      <c r="K750" s="540"/>
      <c r="L750" s="540"/>
      <c r="M750" s="540"/>
      <c r="N750" s="540"/>
      <c r="O750" s="540"/>
      <c r="P750" s="540"/>
      <c r="Q750" s="540"/>
      <c r="R750" s="540"/>
      <c r="S750" s="540"/>
      <c r="T750" s="540"/>
      <c r="U750" s="540"/>
      <c r="V750" s="540"/>
      <c r="W750" s="540"/>
      <c r="X750" s="540"/>
      <c r="Y750" s="540"/>
      <c r="Z750" s="540"/>
    </row>
    <row r="751" ht="14.25" customHeight="1">
      <c r="A751" s="540"/>
      <c r="B751" s="540"/>
      <c r="C751" s="540"/>
      <c r="D751" s="540"/>
      <c r="E751" s="540"/>
      <c r="F751" s="540"/>
      <c r="G751" s="540"/>
      <c r="H751" s="540"/>
      <c r="I751" s="540"/>
      <c r="J751" s="540"/>
      <c r="K751" s="540"/>
      <c r="L751" s="540"/>
      <c r="M751" s="540"/>
      <c r="N751" s="540"/>
      <c r="O751" s="540"/>
      <c r="P751" s="540"/>
      <c r="Q751" s="540"/>
      <c r="R751" s="540"/>
      <c r="S751" s="540"/>
      <c r="T751" s="540"/>
      <c r="U751" s="540"/>
      <c r="V751" s="540"/>
      <c r="W751" s="540"/>
      <c r="X751" s="540"/>
      <c r="Y751" s="540"/>
      <c r="Z751" s="540"/>
    </row>
    <row r="752" ht="14.25" customHeight="1">
      <c r="A752" s="540"/>
      <c r="B752" s="540"/>
      <c r="C752" s="540"/>
      <c r="D752" s="540"/>
      <c r="E752" s="540"/>
      <c r="F752" s="540"/>
      <c r="G752" s="540"/>
      <c r="H752" s="540"/>
      <c r="I752" s="540"/>
      <c r="J752" s="540"/>
      <c r="K752" s="540"/>
      <c r="L752" s="540"/>
      <c r="M752" s="540"/>
      <c r="N752" s="540"/>
      <c r="O752" s="540"/>
      <c r="P752" s="540"/>
      <c r="Q752" s="540"/>
      <c r="R752" s="540"/>
      <c r="S752" s="540"/>
      <c r="T752" s="540"/>
      <c r="U752" s="540"/>
      <c r="V752" s="540"/>
      <c r="W752" s="540"/>
      <c r="X752" s="540"/>
      <c r="Y752" s="540"/>
      <c r="Z752" s="540"/>
    </row>
    <row r="753" ht="14.25" customHeight="1">
      <c r="A753" s="540"/>
      <c r="B753" s="540"/>
      <c r="C753" s="540"/>
      <c r="D753" s="540"/>
      <c r="E753" s="540"/>
      <c r="F753" s="540"/>
      <c r="G753" s="540"/>
      <c r="H753" s="540"/>
      <c r="I753" s="540"/>
      <c r="J753" s="540"/>
      <c r="K753" s="540"/>
      <c r="L753" s="540"/>
      <c r="M753" s="540"/>
      <c r="N753" s="540"/>
      <c r="O753" s="540"/>
      <c r="P753" s="540"/>
      <c r="Q753" s="540"/>
      <c r="R753" s="540"/>
      <c r="S753" s="540"/>
      <c r="T753" s="540"/>
      <c r="U753" s="540"/>
      <c r="V753" s="540"/>
      <c r="W753" s="540"/>
      <c r="X753" s="540"/>
      <c r="Y753" s="540"/>
      <c r="Z753" s="540"/>
    </row>
    <row r="754" ht="14.25" customHeight="1">
      <c r="A754" s="540"/>
      <c r="B754" s="540"/>
      <c r="C754" s="540"/>
      <c r="D754" s="540"/>
      <c r="E754" s="540"/>
      <c r="F754" s="540"/>
      <c r="G754" s="540"/>
      <c r="H754" s="540"/>
      <c r="I754" s="540"/>
      <c r="J754" s="540"/>
      <c r="K754" s="540"/>
      <c r="L754" s="540"/>
      <c r="M754" s="540"/>
      <c r="N754" s="540"/>
      <c r="O754" s="540"/>
      <c r="P754" s="540"/>
      <c r="Q754" s="540"/>
      <c r="R754" s="540"/>
      <c r="S754" s="540"/>
      <c r="T754" s="540"/>
      <c r="U754" s="540"/>
      <c r="V754" s="540"/>
      <c r="W754" s="540"/>
      <c r="X754" s="540"/>
      <c r="Y754" s="540"/>
      <c r="Z754" s="540"/>
    </row>
    <row r="755" ht="14.25" customHeight="1">
      <c r="A755" s="540"/>
      <c r="B755" s="540"/>
      <c r="C755" s="540"/>
      <c r="D755" s="540"/>
      <c r="E755" s="540"/>
      <c r="F755" s="540"/>
      <c r="G755" s="540"/>
      <c r="H755" s="540"/>
      <c r="I755" s="540"/>
      <c r="J755" s="540"/>
      <c r="K755" s="540"/>
      <c r="L755" s="540"/>
      <c r="M755" s="540"/>
      <c r="N755" s="540"/>
      <c r="O755" s="540"/>
      <c r="P755" s="540"/>
      <c r="Q755" s="540"/>
      <c r="R755" s="540"/>
      <c r="S755" s="540"/>
      <c r="T755" s="540"/>
      <c r="U755" s="540"/>
      <c r="V755" s="540"/>
      <c r="W755" s="540"/>
      <c r="X755" s="540"/>
      <c r="Y755" s="540"/>
      <c r="Z755" s="540"/>
    </row>
    <row r="756" ht="14.25" customHeight="1">
      <c r="A756" s="540"/>
      <c r="B756" s="540"/>
      <c r="C756" s="540"/>
      <c r="D756" s="540"/>
      <c r="E756" s="540"/>
      <c r="F756" s="540"/>
      <c r="G756" s="540"/>
      <c r="H756" s="540"/>
      <c r="I756" s="540"/>
      <c r="J756" s="540"/>
      <c r="K756" s="540"/>
      <c r="L756" s="540"/>
      <c r="M756" s="540"/>
      <c r="N756" s="540"/>
      <c r="O756" s="540"/>
      <c r="P756" s="540"/>
      <c r="Q756" s="540"/>
      <c r="R756" s="540"/>
      <c r="S756" s="540"/>
      <c r="T756" s="540"/>
      <c r="U756" s="540"/>
      <c r="V756" s="540"/>
      <c r="W756" s="540"/>
      <c r="X756" s="540"/>
      <c r="Y756" s="540"/>
      <c r="Z756" s="540"/>
    </row>
    <row r="757" ht="14.25" customHeight="1">
      <c r="A757" s="540"/>
      <c r="B757" s="540"/>
      <c r="C757" s="540"/>
      <c r="D757" s="540"/>
      <c r="E757" s="540"/>
      <c r="F757" s="540"/>
      <c r="G757" s="540"/>
      <c r="H757" s="540"/>
      <c r="I757" s="540"/>
      <c r="J757" s="540"/>
      <c r="K757" s="540"/>
      <c r="L757" s="540"/>
      <c r="M757" s="540"/>
      <c r="N757" s="540"/>
      <c r="O757" s="540"/>
      <c r="P757" s="540"/>
      <c r="Q757" s="540"/>
      <c r="R757" s="540"/>
      <c r="S757" s="540"/>
      <c r="T757" s="540"/>
      <c r="U757" s="540"/>
      <c r="V757" s="540"/>
      <c r="W757" s="540"/>
      <c r="X757" s="540"/>
      <c r="Y757" s="540"/>
      <c r="Z757" s="540"/>
    </row>
    <row r="758" ht="14.25" customHeight="1">
      <c r="A758" s="540"/>
      <c r="B758" s="540"/>
      <c r="C758" s="540"/>
      <c r="D758" s="540"/>
      <c r="E758" s="540"/>
      <c r="F758" s="540"/>
      <c r="G758" s="540"/>
      <c r="H758" s="540"/>
      <c r="I758" s="540"/>
      <c r="J758" s="540"/>
      <c r="K758" s="540"/>
      <c r="L758" s="540"/>
      <c r="M758" s="540"/>
      <c r="N758" s="540"/>
      <c r="O758" s="540"/>
      <c r="P758" s="540"/>
      <c r="Q758" s="540"/>
      <c r="R758" s="540"/>
      <c r="S758" s="540"/>
      <c r="T758" s="540"/>
      <c r="U758" s="540"/>
      <c r="V758" s="540"/>
      <c r="W758" s="540"/>
      <c r="X758" s="540"/>
      <c r="Y758" s="540"/>
      <c r="Z758" s="540"/>
    </row>
    <row r="759" ht="14.25" customHeight="1">
      <c r="A759" s="540"/>
      <c r="B759" s="540"/>
      <c r="C759" s="540"/>
      <c r="D759" s="540"/>
      <c r="E759" s="540"/>
      <c r="F759" s="540"/>
      <c r="G759" s="540"/>
      <c r="H759" s="540"/>
      <c r="I759" s="540"/>
      <c r="J759" s="540"/>
      <c r="K759" s="540"/>
      <c r="L759" s="540"/>
      <c r="M759" s="540"/>
      <c r="N759" s="540"/>
      <c r="O759" s="540"/>
      <c r="P759" s="540"/>
      <c r="Q759" s="540"/>
      <c r="R759" s="540"/>
      <c r="S759" s="540"/>
      <c r="T759" s="540"/>
      <c r="U759" s="540"/>
      <c r="V759" s="540"/>
      <c r="W759" s="540"/>
      <c r="X759" s="540"/>
      <c r="Y759" s="540"/>
      <c r="Z759" s="540"/>
    </row>
    <row r="760" ht="14.25" customHeight="1">
      <c r="A760" s="540"/>
      <c r="B760" s="540"/>
      <c r="C760" s="540"/>
      <c r="D760" s="540"/>
      <c r="E760" s="540"/>
      <c r="F760" s="540"/>
      <c r="G760" s="540"/>
      <c r="H760" s="540"/>
      <c r="I760" s="540"/>
      <c r="J760" s="540"/>
      <c r="K760" s="540"/>
      <c r="L760" s="540"/>
      <c r="M760" s="540"/>
      <c r="N760" s="540"/>
      <c r="O760" s="540"/>
      <c r="P760" s="540"/>
      <c r="Q760" s="540"/>
      <c r="R760" s="540"/>
      <c r="S760" s="540"/>
      <c r="T760" s="540"/>
      <c r="U760" s="540"/>
      <c r="V760" s="540"/>
      <c r="W760" s="540"/>
      <c r="X760" s="540"/>
      <c r="Y760" s="540"/>
      <c r="Z760" s="540"/>
    </row>
    <row r="761" ht="14.25" customHeight="1">
      <c r="A761" s="540"/>
      <c r="B761" s="540"/>
      <c r="C761" s="540"/>
      <c r="D761" s="540"/>
      <c r="E761" s="540"/>
      <c r="F761" s="540"/>
      <c r="G761" s="540"/>
      <c r="H761" s="540"/>
      <c r="I761" s="540"/>
      <c r="J761" s="540"/>
      <c r="K761" s="540"/>
      <c r="L761" s="540"/>
      <c r="M761" s="540"/>
      <c r="N761" s="540"/>
      <c r="O761" s="540"/>
      <c r="P761" s="540"/>
      <c r="Q761" s="540"/>
      <c r="R761" s="540"/>
      <c r="S761" s="540"/>
      <c r="T761" s="540"/>
      <c r="U761" s="540"/>
      <c r="V761" s="540"/>
      <c r="W761" s="540"/>
      <c r="X761" s="540"/>
      <c r="Y761" s="540"/>
      <c r="Z761" s="540"/>
    </row>
    <row r="762" ht="14.25" customHeight="1">
      <c r="A762" s="540"/>
      <c r="B762" s="540"/>
      <c r="C762" s="540"/>
      <c r="D762" s="540"/>
      <c r="E762" s="540"/>
      <c r="F762" s="540"/>
      <c r="G762" s="540"/>
      <c r="H762" s="540"/>
      <c r="I762" s="540"/>
      <c r="J762" s="540"/>
      <c r="K762" s="540"/>
      <c r="L762" s="540"/>
      <c r="M762" s="540"/>
      <c r="N762" s="540"/>
      <c r="O762" s="540"/>
      <c r="P762" s="540"/>
      <c r="Q762" s="540"/>
      <c r="R762" s="540"/>
      <c r="S762" s="540"/>
      <c r="T762" s="540"/>
      <c r="U762" s="540"/>
      <c r="V762" s="540"/>
      <c r="W762" s="540"/>
      <c r="X762" s="540"/>
      <c r="Y762" s="540"/>
      <c r="Z762" s="540"/>
    </row>
    <row r="763" ht="14.25" customHeight="1">
      <c r="A763" s="540"/>
      <c r="B763" s="540"/>
      <c r="C763" s="540"/>
      <c r="D763" s="540"/>
      <c r="E763" s="540"/>
      <c r="F763" s="540"/>
      <c r="G763" s="540"/>
      <c r="H763" s="540"/>
      <c r="I763" s="540"/>
      <c r="J763" s="540"/>
      <c r="K763" s="540"/>
      <c r="L763" s="540"/>
      <c r="M763" s="540"/>
      <c r="N763" s="540"/>
      <c r="O763" s="540"/>
      <c r="P763" s="540"/>
      <c r="Q763" s="540"/>
      <c r="R763" s="540"/>
      <c r="S763" s="540"/>
      <c r="T763" s="540"/>
      <c r="U763" s="540"/>
      <c r="V763" s="540"/>
      <c r="W763" s="540"/>
      <c r="X763" s="540"/>
      <c r="Y763" s="540"/>
      <c r="Z763" s="540"/>
    </row>
    <row r="764" ht="14.25" customHeight="1">
      <c r="A764" s="540"/>
      <c r="B764" s="540"/>
      <c r="C764" s="540"/>
      <c r="D764" s="540"/>
      <c r="E764" s="540"/>
      <c r="F764" s="540"/>
      <c r="G764" s="540"/>
      <c r="H764" s="540"/>
      <c r="I764" s="540"/>
      <c r="J764" s="540"/>
      <c r="K764" s="540"/>
      <c r="L764" s="540"/>
      <c r="M764" s="540"/>
      <c r="N764" s="540"/>
      <c r="O764" s="540"/>
      <c r="P764" s="540"/>
      <c r="Q764" s="540"/>
      <c r="R764" s="540"/>
      <c r="S764" s="540"/>
      <c r="T764" s="540"/>
      <c r="U764" s="540"/>
      <c r="V764" s="540"/>
      <c r="W764" s="540"/>
      <c r="X764" s="540"/>
      <c r="Y764" s="540"/>
      <c r="Z764" s="540"/>
    </row>
    <row r="765" ht="14.25" customHeight="1">
      <c r="A765" s="540"/>
      <c r="B765" s="540"/>
      <c r="C765" s="540"/>
      <c r="D765" s="540"/>
      <c r="E765" s="540"/>
      <c r="F765" s="540"/>
      <c r="G765" s="540"/>
      <c r="H765" s="540"/>
      <c r="I765" s="540"/>
      <c r="J765" s="540"/>
      <c r="K765" s="540"/>
      <c r="L765" s="540"/>
      <c r="M765" s="540"/>
      <c r="N765" s="540"/>
      <c r="O765" s="540"/>
      <c r="P765" s="540"/>
      <c r="Q765" s="540"/>
      <c r="R765" s="540"/>
      <c r="S765" s="540"/>
      <c r="T765" s="540"/>
      <c r="U765" s="540"/>
      <c r="V765" s="540"/>
      <c r="W765" s="540"/>
      <c r="X765" s="540"/>
      <c r="Y765" s="540"/>
      <c r="Z765" s="540"/>
    </row>
    <row r="766" ht="14.25" customHeight="1">
      <c r="A766" s="540"/>
      <c r="B766" s="540"/>
      <c r="C766" s="540"/>
      <c r="D766" s="540"/>
      <c r="E766" s="540"/>
      <c r="F766" s="540"/>
      <c r="G766" s="540"/>
      <c r="H766" s="540"/>
      <c r="I766" s="540"/>
      <c r="J766" s="540"/>
      <c r="K766" s="540"/>
      <c r="L766" s="540"/>
      <c r="M766" s="540"/>
      <c r="N766" s="540"/>
      <c r="O766" s="540"/>
      <c r="P766" s="540"/>
      <c r="Q766" s="540"/>
      <c r="R766" s="540"/>
      <c r="S766" s="540"/>
      <c r="T766" s="540"/>
      <c r="U766" s="540"/>
      <c r="V766" s="540"/>
      <c r="W766" s="540"/>
      <c r="X766" s="540"/>
      <c r="Y766" s="540"/>
      <c r="Z766" s="540"/>
    </row>
    <row r="767" ht="14.25" customHeight="1">
      <c r="A767" s="540"/>
      <c r="B767" s="540"/>
      <c r="C767" s="540"/>
      <c r="D767" s="540"/>
      <c r="E767" s="540"/>
      <c r="F767" s="540"/>
      <c r="G767" s="540"/>
      <c r="H767" s="540"/>
      <c r="I767" s="540"/>
      <c r="J767" s="540"/>
      <c r="K767" s="540"/>
      <c r="L767" s="540"/>
      <c r="M767" s="540"/>
      <c r="N767" s="540"/>
      <c r="O767" s="540"/>
      <c r="P767" s="540"/>
      <c r="Q767" s="540"/>
      <c r="R767" s="540"/>
      <c r="S767" s="540"/>
      <c r="T767" s="540"/>
      <c r="U767" s="540"/>
      <c r="V767" s="540"/>
      <c r="W767" s="540"/>
      <c r="X767" s="540"/>
      <c r="Y767" s="540"/>
      <c r="Z767" s="540"/>
    </row>
    <row r="768" ht="14.25" customHeight="1">
      <c r="A768" s="540"/>
      <c r="B768" s="540"/>
      <c r="C768" s="540"/>
      <c r="D768" s="540"/>
      <c r="E768" s="540"/>
      <c r="F768" s="540"/>
      <c r="G768" s="540"/>
      <c r="H768" s="540"/>
      <c r="I768" s="540"/>
      <c r="J768" s="540"/>
      <c r="K768" s="540"/>
      <c r="L768" s="540"/>
      <c r="M768" s="540"/>
      <c r="N768" s="540"/>
      <c r="O768" s="540"/>
      <c r="P768" s="540"/>
      <c r="Q768" s="540"/>
      <c r="R768" s="540"/>
      <c r="S768" s="540"/>
      <c r="T768" s="540"/>
      <c r="U768" s="540"/>
      <c r="V768" s="540"/>
      <c r="W768" s="540"/>
      <c r="X768" s="540"/>
      <c r="Y768" s="540"/>
      <c r="Z768" s="540"/>
    </row>
    <row r="769" ht="14.25" customHeight="1">
      <c r="A769" s="540"/>
      <c r="B769" s="540"/>
      <c r="C769" s="540"/>
      <c r="D769" s="540"/>
      <c r="E769" s="540"/>
      <c r="F769" s="540"/>
      <c r="G769" s="540"/>
      <c r="H769" s="540"/>
      <c r="I769" s="540"/>
      <c r="J769" s="540"/>
      <c r="K769" s="540"/>
      <c r="L769" s="540"/>
      <c r="M769" s="540"/>
      <c r="N769" s="540"/>
      <c r="O769" s="540"/>
      <c r="P769" s="540"/>
      <c r="Q769" s="540"/>
      <c r="R769" s="540"/>
      <c r="S769" s="540"/>
      <c r="T769" s="540"/>
      <c r="U769" s="540"/>
      <c r="V769" s="540"/>
      <c r="W769" s="540"/>
      <c r="X769" s="540"/>
      <c r="Y769" s="540"/>
      <c r="Z769" s="540"/>
    </row>
    <row r="770" ht="14.25" customHeight="1">
      <c r="A770" s="540"/>
      <c r="B770" s="540"/>
      <c r="C770" s="540"/>
      <c r="D770" s="540"/>
      <c r="E770" s="540"/>
      <c r="F770" s="540"/>
      <c r="G770" s="540"/>
      <c r="H770" s="540"/>
      <c r="I770" s="540"/>
      <c r="J770" s="540"/>
      <c r="K770" s="540"/>
      <c r="L770" s="540"/>
      <c r="M770" s="540"/>
      <c r="N770" s="540"/>
      <c r="O770" s="540"/>
      <c r="P770" s="540"/>
      <c r="Q770" s="540"/>
      <c r="R770" s="540"/>
      <c r="S770" s="540"/>
      <c r="T770" s="540"/>
      <c r="U770" s="540"/>
      <c r="V770" s="540"/>
      <c r="W770" s="540"/>
      <c r="X770" s="540"/>
      <c r="Y770" s="540"/>
      <c r="Z770" s="540"/>
    </row>
    <row r="771" ht="14.25" customHeight="1">
      <c r="A771" s="540"/>
      <c r="B771" s="540"/>
      <c r="C771" s="540"/>
      <c r="D771" s="540"/>
      <c r="E771" s="540"/>
      <c r="F771" s="540"/>
      <c r="G771" s="540"/>
      <c r="H771" s="540"/>
      <c r="I771" s="540"/>
      <c r="J771" s="540"/>
      <c r="K771" s="540"/>
      <c r="L771" s="540"/>
      <c r="M771" s="540"/>
      <c r="N771" s="540"/>
      <c r="O771" s="540"/>
      <c r="P771" s="540"/>
      <c r="Q771" s="540"/>
      <c r="R771" s="540"/>
      <c r="S771" s="540"/>
      <c r="T771" s="540"/>
      <c r="U771" s="540"/>
      <c r="V771" s="540"/>
      <c r="W771" s="540"/>
      <c r="X771" s="540"/>
      <c r="Y771" s="540"/>
      <c r="Z771" s="540"/>
    </row>
    <row r="772" ht="14.25" customHeight="1">
      <c r="A772" s="540"/>
      <c r="B772" s="540"/>
      <c r="C772" s="540"/>
      <c r="D772" s="540"/>
      <c r="E772" s="540"/>
      <c r="F772" s="540"/>
      <c r="G772" s="540"/>
      <c r="H772" s="540"/>
      <c r="I772" s="540"/>
      <c r="J772" s="540"/>
      <c r="K772" s="540"/>
      <c r="L772" s="540"/>
      <c r="M772" s="540"/>
      <c r="N772" s="540"/>
      <c r="O772" s="540"/>
      <c r="P772" s="540"/>
      <c r="Q772" s="540"/>
      <c r="R772" s="540"/>
      <c r="S772" s="540"/>
      <c r="T772" s="540"/>
      <c r="U772" s="540"/>
      <c r="V772" s="540"/>
      <c r="W772" s="540"/>
      <c r="X772" s="540"/>
      <c r="Y772" s="540"/>
      <c r="Z772" s="540"/>
    </row>
    <row r="773" ht="14.25" customHeight="1">
      <c r="A773" s="540"/>
      <c r="B773" s="540"/>
      <c r="C773" s="540"/>
      <c r="D773" s="540"/>
      <c r="E773" s="540"/>
      <c r="F773" s="540"/>
      <c r="G773" s="540"/>
      <c r="H773" s="540"/>
      <c r="I773" s="540"/>
      <c r="J773" s="540"/>
      <c r="K773" s="540"/>
      <c r="L773" s="540"/>
      <c r="M773" s="540"/>
      <c r="N773" s="540"/>
      <c r="O773" s="540"/>
      <c r="P773" s="540"/>
      <c r="Q773" s="540"/>
      <c r="R773" s="540"/>
      <c r="S773" s="540"/>
      <c r="T773" s="540"/>
      <c r="U773" s="540"/>
      <c r="V773" s="540"/>
      <c r="W773" s="540"/>
      <c r="X773" s="540"/>
      <c r="Y773" s="540"/>
      <c r="Z773" s="540"/>
    </row>
    <row r="774" ht="14.25" customHeight="1">
      <c r="A774" s="540"/>
      <c r="B774" s="540"/>
      <c r="C774" s="540"/>
      <c r="D774" s="540"/>
      <c r="E774" s="540"/>
      <c r="F774" s="540"/>
      <c r="G774" s="540"/>
      <c r="H774" s="540"/>
      <c r="I774" s="540"/>
      <c r="J774" s="540"/>
      <c r="K774" s="540"/>
      <c r="L774" s="540"/>
      <c r="M774" s="540"/>
      <c r="N774" s="540"/>
      <c r="O774" s="540"/>
      <c r="P774" s="540"/>
      <c r="Q774" s="540"/>
      <c r="R774" s="540"/>
      <c r="S774" s="540"/>
      <c r="T774" s="540"/>
      <c r="U774" s="540"/>
      <c r="V774" s="540"/>
      <c r="W774" s="540"/>
      <c r="X774" s="540"/>
      <c r="Y774" s="540"/>
      <c r="Z774" s="540"/>
    </row>
    <row r="775" ht="14.25" customHeight="1">
      <c r="A775" s="540"/>
      <c r="B775" s="540"/>
      <c r="C775" s="540"/>
      <c r="D775" s="540"/>
      <c r="E775" s="540"/>
      <c r="F775" s="540"/>
      <c r="G775" s="540"/>
      <c r="H775" s="540"/>
      <c r="I775" s="540"/>
      <c r="J775" s="540"/>
      <c r="K775" s="540"/>
      <c r="L775" s="540"/>
      <c r="M775" s="540"/>
      <c r="N775" s="540"/>
      <c r="O775" s="540"/>
      <c r="P775" s="540"/>
      <c r="Q775" s="540"/>
      <c r="R775" s="540"/>
      <c r="S775" s="540"/>
      <c r="T775" s="540"/>
      <c r="U775" s="540"/>
      <c r="V775" s="540"/>
      <c r="W775" s="540"/>
      <c r="X775" s="540"/>
      <c r="Y775" s="540"/>
      <c r="Z775" s="540"/>
    </row>
    <row r="776" ht="14.25" customHeight="1">
      <c r="A776" s="540"/>
      <c r="B776" s="540"/>
      <c r="C776" s="540"/>
      <c r="D776" s="540"/>
      <c r="E776" s="540"/>
      <c r="F776" s="540"/>
      <c r="G776" s="540"/>
      <c r="H776" s="540"/>
      <c r="I776" s="540"/>
      <c r="J776" s="540"/>
      <c r="K776" s="540"/>
      <c r="L776" s="540"/>
      <c r="M776" s="540"/>
      <c r="N776" s="540"/>
      <c r="O776" s="540"/>
      <c r="P776" s="540"/>
      <c r="Q776" s="540"/>
      <c r="R776" s="540"/>
      <c r="S776" s="540"/>
      <c r="T776" s="540"/>
      <c r="U776" s="540"/>
      <c r="V776" s="540"/>
      <c r="W776" s="540"/>
      <c r="X776" s="540"/>
      <c r="Y776" s="540"/>
      <c r="Z776" s="540"/>
    </row>
    <row r="777" ht="14.25" customHeight="1">
      <c r="A777" s="540"/>
      <c r="B777" s="540"/>
      <c r="C777" s="540"/>
      <c r="D777" s="540"/>
      <c r="E777" s="540"/>
      <c r="F777" s="540"/>
      <c r="G777" s="540"/>
      <c r="H777" s="540"/>
      <c r="I777" s="540"/>
      <c r="J777" s="540"/>
      <c r="K777" s="540"/>
      <c r="L777" s="540"/>
      <c r="M777" s="540"/>
      <c r="N777" s="540"/>
      <c r="O777" s="540"/>
      <c r="P777" s="540"/>
      <c r="Q777" s="540"/>
      <c r="R777" s="540"/>
      <c r="S777" s="540"/>
      <c r="T777" s="540"/>
      <c r="U777" s="540"/>
      <c r="V777" s="540"/>
      <c r="W777" s="540"/>
      <c r="X777" s="540"/>
      <c r="Y777" s="540"/>
      <c r="Z777" s="540"/>
    </row>
    <row r="778" ht="14.25" customHeight="1">
      <c r="A778" s="540"/>
      <c r="B778" s="540"/>
      <c r="C778" s="540"/>
      <c r="D778" s="540"/>
      <c r="E778" s="540"/>
      <c r="F778" s="540"/>
      <c r="G778" s="540"/>
      <c r="H778" s="540"/>
      <c r="I778" s="540"/>
      <c r="J778" s="540"/>
      <c r="K778" s="540"/>
      <c r="L778" s="540"/>
      <c r="M778" s="540"/>
      <c r="N778" s="540"/>
      <c r="O778" s="540"/>
      <c r="P778" s="540"/>
      <c r="Q778" s="540"/>
      <c r="R778" s="540"/>
      <c r="S778" s="540"/>
      <c r="T778" s="540"/>
      <c r="U778" s="540"/>
      <c r="V778" s="540"/>
      <c r="W778" s="540"/>
      <c r="X778" s="540"/>
      <c r="Y778" s="540"/>
      <c r="Z778" s="540"/>
    </row>
    <row r="779" ht="14.25" customHeight="1">
      <c r="A779" s="540"/>
      <c r="B779" s="540"/>
      <c r="C779" s="540"/>
      <c r="D779" s="540"/>
      <c r="E779" s="540"/>
      <c r="F779" s="540"/>
      <c r="G779" s="540"/>
      <c r="H779" s="540"/>
      <c r="I779" s="540"/>
      <c r="J779" s="540"/>
      <c r="K779" s="540"/>
      <c r="L779" s="540"/>
      <c r="M779" s="540"/>
      <c r="N779" s="540"/>
      <c r="O779" s="540"/>
      <c r="P779" s="540"/>
      <c r="Q779" s="540"/>
      <c r="R779" s="540"/>
      <c r="S779" s="540"/>
      <c r="T779" s="540"/>
      <c r="U779" s="540"/>
      <c r="V779" s="540"/>
      <c r="W779" s="540"/>
      <c r="X779" s="540"/>
      <c r="Y779" s="540"/>
      <c r="Z779" s="540"/>
    </row>
    <row r="780" ht="14.25" customHeight="1">
      <c r="A780" s="540"/>
      <c r="B780" s="540"/>
      <c r="C780" s="540"/>
      <c r="D780" s="540"/>
      <c r="E780" s="540"/>
      <c r="F780" s="540"/>
      <c r="G780" s="540"/>
      <c r="H780" s="540"/>
      <c r="I780" s="540"/>
      <c r="J780" s="540"/>
      <c r="K780" s="540"/>
      <c r="L780" s="540"/>
      <c r="M780" s="540"/>
      <c r="N780" s="540"/>
      <c r="O780" s="540"/>
      <c r="P780" s="540"/>
      <c r="Q780" s="540"/>
      <c r="R780" s="540"/>
      <c r="S780" s="540"/>
      <c r="T780" s="540"/>
      <c r="U780" s="540"/>
      <c r="V780" s="540"/>
      <c r="W780" s="540"/>
      <c r="X780" s="540"/>
      <c r="Y780" s="540"/>
      <c r="Z780" s="540"/>
    </row>
    <row r="781" ht="14.25" customHeight="1">
      <c r="A781" s="540"/>
      <c r="B781" s="540"/>
      <c r="C781" s="540"/>
      <c r="D781" s="540"/>
      <c r="E781" s="540"/>
      <c r="F781" s="540"/>
      <c r="G781" s="540"/>
      <c r="H781" s="540"/>
      <c r="I781" s="540"/>
      <c r="J781" s="540"/>
      <c r="K781" s="540"/>
      <c r="L781" s="540"/>
      <c r="M781" s="540"/>
      <c r="N781" s="540"/>
      <c r="O781" s="540"/>
      <c r="P781" s="540"/>
      <c r="Q781" s="540"/>
      <c r="R781" s="540"/>
      <c r="S781" s="540"/>
      <c r="T781" s="540"/>
      <c r="U781" s="540"/>
      <c r="V781" s="540"/>
      <c r="W781" s="540"/>
      <c r="X781" s="540"/>
      <c r="Y781" s="540"/>
      <c r="Z781" s="540"/>
    </row>
    <row r="782" ht="14.25" customHeight="1">
      <c r="A782" s="540"/>
      <c r="B782" s="540"/>
      <c r="C782" s="540"/>
      <c r="D782" s="540"/>
      <c r="E782" s="540"/>
      <c r="F782" s="540"/>
      <c r="G782" s="540"/>
      <c r="H782" s="540"/>
      <c r="I782" s="540"/>
      <c r="J782" s="540"/>
      <c r="K782" s="540"/>
      <c r="L782" s="540"/>
      <c r="M782" s="540"/>
      <c r="N782" s="540"/>
      <c r="O782" s="540"/>
      <c r="P782" s="540"/>
      <c r="Q782" s="540"/>
      <c r="R782" s="540"/>
      <c r="S782" s="540"/>
      <c r="T782" s="540"/>
      <c r="U782" s="540"/>
      <c r="V782" s="540"/>
      <c r="W782" s="540"/>
      <c r="X782" s="540"/>
      <c r="Y782" s="540"/>
      <c r="Z782" s="540"/>
    </row>
    <row r="783" ht="14.25" customHeight="1">
      <c r="A783" s="540"/>
      <c r="B783" s="540"/>
      <c r="C783" s="540"/>
      <c r="D783" s="540"/>
      <c r="E783" s="540"/>
      <c r="F783" s="540"/>
      <c r="G783" s="540"/>
      <c r="H783" s="540"/>
      <c r="I783" s="540"/>
      <c r="J783" s="540"/>
      <c r="K783" s="540"/>
      <c r="L783" s="540"/>
      <c r="M783" s="540"/>
      <c r="N783" s="540"/>
      <c r="O783" s="540"/>
      <c r="P783" s="540"/>
      <c r="Q783" s="540"/>
      <c r="R783" s="540"/>
      <c r="S783" s="540"/>
      <c r="T783" s="540"/>
      <c r="U783" s="540"/>
      <c r="V783" s="540"/>
      <c r="W783" s="540"/>
      <c r="X783" s="540"/>
      <c r="Y783" s="540"/>
      <c r="Z783" s="540"/>
    </row>
    <row r="784" ht="14.25" customHeight="1">
      <c r="A784" s="540"/>
      <c r="B784" s="540"/>
      <c r="C784" s="540"/>
      <c r="D784" s="540"/>
      <c r="E784" s="540"/>
      <c r="F784" s="540"/>
      <c r="G784" s="540"/>
      <c r="H784" s="540"/>
      <c r="I784" s="540"/>
      <c r="J784" s="540"/>
      <c r="K784" s="540"/>
      <c r="L784" s="540"/>
      <c r="M784" s="540"/>
      <c r="N784" s="540"/>
      <c r="O784" s="540"/>
      <c r="P784" s="540"/>
      <c r="Q784" s="540"/>
      <c r="R784" s="540"/>
      <c r="S784" s="540"/>
      <c r="T784" s="540"/>
      <c r="U784" s="540"/>
      <c r="V784" s="540"/>
      <c r="W784" s="540"/>
      <c r="X784" s="540"/>
      <c r="Y784" s="540"/>
      <c r="Z784" s="540"/>
    </row>
    <row r="785" ht="14.25" customHeight="1">
      <c r="A785" s="540"/>
      <c r="B785" s="540"/>
      <c r="C785" s="540"/>
      <c r="D785" s="540"/>
      <c r="E785" s="540"/>
      <c r="F785" s="540"/>
      <c r="G785" s="540"/>
      <c r="H785" s="540"/>
      <c r="I785" s="540"/>
      <c r="J785" s="540"/>
      <c r="K785" s="540"/>
      <c r="L785" s="540"/>
      <c r="M785" s="540"/>
      <c r="N785" s="540"/>
      <c r="O785" s="540"/>
      <c r="P785" s="540"/>
      <c r="Q785" s="540"/>
      <c r="R785" s="540"/>
      <c r="S785" s="540"/>
      <c r="T785" s="540"/>
      <c r="U785" s="540"/>
      <c r="V785" s="540"/>
      <c r="W785" s="540"/>
      <c r="X785" s="540"/>
      <c r="Y785" s="540"/>
      <c r="Z785" s="540"/>
    </row>
    <row r="786" ht="14.25" customHeight="1">
      <c r="A786" s="540"/>
      <c r="B786" s="540"/>
      <c r="C786" s="540"/>
      <c r="D786" s="540"/>
      <c r="E786" s="540"/>
      <c r="F786" s="540"/>
      <c r="G786" s="540"/>
      <c r="H786" s="540"/>
      <c r="I786" s="540"/>
      <c r="J786" s="540"/>
      <c r="K786" s="540"/>
      <c r="L786" s="540"/>
      <c r="M786" s="540"/>
      <c r="N786" s="540"/>
      <c r="O786" s="540"/>
      <c r="P786" s="540"/>
      <c r="Q786" s="540"/>
      <c r="R786" s="540"/>
      <c r="S786" s="540"/>
      <c r="T786" s="540"/>
      <c r="U786" s="540"/>
      <c r="V786" s="540"/>
      <c r="W786" s="540"/>
      <c r="X786" s="540"/>
      <c r="Y786" s="540"/>
      <c r="Z786" s="540"/>
    </row>
    <row r="787" ht="14.25" customHeight="1">
      <c r="A787" s="540"/>
      <c r="B787" s="540"/>
      <c r="C787" s="540"/>
      <c r="D787" s="540"/>
      <c r="E787" s="540"/>
      <c r="F787" s="540"/>
      <c r="G787" s="540"/>
      <c r="H787" s="540"/>
      <c r="I787" s="540"/>
      <c r="J787" s="540"/>
      <c r="K787" s="540"/>
      <c r="L787" s="540"/>
      <c r="M787" s="540"/>
      <c r="N787" s="540"/>
      <c r="O787" s="540"/>
      <c r="P787" s="540"/>
      <c r="Q787" s="540"/>
      <c r="R787" s="540"/>
      <c r="S787" s="540"/>
      <c r="T787" s="540"/>
      <c r="U787" s="540"/>
      <c r="V787" s="540"/>
      <c r="W787" s="540"/>
      <c r="X787" s="540"/>
      <c r="Y787" s="540"/>
      <c r="Z787" s="540"/>
    </row>
    <row r="788" ht="14.25" customHeight="1">
      <c r="A788" s="540"/>
      <c r="B788" s="540"/>
      <c r="C788" s="540"/>
      <c r="D788" s="540"/>
      <c r="E788" s="540"/>
      <c r="F788" s="540"/>
      <c r="G788" s="540"/>
      <c r="H788" s="540"/>
      <c r="I788" s="540"/>
      <c r="J788" s="540"/>
      <c r="K788" s="540"/>
      <c r="L788" s="540"/>
      <c r="M788" s="540"/>
      <c r="N788" s="540"/>
      <c r="O788" s="540"/>
      <c r="P788" s="540"/>
      <c r="Q788" s="540"/>
      <c r="R788" s="540"/>
      <c r="S788" s="540"/>
      <c r="T788" s="540"/>
      <c r="U788" s="540"/>
      <c r="V788" s="540"/>
      <c r="W788" s="540"/>
      <c r="X788" s="540"/>
      <c r="Y788" s="540"/>
      <c r="Z788" s="540"/>
    </row>
    <row r="789" ht="14.25" customHeight="1">
      <c r="A789" s="540"/>
      <c r="B789" s="540"/>
      <c r="C789" s="540"/>
      <c r="D789" s="540"/>
      <c r="E789" s="540"/>
      <c r="F789" s="540"/>
      <c r="G789" s="540"/>
      <c r="H789" s="540"/>
      <c r="I789" s="540"/>
      <c r="J789" s="540"/>
      <c r="K789" s="540"/>
      <c r="L789" s="540"/>
      <c r="M789" s="540"/>
      <c r="N789" s="540"/>
      <c r="O789" s="540"/>
      <c r="P789" s="540"/>
      <c r="Q789" s="540"/>
      <c r="R789" s="540"/>
      <c r="S789" s="540"/>
      <c r="T789" s="540"/>
      <c r="U789" s="540"/>
      <c r="V789" s="540"/>
      <c r="W789" s="540"/>
      <c r="X789" s="540"/>
      <c r="Y789" s="540"/>
      <c r="Z789" s="540"/>
    </row>
    <row r="790" ht="14.25" customHeight="1">
      <c r="A790" s="540"/>
      <c r="B790" s="540"/>
      <c r="C790" s="540"/>
      <c r="D790" s="540"/>
      <c r="E790" s="540"/>
      <c r="F790" s="540"/>
      <c r="G790" s="540"/>
      <c r="H790" s="540"/>
      <c r="I790" s="540"/>
      <c r="J790" s="540"/>
      <c r="K790" s="540"/>
      <c r="L790" s="540"/>
      <c r="M790" s="540"/>
      <c r="N790" s="540"/>
      <c r="O790" s="540"/>
      <c r="P790" s="540"/>
      <c r="Q790" s="540"/>
      <c r="R790" s="540"/>
      <c r="S790" s="540"/>
      <c r="T790" s="540"/>
      <c r="U790" s="540"/>
      <c r="V790" s="540"/>
      <c r="W790" s="540"/>
      <c r="X790" s="540"/>
      <c r="Y790" s="540"/>
      <c r="Z790" s="540"/>
    </row>
    <row r="791" ht="14.25" customHeight="1">
      <c r="A791" s="540"/>
      <c r="B791" s="540"/>
      <c r="C791" s="540"/>
      <c r="D791" s="540"/>
      <c r="E791" s="540"/>
      <c r="F791" s="540"/>
      <c r="G791" s="540"/>
      <c r="H791" s="540"/>
      <c r="I791" s="540"/>
      <c r="J791" s="540"/>
      <c r="K791" s="540"/>
      <c r="L791" s="540"/>
      <c r="M791" s="540"/>
      <c r="N791" s="540"/>
      <c r="O791" s="540"/>
      <c r="P791" s="540"/>
      <c r="Q791" s="540"/>
      <c r="R791" s="540"/>
      <c r="S791" s="540"/>
      <c r="T791" s="540"/>
      <c r="U791" s="540"/>
      <c r="V791" s="540"/>
      <c r="W791" s="540"/>
      <c r="X791" s="540"/>
      <c r="Y791" s="540"/>
      <c r="Z791" s="540"/>
    </row>
    <row r="792" ht="14.25" customHeight="1">
      <c r="A792" s="540"/>
      <c r="B792" s="540"/>
      <c r="C792" s="540"/>
      <c r="D792" s="540"/>
      <c r="E792" s="540"/>
      <c r="F792" s="540"/>
      <c r="G792" s="540"/>
      <c r="H792" s="540"/>
      <c r="I792" s="540"/>
      <c r="J792" s="540"/>
      <c r="K792" s="540"/>
      <c r="L792" s="540"/>
      <c r="M792" s="540"/>
      <c r="N792" s="540"/>
      <c r="O792" s="540"/>
      <c r="P792" s="540"/>
      <c r="Q792" s="540"/>
      <c r="R792" s="540"/>
      <c r="S792" s="540"/>
      <c r="T792" s="540"/>
      <c r="U792" s="540"/>
      <c r="V792" s="540"/>
      <c r="W792" s="540"/>
      <c r="X792" s="540"/>
      <c r="Y792" s="540"/>
      <c r="Z792" s="540"/>
    </row>
    <row r="793" ht="14.25" customHeight="1">
      <c r="A793" s="540"/>
      <c r="B793" s="540"/>
      <c r="C793" s="540"/>
      <c r="D793" s="540"/>
      <c r="E793" s="540"/>
      <c r="F793" s="540"/>
      <c r="G793" s="540"/>
      <c r="H793" s="540"/>
      <c r="I793" s="540"/>
      <c r="J793" s="540"/>
      <c r="K793" s="540"/>
      <c r="L793" s="540"/>
      <c r="M793" s="540"/>
      <c r="N793" s="540"/>
      <c r="O793" s="540"/>
      <c r="P793" s="540"/>
      <c r="Q793" s="540"/>
      <c r="R793" s="540"/>
      <c r="S793" s="540"/>
      <c r="T793" s="540"/>
      <c r="U793" s="540"/>
      <c r="V793" s="540"/>
      <c r="W793" s="540"/>
      <c r="X793" s="540"/>
      <c r="Y793" s="540"/>
      <c r="Z793" s="540"/>
    </row>
    <row r="794" ht="14.25" customHeight="1">
      <c r="A794" s="540"/>
      <c r="B794" s="540"/>
      <c r="C794" s="540"/>
      <c r="D794" s="540"/>
      <c r="E794" s="540"/>
      <c r="F794" s="540"/>
      <c r="G794" s="540"/>
      <c r="H794" s="540"/>
      <c r="I794" s="540"/>
      <c r="J794" s="540"/>
      <c r="K794" s="540"/>
      <c r="L794" s="540"/>
      <c r="M794" s="540"/>
      <c r="N794" s="540"/>
      <c r="O794" s="540"/>
      <c r="P794" s="540"/>
      <c r="Q794" s="540"/>
      <c r="R794" s="540"/>
      <c r="S794" s="540"/>
      <c r="T794" s="540"/>
      <c r="U794" s="540"/>
      <c r="V794" s="540"/>
      <c r="W794" s="540"/>
      <c r="X794" s="540"/>
      <c r="Y794" s="540"/>
      <c r="Z794" s="540"/>
    </row>
    <row r="795" ht="14.25" customHeight="1">
      <c r="A795" s="540"/>
      <c r="B795" s="540"/>
      <c r="C795" s="540"/>
      <c r="D795" s="540"/>
      <c r="E795" s="540"/>
      <c r="F795" s="540"/>
      <c r="G795" s="540"/>
      <c r="H795" s="540"/>
      <c r="I795" s="540"/>
      <c r="J795" s="540"/>
      <c r="K795" s="540"/>
      <c r="L795" s="540"/>
      <c r="M795" s="540"/>
      <c r="N795" s="540"/>
      <c r="O795" s="540"/>
      <c r="P795" s="540"/>
      <c r="Q795" s="540"/>
      <c r="R795" s="540"/>
      <c r="S795" s="540"/>
      <c r="T795" s="540"/>
      <c r="U795" s="540"/>
      <c r="V795" s="540"/>
      <c r="W795" s="540"/>
      <c r="X795" s="540"/>
      <c r="Y795" s="540"/>
      <c r="Z795" s="540"/>
    </row>
    <row r="796" ht="14.25" customHeight="1">
      <c r="A796" s="540"/>
      <c r="B796" s="540"/>
      <c r="C796" s="540"/>
      <c r="D796" s="540"/>
      <c r="E796" s="540"/>
      <c r="F796" s="540"/>
      <c r="G796" s="540"/>
      <c r="H796" s="540"/>
      <c r="I796" s="540"/>
      <c r="J796" s="540"/>
      <c r="K796" s="540"/>
      <c r="L796" s="540"/>
      <c r="M796" s="540"/>
      <c r="N796" s="540"/>
      <c r="O796" s="540"/>
      <c r="P796" s="540"/>
      <c r="Q796" s="540"/>
      <c r="R796" s="540"/>
      <c r="S796" s="540"/>
      <c r="T796" s="540"/>
      <c r="U796" s="540"/>
      <c r="V796" s="540"/>
      <c r="W796" s="540"/>
      <c r="X796" s="540"/>
      <c r="Y796" s="540"/>
      <c r="Z796" s="540"/>
    </row>
    <row r="797" ht="14.25" customHeight="1">
      <c r="A797" s="540"/>
      <c r="B797" s="540"/>
      <c r="C797" s="540"/>
      <c r="D797" s="540"/>
      <c r="E797" s="540"/>
      <c r="F797" s="540"/>
      <c r="G797" s="540"/>
      <c r="H797" s="540"/>
      <c r="I797" s="540"/>
      <c r="J797" s="540"/>
      <c r="K797" s="540"/>
      <c r="L797" s="540"/>
      <c r="M797" s="540"/>
      <c r="N797" s="540"/>
      <c r="O797" s="540"/>
      <c r="P797" s="540"/>
      <c r="Q797" s="540"/>
      <c r="R797" s="540"/>
      <c r="S797" s="540"/>
      <c r="T797" s="540"/>
      <c r="U797" s="540"/>
      <c r="V797" s="540"/>
      <c r="W797" s="540"/>
      <c r="X797" s="540"/>
      <c r="Y797" s="540"/>
      <c r="Z797" s="540"/>
    </row>
    <row r="798" ht="14.25" customHeight="1">
      <c r="A798" s="540"/>
      <c r="B798" s="540"/>
      <c r="C798" s="540"/>
      <c r="D798" s="540"/>
      <c r="E798" s="540"/>
      <c r="F798" s="540"/>
      <c r="G798" s="540"/>
      <c r="H798" s="540"/>
      <c r="I798" s="540"/>
      <c r="J798" s="540"/>
      <c r="K798" s="540"/>
      <c r="L798" s="540"/>
      <c r="M798" s="540"/>
      <c r="N798" s="540"/>
      <c r="O798" s="540"/>
      <c r="P798" s="540"/>
      <c r="Q798" s="540"/>
      <c r="R798" s="540"/>
      <c r="S798" s="540"/>
      <c r="T798" s="540"/>
      <c r="U798" s="540"/>
      <c r="V798" s="540"/>
      <c r="W798" s="540"/>
      <c r="X798" s="540"/>
      <c r="Y798" s="540"/>
      <c r="Z798" s="540"/>
    </row>
    <row r="799" ht="14.25" customHeight="1">
      <c r="A799" s="540"/>
      <c r="B799" s="540"/>
      <c r="C799" s="540"/>
      <c r="D799" s="540"/>
      <c r="E799" s="540"/>
      <c r="F799" s="540"/>
      <c r="G799" s="540"/>
      <c r="H799" s="540"/>
      <c r="I799" s="540"/>
      <c r="J799" s="540"/>
      <c r="K799" s="540"/>
      <c r="L799" s="540"/>
      <c r="M799" s="540"/>
      <c r="N799" s="540"/>
      <c r="O799" s="540"/>
      <c r="P799" s="540"/>
      <c r="Q799" s="540"/>
      <c r="R799" s="540"/>
      <c r="S799" s="540"/>
      <c r="T799" s="540"/>
      <c r="U799" s="540"/>
      <c r="V799" s="540"/>
      <c r="W799" s="540"/>
      <c r="X799" s="540"/>
      <c r="Y799" s="540"/>
      <c r="Z799" s="540"/>
    </row>
    <row r="800" ht="14.25" customHeight="1">
      <c r="A800" s="540"/>
      <c r="B800" s="540"/>
      <c r="C800" s="540"/>
      <c r="D800" s="540"/>
      <c r="E800" s="540"/>
      <c r="F800" s="540"/>
      <c r="G800" s="540"/>
      <c r="H800" s="540"/>
      <c r="I800" s="540"/>
      <c r="J800" s="540"/>
      <c r="K800" s="540"/>
      <c r="L800" s="540"/>
      <c r="M800" s="540"/>
      <c r="N800" s="540"/>
      <c r="O800" s="540"/>
      <c r="P800" s="540"/>
      <c r="Q800" s="540"/>
      <c r="R800" s="540"/>
      <c r="S800" s="540"/>
      <c r="T800" s="540"/>
      <c r="U800" s="540"/>
      <c r="V800" s="540"/>
      <c r="W800" s="540"/>
      <c r="X800" s="540"/>
      <c r="Y800" s="540"/>
      <c r="Z800" s="540"/>
    </row>
    <row r="801" ht="14.25" customHeight="1">
      <c r="A801" s="540"/>
      <c r="B801" s="540"/>
      <c r="C801" s="540"/>
      <c r="D801" s="540"/>
      <c r="E801" s="540"/>
      <c r="F801" s="540"/>
      <c r="G801" s="540"/>
      <c r="H801" s="540"/>
      <c r="I801" s="540"/>
      <c r="J801" s="540"/>
      <c r="K801" s="540"/>
      <c r="L801" s="540"/>
      <c r="M801" s="540"/>
      <c r="N801" s="540"/>
      <c r="O801" s="540"/>
      <c r="P801" s="540"/>
      <c r="Q801" s="540"/>
      <c r="R801" s="540"/>
      <c r="S801" s="540"/>
      <c r="T801" s="540"/>
      <c r="U801" s="540"/>
      <c r="V801" s="540"/>
      <c r="W801" s="540"/>
      <c r="X801" s="540"/>
      <c r="Y801" s="540"/>
      <c r="Z801" s="540"/>
    </row>
    <row r="802" ht="14.25" customHeight="1">
      <c r="A802" s="540"/>
      <c r="B802" s="540"/>
      <c r="C802" s="540"/>
      <c r="D802" s="540"/>
      <c r="E802" s="540"/>
      <c r="F802" s="540"/>
      <c r="G802" s="540"/>
      <c r="H802" s="540"/>
      <c r="I802" s="540"/>
      <c r="J802" s="540"/>
      <c r="K802" s="540"/>
      <c r="L802" s="540"/>
      <c r="M802" s="540"/>
      <c r="N802" s="540"/>
      <c r="O802" s="540"/>
      <c r="P802" s="540"/>
      <c r="Q802" s="540"/>
      <c r="R802" s="540"/>
      <c r="S802" s="540"/>
      <c r="T802" s="540"/>
      <c r="U802" s="540"/>
      <c r="V802" s="540"/>
      <c r="W802" s="540"/>
      <c r="X802" s="540"/>
      <c r="Y802" s="540"/>
      <c r="Z802" s="540"/>
    </row>
    <row r="803" ht="14.25" customHeight="1">
      <c r="A803" s="540"/>
      <c r="B803" s="540"/>
      <c r="C803" s="540"/>
      <c r="D803" s="540"/>
      <c r="E803" s="540"/>
      <c r="F803" s="540"/>
      <c r="G803" s="540"/>
      <c r="H803" s="540"/>
      <c r="I803" s="540"/>
      <c r="J803" s="540"/>
      <c r="K803" s="540"/>
      <c r="L803" s="540"/>
      <c r="M803" s="540"/>
      <c r="N803" s="540"/>
      <c r="O803" s="540"/>
      <c r="P803" s="540"/>
      <c r="Q803" s="540"/>
      <c r="R803" s="540"/>
      <c r="S803" s="540"/>
      <c r="T803" s="540"/>
      <c r="U803" s="540"/>
      <c r="V803" s="540"/>
      <c r="W803" s="540"/>
      <c r="X803" s="540"/>
      <c r="Y803" s="540"/>
      <c r="Z803" s="540"/>
    </row>
    <row r="804" ht="14.25" customHeight="1">
      <c r="A804" s="540"/>
      <c r="B804" s="540"/>
      <c r="C804" s="540"/>
      <c r="D804" s="540"/>
      <c r="E804" s="540"/>
      <c r="F804" s="540"/>
      <c r="G804" s="540"/>
      <c r="H804" s="540"/>
      <c r="I804" s="540"/>
      <c r="J804" s="540"/>
      <c r="K804" s="540"/>
      <c r="L804" s="540"/>
      <c r="M804" s="540"/>
      <c r="N804" s="540"/>
      <c r="O804" s="540"/>
      <c r="P804" s="540"/>
      <c r="Q804" s="540"/>
      <c r="R804" s="540"/>
      <c r="S804" s="540"/>
      <c r="T804" s="540"/>
      <c r="U804" s="540"/>
      <c r="V804" s="540"/>
      <c r="W804" s="540"/>
      <c r="X804" s="540"/>
      <c r="Y804" s="540"/>
      <c r="Z804" s="540"/>
    </row>
    <row r="805" ht="14.25" customHeight="1">
      <c r="A805" s="540"/>
      <c r="B805" s="540"/>
      <c r="C805" s="540"/>
      <c r="D805" s="540"/>
      <c r="E805" s="540"/>
      <c r="F805" s="540"/>
      <c r="G805" s="540"/>
      <c r="H805" s="540"/>
      <c r="I805" s="540"/>
      <c r="J805" s="540"/>
      <c r="K805" s="540"/>
      <c r="L805" s="540"/>
      <c r="M805" s="540"/>
      <c r="N805" s="540"/>
      <c r="O805" s="540"/>
      <c r="P805" s="540"/>
      <c r="Q805" s="540"/>
      <c r="R805" s="540"/>
      <c r="S805" s="540"/>
      <c r="T805" s="540"/>
      <c r="U805" s="540"/>
      <c r="V805" s="540"/>
      <c r="W805" s="540"/>
      <c r="X805" s="540"/>
      <c r="Y805" s="540"/>
      <c r="Z805" s="540"/>
    </row>
    <row r="806" ht="14.25" customHeight="1">
      <c r="A806" s="540"/>
      <c r="B806" s="540"/>
      <c r="C806" s="540"/>
      <c r="D806" s="540"/>
      <c r="E806" s="540"/>
      <c r="F806" s="540"/>
      <c r="G806" s="540"/>
      <c r="H806" s="540"/>
      <c r="I806" s="540"/>
      <c r="J806" s="540"/>
      <c r="K806" s="540"/>
      <c r="L806" s="540"/>
      <c r="M806" s="540"/>
      <c r="N806" s="540"/>
      <c r="O806" s="540"/>
      <c r="P806" s="540"/>
      <c r="Q806" s="540"/>
      <c r="R806" s="540"/>
      <c r="S806" s="540"/>
      <c r="T806" s="540"/>
      <c r="U806" s="540"/>
      <c r="V806" s="540"/>
      <c r="W806" s="540"/>
      <c r="X806" s="540"/>
      <c r="Y806" s="540"/>
      <c r="Z806" s="540"/>
    </row>
    <row r="807" ht="14.25" customHeight="1">
      <c r="A807" s="540"/>
      <c r="B807" s="540"/>
      <c r="C807" s="540"/>
      <c r="D807" s="540"/>
      <c r="E807" s="540"/>
      <c r="F807" s="540"/>
      <c r="G807" s="540"/>
      <c r="H807" s="540"/>
      <c r="I807" s="540"/>
      <c r="J807" s="540"/>
      <c r="K807" s="540"/>
      <c r="L807" s="540"/>
      <c r="M807" s="540"/>
      <c r="N807" s="540"/>
      <c r="O807" s="540"/>
      <c r="P807" s="540"/>
      <c r="Q807" s="540"/>
      <c r="R807" s="540"/>
      <c r="S807" s="540"/>
      <c r="T807" s="540"/>
      <c r="U807" s="540"/>
      <c r="V807" s="540"/>
      <c r="W807" s="540"/>
      <c r="X807" s="540"/>
      <c r="Y807" s="540"/>
      <c r="Z807" s="540"/>
    </row>
    <row r="808" ht="14.25" customHeight="1">
      <c r="A808" s="540"/>
      <c r="B808" s="540"/>
      <c r="C808" s="540"/>
      <c r="D808" s="540"/>
      <c r="E808" s="540"/>
      <c r="F808" s="540"/>
      <c r="G808" s="540"/>
      <c r="H808" s="540"/>
      <c r="I808" s="540"/>
      <c r="J808" s="540"/>
      <c r="K808" s="540"/>
      <c r="L808" s="540"/>
      <c r="M808" s="540"/>
      <c r="N808" s="540"/>
      <c r="O808" s="540"/>
      <c r="P808" s="540"/>
      <c r="Q808" s="540"/>
      <c r="R808" s="540"/>
      <c r="S808" s="540"/>
      <c r="T808" s="540"/>
      <c r="U808" s="540"/>
      <c r="V808" s="540"/>
      <c r="W808" s="540"/>
      <c r="X808" s="540"/>
      <c r="Y808" s="540"/>
      <c r="Z808" s="540"/>
    </row>
    <row r="809" ht="14.25" customHeight="1">
      <c r="A809" s="540"/>
      <c r="B809" s="540"/>
      <c r="C809" s="540"/>
      <c r="D809" s="540"/>
      <c r="E809" s="540"/>
      <c r="F809" s="540"/>
      <c r="G809" s="540"/>
      <c r="H809" s="540"/>
      <c r="I809" s="540"/>
      <c r="J809" s="540"/>
      <c r="K809" s="540"/>
      <c r="L809" s="540"/>
      <c r="M809" s="540"/>
      <c r="N809" s="540"/>
      <c r="O809" s="540"/>
      <c r="P809" s="540"/>
      <c r="Q809" s="540"/>
      <c r="R809" s="540"/>
      <c r="S809" s="540"/>
      <c r="T809" s="540"/>
      <c r="U809" s="540"/>
      <c r="V809" s="540"/>
      <c r="W809" s="540"/>
      <c r="X809" s="540"/>
      <c r="Y809" s="540"/>
      <c r="Z809" s="540"/>
    </row>
    <row r="810" ht="14.25" customHeight="1">
      <c r="A810" s="540"/>
      <c r="B810" s="540"/>
      <c r="C810" s="540"/>
      <c r="D810" s="540"/>
      <c r="E810" s="540"/>
      <c r="F810" s="540"/>
      <c r="G810" s="540"/>
      <c r="H810" s="540"/>
      <c r="I810" s="540"/>
      <c r="J810" s="540"/>
      <c r="K810" s="540"/>
      <c r="L810" s="540"/>
      <c r="M810" s="540"/>
      <c r="N810" s="540"/>
      <c r="O810" s="540"/>
      <c r="P810" s="540"/>
      <c r="Q810" s="540"/>
      <c r="R810" s="540"/>
      <c r="S810" s="540"/>
      <c r="T810" s="540"/>
      <c r="U810" s="540"/>
      <c r="V810" s="540"/>
      <c r="W810" s="540"/>
      <c r="X810" s="540"/>
      <c r="Y810" s="540"/>
      <c r="Z810" s="540"/>
    </row>
    <row r="811" ht="14.25" customHeight="1">
      <c r="A811" s="540"/>
      <c r="B811" s="540"/>
      <c r="C811" s="540"/>
      <c r="D811" s="540"/>
      <c r="E811" s="540"/>
      <c r="F811" s="540"/>
      <c r="G811" s="540"/>
      <c r="H811" s="540"/>
      <c r="I811" s="540"/>
      <c r="J811" s="540"/>
      <c r="K811" s="540"/>
      <c r="L811" s="540"/>
      <c r="M811" s="540"/>
      <c r="N811" s="540"/>
      <c r="O811" s="540"/>
      <c r="P811" s="540"/>
      <c r="Q811" s="540"/>
      <c r="R811" s="540"/>
      <c r="S811" s="540"/>
      <c r="T811" s="540"/>
      <c r="U811" s="540"/>
      <c r="V811" s="540"/>
      <c r="W811" s="540"/>
      <c r="X811" s="540"/>
      <c r="Y811" s="540"/>
      <c r="Z811" s="540"/>
    </row>
    <row r="812" ht="14.25" customHeight="1">
      <c r="A812" s="540"/>
      <c r="B812" s="540"/>
      <c r="C812" s="540"/>
      <c r="D812" s="540"/>
      <c r="E812" s="540"/>
      <c r="F812" s="540"/>
      <c r="G812" s="540"/>
      <c r="H812" s="540"/>
      <c r="I812" s="540"/>
      <c r="J812" s="540"/>
      <c r="K812" s="540"/>
      <c r="L812" s="540"/>
      <c r="M812" s="540"/>
      <c r="N812" s="540"/>
      <c r="O812" s="540"/>
      <c r="P812" s="540"/>
      <c r="Q812" s="540"/>
      <c r="R812" s="540"/>
      <c r="S812" s="540"/>
      <c r="T812" s="540"/>
      <c r="U812" s="540"/>
      <c r="V812" s="540"/>
      <c r="W812" s="540"/>
      <c r="X812" s="540"/>
      <c r="Y812" s="540"/>
      <c r="Z812" s="540"/>
    </row>
    <row r="813" ht="14.25" customHeight="1">
      <c r="A813" s="540"/>
      <c r="B813" s="540"/>
      <c r="C813" s="540"/>
      <c r="D813" s="540"/>
      <c r="E813" s="540"/>
      <c r="F813" s="540"/>
      <c r="G813" s="540"/>
      <c r="H813" s="540"/>
      <c r="I813" s="540"/>
      <c r="J813" s="540"/>
      <c r="K813" s="540"/>
      <c r="L813" s="540"/>
      <c r="M813" s="540"/>
      <c r="N813" s="540"/>
      <c r="O813" s="540"/>
      <c r="P813" s="540"/>
      <c r="Q813" s="540"/>
      <c r="R813" s="540"/>
      <c r="S813" s="540"/>
      <c r="T813" s="540"/>
      <c r="U813" s="540"/>
      <c r="V813" s="540"/>
      <c r="W813" s="540"/>
      <c r="X813" s="540"/>
      <c r="Y813" s="540"/>
      <c r="Z813" s="540"/>
    </row>
    <row r="814" ht="14.25" customHeight="1">
      <c r="A814" s="540"/>
      <c r="B814" s="540"/>
      <c r="C814" s="540"/>
      <c r="D814" s="540"/>
      <c r="E814" s="540"/>
      <c r="F814" s="540"/>
      <c r="G814" s="540"/>
      <c r="H814" s="540"/>
      <c r="I814" s="540"/>
      <c r="J814" s="540"/>
      <c r="K814" s="540"/>
      <c r="L814" s="540"/>
      <c r="M814" s="540"/>
      <c r="N814" s="540"/>
      <c r="O814" s="540"/>
      <c r="P814" s="540"/>
      <c r="Q814" s="540"/>
      <c r="R814" s="540"/>
      <c r="S814" s="540"/>
      <c r="T814" s="540"/>
      <c r="U814" s="540"/>
      <c r="V814" s="540"/>
      <c r="W814" s="540"/>
      <c r="X814" s="540"/>
      <c r="Y814" s="540"/>
      <c r="Z814" s="540"/>
    </row>
    <row r="815" ht="14.25" customHeight="1">
      <c r="A815" s="540"/>
      <c r="B815" s="540"/>
      <c r="C815" s="540"/>
      <c r="D815" s="540"/>
      <c r="E815" s="540"/>
      <c r="F815" s="540"/>
      <c r="G815" s="540"/>
      <c r="H815" s="540"/>
      <c r="I815" s="540"/>
      <c r="J815" s="540"/>
      <c r="K815" s="540"/>
      <c r="L815" s="540"/>
      <c r="M815" s="540"/>
      <c r="N815" s="540"/>
      <c r="O815" s="540"/>
      <c r="P815" s="540"/>
      <c r="Q815" s="540"/>
      <c r="R815" s="540"/>
      <c r="S815" s="540"/>
      <c r="T815" s="540"/>
      <c r="U815" s="540"/>
      <c r="V815" s="540"/>
      <c r="W815" s="540"/>
      <c r="X815" s="540"/>
      <c r="Y815" s="540"/>
      <c r="Z815" s="540"/>
    </row>
    <row r="816" ht="14.25" customHeight="1">
      <c r="A816" s="540"/>
      <c r="B816" s="540"/>
      <c r="C816" s="540"/>
      <c r="D816" s="540"/>
      <c r="E816" s="540"/>
      <c r="F816" s="540"/>
      <c r="G816" s="540"/>
      <c r="H816" s="540"/>
      <c r="I816" s="540"/>
      <c r="J816" s="540"/>
      <c r="K816" s="540"/>
      <c r="L816" s="540"/>
      <c r="M816" s="540"/>
      <c r="N816" s="540"/>
      <c r="O816" s="540"/>
      <c r="P816" s="540"/>
      <c r="Q816" s="540"/>
      <c r="R816" s="540"/>
      <c r="S816" s="540"/>
      <c r="T816" s="540"/>
      <c r="U816" s="540"/>
      <c r="V816" s="540"/>
      <c r="W816" s="540"/>
      <c r="X816" s="540"/>
      <c r="Y816" s="540"/>
      <c r="Z816" s="540"/>
    </row>
    <row r="817" ht="14.25" customHeight="1">
      <c r="A817" s="540"/>
      <c r="B817" s="540"/>
      <c r="C817" s="540"/>
      <c r="D817" s="540"/>
      <c r="E817" s="540"/>
      <c r="F817" s="540"/>
      <c r="G817" s="540"/>
      <c r="H817" s="540"/>
      <c r="I817" s="540"/>
      <c r="J817" s="540"/>
      <c r="K817" s="540"/>
      <c r="L817" s="540"/>
      <c r="M817" s="540"/>
      <c r="N817" s="540"/>
      <c r="O817" s="540"/>
      <c r="P817" s="540"/>
      <c r="Q817" s="540"/>
      <c r="R817" s="540"/>
      <c r="S817" s="540"/>
      <c r="T817" s="540"/>
      <c r="U817" s="540"/>
      <c r="V817" s="540"/>
      <c r="W817" s="540"/>
      <c r="X817" s="540"/>
      <c r="Y817" s="540"/>
      <c r="Z817" s="540"/>
    </row>
    <row r="818" ht="14.25" customHeight="1">
      <c r="A818" s="540"/>
      <c r="B818" s="540"/>
      <c r="C818" s="540"/>
      <c r="D818" s="540"/>
      <c r="E818" s="540"/>
      <c r="F818" s="540"/>
      <c r="G818" s="540"/>
      <c r="H818" s="540"/>
      <c r="I818" s="540"/>
      <c r="J818" s="540"/>
      <c r="K818" s="540"/>
      <c r="L818" s="540"/>
      <c r="M818" s="540"/>
      <c r="N818" s="540"/>
      <c r="O818" s="540"/>
      <c r="P818" s="540"/>
      <c r="Q818" s="540"/>
      <c r="R818" s="540"/>
      <c r="S818" s="540"/>
      <c r="T818" s="540"/>
      <c r="U818" s="540"/>
      <c r="V818" s="540"/>
      <c r="W818" s="540"/>
      <c r="X818" s="540"/>
      <c r="Y818" s="540"/>
      <c r="Z818" s="540"/>
    </row>
    <row r="819" ht="14.25" customHeight="1">
      <c r="A819" s="540"/>
      <c r="B819" s="540"/>
      <c r="C819" s="540"/>
      <c r="D819" s="540"/>
      <c r="E819" s="540"/>
      <c r="F819" s="540"/>
      <c r="G819" s="540"/>
      <c r="H819" s="540"/>
      <c r="I819" s="540"/>
      <c r="J819" s="540"/>
      <c r="K819" s="540"/>
      <c r="L819" s="540"/>
      <c r="M819" s="540"/>
      <c r="N819" s="540"/>
      <c r="O819" s="540"/>
      <c r="P819" s="540"/>
      <c r="Q819" s="540"/>
      <c r="R819" s="540"/>
      <c r="S819" s="540"/>
      <c r="T819" s="540"/>
      <c r="U819" s="540"/>
      <c r="V819" s="540"/>
      <c r="W819" s="540"/>
      <c r="X819" s="540"/>
      <c r="Y819" s="540"/>
      <c r="Z819" s="540"/>
    </row>
    <row r="820" ht="14.25" customHeight="1">
      <c r="A820" s="540"/>
      <c r="B820" s="540"/>
      <c r="C820" s="540"/>
      <c r="D820" s="540"/>
      <c r="E820" s="540"/>
      <c r="F820" s="540"/>
      <c r="G820" s="540"/>
      <c r="H820" s="540"/>
      <c r="I820" s="540"/>
      <c r="J820" s="540"/>
      <c r="K820" s="540"/>
      <c r="L820" s="540"/>
      <c r="M820" s="540"/>
      <c r="N820" s="540"/>
      <c r="O820" s="540"/>
      <c r="P820" s="540"/>
      <c r="Q820" s="540"/>
      <c r="R820" s="540"/>
      <c r="S820" s="540"/>
      <c r="T820" s="540"/>
      <c r="U820" s="540"/>
      <c r="V820" s="540"/>
      <c r="W820" s="540"/>
      <c r="X820" s="540"/>
      <c r="Y820" s="540"/>
      <c r="Z820" s="540"/>
    </row>
    <row r="821" ht="14.25" customHeight="1">
      <c r="A821" s="540"/>
      <c r="B821" s="540"/>
      <c r="C821" s="540"/>
      <c r="D821" s="540"/>
      <c r="E821" s="540"/>
      <c r="F821" s="540"/>
      <c r="G821" s="540"/>
      <c r="H821" s="540"/>
      <c r="I821" s="540"/>
      <c r="J821" s="540"/>
      <c r="K821" s="540"/>
      <c r="L821" s="540"/>
      <c r="M821" s="540"/>
      <c r="N821" s="540"/>
      <c r="O821" s="540"/>
      <c r="P821" s="540"/>
      <c r="Q821" s="540"/>
      <c r="R821" s="540"/>
      <c r="S821" s="540"/>
      <c r="T821" s="540"/>
      <c r="U821" s="540"/>
      <c r="V821" s="540"/>
      <c r="W821" s="540"/>
      <c r="X821" s="540"/>
      <c r="Y821" s="540"/>
      <c r="Z821" s="540"/>
    </row>
    <row r="822" ht="14.25" customHeight="1">
      <c r="A822" s="540"/>
      <c r="B822" s="540"/>
      <c r="C822" s="540"/>
      <c r="D822" s="540"/>
      <c r="E822" s="540"/>
      <c r="F822" s="540"/>
      <c r="G822" s="540"/>
      <c r="H822" s="540"/>
      <c r="I822" s="540"/>
      <c r="J822" s="540"/>
      <c r="K822" s="540"/>
      <c r="L822" s="540"/>
      <c r="M822" s="540"/>
      <c r="N822" s="540"/>
      <c r="O822" s="540"/>
      <c r="P822" s="540"/>
      <c r="Q822" s="540"/>
      <c r="R822" s="540"/>
      <c r="S822" s="540"/>
      <c r="T822" s="540"/>
      <c r="U822" s="540"/>
      <c r="V822" s="540"/>
      <c r="W822" s="540"/>
      <c r="X822" s="540"/>
      <c r="Y822" s="540"/>
      <c r="Z822" s="540"/>
    </row>
    <row r="823" ht="14.25" customHeight="1">
      <c r="A823" s="540"/>
      <c r="B823" s="540"/>
      <c r="C823" s="540"/>
      <c r="D823" s="540"/>
      <c r="E823" s="540"/>
      <c r="F823" s="540"/>
      <c r="G823" s="540"/>
      <c r="H823" s="540"/>
      <c r="I823" s="540"/>
      <c r="J823" s="540"/>
      <c r="K823" s="540"/>
      <c r="L823" s="540"/>
      <c r="M823" s="540"/>
      <c r="N823" s="540"/>
      <c r="O823" s="540"/>
      <c r="P823" s="540"/>
      <c r="Q823" s="540"/>
      <c r="R823" s="540"/>
      <c r="S823" s="540"/>
      <c r="T823" s="540"/>
      <c r="U823" s="540"/>
      <c r="V823" s="540"/>
      <c r="W823" s="540"/>
      <c r="X823" s="540"/>
      <c r="Y823" s="540"/>
      <c r="Z823" s="540"/>
    </row>
    <row r="824" ht="14.25" customHeight="1">
      <c r="A824" s="540"/>
      <c r="B824" s="540"/>
      <c r="C824" s="540"/>
      <c r="D824" s="540"/>
      <c r="E824" s="540"/>
      <c r="F824" s="540"/>
      <c r="G824" s="540"/>
      <c r="H824" s="540"/>
      <c r="I824" s="540"/>
      <c r="J824" s="540"/>
      <c r="K824" s="540"/>
      <c r="L824" s="540"/>
      <c r="M824" s="540"/>
      <c r="N824" s="540"/>
      <c r="O824" s="540"/>
      <c r="P824" s="540"/>
      <c r="Q824" s="540"/>
      <c r="R824" s="540"/>
      <c r="S824" s="540"/>
      <c r="T824" s="540"/>
      <c r="U824" s="540"/>
      <c r="V824" s="540"/>
      <c r="W824" s="540"/>
      <c r="X824" s="540"/>
      <c r="Y824" s="540"/>
      <c r="Z824" s="540"/>
    </row>
    <row r="825" ht="14.25" customHeight="1">
      <c r="A825" s="540"/>
      <c r="B825" s="540"/>
      <c r="C825" s="540"/>
      <c r="D825" s="540"/>
      <c r="E825" s="540"/>
      <c r="F825" s="540"/>
      <c r="G825" s="540"/>
      <c r="H825" s="540"/>
      <c r="I825" s="540"/>
      <c r="J825" s="540"/>
      <c r="K825" s="540"/>
      <c r="L825" s="540"/>
      <c r="M825" s="540"/>
      <c r="N825" s="540"/>
      <c r="O825" s="540"/>
      <c r="P825" s="540"/>
      <c r="Q825" s="540"/>
      <c r="R825" s="540"/>
      <c r="S825" s="540"/>
      <c r="T825" s="540"/>
      <c r="U825" s="540"/>
      <c r="V825" s="540"/>
      <c r="W825" s="540"/>
      <c r="X825" s="540"/>
      <c r="Y825" s="540"/>
      <c r="Z825" s="540"/>
    </row>
    <row r="826" ht="14.25" customHeight="1">
      <c r="A826" s="540"/>
      <c r="B826" s="540"/>
      <c r="C826" s="540"/>
      <c r="D826" s="540"/>
      <c r="E826" s="540"/>
      <c r="F826" s="540"/>
      <c r="G826" s="540"/>
      <c r="H826" s="540"/>
      <c r="I826" s="540"/>
      <c r="J826" s="540"/>
      <c r="K826" s="540"/>
      <c r="L826" s="540"/>
      <c r="M826" s="540"/>
      <c r="N826" s="540"/>
      <c r="O826" s="540"/>
      <c r="P826" s="540"/>
      <c r="Q826" s="540"/>
      <c r="R826" s="540"/>
      <c r="S826" s="540"/>
      <c r="T826" s="540"/>
      <c r="U826" s="540"/>
      <c r="V826" s="540"/>
      <c r="W826" s="540"/>
      <c r="X826" s="540"/>
      <c r="Y826" s="540"/>
      <c r="Z826" s="540"/>
    </row>
    <row r="827" ht="14.25" customHeight="1">
      <c r="A827" s="540"/>
      <c r="B827" s="540"/>
      <c r="C827" s="540"/>
      <c r="D827" s="540"/>
      <c r="E827" s="540"/>
      <c r="F827" s="540"/>
      <c r="G827" s="540"/>
      <c r="H827" s="540"/>
      <c r="I827" s="540"/>
      <c r="J827" s="540"/>
      <c r="K827" s="540"/>
      <c r="L827" s="540"/>
      <c r="M827" s="540"/>
      <c r="N827" s="540"/>
      <c r="O827" s="540"/>
      <c r="P827" s="540"/>
      <c r="Q827" s="540"/>
      <c r="R827" s="540"/>
      <c r="S827" s="540"/>
      <c r="T827" s="540"/>
      <c r="U827" s="540"/>
      <c r="V827" s="540"/>
      <c r="W827" s="540"/>
      <c r="X827" s="540"/>
      <c r="Y827" s="540"/>
      <c r="Z827" s="540"/>
    </row>
    <row r="828" ht="14.25" customHeight="1">
      <c r="A828" s="540"/>
      <c r="B828" s="540"/>
      <c r="C828" s="540"/>
      <c r="D828" s="540"/>
      <c r="E828" s="540"/>
      <c r="F828" s="540"/>
      <c r="G828" s="540"/>
      <c r="H828" s="540"/>
      <c r="I828" s="540"/>
      <c r="J828" s="540"/>
      <c r="K828" s="540"/>
      <c r="L828" s="540"/>
      <c r="M828" s="540"/>
      <c r="N828" s="540"/>
      <c r="O828" s="540"/>
      <c r="P828" s="540"/>
      <c r="Q828" s="540"/>
      <c r="R828" s="540"/>
      <c r="S828" s="540"/>
      <c r="T828" s="540"/>
      <c r="U828" s="540"/>
      <c r="V828" s="540"/>
      <c r="W828" s="540"/>
      <c r="X828" s="540"/>
      <c r="Y828" s="540"/>
      <c r="Z828" s="540"/>
    </row>
    <row r="829" ht="14.25" customHeight="1">
      <c r="A829" s="540"/>
      <c r="B829" s="540"/>
      <c r="C829" s="540"/>
      <c r="D829" s="540"/>
      <c r="E829" s="540"/>
      <c r="F829" s="540"/>
      <c r="G829" s="540"/>
      <c r="H829" s="540"/>
      <c r="I829" s="540"/>
      <c r="J829" s="540"/>
      <c r="K829" s="540"/>
      <c r="L829" s="540"/>
      <c r="M829" s="540"/>
      <c r="N829" s="540"/>
      <c r="O829" s="540"/>
      <c r="P829" s="540"/>
      <c r="Q829" s="540"/>
      <c r="R829" s="540"/>
      <c r="S829" s="540"/>
      <c r="T829" s="540"/>
      <c r="U829" s="540"/>
      <c r="V829" s="540"/>
      <c r="W829" s="540"/>
      <c r="X829" s="540"/>
      <c r="Y829" s="540"/>
      <c r="Z829" s="540"/>
    </row>
    <row r="830" ht="14.25" customHeight="1">
      <c r="A830" s="540"/>
      <c r="B830" s="540"/>
      <c r="C830" s="540"/>
      <c r="D830" s="540"/>
      <c r="E830" s="540"/>
      <c r="F830" s="540"/>
      <c r="G830" s="540"/>
      <c r="H830" s="540"/>
      <c r="I830" s="540"/>
      <c r="J830" s="540"/>
      <c r="K830" s="540"/>
      <c r="L830" s="540"/>
      <c r="M830" s="540"/>
      <c r="N830" s="540"/>
      <c r="O830" s="540"/>
      <c r="P830" s="540"/>
      <c r="Q830" s="540"/>
      <c r="R830" s="540"/>
      <c r="S830" s="540"/>
      <c r="T830" s="540"/>
      <c r="U830" s="540"/>
      <c r="V830" s="540"/>
      <c r="W830" s="540"/>
      <c r="X830" s="540"/>
      <c r="Y830" s="540"/>
      <c r="Z830" s="540"/>
    </row>
    <row r="831" ht="14.25" customHeight="1">
      <c r="A831" s="540"/>
      <c r="B831" s="540"/>
      <c r="C831" s="540"/>
      <c r="D831" s="540"/>
      <c r="E831" s="540"/>
      <c r="F831" s="540"/>
      <c r="G831" s="540"/>
      <c r="H831" s="540"/>
      <c r="I831" s="540"/>
      <c r="J831" s="540"/>
      <c r="K831" s="540"/>
      <c r="L831" s="540"/>
      <c r="M831" s="540"/>
      <c r="N831" s="540"/>
      <c r="O831" s="540"/>
      <c r="P831" s="540"/>
      <c r="Q831" s="540"/>
      <c r="R831" s="540"/>
      <c r="S831" s="540"/>
      <c r="T831" s="540"/>
      <c r="U831" s="540"/>
      <c r="V831" s="540"/>
      <c r="W831" s="540"/>
      <c r="X831" s="540"/>
      <c r="Y831" s="540"/>
      <c r="Z831" s="540"/>
    </row>
    <row r="832" ht="14.25" customHeight="1">
      <c r="A832" s="540"/>
      <c r="B832" s="540"/>
      <c r="C832" s="540"/>
      <c r="D832" s="540"/>
      <c r="E832" s="540"/>
      <c r="F832" s="540"/>
      <c r="G832" s="540"/>
      <c r="H832" s="540"/>
      <c r="I832" s="540"/>
      <c r="J832" s="540"/>
      <c r="K832" s="540"/>
      <c r="L832" s="540"/>
      <c r="M832" s="540"/>
      <c r="N832" s="540"/>
      <c r="O832" s="540"/>
      <c r="P832" s="540"/>
      <c r="Q832" s="540"/>
      <c r="R832" s="540"/>
      <c r="S832" s="540"/>
      <c r="T832" s="540"/>
      <c r="U832" s="540"/>
      <c r="V832" s="540"/>
      <c r="W832" s="540"/>
      <c r="X832" s="540"/>
      <c r="Y832" s="540"/>
      <c r="Z832" s="540"/>
    </row>
    <row r="833" ht="14.25" customHeight="1">
      <c r="A833" s="540"/>
      <c r="B833" s="540"/>
      <c r="C833" s="540"/>
      <c r="D833" s="540"/>
      <c r="E833" s="540"/>
      <c r="F833" s="540"/>
      <c r="G833" s="540"/>
      <c r="H833" s="540"/>
      <c r="I833" s="540"/>
      <c r="J833" s="540"/>
      <c r="K833" s="540"/>
      <c r="L833" s="540"/>
      <c r="M833" s="540"/>
      <c r="N833" s="540"/>
      <c r="O833" s="540"/>
      <c r="P833" s="540"/>
      <c r="Q833" s="540"/>
      <c r="R833" s="540"/>
      <c r="S833" s="540"/>
      <c r="T833" s="540"/>
      <c r="U833" s="540"/>
      <c r="V833" s="540"/>
      <c r="W833" s="540"/>
      <c r="X833" s="540"/>
      <c r="Y833" s="540"/>
      <c r="Z833" s="540"/>
    </row>
    <row r="834" ht="14.25" customHeight="1">
      <c r="A834" s="540"/>
      <c r="B834" s="540"/>
      <c r="C834" s="540"/>
      <c r="D834" s="540"/>
      <c r="E834" s="540"/>
      <c r="F834" s="540"/>
      <c r="G834" s="540"/>
      <c r="H834" s="540"/>
      <c r="I834" s="540"/>
      <c r="J834" s="540"/>
      <c r="K834" s="540"/>
      <c r="L834" s="540"/>
      <c r="M834" s="540"/>
      <c r="N834" s="540"/>
      <c r="O834" s="540"/>
      <c r="P834" s="540"/>
      <c r="Q834" s="540"/>
      <c r="R834" s="540"/>
      <c r="S834" s="540"/>
      <c r="T834" s="540"/>
      <c r="U834" s="540"/>
      <c r="V834" s="540"/>
      <c r="W834" s="540"/>
      <c r="X834" s="540"/>
      <c r="Y834" s="540"/>
      <c r="Z834" s="540"/>
    </row>
    <row r="835" ht="14.25" customHeight="1">
      <c r="A835" s="540"/>
      <c r="B835" s="540"/>
      <c r="C835" s="540"/>
      <c r="D835" s="540"/>
      <c r="E835" s="540"/>
      <c r="F835" s="540"/>
      <c r="G835" s="540"/>
      <c r="H835" s="540"/>
      <c r="I835" s="540"/>
      <c r="J835" s="540"/>
      <c r="K835" s="540"/>
      <c r="L835" s="540"/>
      <c r="M835" s="540"/>
      <c r="N835" s="540"/>
      <c r="O835" s="540"/>
      <c r="P835" s="540"/>
      <c r="Q835" s="540"/>
      <c r="R835" s="540"/>
      <c r="S835" s="540"/>
      <c r="T835" s="540"/>
      <c r="U835" s="540"/>
      <c r="V835" s="540"/>
      <c r="W835" s="540"/>
      <c r="X835" s="540"/>
      <c r="Y835" s="540"/>
      <c r="Z835" s="540"/>
    </row>
    <row r="836" ht="14.25" customHeight="1">
      <c r="A836" s="540"/>
      <c r="B836" s="540"/>
      <c r="C836" s="540"/>
      <c r="D836" s="540"/>
      <c r="E836" s="540"/>
      <c r="F836" s="540"/>
      <c r="G836" s="540"/>
      <c r="H836" s="540"/>
      <c r="I836" s="540"/>
      <c r="J836" s="540"/>
      <c r="K836" s="540"/>
      <c r="L836" s="540"/>
      <c r="M836" s="540"/>
      <c r="N836" s="540"/>
      <c r="O836" s="540"/>
      <c r="P836" s="540"/>
      <c r="Q836" s="540"/>
      <c r="R836" s="540"/>
      <c r="S836" s="540"/>
      <c r="T836" s="540"/>
      <c r="U836" s="540"/>
      <c r="V836" s="540"/>
      <c r="W836" s="540"/>
      <c r="X836" s="540"/>
      <c r="Y836" s="540"/>
      <c r="Z836" s="540"/>
    </row>
    <row r="837" ht="14.25" customHeight="1">
      <c r="A837" s="540"/>
      <c r="B837" s="540"/>
      <c r="C837" s="540"/>
      <c r="D837" s="540"/>
      <c r="E837" s="540"/>
      <c r="F837" s="540"/>
      <c r="G837" s="540"/>
      <c r="H837" s="540"/>
      <c r="I837" s="540"/>
      <c r="J837" s="540"/>
      <c r="K837" s="540"/>
      <c r="L837" s="540"/>
      <c r="M837" s="540"/>
      <c r="N837" s="540"/>
      <c r="O837" s="540"/>
      <c r="P837" s="540"/>
      <c r="Q837" s="540"/>
      <c r="R837" s="540"/>
      <c r="S837" s="540"/>
      <c r="T837" s="540"/>
      <c r="U837" s="540"/>
      <c r="V837" s="540"/>
      <c r="W837" s="540"/>
      <c r="X837" s="540"/>
      <c r="Y837" s="540"/>
      <c r="Z837" s="540"/>
    </row>
    <row r="838" ht="14.25" customHeight="1">
      <c r="A838" s="540"/>
      <c r="B838" s="540"/>
      <c r="C838" s="540"/>
      <c r="D838" s="540"/>
      <c r="E838" s="540"/>
      <c r="F838" s="540"/>
      <c r="G838" s="540"/>
      <c r="H838" s="540"/>
      <c r="I838" s="540"/>
      <c r="J838" s="540"/>
      <c r="K838" s="540"/>
      <c r="L838" s="540"/>
      <c r="M838" s="540"/>
      <c r="N838" s="540"/>
      <c r="O838" s="540"/>
      <c r="P838" s="540"/>
      <c r="Q838" s="540"/>
      <c r="R838" s="540"/>
      <c r="S838" s="540"/>
      <c r="T838" s="540"/>
      <c r="U838" s="540"/>
      <c r="V838" s="540"/>
      <c r="W838" s="540"/>
      <c r="X838" s="540"/>
      <c r="Y838" s="540"/>
      <c r="Z838" s="540"/>
    </row>
    <row r="839" ht="14.25" customHeight="1">
      <c r="A839" s="540"/>
      <c r="B839" s="540"/>
      <c r="C839" s="540"/>
      <c r="D839" s="540"/>
      <c r="E839" s="540"/>
      <c r="F839" s="540"/>
      <c r="G839" s="540"/>
      <c r="H839" s="540"/>
      <c r="I839" s="540"/>
      <c r="J839" s="540"/>
      <c r="K839" s="540"/>
      <c r="L839" s="540"/>
      <c r="M839" s="540"/>
      <c r="N839" s="540"/>
      <c r="O839" s="540"/>
      <c r="P839" s="540"/>
      <c r="Q839" s="540"/>
      <c r="R839" s="540"/>
      <c r="S839" s="540"/>
      <c r="T839" s="540"/>
      <c r="U839" s="540"/>
      <c r="V839" s="540"/>
      <c r="W839" s="540"/>
      <c r="X839" s="540"/>
      <c r="Y839" s="540"/>
      <c r="Z839" s="540"/>
    </row>
    <row r="840" ht="14.25" customHeight="1">
      <c r="A840" s="540"/>
      <c r="B840" s="540"/>
      <c r="C840" s="540"/>
      <c r="D840" s="540"/>
      <c r="E840" s="540"/>
      <c r="F840" s="540"/>
      <c r="G840" s="540"/>
      <c r="H840" s="540"/>
      <c r="I840" s="540"/>
      <c r="J840" s="540"/>
      <c r="K840" s="540"/>
      <c r="L840" s="540"/>
      <c r="M840" s="540"/>
      <c r="N840" s="540"/>
      <c r="O840" s="540"/>
      <c r="P840" s="540"/>
      <c r="Q840" s="540"/>
      <c r="R840" s="540"/>
      <c r="S840" s="540"/>
      <c r="T840" s="540"/>
      <c r="U840" s="540"/>
      <c r="V840" s="540"/>
      <c r="W840" s="540"/>
      <c r="X840" s="540"/>
      <c r="Y840" s="540"/>
      <c r="Z840" s="540"/>
    </row>
    <row r="841" ht="14.25" customHeight="1">
      <c r="A841" s="540"/>
      <c r="B841" s="540"/>
      <c r="C841" s="540"/>
      <c r="D841" s="540"/>
      <c r="E841" s="540"/>
      <c r="F841" s="540"/>
      <c r="G841" s="540"/>
      <c r="H841" s="540"/>
      <c r="I841" s="540"/>
      <c r="J841" s="540"/>
      <c r="K841" s="540"/>
      <c r="L841" s="540"/>
      <c r="M841" s="540"/>
      <c r="N841" s="540"/>
      <c r="O841" s="540"/>
      <c r="P841" s="540"/>
      <c r="Q841" s="540"/>
      <c r="R841" s="540"/>
      <c r="S841" s="540"/>
      <c r="T841" s="540"/>
      <c r="U841" s="540"/>
      <c r="V841" s="540"/>
      <c r="W841" s="540"/>
      <c r="X841" s="540"/>
      <c r="Y841" s="540"/>
      <c r="Z841" s="540"/>
    </row>
    <row r="842" ht="14.25" customHeight="1">
      <c r="A842" s="540"/>
      <c r="B842" s="540"/>
      <c r="C842" s="540"/>
      <c r="D842" s="540"/>
      <c r="E842" s="540"/>
      <c r="F842" s="540"/>
      <c r="G842" s="540"/>
      <c r="H842" s="540"/>
      <c r="I842" s="540"/>
      <c r="J842" s="540"/>
      <c r="K842" s="540"/>
      <c r="L842" s="540"/>
      <c r="M842" s="540"/>
      <c r="N842" s="540"/>
      <c r="O842" s="540"/>
      <c r="P842" s="540"/>
      <c r="Q842" s="540"/>
      <c r="R842" s="540"/>
      <c r="S842" s="540"/>
      <c r="T842" s="540"/>
      <c r="U842" s="540"/>
      <c r="V842" s="540"/>
      <c r="W842" s="540"/>
      <c r="X842" s="540"/>
      <c r="Y842" s="540"/>
      <c r="Z842" s="540"/>
    </row>
    <row r="843" ht="14.25" customHeight="1">
      <c r="A843" s="540"/>
      <c r="B843" s="540"/>
      <c r="C843" s="540"/>
      <c r="D843" s="540"/>
      <c r="E843" s="540"/>
      <c r="F843" s="540"/>
      <c r="G843" s="540"/>
      <c r="H843" s="540"/>
      <c r="I843" s="540"/>
      <c r="J843" s="540"/>
      <c r="K843" s="540"/>
      <c r="L843" s="540"/>
      <c r="M843" s="540"/>
      <c r="N843" s="540"/>
      <c r="O843" s="540"/>
      <c r="P843" s="540"/>
      <c r="Q843" s="540"/>
      <c r="R843" s="540"/>
      <c r="S843" s="540"/>
      <c r="T843" s="540"/>
      <c r="U843" s="540"/>
      <c r="V843" s="540"/>
      <c r="W843" s="540"/>
      <c r="X843" s="540"/>
      <c r="Y843" s="540"/>
      <c r="Z843" s="540"/>
    </row>
    <row r="844" ht="14.25" customHeight="1">
      <c r="A844" s="540"/>
      <c r="B844" s="540"/>
      <c r="C844" s="540"/>
      <c r="D844" s="540"/>
      <c r="E844" s="540"/>
      <c r="F844" s="540"/>
      <c r="G844" s="540"/>
      <c r="H844" s="540"/>
      <c r="I844" s="540"/>
      <c r="J844" s="540"/>
      <c r="K844" s="540"/>
      <c r="L844" s="540"/>
      <c r="M844" s="540"/>
      <c r="N844" s="540"/>
      <c r="O844" s="540"/>
      <c r="P844" s="540"/>
      <c r="Q844" s="540"/>
      <c r="R844" s="540"/>
      <c r="S844" s="540"/>
      <c r="T844" s="540"/>
      <c r="U844" s="540"/>
      <c r="V844" s="540"/>
      <c r="W844" s="540"/>
      <c r="X844" s="540"/>
      <c r="Y844" s="540"/>
      <c r="Z844" s="540"/>
    </row>
    <row r="845" ht="14.25" customHeight="1">
      <c r="A845" s="540"/>
      <c r="B845" s="540"/>
      <c r="C845" s="540"/>
      <c r="D845" s="540"/>
      <c r="E845" s="540"/>
      <c r="F845" s="540"/>
      <c r="G845" s="540"/>
      <c r="H845" s="540"/>
      <c r="I845" s="540"/>
      <c r="J845" s="540"/>
      <c r="K845" s="540"/>
      <c r="L845" s="540"/>
      <c r="M845" s="540"/>
      <c r="N845" s="540"/>
      <c r="O845" s="540"/>
      <c r="P845" s="540"/>
      <c r="Q845" s="540"/>
      <c r="R845" s="540"/>
      <c r="S845" s="540"/>
      <c r="T845" s="540"/>
      <c r="U845" s="540"/>
      <c r="V845" s="540"/>
      <c r="W845" s="540"/>
      <c r="X845" s="540"/>
      <c r="Y845" s="540"/>
      <c r="Z845" s="540"/>
    </row>
    <row r="846" ht="14.25" customHeight="1">
      <c r="A846" s="540"/>
      <c r="B846" s="540"/>
      <c r="C846" s="540"/>
      <c r="D846" s="540"/>
      <c r="E846" s="540"/>
      <c r="F846" s="540"/>
      <c r="G846" s="540"/>
      <c r="H846" s="540"/>
      <c r="I846" s="540"/>
      <c r="J846" s="540"/>
      <c r="K846" s="540"/>
      <c r="L846" s="540"/>
      <c r="M846" s="540"/>
      <c r="N846" s="540"/>
      <c r="O846" s="540"/>
      <c r="P846" s="540"/>
      <c r="Q846" s="540"/>
      <c r="R846" s="540"/>
      <c r="S846" s="540"/>
      <c r="T846" s="540"/>
      <c r="U846" s="540"/>
      <c r="V846" s="540"/>
      <c r="W846" s="540"/>
      <c r="X846" s="540"/>
      <c r="Y846" s="540"/>
      <c r="Z846" s="540"/>
    </row>
    <row r="847" ht="14.25" customHeight="1">
      <c r="A847" s="540"/>
      <c r="B847" s="540"/>
      <c r="C847" s="540"/>
      <c r="D847" s="540"/>
      <c r="E847" s="540"/>
      <c r="F847" s="540"/>
      <c r="G847" s="540"/>
      <c r="H847" s="540"/>
      <c r="I847" s="540"/>
      <c r="J847" s="540"/>
      <c r="K847" s="540"/>
      <c r="L847" s="540"/>
      <c r="M847" s="540"/>
      <c r="N847" s="540"/>
      <c r="O847" s="540"/>
      <c r="P847" s="540"/>
      <c r="Q847" s="540"/>
      <c r="R847" s="540"/>
      <c r="S847" s="540"/>
      <c r="T847" s="540"/>
      <c r="U847" s="540"/>
      <c r="V847" s="540"/>
      <c r="W847" s="540"/>
      <c r="X847" s="540"/>
      <c r="Y847" s="540"/>
      <c r="Z847" s="540"/>
    </row>
    <row r="848" ht="14.25" customHeight="1">
      <c r="A848" s="540"/>
      <c r="B848" s="540"/>
      <c r="C848" s="540"/>
      <c r="D848" s="540"/>
      <c r="E848" s="540"/>
      <c r="F848" s="540"/>
      <c r="G848" s="540"/>
      <c r="H848" s="540"/>
      <c r="I848" s="540"/>
      <c r="J848" s="540"/>
      <c r="K848" s="540"/>
      <c r="L848" s="540"/>
      <c r="M848" s="540"/>
      <c r="N848" s="540"/>
      <c r="O848" s="540"/>
      <c r="P848" s="540"/>
      <c r="Q848" s="540"/>
      <c r="R848" s="540"/>
      <c r="S848" s="540"/>
      <c r="T848" s="540"/>
      <c r="U848" s="540"/>
      <c r="V848" s="540"/>
      <c r="W848" s="540"/>
      <c r="X848" s="540"/>
      <c r="Y848" s="540"/>
      <c r="Z848" s="540"/>
    </row>
    <row r="849" ht="14.25" customHeight="1">
      <c r="A849" s="540"/>
      <c r="B849" s="540"/>
      <c r="C849" s="540"/>
      <c r="D849" s="540"/>
      <c r="E849" s="540"/>
      <c r="F849" s="540"/>
      <c r="G849" s="540"/>
      <c r="H849" s="540"/>
      <c r="I849" s="540"/>
      <c r="J849" s="540"/>
      <c r="K849" s="540"/>
      <c r="L849" s="540"/>
      <c r="M849" s="540"/>
      <c r="N849" s="540"/>
      <c r="O849" s="540"/>
      <c r="P849" s="540"/>
      <c r="Q849" s="540"/>
      <c r="R849" s="540"/>
      <c r="S849" s="540"/>
      <c r="T849" s="540"/>
      <c r="U849" s="540"/>
      <c r="V849" s="540"/>
      <c r="W849" s="540"/>
      <c r="X849" s="540"/>
      <c r="Y849" s="540"/>
      <c r="Z849" s="540"/>
    </row>
    <row r="850" ht="14.25" customHeight="1">
      <c r="A850" s="540"/>
      <c r="B850" s="540"/>
      <c r="C850" s="540"/>
      <c r="D850" s="540"/>
      <c r="E850" s="540"/>
      <c r="F850" s="540"/>
      <c r="G850" s="540"/>
      <c r="H850" s="540"/>
      <c r="I850" s="540"/>
      <c r="J850" s="540"/>
      <c r="K850" s="540"/>
      <c r="L850" s="540"/>
      <c r="M850" s="540"/>
      <c r="N850" s="540"/>
      <c r="O850" s="540"/>
      <c r="P850" s="540"/>
      <c r="Q850" s="540"/>
      <c r="R850" s="540"/>
      <c r="S850" s="540"/>
      <c r="T850" s="540"/>
      <c r="U850" s="540"/>
      <c r="V850" s="540"/>
      <c r="W850" s="540"/>
      <c r="X850" s="540"/>
      <c r="Y850" s="540"/>
      <c r="Z850" s="540"/>
    </row>
    <row r="851" ht="14.25" customHeight="1">
      <c r="A851" s="540"/>
      <c r="B851" s="540"/>
      <c r="C851" s="540"/>
      <c r="D851" s="540"/>
      <c r="E851" s="540"/>
      <c r="F851" s="540"/>
      <c r="G851" s="540"/>
      <c r="H851" s="540"/>
      <c r="I851" s="540"/>
      <c r="J851" s="540"/>
      <c r="K851" s="540"/>
      <c r="L851" s="540"/>
      <c r="M851" s="540"/>
      <c r="N851" s="540"/>
      <c r="O851" s="540"/>
      <c r="P851" s="540"/>
      <c r="Q851" s="540"/>
      <c r="R851" s="540"/>
      <c r="S851" s="540"/>
      <c r="T851" s="540"/>
      <c r="U851" s="540"/>
      <c r="V851" s="540"/>
      <c r="W851" s="540"/>
      <c r="X851" s="540"/>
      <c r="Y851" s="540"/>
      <c r="Z851" s="540"/>
    </row>
    <row r="852" ht="14.25" customHeight="1">
      <c r="A852" s="540"/>
      <c r="B852" s="540"/>
      <c r="C852" s="540"/>
      <c r="D852" s="540"/>
      <c r="E852" s="540"/>
      <c r="F852" s="540"/>
      <c r="G852" s="540"/>
      <c r="H852" s="540"/>
      <c r="I852" s="540"/>
      <c r="J852" s="540"/>
      <c r="K852" s="540"/>
      <c r="L852" s="540"/>
      <c r="M852" s="540"/>
      <c r="N852" s="540"/>
      <c r="O852" s="540"/>
      <c r="P852" s="540"/>
      <c r="Q852" s="540"/>
      <c r="R852" s="540"/>
      <c r="S852" s="540"/>
      <c r="T852" s="540"/>
      <c r="U852" s="540"/>
      <c r="V852" s="540"/>
      <c r="W852" s="540"/>
      <c r="X852" s="540"/>
      <c r="Y852" s="540"/>
      <c r="Z852" s="540"/>
    </row>
    <row r="853" ht="14.25" customHeight="1">
      <c r="A853" s="540"/>
      <c r="B853" s="540"/>
      <c r="C853" s="540"/>
      <c r="D853" s="540"/>
      <c r="E853" s="540"/>
      <c r="F853" s="540"/>
      <c r="G853" s="540"/>
      <c r="H853" s="540"/>
      <c r="I853" s="540"/>
      <c r="J853" s="540"/>
      <c r="K853" s="540"/>
      <c r="L853" s="540"/>
      <c r="M853" s="540"/>
      <c r="N853" s="540"/>
      <c r="O853" s="540"/>
      <c r="P853" s="540"/>
      <c r="Q853" s="540"/>
      <c r="R853" s="540"/>
      <c r="S853" s="540"/>
      <c r="T853" s="540"/>
      <c r="U853" s="540"/>
      <c r="V853" s="540"/>
      <c r="W853" s="540"/>
      <c r="X853" s="540"/>
      <c r="Y853" s="540"/>
      <c r="Z853" s="540"/>
    </row>
    <row r="854" ht="14.25" customHeight="1">
      <c r="A854" s="540"/>
      <c r="B854" s="540"/>
      <c r="C854" s="540"/>
      <c r="D854" s="540"/>
      <c r="E854" s="540"/>
      <c r="F854" s="540"/>
      <c r="G854" s="540"/>
      <c r="H854" s="540"/>
      <c r="I854" s="540"/>
      <c r="J854" s="540"/>
      <c r="K854" s="540"/>
      <c r="L854" s="540"/>
      <c r="M854" s="540"/>
      <c r="N854" s="540"/>
      <c r="O854" s="540"/>
      <c r="P854" s="540"/>
      <c r="Q854" s="540"/>
      <c r="R854" s="540"/>
      <c r="S854" s="540"/>
      <c r="T854" s="540"/>
      <c r="U854" s="540"/>
      <c r="V854" s="540"/>
      <c r="W854" s="540"/>
      <c r="X854" s="540"/>
      <c r="Y854" s="540"/>
      <c r="Z854" s="540"/>
    </row>
    <row r="855" ht="14.25" customHeight="1">
      <c r="A855" s="540"/>
      <c r="B855" s="540"/>
      <c r="C855" s="540"/>
      <c r="D855" s="540"/>
      <c r="E855" s="540"/>
      <c r="F855" s="540"/>
      <c r="G855" s="540"/>
      <c r="H855" s="540"/>
      <c r="I855" s="540"/>
      <c r="J855" s="540"/>
      <c r="K855" s="540"/>
      <c r="L855" s="540"/>
      <c r="M855" s="540"/>
      <c r="N855" s="540"/>
      <c r="O855" s="540"/>
      <c r="P855" s="540"/>
      <c r="Q855" s="540"/>
      <c r="R855" s="540"/>
      <c r="S855" s="540"/>
      <c r="T855" s="540"/>
      <c r="U855" s="540"/>
      <c r="V855" s="540"/>
      <c r="W855" s="540"/>
      <c r="X855" s="540"/>
      <c r="Y855" s="540"/>
      <c r="Z855" s="540"/>
    </row>
    <row r="856" ht="14.25" customHeight="1">
      <c r="A856" s="540"/>
      <c r="B856" s="540"/>
      <c r="C856" s="540"/>
      <c r="D856" s="540"/>
      <c r="E856" s="540"/>
      <c r="F856" s="540"/>
      <c r="G856" s="540"/>
      <c r="H856" s="540"/>
      <c r="I856" s="540"/>
      <c r="J856" s="540"/>
      <c r="K856" s="540"/>
      <c r="L856" s="540"/>
      <c r="M856" s="540"/>
      <c r="N856" s="540"/>
      <c r="O856" s="540"/>
      <c r="P856" s="540"/>
      <c r="Q856" s="540"/>
      <c r="R856" s="540"/>
      <c r="S856" s="540"/>
      <c r="T856" s="540"/>
      <c r="U856" s="540"/>
      <c r="V856" s="540"/>
      <c r="W856" s="540"/>
      <c r="X856" s="540"/>
      <c r="Y856" s="540"/>
      <c r="Z856" s="540"/>
    </row>
    <row r="857" ht="14.25" customHeight="1">
      <c r="A857" s="540"/>
      <c r="B857" s="540"/>
      <c r="C857" s="540"/>
      <c r="D857" s="540"/>
      <c r="E857" s="540"/>
      <c r="F857" s="540"/>
      <c r="G857" s="540"/>
      <c r="H857" s="540"/>
      <c r="I857" s="540"/>
      <c r="J857" s="540"/>
      <c r="K857" s="540"/>
      <c r="L857" s="540"/>
      <c r="M857" s="540"/>
      <c r="N857" s="540"/>
      <c r="O857" s="540"/>
      <c r="P857" s="540"/>
      <c r="Q857" s="540"/>
      <c r="R857" s="540"/>
      <c r="S857" s="540"/>
      <c r="T857" s="540"/>
      <c r="U857" s="540"/>
      <c r="V857" s="540"/>
      <c r="W857" s="540"/>
      <c r="X857" s="540"/>
      <c r="Y857" s="540"/>
      <c r="Z857" s="540"/>
    </row>
    <row r="858" ht="14.25" customHeight="1">
      <c r="A858" s="540"/>
      <c r="B858" s="540"/>
      <c r="C858" s="540"/>
      <c r="D858" s="540"/>
      <c r="E858" s="540"/>
      <c r="F858" s="540"/>
      <c r="G858" s="540"/>
      <c r="H858" s="540"/>
      <c r="I858" s="540"/>
      <c r="J858" s="540"/>
      <c r="K858" s="540"/>
      <c r="L858" s="540"/>
      <c r="M858" s="540"/>
      <c r="N858" s="540"/>
      <c r="O858" s="540"/>
      <c r="P858" s="540"/>
      <c r="Q858" s="540"/>
      <c r="R858" s="540"/>
      <c r="S858" s="540"/>
      <c r="T858" s="540"/>
      <c r="U858" s="540"/>
      <c r="V858" s="540"/>
      <c r="W858" s="540"/>
      <c r="X858" s="540"/>
      <c r="Y858" s="540"/>
      <c r="Z858" s="540"/>
    </row>
    <row r="859" ht="14.25" customHeight="1">
      <c r="A859" s="540"/>
      <c r="B859" s="540"/>
      <c r="C859" s="540"/>
      <c r="D859" s="540"/>
      <c r="E859" s="540"/>
      <c r="F859" s="540"/>
      <c r="G859" s="540"/>
      <c r="H859" s="540"/>
      <c r="I859" s="540"/>
      <c r="J859" s="540"/>
      <c r="K859" s="540"/>
      <c r="L859" s="540"/>
      <c r="M859" s="540"/>
      <c r="N859" s="540"/>
      <c r="O859" s="540"/>
      <c r="P859" s="540"/>
      <c r="Q859" s="540"/>
      <c r="R859" s="540"/>
      <c r="S859" s="540"/>
      <c r="T859" s="540"/>
      <c r="U859" s="540"/>
      <c r="V859" s="540"/>
      <c r="W859" s="540"/>
      <c r="X859" s="540"/>
      <c r="Y859" s="540"/>
      <c r="Z859" s="540"/>
    </row>
    <row r="860" ht="14.25" customHeight="1">
      <c r="A860" s="540"/>
      <c r="B860" s="540"/>
      <c r="C860" s="540"/>
      <c r="D860" s="540"/>
      <c r="E860" s="540"/>
      <c r="F860" s="540"/>
      <c r="G860" s="540"/>
      <c r="H860" s="540"/>
      <c r="I860" s="540"/>
      <c r="J860" s="540"/>
      <c r="K860" s="540"/>
      <c r="L860" s="540"/>
      <c r="M860" s="540"/>
      <c r="N860" s="540"/>
      <c r="O860" s="540"/>
      <c r="P860" s="540"/>
      <c r="Q860" s="540"/>
      <c r="R860" s="540"/>
      <c r="S860" s="540"/>
      <c r="T860" s="540"/>
      <c r="U860" s="540"/>
      <c r="V860" s="540"/>
      <c r="W860" s="540"/>
      <c r="X860" s="540"/>
      <c r="Y860" s="540"/>
      <c r="Z860" s="540"/>
    </row>
    <row r="861" ht="14.25" customHeight="1">
      <c r="A861" s="540"/>
      <c r="B861" s="540"/>
      <c r="C861" s="540"/>
      <c r="D861" s="540"/>
      <c r="E861" s="540"/>
      <c r="F861" s="540"/>
      <c r="G861" s="540"/>
      <c r="H861" s="540"/>
      <c r="I861" s="540"/>
      <c r="J861" s="540"/>
      <c r="K861" s="540"/>
      <c r="L861" s="540"/>
      <c r="M861" s="540"/>
      <c r="N861" s="540"/>
      <c r="O861" s="540"/>
      <c r="P861" s="540"/>
      <c r="Q861" s="540"/>
      <c r="R861" s="540"/>
      <c r="S861" s="540"/>
      <c r="T861" s="540"/>
      <c r="U861" s="540"/>
      <c r="V861" s="540"/>
      <c r="W861" s="540"/>
      <c r="X861" s="540"/>
      <c r="Y861" s="540"/>
      <c r="Z861" s="540"/>
    </row>
    <row r="862" ht="14.25" customHeight="1">
      <c r="A862" s="540"/>
      <c r="B862" s="540"/>
      <c r="C862" s="540"/>
      <c r="D862" s="540"/>
      <c r="E862" s="540"/>
      <c r="F862" s="540"/>
      <c r="G862" s="540"/>
      <c r="H862" s="540"/>
      <c r="I862" s="540"/>
      <c r="J862" s="540"/>
      <c r="K862" s="540"/>
      <c r="L862" s="540"/>
      <c r="M862" s="540"/>
      <c r="N862" s="540"/>
      <c r="O862" s="540"/>
      <c r="P862" s="540"/>
      <c r="Q862" s="540"/>
      <c r="R862" s="540"/>
      <c r="S862" s="540"/>
      <c r="T862" s="540"/>
      <c r="U862" s="540"/>
      <c r="V862" s="540"/>
      <c r="W862" s="540"/>
      <c r="X862" s="540"/>
      <c r="Y862" s="540"/>
      <c r="Z862" s="540"/>
    </row>
    <row r="863" ht="14.25" customHeight="1">
      <c r="A863" s="540"/>
      <c r="B863" s="540"/>
      <c r="C863" s="540"/>
      <c r="D863" s="540"/>
      <c r="E863" s="540"/>
      <c r="F863" s="540"/>
      <c r="G863" s="540"/>
      <c r="H863" s="540"/>
      <c r="I863" s="540"/>
      <c r="J863" s="540"/>
      <c r="K863" s="540"/>
      <c r="L863" s="540"/>
      <c r="M863" s="540"/>
      <c r="N863" s="540"/>
      <c r="O863" s="540"/>
      <c r="P863" s="540"/>
      <c r="Q863" s="540"/>
      <c r="R863" s="540"/>
      <c r="S863" s="540"/>
      <c r="T863" s="540"/>
      <c r="U863" s="540"/>
      <c r="V863" s="540"/>
      <c r="W863" s="540"/>
      <c r="X863" s="540"/>
      <c r="Y863" s="540"/>
      <c r="Z863" s="540"/>
    </row>
    <row r="864" ht="14.25" customHeight="1">
      <c r="A864" s="540"/>
      <c r="B864" s="540"/>
      <c r="C864" s="540"/>
      <c r="D864" s="540"/>
      <c r="E864" s="540"/>
      <c r="F864" s="540"/>
      <c r="G864" s="540"/>
      <c r="H864" s="540"/>
      <c r="I864" s="540"/>
      <c r="J864" s="540"/>
      <c r="K864" s="540"/>
      <c r="L864" s="540"/>
      <c r="M864" s="540"/>
      <c r="N864" s="540"/>
      <c r="O864" s="540"/>
      <c r="P864" s="540"/>
      <c r="Q864" s="540"/>
      <c r="R864" s="540"/>
      <c r="S864" s="540"/>
      <c r="T864" s="540"/>
      <c r="U864" s="540"/>
      <c r="V864" s="540"/>
      <c r="W864" s="540"/>
      <c r="X864" s="540"/>
      <c r="Y864" s="540"/>
      <c r="Z864" s="540"/>
    </row>
    <row r="865" ht="14.25" customHeight="1">
      <c r="A865" s="540"/>
      <c r="B865" s="540"/>
      <c r="C865" s="540"/>
      <c r="D865" s="540"/>
      <c r="E865" s="540"/>
      <c r="F865" s="540"/>
      <c r="G865" s="540"/>
      <c r="H865" s="540"/>
      <c r="I865" s="540"/>
      <c r="J865" s="540"/>
      <c r="K865" s="540"/>
      <c r="L865" s="540"/>
      <c r="M865" s="540"/>
      <c r="N865" s="540"/>
      <c r="O865" s="540"/>
      <c r="P865" s="540"/>
      <c r="Q865" s="540"/>
      <c r="R865" s="540"/>
      <c r="S865" s="540"/>
      <c r="T865" s="540"/>
      <c r="U865" s="540"/>
      <c r="V865" s="540"/>
      <c r="W865" s="540"/>
      <c r="X865" s="540"/>
      <c r="Y865" s="540"/>
      <c r="Z865" s="540"/>
    </row>
    <row r="866" ht="14.25" customHeight="1">
      <c r="A866" s="540"/>
      <c r="B866" s="540"/>
      <c r="C866" s="540"/>
      <c r="D866" s="540"/>
      <c r="E866" s="540"/>
      <c r="F866" s="540"/>
      <c r="G866" s="540"/>
      <c r="H866" s="540"/>
      <c r="I866" s="540"/>
      <c r="J866" s="540"/>
      <c r="K866" s="540"/>
      <c r="L866" s="540"/>
      <c r="M866" s="540"/>
      <c r="N866" s="540"/>
      <c r="O866" s="540"/>
      <c r="P866" s="540"/>
      <c r="Q866" s="540"/>
      <c r="R866" s="540"/>
      <c r="S866" s="540"/>
      <c r="T866" s="540"/>
      <c r="U866" s="540"/>
      <c r="V866" s="540"/>
      <c r="W866" s="540"/>
      <c r="X866" s="540"/>
      <c r="Y866" s="540"/>
      <c r="Z866" s="540"/>
    </row>
    <row r="867" ht="14.25" customHeight="1">
      <c r="A867" s="540"/>
      <c r="B867" s="540"/>
      <c r="C867" s="540"/>
      <c r="D867" s="540"/>
      <c r="E867" s="540"/>
      <c r="F867" s="540"/>
      <c r="G867" s="540"/>
      <c r="H867" s="540"/>
      <c r="I867" s="540"/>
      <c r="J867" s="540"/>
      <c r="K867" s="540"/>
      <c r="L867" s="540"/>
      <c r="M867" s="540"/>
      <c r="N867" s="540"/>
      <c r="O867" s="540"/>
      <c r="P867" s="540"/>
      <c r="Q867" s="540"/>
      <c r="R867" s="540"/>
      <c r="S867" s="540"/>
      <c r="T867" s="540"/>
      <c r="U867" s="540"/>
      <c r="V867" s="540"/>
      <c r="W867" s="540"/>
      <c r="X867" s="540"/>
      <c r="Y867" s="540"/>
      <c r="Z867" s="540"/>
    </row>
    <row r="868" ht="14.25" customHeight="1">
      <c r="A868" s="540"/>
      <c r="B868" s="540"/>
      <c r="C868" s="540"/>
      <c r="D868" s="540"/>
      <c r="E868" s="540"/>
      <c r="F868" s="540"/>
      <c r="G868" s="540"/>
      <c r="H868" s="540"/>
      <c r="I868" s="540"/>
      <c r="J868" s="540"/>
      <c r="K868" s="540"/>
      <c r="L868" s="540"/>
      <c r="M868" s="540"/>
      <c r="N868" s="540"/>
      <c r="O868" s="540"/>
      <c r="P868" s="540"/>
      <c r="Q868" s="540"/>
      <c r="R868" s="540"/>
      <c r="S868" s="540"/>
      <c r="T868" s="540"/>
      <c r="U868" s="540"/>
      <c r="V868" s="540"/>
      <c r="W868" s="540"/>
      <c r="X868" s="540"/>
      <c r="Y868" s="540"/>
      <c r="Z868" s="540"/>
    </row>
    <row r="869" ht="14.25" customHeight="1">
      <c r="A869" s="540"/>
      <c r="B869" s="540"/>
      <c r="C869" s="540"/>
      <c r="D869" s="540"/>
      <c r="E869" s="540"/>
      <c r="F869" s="540"/>
      <c r="G869" s="540"/>
      <c r="H869" s="540"/>
      <c r="I869" s="540"/>
      <c r="J869" s="540"/>
      <c r="K869" s="540"/>
      <c r="L869" s="540"/>
      <c r="M869" s="540"/>
      <c r="N869" s="540"/>
      <c r="O869" s="540"/>
      <c r="P869" s="540"/>
      <c r="Q869" s="540"/>
      <c r="R869" s="540"/>
      <c r="S869" s="540"/>
      <c r="T869" s="540"/>
      <c r="U869" s="540"/>
      <c r="V869" s="540"/>
      <c r="W869" s="540"/>
      <c r="X869" s="540"/>
      <c r="Y869" s="540"/>
      <c r="Z869" s="540"/>
    </row>
    <row r="870" ht="14.25" customHeight="1">
      <c r="A870" s="540"/>
      <c r="B870" s="540"/>
      <c r="C870" s="540"/>
      <c r="D870" s="540"/>
      <c r="E870" s="540"/>
      <c r="F870" s="540"/>
      <c r="G870" s="540"/>
      <c r="H870" s="540"/>
      <c r="I870" s="540"/>
      <c r="J870" s="540"/>
      <c r="K870" s="540"/>
      <c r="L870" s="540"/>
      <c r="M870" s="540"/>
      <c r="N870" s="540"/>
      <c r="O870" s="540"/>
      <c r="P870" s="540"/>
      <c r="Q870" s="540"/>
      <c r="R870" s="540"/>
      <c r="S870" s="540"/>
      <c r="T870" s="540"/>
      <c r="U870" s="540"/>
      <c r="V870" s="540"/>
      <c r="W870" s="540"/>
      <c r="X870" s="540"/>
      <c r="Y870" s="540"/>
      <c r="Z870" s="540"/>
    </row>
    <row r="871" ht="14.25" customHeight="1">
      <c r="A871" s="540"/>
      <c r="B871" s="540"/>
      <c r="C871" s="540"/>
      <c r="D871" s="540"/>
      <c r="E871" s="540"/>
      <c r="F871" s="540"/>
      <c r="G871" s="540"/>
      <c r="H871" s="540"/>
      <c r="I871" s="540"/>
      <c r="J871" s="540"/>
      <c r="K871" s="540"/>
      <c r="L871" s="540"/>
      <c r="M871" s="540"/>
      <c r="N871" s="540"/>
      <c r="O871" s="540"/>
      <c r="P871" s="540"/>
      <c r="Q871" s="540"/>
      <c r="R871" s="540"/>
      <c r="S871" s="540"/>
      <c r="T871" s="540"/>
      <c r="U871" s="540"/>
      <c r="V871" s="540"/>
      <c r="W871" s="540"/>
      <c r="X871" s="540"/>
      <c r="Y871" s="540"/>
      <c r="Z871" s="540"/>
    </row>
    <row r="872" ht="14.25" customHeight="1">
      <c r="A872" s="540"/>
      <c r="B872" s="540"/>
      <c r="C872" s="540"/>
      <c r="D872" s="540"/>
      <c r="E872" s="540"/>
      <c r="F872" s="540"/>
      <c r="G872" s="540"/>
      <c r="H872" s="540"/>
      <c r="I872" s="540"/>
      <c r="J872" s="540"/>
      <c r="K872" s="540"/>
      <c r="L872" s="540"/>
      <c r="M872" s="540"/>
      <c r="N872" s="540"/>
      <c r="O872" s="540"/>
      <c r="P872" s="540"/>
      <c r="Q872" s="540"/>
      <c r="R872" s="540"/>
      <c r="S872" s="540"/>
      <c r="T872" s="540"/>
      <c r="U872" s="540"/>
      <c r="V872" s="540"/>
      <c r="W872" s="540"/>
      <c r="X872" s="540"/>
      <c r="Y872" s="540"/>
      <c r="Z872" s="540"/>
    </row>
    <row r="873" ht="14.25" customHeight="1">
      <c r="A873" s="540"/>
      <c r="B873" s="540"/>
      <c r="C873" s="540"/>
      <c r="D873" s="540"/>
      <c r="E873" s="540"/>
      <c r="F873" s="540"/>
      <c r="G873" s="540"/>
      <c r="H873" s="540"/>
      <c r="I873" s="540"/>
      <c r="J873" s="540"/>
      <c r="K873" s="540"/>
      <c r="L873" s="540"/>
      <c r="M873" s="540"/>
      <c r="N873" s="540"/>
      <c r="O873" s="540"/>
      <c r="P873" s="540"/>
      <c r="Q873" s="540"/>
      <c r="R873" s="540"/>
      <c r="S873" s="540"/>
      <c r="T873" s="540"/>
      <c r="U873" s="540"/>
      <c r="V873" s="540"/>
      <c r="W873" s="540"/>
      <c r="X873" s="540"/>
      <c r="Y873" s="540"/>
      <c r="Z873" s="540"/>
    </row>
    <row r="874" ht="14.25" customHeight="1">
      <c r="A874" s="540"/>
      <c r="B874" s="540"/>
      <c r="C874" s="540"/>
      <c r="D874" s="540"/>
      <c r="E874" s="540"/>
      <c r="F874" s="540"/>
      <c r="G874" s="540"/>
      <c r="H874" s="540"/>
      <c r="I874" s="540"/>
      <c r="J874" s="540"/>
      <c r="K874" s="540"/>
      <c r="L874" s="540"/>
      <c r="M874" s="540"/>
      <c r="N874" s="540"/>
      <c r="O874" s="540"/>
      <c r="P874" s="540"/>
      <c r="Q874" s="540"/>
      <c r="R874" s="540"/>
      <c r="S874" s="540"/>
      <c r="T874" s="540"/>
      <c r="U874" s="540"/>
      <c r="V874" s="540"/>
      <c r="W874" s="540"/>
      <c r="X874" s="540"/>
      <c r="Y874" s="540"/>
      <c r="Z874" s="540"/>
    </row>
    <row r="875" ht="14.25" customHeight="1">
      <c r="A875" s="540"/>
      <c r="B875" s="540"/>
      <c r="C875" s="540"/>
      <c r="D875" s="540"/>
      <c r="E875" s="540"/>
      <c r="F875" s="540"/>
      <c r="G875" s="540"/>
      <c r="H875" s="540"/>
      <c r="I875" s="540"/>
      <c r="J875" s="540"/>
      <c r="K875" s="540"/>
      <c r="L875" s="540"/>
      <c r="M875" s="540"/>
      <c r="N875" s="540"/>
      <c r="O875" s="540"/>
      <c r="P875" s="540"/>
      <c r="Q875" s="540"/>
      <c r="R875" s="540"/>
      <c r="S875" s="540"/>
      <c r="T875" s="540"/>
      <c r="U875" s="540"/>
      <c r="V875" s="540"/>
      <c r="W875" s="540"/>
      <c r="X875" s="540"/>
      <c r="Y875" s="540"/>
      <c r="Z875" s="540"/>
    </row>
    <row r="876" ht="14.25" customHeight="1">
      <c r="A876" s="540"/>
      <c r="B876" s="540"/>
      <c r="C876" s="540"/>
      <c r="D876" s="540"/>
      <c r="E876" s="540"/>
      <c r="F876" s="540"/>
      <c r="G876" s="540"/>
      <c r="H876" s="540"/>
      <c r="I876" s="540"/>
      <c r="J876" s="540"/>
      <c r="K876" s="540"/>
      <c r="L876" s="540"/>
      <c r="M876" s="540"/>
      <c r="N876" s="540"/>
      <c r="O876" s="540"/>
      <c r="P876" s="540"/>
      <c r="Q876" s="540"/>
      <c r="R876" s="540"/>
      <c r="S876" s="540"/>
      <c r="T876" s="540"/>
      <c r="U876" s="540"/>
      <c r="V876" s="540"/>
      <c r="W876" s="540"/>
      <c r="X876" s="540"/>
      <c r="Y876" s="540"/>
      <c r="Z876" s="540"/>
    </row>
    <row r="877" ht="14.25" customHeight="1">
      <c r="A877" s="540"/>
      <c r="B877" s="540"/>
      <c r="C877" s="540"/>
      <c r="D877" s="540"/>
      <c r="E877" s="540"/>
      <c r="F877" s="540"/>
      <c r="G877" s="540"/>
      <c r="H877" s="540"/>
      <c r="I877" s="540"/>
      <c r="J877" s="540"/>
      <c r="K877" s="540"/>
      <c r="L877" s="540"/>
      <c r="M877" s="540"/>
      <c r="N877" s="540"/>
      <c r="O877" s="540"/>
      <c r="P877" s="540"/>
      <c r="Q877" s="540"/>
      <c r="R877" s="540"/>
      <c r="S877" s="540"/>
      <c r="T877" s="540"/>
      <c r="U877" s="540"/>
      <c r="V877" s="540"/>
      <c r="W877" s="540"/>
      <c r="X877" s="540"/>
      <c r="Y877" s="540"/>
      <c r="Z877" s="540"/>
    </row>
    <row r="878" ht="14.25" customHeight="1">
      <c r="A878" s="540"/>
      <c r="B878" s="540"/>
      <c r="C878" s="540"/>
      <c r="D878" s="540"/>
      <c r="E878" s="540"/>
      <c r="F878" s="540"/>
      <c r="G878" s="540"/>
      <c r="H878" s="540"/>
      <c r="I878" s="540"/>
      <c r="J878" s="540"/>
      <c r="K878" s="540"/>
      <c r="L878" s="540"/>
      <c r="M878" s="540"/>
      <c r="N878" s="540"/>
      <c r="O878" s="540"/>
      <c r="P878" s="540"/>
      <c r="Q878" s="540"/>
      <c r="R878" s="540"/>
      <c r="S878" s="540"/>
      <c r="T878" s="540"/>
      <c r="U878" s="540"/>
      <c r="V878" s="540"/>
      <c r="W878" s="540"/>
      <c r="X878" s="540"/>
      <c r="Y878" s="540"/>
      <c r="Z878" s="540"/>
    </row>
    <row r="879" ht="14.25" customHeight="1">
      <c r="A879" s="540"/>
      <c r="B879" s="540"/>
      <c r="C879" s="540"/>
      <c r="D879" s="540"/>
      <c r="E879" s="540"/>
      <c r="F879" s="540"/>
      <c r="G879" s="540"/>
      <c r="H879" s="540"/>
      <c r="I879" s="540"/>
      <c r="J879" s="540"/>
      <c r="K879" s="540"/>
      <c r="L879" s="540"/>
      <c r="M879" s="540"/>
      <c r="N879" s="540"/>
      <c r="O879" s="540"/>
      <c r="P879" s="540"/>
      <c r="Q879" s="540"/>
      <c r="R879" s="540"/>
      <c r="S879" s="540"/>
      <c r="T879" s="540"/>
      <c r="U879" s="540"/>
      <c r="V879" s="540"/>
      <c r="W879" s="540"/>
      <c r="X879" s="540"/>
      <c r="Y879" s="540"/>
      <c r="Z879" s="540"/>
    </row>
    <row r="880" ht="14.25" customHeight="1">
      <c r="A880" s="540"/>
      <c r="B880" s="540"/>
      <c r="C880" s="540"/>
      <c r="D880" s="540"/>
      <c r="E880" s="540"/>
      <c r="F880" s="540"/>
      <c r="G880" s="540"/>
      <c r="H880" s="540"/>
      <c r="I880" s="540"/>
      <c r="J880" s="540"/>
      <c r="K880" s="540"/>
      <c r="L880" s="540"/>
      <c r="M880" s="540"/>
      <c r="N880" s="540"/>
      <c r="O880" s="540"/>
      <c r="P880" s="540"/>
      <c r="Q880" s="540"/>
      <c r="R880" s="540"/>
      <c r="S880" s="540"/>
      <c r="T880" s="540"/>
      <c r="U880" s="540"/>
      <c r="V880" s="540"/>
      <c r="W880" s="540"/>
      <c r="X880" s="540"/>
      <c r="Y880" s="540"/>
      <c r="Z880" s="540"/>
    </row>
    <row r="881" ht="14.25" customHeight="1">
      <c r="A881" s="540"/>
      <c r="B881" s="540"/>
      <c r="C881" s="540"/>
      <c r="D881" s="540"/>
      <c r="E881" s="540"/>
      <c r="F881" s="540"/>
      <c r="G881" s="540"/>
      <c r="H881" s="540"/>
      <c r="I881" s="540"/>
      <c r="J881" s="540"/>
      <c r="K881" s="540"/>
      <c r="L881" s="540"/>
      <c r="M881" s="540"/>
      <c r="N881" s="540"/>
      <c r="O881" s="540"/>
      <c r="P881" s="540"/>
      <c r="Q881" s="540"/>
      <c r="R881" s="540"/>
      <c r="S881" s="540"/>
      <c r="T881" s="540"/>
      <c r="U881" s="540"/>
      <c r="V881" s="540"/>
      <c r="W881" s="540"/>
      <c r="X881" s="540"/>
      <c r="Y881" s="540"/>
      <c r="Z881" s="540"/>
    </row>
    <row r="882" ht="14.25" customHeight="1">
      <c r="A882" s="540"/>
      <c r="B882" s="540"/>
      <c r="C882" s="540"/>
      <c r="D882" s="540"/>
      <c r="E882" s="540"/>
      <c r="F882" s="540"/>
      <c r="G882" s="540"/>
      <c r="H882" s="540"/>
      <c r="I882" s="540"/>
      <c r="J882" s="540"/>
      <c r="K882" s="540"/>
      <c r="L882" s="540"/>
      <c r="M882" s="540"/>
      <c r="N882" s="540"/>
      <c r="O882" s="540"/>
      <c r="P882" s="540"/>
      <c r="Q882" s="540"/>
      <c r="R882" s="540"/>
      <c r="S882" s="540"/>
      <c r="T882" s="540"/>
      <c r="U882" s="540"/>
      <c r="V882" s="540"/>
      <c r="W882" s="540"/>
      <c r="X882" s="540"/>
      <c r="Y882" s="540"/>
      <c r="Z882" s="540"/>
    </row>
    <row r="883" ht="14.25" customHeight="1">
      <c r="A883" s="540"/>
      <c r="B883" s="540"/>
      <c r="C883" s="540"/>
      <c r="D883" s="540"/>
      <c r="E883" s="540"/>
      <c r="F883" s="540"/>
      <c r="G883" s="540"/>
      <c r="H883" s="540"/>
      <c r="I883" s="540"/>
      <c r="J883" s="540"/>
      <c r="K883" s="540"/>
      <c r="L883" s="540"/>
      <c r="M883" s="540"/>
      <c r="N883" s="540"/>
      <c r="O883" s="540"/>
      <c r="P883" s="540"/>
      <c r="Q883" s="540"/>
      <c r="R883" s="540"/>
      <c r="S883" s="540"/>
      <c r="T883" s="540"/>
      <c r="U883" s="540"/>
      <c r="V883" s="540"/>
      <c r="W883" s="540"/>
      <c r="X883" s="540"/>
      <c r="Y883" s="540"/>
      <c r="Z883" s="540"/>
    </row>
    <row r="884" ht="14.25" customHeight="1">
      <c r="A884" s="540"/>
      <c r="B884" s="540"/>
      <c r="C884" s="540"/>
      <c r="D884" s="540"/>
      <c r="E884" s="540"/>
      <c r="F884" s="540"/>
      <c r="G884" s="540"/>
      <c r="H884" s="540"/>
      <c r="I884" s="540"/>
      <c r="J884" s="540"/>
      <c r="K884" s="540"/>
      <c r="L884" s="540"/>
      <c r="M884" s="540"/>
      <c r="N884" s="540"/>
      <c r="O884" s="540"/>
      <c r="P884" s="540"/>
      <c r="Q884" s="540"/>
      <c r="R884" s="540"/>
      <c r="S884" s="540"/>
      <c r="T884" s="540"/>
      <c r="U884" s="540"/>
      <c r="V884" s="540"/>
      <c r="W884" s="540"/>
      <c r="X884" s="540"/>
      <c r="Y884" s="540"/>
      <c r="Z884" s="540"/>
    </row>
    <row r="885" ht="14.25" customHeight="1">
      <c r="A885" s="540"/>
      <c r="B885" s="540"/>
      <c r="C885" s="540"/>
      <c r="D885" s="540"/>
      <c r="E885" s="540"/>
      <c r="F885" s="540"/>
      <c r="G885" s="540"/>
      <c r="H885" s="540"/>
      <c r="I885" s="540"/>
      <c r="J885" s="540"/>
      <c r="K885" s="540"/>
      <c r="L885" s="540"/>
      <c r="M885" s="540"/>
      <c r="N885" s="540"/>
      <c r="O885" s="540"/>
      <c r="P885" s="540"/>
      <c r="Q885" s="540"/>
      <c r="R885" s="540"/>
      <c r="S885" s="540"/>
      <c r="T885" s="540"/>
      <c r="U885" s="540"/>
      <c r="V885" s="540"/>
      <c r="W885" s="540"/>
      <c r="X885" s="540"/>
      <c r="Y885" s="540"/>
      <c r="Z885" s="540"/>
    </row>
    <row r="886" ht="14.25" customHeight="1">
      <c r="A886" s="540"/>
      <c r="B886" s="540"/>
      <c r="C886" s="540"/>
      <c r="D886" s="540"/>
      <c r="E886" s="540"/>
      <c r="F886" s="540"/>
      <c r="G886" s="540"/>
      <c r="H886" s="540"/>
      <c r="I886" s="540"/>
      <c r="J886" s="540"/>
      <c r="K886" s="540"/>
      <c r="L886" s="540"/>
      <c r="M886" s="540"/>
      <c r="N886" s="540"/>
      <c r="O886" s="540"/>
      <c r="P886" s="540"/>
      <c r="Q886" s="540"/>
      <c r="R886" s="540"/>
      <c r="S886" s="540"/>
      <c r="T886" s="540"/>
      <c r="U886" s="540"/>
      <c r="V886" s="540"/>
      <c r="W886" s="540"/>
      <c r="X886" s="540"/>
      <c r="Y886" s="540"/>
      <c r="Z886" s="540"/>
    </row>
    <row r="887" ht="14.25" customHeight="1">
      <c r="A887" s="540"/>
      <c r="B887" s="540"/>
      <c r="C887" s="540"/>
      <c r="D887" s="540"/>
      <c r="E887" s="540"/>
      <c r="F887" s="540"/>
      <c r="G887" s="540"/>
      <c r="H887" s="540"/>
      <c r="I887" s="540"/>
      <c r="J887" s="540"/>
      <c r="K887" s="540"/>
      <c r="L887" s="540"/>
      <c r="M887" s="540"/>
      <c r="N887" s="540"/>
      <c r="O887" s="540"/>
      <c r="P887" s="540"/>
      <c r="Q887" s="540"/>
      <c r="R887" s="540"/>
      <c r="S887" s="540"/>
      <c r="T887" s="540"/>
      <c r="U887" s="540"/>
      <c r="V887" s="540"/>
      <c r="W887" s="540"/>
      <c r="X887" s="540"/>
      <c r="Y887" s="540"/>
      <c r="Z887" s="540"/>
    </row>
    <row r="888" ht="14.25" customHeight="1">
      <c r="A888" s="540"/>
      <c r="B888" s="540"/>
      <c r="C888" s="540"/>
      <c r="D888" s="540"/>
      <c r="E888" s="540"/>
      <c r="F888" s="540"/>
      <c r="G888" s="540"/>
      <c r="H888" s="540"/>
      <c r="I888" s="540"/>
      <c r="J888" s="540"/>
      <c r="K888" s="540"/>
      <c r="L888" s="540"/>
      <c r="M888" s="540"/>
      <c r="N888" s="540"/>
      <c r="O888" s="540"/>
      <c r="P888" s="540"/>
      <c r="Q888" s="540"/>
      <c r="R888" s="540"/>
      <c r="S888" s="540"/>
      <c r="T888" s="540"/>
      <c r="U888" s="540"/>
      <c r="V888" s="540"/>
      <c r="W888" s="540"/>
      <c r="X888" s="540"/>
      <c r="Y888" s="540"/>
      <c r="Z888" s="540"/>
    </row>
    <row r="889" ht="14.25" customHeight="1">
      <c r="A889" s="540"/>
      <c r="B889" s="540"/>
      <c r="C889" s="540"/>
      <c r="D889" s="540"/>
      <c r="E889" s="540"/>
      <c r="F889" s="540"/>
      <c r="G889" s="540"/>
      <c r="H889" s="540"/>
      <c r="I889" s="540"/>
      <c r="J889" s="540"/>
      <c r="K889" s="540"/>
      <c r="L889" s="540"/>
      <c r="M889" s="540"/>
      <c r="N889" s="540"/>
      <c r="O889" s="540"/>
      <c r="P889" s="540"/>
      <c r="Q889" s="540"/>
      <c r="R889" s="540"/>
      <c r="S889" s="540"/>
      <c r="T889" s="540"/>
      <c r="U889" s="540"/>
      <c r="V889" s="540"/>
      <c r="W889" s="540"/>
      <c r="X889" s="540"/>
      <c r="Y889" s="540"/>
      <c r="Z889" s="540"/>
    </row>
    <row r="890" ht="14.25" customHeight="1">
      <c r="A890" s="540"/>
      <c r="B890" s="540"/>
      <c r="C890" s="540"/>
      <c r="D890" s="540"/>
      <c r="E890" s="540"/>
      <c r="F890" s="540"/>
      <c r="G890" s="540"/>
      <c r="H890" s="540"/>
      <c r="I890" s="540"/>
      <c r="J890" s="540"/>
      <c r="K890" s="540"/>
      <c r="L890" s="540"/>
      <c r="M890" s="540"/>
      <c r="N890" s="540"/>
      <c r="O890" s="540"/>
      <c r="P890" s="540"/>
      <c r="Q890" s="540"/>
      <c r="R890" s="540"/>
      <c r="S890" s="540"/>
      <c r="T890" s="540"/>
      <c r="U890" s="540"/>
      <c r="V890" s="540"/>
      <c r="W890" s="540"/>
      <c r="X890" s="540"/>
      <c r="Y890" s="540"/>
      <c r="Z890" s="540"/>
    </row>
    <row r="891" ht="14.25" customHeight="1">
      <c r="A891" s="540"/>
      <c r="B891" s="540"/>
      <c r="C891" s="540"/>
      <c r="D891" s="540"/>
      <c r="E891" s="540"/>
      <c r="F891" s="540"/>
      <c r="G891" s="540"/>
      <c r="H891" s="540"/>
      <c r="I891" s="540"/>
      <c r="J891" s="540"/>
      <c r="K891" s="540"/>
      <c r="L891" s="540"/>
      <c r="M891" s="540"/>
      <c r="N891" s="540"/>
      <c r="O891" s="540"/>
      <c r="P891" s="540"/>
      <c r="Q891" s="540"/>
      <c r="R891" s="540"/>
      <c r="S891" s="540"/>
      <c r="T891" s="540"/>
      <c r="U891" s="540"/>
      <c r="V891" s="540"/>
      <c r="W891" s="540"/>
      <c r="X891" s="540"/>
      <c r="Y891" s="540"/>
      <c r="Z891" s="540"/>
    </row>
    <row r="892" ht="14.25" customHeight="1">
      <c r="A892" s="540"/>
      <c r="B892" s="540"/>
      <c r="C892" s="540"/>
      <c r="D892" s="540"/>
      <c r="E892" s="540"/>
      <c r="F892" s="540"/>
      <c r="G892" s="540"/>
      <c r="H892" s="540"/>
      <c r="I892" s="540"/>
      <c r="J892" s="540"/>
      <c r="K892" s="540"/>
      <c r="L892" s="540"/>
      <c r="M892" s="540"/>
      <c r="N892" s="540"/>
      <c r="O892" s="540"/>
      <c r="P892" s="540"/>
      <c r="Q892" s="540"/>
      <c r="R892" s="540"/>
      <c r="S892" s="540"/>
      <c r="T892" s="540"/>
      <c r="U892" s="540"/>
      <c r="V892" s="540"/>
      <c r="W892" s="540"/>
      <c r="X892" s="540"/>
      <c r="Y892" s="540"/>
      <c r="Z892" s="540"/>
    </row>
    <row r="893" ht="14.25" customHeight="1">
      <c r="A893" s="540"/>
      <c r="B893" s="540"/>
      <c r="C893" s="540"/>
      <c r="D893" s="540"/>
      <c r="E893" s="540"/>
      <c r="F893" s="540"/>
      <c r="G893" s="540"/>
      <c r="H893" s="540"/>
      <c r="I893" s="540"/>
      <c r="J893" s="540"/>
      <c r="K893" s="540"/>
      <c r="L893" s="540"/>
      <c r="M893" s="540"/>
      <c r="N893" s="540"/>
      <c r="O893" s="540"/>
      <c r="P893" s="540"/>
      <c r="Q893" s="540"/>
      <c r="R893" s="540"/>
      <c r="S893" s="540"/>
      <c r="T893" s="540"/>
      <c r="U893" s="540"/>
      <c r="V893" s="540"/>
      <c r="W893" s="540"/>
      <c r="X893" s="540"/>
      <c r="Y893" s="540"/>
      <c r="Z893" s="540"/>
    </row>
    <row r="894" ht="14.25" customHeight="1">
      <c r="A894" s="540"/>
      <c r="B894" s="540"/>
      <c r="C894" s="540"/>
      <c r="D894" s="540"/>
      <c r="E894" s="540"/>
      <c r="F894" s="540"/>
      <c r="G894" s="540"/>
      <c r="H894" s="540"/>
      <c r="I894" s="540"/>
      <c r="J894" s="540"/>
      <c r="K894" s="540"/>
      <c r="L894" s="540"/>
      <c r="M894" s="540"/>
      <c r="N894" s="540"/>
      <c r="O894" s="540"/>
      <c r="P894" s="540"/>
      <c r="Q894" s="540"/>
      <c r="R894" s="540"/>
      <c r="S894" s="540"/>
      <c r="T894" s="540"/>
      <c r="U894" s="540"/>
      <c r="V894" s="540"/>
      <c r="W894" s="540"/>
      <c r="X894" s="540"/>
      <c r="Y894" s="540"/>
      <c r="Z894" s="540"/>
    </row>
    <row r="895" ht="14.25" customHeight="1">
      <c r="A895" s="540"/>
      <c r="B895" s="540"/>
      <c r="C895" s="540"/>
      <c r="D895" s="540"/>
      <c r="E895" s="540"/>
      <c r="F895" s="540"/>
      <c r="G895" s="540"/>
      <c r="H895" s="540"/>
      <c r="I895" s="540"/>
      <c r="J895" s="540"/>
      <c r="K895" s="540"/>
      <c r="L895" s="540"/>
      <c r="M895" s="540"/>
      <c r="N895" s="540"/>
      <c r="O895" s="540"/>
      <c r="P895" s="540"/>
      <c r="Q895" s="540"/>
      <c r="R895" s="540"/>
      <c r="S895" s="540"/>
      <c r="T895" s="540"/>
      <c r="U895" s="540"/>
      <c r="V895" s="540"/>
      <c r="W895" s="540"/>
      <c r="X895" s="540"/>
      <c r="Y895" s="540"/>
      <c r="Z895" s="540"/>
    </row>
    <row r="896" ht="14.25" customHeight="1">
      <c r="A896" s="540"/>
      <c r="B896" s="540"/>
      <c r="C896" s="540"/>
      <c r="D896" s="540"/>
      <c r="E896" s="540"/>
      <c r="F896" s="540"/>
      <c r="G896" s="540"/>
      <c r="H896" s="540"/>
      <c r="I896" s="540"/>
      <c r="J896" s="540"/>
      <c r="K896" s="540"/>
      <c r="L896" s="540"/>
      <c r="M896" s="540"/>
      <c r="N896" s="540"/>
      <c r="O896" s="540"/>
      <c r="P896" s="540"/>
      <c r="Q896" s="540"/>
      <c r="R896" s="540"/>
      <c r="S896" s="540"/>
      <c r="T896" s="540"/>
      <c r="U896" s="540"/>
      <c r="V896" s="540"/>
      <c r="W896" s="540"/>
      <c r="X896" s="540"/>
      <c r="Y896" s="540"/>
      <c r="Z896" s="540"/>
    </row>
    <row r="897" ht="14.25" customHeight="1">
      <c r="A897" s="540"/>
      <c r="B897" s="540"/>
      <c r="C897" s="540"/>
      <c r="D897" s="540"/>
      <c r="E897" s="540"/>
      <c r="F897" s="540"/>
      <c r="G897" s="540"/>
      <c r="H897" s="540"/>
      <c r="I897" s="540"/>
      <c r="J897" s="540"/>
      <c r="K897" s="540"/>
      <c r="L897" s="540"/>
      <c r="M897" s="540"/>
      <c r="N897" s="540"/>
      <c r="O897" s="540"/>
      <c r="P897" s="540"/>
      <c r="Q897" s="540"/>
      <c r="R897" s="540"/>
      <c r="S897" s="540"/>
      <c r="T897" s="540"/>
      <c r="U897" s="540"/>
      <c r="V897" s="540"/>
      <c r="W897" s="540"/>
      <c r="X897" s="540"/>
      <c r="Y897" s="540"/>
      <c r="Z897" s="540"/>
    </row>
    <row r="898" ht="14.25" customHeight="1">
      <c r="A898" s="540"/>
      <c r="B898" s="540"/>
      <c r="C898" s="540"/>
      <c r="D898" s="540"/>
      <c r="E898" s="540"/>
      <c r="F898" s="540"/>
      <c r="G898" s="540"/>
      <c r="H898" s="540"/>
      <c r="I898" s="540"/>
      <c r="J898" s="540"/>
      <c r="K898" s="540"/>
      <c r="L898" s="540"/>
      <c r="M898" s="540"/>
      <c r="N898" s="540"/>
      <c r="O898" s="540"/>
      <c r="P898" s="540"/>
      <c r="Q898" s="540"/>
      <c r="R898" s="540"/>
      <c r="S898" s="540"/>
      <c r="T898" s="540"/>
      <c r="U898" s="540"/>
      <c r="V898" s="540"/>
      <c r="W898" s="540"/>
      <c r="X898" s="540"/>
      <c r="Y898" s="540"/>
      <c r="Z898" s="540"/>
    </row>
    <row r="899" ht="14.25" customHeight="1">
      <c r="A899" s="540"/>
      <c r="B899" s="540"/>
      <c r="C899" s="540"/>
      <c r="D899" s="540"/>
      <c r="E899" s="540"/>
      <c r="F899" s="540"/>
      <c r="G899" s="540"/>
      <c r="H899" s="540"/>
      <c r="I899" s="540"/>
      <c r="J899" s="540"/>
      <c r="K899" s="540"/>
      <c r="L899" s="540"/>
      <c r="M899" s="540"/>
      <c r="N899" s="540"/>
      <c r="O899" s="540"/>
      <c r="P899" s="540"/>
      <c r="Q899" s="540"/>
      <c r="R899" s="540"/>
      <c r="S899" s="540"/>
      <c r="T899" s="540"/>
      <c r="U899" s="540"/>
      <c r="V899" s="540"/>
      <c r="W899" s="540"/>
      <c r="X899" s="540"/>
      <c r="Y899" s="540"/>
      <c r="Z899" s="540"/>
    </row>
    <row r="900" ht="14.25" customHeight="1">
      <c r="A900" s="540"/>
      <c r="B900" s="540"/>
      <c r="C900" s="540"/>
      <c r="D900" s="540"/>
      <c r="E900" s="540"/>
      <c r="F900" s="540"/>
      <c r="G900" s="540"/>
      <c r="H900" s="540"/>
      <c r="I900" s="540"/>
      <c r="J900" s="540"/>
      <c r="K900" s="540"/>
      <c r="L900" s="540"/>
      <c r="M900" s="540"/>
      <c r="N900" s="540"/>
      <c r="O900" s="540"/>
      <c r="P900" s="540"/>
      <c r="Q900" s="540"/>
      <c r="R900" s="540"/>
      <c r="S900" s="540"/>
      <c r="T900" s="540"/>
      <c r="U900" s="540"/>
      <c r="V900" s="540"/>
      <c r="W900" s="540"/>
      <c r="X900" s="540"/>
      <c r="Y900" s="540"/>
      <c r="Z900" s="540"/>
    </row>
    <row r="901" ht="14.25" customHeight="1">
      <c r="A901" s="540"/>
      <c r="B901" s="540"/>
      <c r="C901" s="540"/>
      <c r="D901" s="540"/>
      <c r="E901" s="540"/>
      <c r="F901" s="540"/>
      <c r="G901" s="540"/>
      <c r="H901" s="540"/>
      <c r="I901" s="540"/>
      <c r="J901" s="540"/>
      <c r="K901" s="540"/>
      <c r="L901" s="540"/>
      <c r="M901" s="540"/>
      <c r="N901" s="540"/>
      <c r="O901" s="540"/>
      <c r="P901" s="540"/>
      <c r="Q901" s="540"/>
      <c r="R901" s="540"/>
      <c r="S901" s="540"/>
      <c r="T901" s="540"/>
      <c r="U901" s="540"/>
      <c r="V901" s="540"/>
      <c r="W901" s="540"/>
      <c r="X901" s="540"/>
      <c r="Y901" s="540"/>
      <c r="Z901" s="540"/>
    </row>
    <row r="902" ht="14.25" customHeight="1">
      <c r="A902" s="540"/>
      <c r="B902" s="540"/>
      <c r="C902" s="540"/>
      <c r="D902" s="540"/>
      <c r="E902" s="540"/>
      <c r="F902" s="540"/>
      <c r="G902" s="540"/>
      <c r="H902" s="540"/>
      <c r="I902" s="540"/>
      <c r="J902" s="540"/>
      <c r="K902" s="540"/>
      <c r="L902" s="540"/>
      <c r="M902" s="540"/>
      <c r="N902" s="540"/>
      <c r="O902" s="540"/>
      <c r="P902" s="540"/>
      <c r="Q902" s="540"/>
      <c r="R902" s="540"/>
      <c r="S902" s="540"/>
      <c r="T902" s="540"/>
      <c r="U902" s="540"/>
      <c r="V902" s="540"/>
      <c r="W902" s="540"/>
      <c r="X902" s="540"/>
      <c r="Y902" s="540"/>
      <c r="Z902" s="540"/>
    </row>
    <row r="903" ht="14.25" customHeight="1">
      <c r="A903" s="540"/>
      <c r="B903" s="540"/>
      <c r="C903" s="540"/>
      <c r="D903" s="540"/>
      <c r="E903" s="540"/>
      <c r="F903" s="540"/>
      <c r="G903" s="540"/>
      <c r="H903" s="540"/>
      <c r="I903" s="540"/>
      <c r="J903" s="540"/>
      <c r="K903" s="540"/>
      <c r="L903" s="540"/>
      <c r="M903" s="540"/>
      <c r="N903" s="540"/>
      <c r="O903" s="540"/>
      <c r="P903" s="540"/>
      <c r="Q903" s="540"/>
      <c r="R903" s="540"/>
      <c r="S903" s="540"/>
      <c r="T903" s="540"/>
      <c r="U903" s="540"/>
      <c r="V903" s="540"/>
      <c r="W903" s="540"/>
      <c r="X903" s="540"/>
      <c r="Y903" s="540"/>
      <c r="Z903" s="540"/>
    </row>
    <row r="904" ht="14.25" customHeight="1">
      <c r="A904" s="540"/>
      <c r="B904" s="540"/>
      <c r="C904" s="540"/>
      <c r="D904" s="540"/>
      <c r="E904" s="540"/>
      <c r="F904" s="540"/>
      <c r="G904" s="540"/>
      <c r="H904" s="540"/>
      <c r="I904" s="540"/>
      <c r="J904" s="540"/>
      <c r="K904" s="540"/>
      <c r="L904" s="540"/>
      <c r="M904" s="540"/>
      <c r="N904" s="540"/>
      <c r="O904" s="540"/>
      <c r="P904" s="540"/>
      <c r="Q904" s="540"/>
      <c r="R904" s="540"/>
      <c r="S904" s="540"/>
      <c r="T904" s="540"/>
      <c r="U904" s="540"/>
      <c r="V904" s="540"/>
      <c r="W904" s="540"/>
      <c r="X904" s="540"/>
      <c r="Y904" s="540"/>
      <c r="Z904" s="540"/>
    </row>
    <row r="905" ht="14.25" customHeight="1">
      <c r="A905" s="540"/>
      <c r="B905" s="540"/>
      <c r="C905" s="540"/>
      <c r="D905" s="540"/>
      <c r="E905" s="540"/>
      <c r="F905" s="540"/>
      <c r="G905" s="540"/>
      <c r="H905" s="540"/>
      <c r="I905" s="540"/>
      <c r="J905" s="540"/>
      <c r="K905" s="540"/>
      <c r="L905" s="540"/>
      <c r="M905" s="540"/>
      <c r="N905" s="540"/>
      <c r="O905" s="540"/>
      <c r="P905" s="540"/>
      <c r="Q905" s="540"/>
      <c r="R905" s="540"/>
      <c r="S905" s="540"/>
      <c r="T905" s="540"/>
      <c r="U905" s="540"/>
      <c r="V905" s="540"/>
      <c r="W905" s="540"/>
      <c r="X905" s="540"/>
      <c r="Y905" s="540"/>
      <c r="Z905" s="540"/>
    </row>
    <row r="906" ht="14.25" customHeight="1">
      <c r="A906" s="540"/>
      <c r="B906" s="540"/>
      <c r="C906" s="540"/>
      <c r="D906" s="540"/>
      <c r="E906" s="540"/>
      <c r="F906" s="540"/>
      <c r="G906" s="540"/>
      <c r="H906" s="540"/>
      <c r="I906" s="540"/>
      <c r="J906" s="540"/>
      <c r="K906" s="540"/>
      <c r="L906" s="540"/>
      <c r="M906" s="540"/>
      <c r="N906" s="540"/>
      <c r="O906" s="540"/>
      <c r="P906" s="540"/>
      <c r="Q906" s="540"/>
      <c r="R906" s="540"/>
      <c r="S906" s="540"/>
      <c r="T906" s="540"/>
      <c r="U906" s="540"/>
      <c r="V906" s="540"/>
      <c r="W906" s="540"/>
      <c r="X906" s="540"/>
      <c r="Y906" s="540"/>
      <c r="Z906" s="540"/>
    </row>
    <row r="907" ht="14.25" customHeight="1">
      <c r="A907" s="540"/>
      <c r="B907" s="540"/>
      <c r="C907" s="540"/>
      <c r="D907" s="540"/>
      <c r="E907" s="540"/>
      <c r="F907" s="540"/>
      <c r="G907" s="540"/>
      <c r="H907" s="540"/>
      <c r="I907" s="540"/>
      <c r="J907" s="540"/>
      <c r="K907" s="540"/>
      <c r="L907" s="540"/>
      <c r="M907" s="540"/>
      <c r="N907" s="540"/>
      <c r="O907" s="540"/>
      <c r="P907" s="540"/>
      <c r="Q907" s="540"/>
      <c r="R907" s="540"/>
      <c r="S907" s="540"/>
      <c r="T907" s="540"/>
      <c r="U907" s="540"/>
      <c r="V907" s="540"/>
      <c r="W907" s="540"/>
      <c r="X907" s="540"/>
      <c r="Y907" s="540"/>
      <c r="Z907" s="540"/>
    </row>
    <row r="908" ht="14.25" customHeight="1">
      <c r="A908" s="540"/>
      <c r="B908" s="540"/>
      <c r="C908" s="540"/>
      <c r="D908" s="540"/>
      <c r="E908" s="540"/>
      <c r="F908" s="540"/>
      <c r="G908" s="540"/>
      <c r="H908" s="540"/>
      <c r="I908" s="540"/>
      <c r="J908" s="540"/>
      <c r="K908" s="540"/>
      <c r="L908" s="540"/>
      <c r="M908" s="540"/>
      <c r="N908" s="540"/>
      <c r="O908" s="540"/>
      <c r="P908" s="540"/>
      <c r="Q908" s="540"/>
      <c r="R908" s="540"/>
      <c r="S908" s="540"/>
      <c r="T908" s="540"/>
      <c r="U908" s="540"/>
      <c r="V908" s="540"/>
      <c r="W908" s="540"/>
      <c r="X908" s="540"/>
      <c r="Y908" s="540"/>
      <c r="Z908" s="540"/>
    </row>
    <row r="909" ht="14.25" customHeight="1">
      <c r="A909" s="540"/>
      <c r="B909" s="540"/>
      <c r="C909" s="540"/>
      <c r="D909" s="540"/>
      <c r="E909" s="540"/>
      <c r="F909" s="540"/>
      <c r="G909" s="540"/>
      <c r="H909" s="540"/>
      <c r="I909" s="540"/>
      <c r="J909" s="540"/>
      <c r="K909" s="540"/>
      <c r="L909" s="540"/>
      <c r="M909" s="540"/>
      <c r="N909" s="540"/>
      <c r="O909" s="540"/>
      <c r="P909" s="540"/>
      <c r="Q909" s="540"/>
      <c r="R909" s="540"/>
      <c r="S909" s="540"/>
      <c r="T909" s="540"/>
      <c r="U909" s="540"/>
      <c r="V909" s="540"/>
      <c r="W909" s="540"/>
      <c r="X909" s="540"/>
      <c r="Y909" s="540"/>
      <c r="Z909" s="540"/>
    </row>
    <row r="910" ht="14.25" customHeight="1">
      <c r="A910" s="540"/>
      <c r="B910" s="540"/>
      <c r="C910" s="540"/>
      <c r="D910" s="540"/>
      <c r="E910" s="540"/>
      <c r="F910" s="540"/>
      <c r="G910" s="540"/>
      <c r="H910" s="540"/>
      <c r="I910" s="540"/>
      <c r="J910" s="540"/>
      <c r="K910" s="540"/>
      <c r="L910" s="540"/>
      <c r="M910" s="540"/>
      <c r="N910" s="540"/>
      <c r="O910" s="540"/>
      <c r="P910" s="540"/>
      <c r="Q910" s="540"/>
      <c r="R910" s="540"/>
      <c r="S910" s="540"/>
      <c r="T910" s="540"/>
      <c r="U910" s="540"/>
      <c r="V910" s="540"/>
      <c r="W910" s="540"/>
      <c r="X910" s="540"/>
      <c r="Y910" s="540"/>
      <c r="Z910" s="540"/>
    </row>
    <row r="911" ht="14.25" customHeight="1">
      <c r="A911" s="540"/>
      <c r="B911" s="540"/>
      <c r="C911" s="540"/>
      <c r="D911" s="540"/>
      <c r="E911" s="540"/>
      <c r="F911" s="540"/>
      <c r="G911" s="540"/>
      <c r="H911" s="540"/>
      <c r="I911" s="540"/>
      <c r="J911" s="540"/>
      <c r="K911" s="540"/>
      <c r="L911" s="540"/>
      <c r="M911" s="540"/>
      <c r="N911" s="540"/>
      <c r="O911" s="540"/>
      <c r="P911" s="540"/>
      <c r="Q911" s="540"/>
      <c r="R911" s="540"/>
      <c r="S911" s="540"/>
      <c r="T911" s="540"/>
      <c r="U911" s="540"/>
      <c r="V911" s="540"/>
      <c r="W911" s="540"/>
      <c r="X911" s="540"/>
      <c r="Y911" s="540"/>
      <c r="Z911" s="540"/>
    </row>
    <row r="912" ht="14.25" customHeight="1">
      <c r="A912" s="540"/>
      <c r="B912" s="540"/>
      <c r="C912" s="540"/>
      <c r="D912" s="540"/>
      <c r="E912" s="540"/>
      <c r="F912" s="540"/>
      <c r="G912" s="540"/>
      <c r="H912" s="540"/>
      <c r="I912" s="540"/>
      <c r="J912" s="540"/>
      <c r="K912" s="540"/>
      <c r="L912" s="540"/>
      <c r="M912" s="540"/>
      <c r="N912" s="540"/>
      <c r="O912" s="540"/>
      <c r="P912" s="540"/>
      <c r="Q912" s="540"/>
      <c r="R912" s="540"/>
      <c r="S912" s="540"/>
      <c r="T912" s="540"/>
      <c r="U912" s="540"/>
      <c r="V912" s="540"/>
      <c r="W912" s="540"/>
      <c r="X912" s="540"/>
      <c r="Y912" s="540"/>
      <c r="Z912" s="540"/>
    </row>
    <row r="913" ht="14.25" customHeight="1">
      <c r="A913" s="540"/>
      <c r="B913" s="540"/>
      <c r="C913" s="540"/>
      <c r="D913" s="540"/>
      <c r="E913" s="540"/>
      <c r="F913" s="540"/>
      <c r="G913" s="540"/>
      <c r="H913" s="540"/>
      <c r="I913" s="540"/>
      <c r="J913" s="540"/>
      <c r="K913" s="540"/>
      <c r="L913" s="540"/>
      <c r="M913" s="540"/>
      <c r="N913" s="540"/>
      <c r="O913" s="540"/>
      <c r="P913" s="540"/>
      <c r="Q913" s="540"/>
      <c r="R913" s="540"/>
      <c r="S913" s="540"/>
      <c r="T913" s="540"/>
      <c r="U913" s="540"/>
      <c r="V913" s="540"/>
      <c r="W913" s="540"/>
      <c r="X913" s="540"/>
      <c r="Y913" s="540"/>
      <c r="Z913" s="540"/>
    </row>
    <row r="914" ht="14.25" customHeight="1">
      <c r="A914" s="540"/>
      <c r="B914" s="540"/>
      <c r="C914" s="540"/>
      <c r="D914" s="540"/>
      <c r="E914" s="540"/>
      <c r="F914" s="540"/>
      <c r="G914" s="540"/>
      <c r="H914" s="540"/>
      <c r="I914" s="540"/>
      <c r="J914" s="540"/>
      <c r="K914" s="540"/>
      <c r="L914" s="540"/>
      <c r="M914" s="540"/>
      <c r="N914" s="540"/>
      <c r="O914" s="540"/>
      <c r="P914" s="540"/>
      <c r="Q914" s="540"/>
      <c r="R914" s="540"/>
      <c r="S914" s="540"/>
      <c r="T914" s="540"/>
      <c r="U914" s="540"/>
      <c r="V914" s="540"/>
      <c r="W914" s="540"/>
      <c r="X914" s="540"/>
      <c r="Y914" s="540"/>
      <c r="Z914" s="540"/>
    </row>
    <row r="915" ht="14.25" customHeight="1">
      <c r="A915" s="540"/>
      <c r="B915" s="540"/>
      <c r="C915" s="540"/>
      <c r="D915" s="540"/>
      <c r="E915" s="540"/>
      <c r="F915" s="540"/>
      <c r="G915" s="540"/>
      <c r="H915" s="540"/>
      <c r="I915" s="540"/>
      <c r="J915" s="540"/>
      <c r="K915" s="540"/>
      <c r="L915" s="540"/>
      <c r="M915" s="540"/>
      <c r="N915" s="540"/>
      <c r="O915" s="540"/>
      <c r="P915" s="540"/>
      <c r="Q915" s="540"/>
      <c r="R915" s="540"/>
      <c r="S915" s="540"/>
      <c r="T915" s="540"/>
      <c r="U915" s="540"/>
      <c r="V915" s="540"/>
      <c r="W915" s="540"/>
      <c r="X915" s="540"/>
      <c r="Y915" s="540"/>
      <c r="Z915" s="540"/>
    </row>
    <row r="916" ht="14.25" customHeight="1">
      <c r="A916" s="540"/>
      <c r="B916" s="540"/>
      <c r="C916" s="540"/>
      <c r="D916" s="540"/>
      <c r="E916" s="540"/>
      <c r="F916" s="540"/>
      <c r="G916" s="540"/>
      <c r="H916" s="540"/>
      <c r="I916" s="540"/>
      <c r="J916" s="540"/>
      <c r="K916" s="540"/>
      <c r="L916" s="540"/>
      <c r="M916" s="540"/>
      <c r="N916" s="540"/>
      <c r="O916" s="540"/>
      <c r="P916" s="540"/>
      <c r="Q916" s="540"/>
      <c r="R916" s="540"/>
      <c r="S916" s="540"/>
      <c r="T916" s="540"/>
      <c r="U916" s="540"/>
      <c r="V916" s="540"/>
      <c r="W916" s="540"/>
      <c r="X916" s="540"/>
      <c r="Y916" s="540"/>
      <c r="Z916" s="540"/>
    </row>
    <row r="917" ht="14.25" customHeight="1">
      <c r="A917" s="540"/>
      <c r="B917" s="540"/>
      <c r="C917" s="540"/>
      <c r="D917" s="540"/>
      <c r="E917" s="540"/>
      <c r="F917" s="540"/>
      <c r="G917" s="540"/>
      <c r="H917" s="540"/>
      <c r="I917" s="540"/>
      <c r="J917" s="540"/>
      <c r="K917" s="540"/>
      <c r="L917" s="540"/>
      <c r="M917" s="540"/>
      <c r="N917" s="540"/>
      <c r="O917" s="540"/>
      <c r="P917" s="540"/>
      <c r="Q917" s="540"/>
      <c r="R917" s="540"/>
      <c r="S917" s="540"/>
      <c r="T917" s="540"/>
      <c r="U917" s="540"/>
      <c r="V917" s="540"/>
      <c r="W917" s="540"/>
      <c r="X917" s="540"/>
      <c r="Y917" s="540"/>
      <c r="Z917" s="540"/>
    </row>
    <row r="918" ht="14.25" customHeight="1">
      <c r="A918" s="540"/>
      <c r="B918" s="540"/>
      <c r="C918" s="540"/>
      <c r="D918" s="540"/>
      <c r="E918" s="540"/>
      <c r="F918" s="540"/>
      <c r="G918" s="540"/>
      <c r="H918" s="540"/>
      <c r="I918" s="540"/>
      <c r="J918" s="540"/>
      <c r="K918" s="540"/>
      <c r="L918" s="540"/>
      <c r="M918" s="540"/>
      <c r="N918" s="540"/>
      <c r="O918" s="540"/>
      <c r="P918" s="540"/>
      <c r="Q918" s="540"/>
      <c r="R918" s="540"/>
      <c r="S918" s="540"/>
      <c r="T918" s="540"/>
      <c r="U918" s="540"/>
      <c r="V918" s="540"/>
      <c r="W918" s="540"/>
      <c r="X918" s="540"/>
      <c r="Y918" s="540"/>
      <c r="Z918" s="540"/>
    </row>
    <row r="919" ht="14.25" customHeight="1">
      <c r="A919" s="540"/>
      <c r="B919" s="540"/>
      <c r="C919" s="540"/>
      <c r="D919" s="540"/>
      <c r="E919" s="540"/>
      <c r="F919" s="540"/>
      <c r="G919" s="540"/>
      <c r="H919" s="540"/>
      <c r="I919" s="540"/>
      <c r="J919" s="540"/>
      <c r="K919" s="540"/>
      <c r="L919" s="540"/>
      <c r="M919" s="540"/>
      <c r="N919" s="540"/>
      <c r="O919" s="540"/>
      <c r="P919" s="540"/>
      <c r="Q919" s="540"/>
      <c r="R919" s="540"/>
      <c r="S919" s="540"/>
      <c r="T919" s="540"/>
      <c r="U919" s="540"/>
      <c r="V919" s="540"/>
      <c r="W919" s="540"/>
      <c r="X919" s="540"/>
      <c r="Y919" s="540"/>
      <c r="Z919" s="540"/>
    </row>
    <row r="920" ht="14.25" customHeight="1">
      <c r="A920" s="540"/>
      <c r="B920" s="540"/>
      <c r="C920" s="540"/>
      <c r="D920" s="540"/>
      <c r="E920" s="540"/>
      <c r="F920" s="540"/>
      <c r="G920" s="540"/>
      <c r="H920" s="540"/>
      <c r="I920" s="540"/>
      <c r="J920" s="540"/>
      <c r="K920" s="540"/>
      <c r="L920" s="540"/>
      <c r="M920" s="540"/>
      <c r="N920" s="540"/>
      <c r="O920" s="540"/>
      <c r="P920" s="540"/>
      <c r="Q920" s="540"/>
      <c r="R920" s="540"/>
      <c r="S920" s="540"/>
      <c r="T920" s="540"/>
      <c r="U920" s="540"/>
      <c r="V920" s="540"/>
      <c r="W920" s="540"/>
      <c r="X920" s="540"/>
      <c r="Y920" s="540"/>
      <c r="Z920" s="540"/>
    </row>
    <row r="921" ht="14.25" customHeight="1">
      <c r="A921" s="540"/>
      <c r="B921" s="540"/>
      <c r="C921" s="540"/>
      <c r="D921" s="540"/>
      <c r="E921" s="540"/>
      <c r="F921" s="540"/>
      <c r="G921" s="540"/>
      <c r="H921" s="540"/>
      <c r="I921" s="540"/>
      <c r="J921" s="540"/>
      <c r="K921" s="540"/>
      <c r="L921" s="540"/>
      <c r="M921" s="540"/>
      <c r="N921" s="540"/>
      <c r="O921" s="540"/>
      <c r="P921" s="540"/>
      <c r="Q921" s="540"/>
      <c r="R921" s="540"/>
      <c r="S921" s="540"/>
      <c r="T921" s="540"/>
      <c r="U921" s="540"/>
      <c r="V921" s="540"/>
      <c r="W921" s="540"/>
      <c r="X921" s="540"/>
      <c r="Y921" s="540"/>
      <c r="Z921" s="540"/>
    </row>
    <row r="922" ht="14.25" customHeight="1">
      <c r="A922" s="540"/>
      <c r="B922" s="540"/>
      <c r="C922" s="540"/>
      <c r="D922" s="540"/>
      <c r="E922" s="540"/>
      <c r="F922" s="540"/>
      <c r="G922" s="540"/>
      <c r="H922" s="540"/>
      <c r="I922" s="540"/>
      <c r="J922" s="540"/>
      <c r="K922" s="540"/>
      <c r="L922" s="540"/>
      <c r="M922" s="540"/>
      <c r="N922" s="540"/>
      <c r="O922" s="540"/>
      <c r="P922" s="540"/>
      <c r="Q922" s="540"/>
      <c r="R922" s="540"/>
      <c r="S922" s="540"/>
      <c r="T922" s="540"/>
      <c r="U922" s="540"/>
      <c r="V922" s="540"/>
      <c r="W922" s="540"/>
      <c r="X922" s="540"/>
      <c r="Y922" s="540"/>
      <c r="Z922" s="540"/>
    </row>
    <row r="923" ht="14.25" customHeight="1">
      <c r="A923" s="540"/>
      <c r="B923" s="540"/>
      <c r="C923" s="540"/>
      <c r="D923" s="540"/>
      <c r="E923" s="540"/>
      <c r="F923" s="540"/>
      <c r="G923" s="540"/>
      <c r="H923" s="540"/>
      <c r="I923" s="540"/>
      <c r="J923" s="540"/>
      <c r="K923" s="540"/>
      <c r="L923" s="540"/>
      <c r="M923" s="540"/>
      <c r="N923" s="540"/>
      <c r="O923" s="540"/>
      <c r="P923" s="540"/>
      <c r="Q923" s="540"/>
      <c r="R923" s="540"/>
      <c r="S923" s="540"/>
      <c r="T923" s="540"/>
      <c r="U923" s="540"/>
      <c r="V923" s="540"/>
      <c r="W923" s="540"/>
      <c r="X923" s="540"/>
      <c r="Y923" s="540"/>
      <c r="Z923" s="540"/>
    </row>
    <row r="924" ht="14.25" customHeight="1">
      <c r="A924" s="540"/>
      <c r="B924" s="540"/>
      <c r="C924" s="540"/>
      <c r="D924" s="540"/>
      <c r="E924" s="540"/>
      <c r="F924" s="540"/>
      <c r="G924" s="540"/>
      <c r="H924" s="540"/>
      <c r="I924" s="540"/>
      <c r="J924" s="540"/>
      <c r="K924" s="540"/>
      <c r="L924" s="540"/>
      <c r="M924" s="540"/>
      <c r="N924" s="540"/>
      <c r="O924" s="540"/>
      <c r="P924" s="540"/>
      <c r="Q924" s="540"/>
      <c r="R924" s="540"/>
      <c r="S924" s="540"/>
      <c r="T924" s="540"/>
      <c r="U924" s="540"/>
      <c r="V924" s="540"/>
      <c r="W924" s="540"/>
      <c r="X924" s="540"/>
      <c r="Y924" s="540"/>
      <c r="Z924" s="540"/>
    </row>
    <row r="925" ht="14.25" customHeight="1">
      <c r="A925" s="540"/>
      <c r="B925" s="540"/>
      <c r="C925" s="540"/>
      <c r="D925" s="540"/>
      <c r="E925" s="540"/>
      <c r="F925" s="540"/>
      <c r="G925" s="540"/>
      <c r="H925" s="540"/>
      <c r="I925" s="540"/>
      <c r="J925" s="540"/>
      <c r="K925" s="540"/>
      <c r="L925" s="540"/>
      <c r="M925" s="540"/>
      <c r="N925" s="540"/>
      <c r="O925" s="540"/>
      <c r="P925" s="540"/>
      <c r="Q925" s="540"/>
      <c r="R925" s="540"/>
      <c r="S925" s="540"/>
      <c r="T925" s="540"/>
      <c r="U925" s="540"/>
      <c r="V925" s="540"/>
      <c r="W925" s="540"/>
      <c r="X925" s="540"/>
      <c r="Y925" s="540"/>
      <c r="Z925" s="540"/>
    </row>
    <row r="926" ht="14.25" customHeight="1">
      <c r="A926" s="540"/>
      <c r="B926" s="540"/>
      <c r="C926" s="540"/>
      <c r="D926" s="540"/>
      <c r="E926" s="540"/>
      <c r="F926" s="540"/>
      <c r="G926" s="540"/>
      <c r="H926" s="540"/>
      <c r="I926" s="540"/>
      <c r="J926" s="540"/>
      <c r="K926" s="540"/>
      <c r="L926" s="540"/>
      <c r="M926" s="540"/>
      <c r="N926" s="540"/>
      <c r="O926" s="540"/>
      <c r="P926" s="540"/>
      <c r="Q926" s="540"/>
      <c r="R926" s="540"/>
      <c r="S926" s="540"/>
      <c r="T926" s="540"/>
      <c r="U926" s="540"/>
      <c r="V926" s="540"/>
      <c r="W926" s="540"/>
      <c r="X926" s="540"/>
      <c r="Y926" s="540"/>
      <c r="Z926" s="540"/>
    </row>
    <row r="927" ht="14.25" customHeight="1">
      <c r="A927" s="540"/>
      <c r="B927" s="540"/>
      <c r="C927" s="540"/>
      <c r="D927" s="540"/>
      <c r="E927" s="540"/>
      <c r="F927" s="540"/>
      <c r="G927" s="540"/>
      <c r="H927" s="540"/>
      <c r="I927" s="540"/>
      <c r="J927" s="540"/>
      <c r="K927" s="540"/>
      <c r="L927" s="540"/>
      <c r="M927" s="540"/>
      <c r="N927" s="540"/>
      <c r="O927" s="540"/>
      <c r="P927" s="540"/>
      <c r="Q927" s="540"/>
      <c r="R927" s="540"/>
      <c r="S927" s="540"/>
      <c r="T927" s="540"/>
      <c r="U927" s="540"/>
      <c r="V927" s="540"/>
      <c r="W927" s="540"/>
      <c r="X927" s="540"/>
      <c r="Y927" s="540"/>
      <c r="Z927" s="540"/>
    </row>
    <row r="928" ht="14.25" customHeight="1">
      <c r="A928" s="540"/>
      <c r="B928" s="540"/>
      <c r="C928" s="540"/>
      <c r="D928" s="540"/>
      <c r="E928" s="540"/>
      <c r="F928" s="540"/>
      <c r="G928" s="540"/>
      <c r="H928" s="540"/>
      <c r="I928" s="540"/>
      <c r="J928" s="540"/>
      <c r="K928" s="540"/>
      <c r="L928" s="540"/>
      <c r="M928" s="540"/>
      <c r="N928" s="540"/>
      <c r="O928" s="540"/>
      <c r="P928" s="540"/>
      <c r="Q928" s="540"/>
      <c r="R928" s="540"/>
      <c r="S928" s="540"/>
      <c r="T928" s="540"/>
      <c r="U928" s="540"/>
      <c r="V928" s="540"/>
      <c r="W928" s="540"/>
      <c r="X928" s="540"/>
      <c r="Y928" s="540"/>
      <c r="Z928" s="540"/>
    </row>
    <row r="929" ht="14.25" customHeight="1">
      <c r="A929" s="540"/>
      <c r="B929" s="540"/>
      <c r="C929" s="540"/>
      <c r="D929" s="540"/>
      <c r="E929" s="540"/>
      <c r="F929" s="540"/>
      <c r="G929" s="540"/>
      <c r="H929" s="540"/>
      <c r="I929" s="540"/>
      <c r="J929" s="540"/>
      <c r="K929" s="540"/>
      <c r="L929" s="540"/>
      <c r="M929" s="540"/>
      <c r="N929" s="540"/>
      <c r="O929" s="540"/>
      <c r="P929" s="540"/>
      <c r="Q929" s="540"/>
      <c r="R929" s="540"/>
      <c r="S929" s="540"/>
      <c r="T929" s="540"/>
      <c r="U929" s="540"/>
      <c r="V929" s="540"/>
      <c r="W929" s="540"/>
      <c r="X929" s="540"/>
      <c r="Y929" s="540"/>
      <c r="Z929" s="540"/>
    </row>
    <row r="930" ht="14.25" customHeight="1">
      <c r="A930" s="540"/>
      <c r="B930" s="540"/>
      <c r="C930" s="540"/>
      <c r="D930" s="540"/>
      <c r="E930" s="540"/>
      <c r="F930" s="540"/>
      <c r="G930" s="540"/>
      <c r="H930" s="540"/>
      <c r="I930" s="540"/>
      <c r="J930" s="540"/>
      <c r="K930" s="540"/>
      <c r="L930" s="540"/>
      <c r="M930" s="540"/>
      <c r="N930" s="540"/>
      <c r="O930" s="540"/>
      <c r="P930" s="540"/>
      <c r="Q930" s="540"/>
      <c r="R930" s="540"/>
      <c r="S930" s="540"/>
      <c r="T930" s="540"/>
      <c r="U930" s="540"/>
      <c r="V930" s="540"/>
      <c r="W930" s="540"/>
      <c r="X930" s="540"/>
      <c r="Y930" s="540"/>
      <c r="Z930" s="540"/>
    </row>
    <row r="931" ht="14.25" customHeight="1">
      <c r="A931" s="540"/>
      <c r="B931" s="540"/>
      <c r="C931" s="540"/>
      <c r="D931" s="540"/>
      <c r="E931" s="540"/>
      <c r="F931" s="540"/>
      <c r="G931" s="540"/>
      <c r="H931" s="540"/>
      <c r="I931" s="540"/>
      <c r="J931" s="540"/>
      <c r="K931" s="540"/>
      <c r="L931" s="540"/>
      <c r="M931" s="540"/>
      <c r="N931" s="540"/>
      <c r="O931" s="540"/>
      <c r="P931" s="540"/>
      <c r="Q931" s="540"/>
      <c r="R931" s="540"/>
      <c r="S931" s="540"/>
      <c r="T931" s="540"/>
      <c r="U931" s="540"/>
      <c r="V931" s="540"/>
      <c r="W931" s="540"/>
      <c r="X931" s="540"/>
      <c r="Y931" s="540"/>
      <c r="Z931" s="540"/>
    </row>
    <row r="932" ht="14.25" customHeight="1">
      <c r="A932" s="540"/>
      <c r="B932" s="540"/>
      <c r="C932" s="540"/>
      <c r="D932" s="540"/>
      <c r="E932" s="540"/>
      <c r="F932" s="540"/>
      <c r="G932" s="540"/>
      <c r="H932" s="540"/>
      <c r="I932" s="540"/>
      <c r="J932" s="540"/>
      <c r="K932" s="540"/>
      <c r="L932" s="540"/>
      <c r="M932" s="540"/>
      <c r="N932" s="540"/>
      <c r="O932" s="540"/>
      <c r="P932" s="540"/>
      <c r="Q932" s="540"/>
      <c r="R932" s="540"/>
      <c r="S932" s="540"/>
      <c r="T932" s="540"/>
      <c r="U932" s="540"/>
      <c r="V932" s="540"/>
      <c r="W932" s="540"/>
      <c r="X932" s="540"/>
      <c r="Y932" s="540"/>
      <c r="Z932" s="540"/>
    </row>
    <row r="933" ht="14.25" customHeight="1">
      <c r="A933" s="540"/>
      <c r="B933" s="540"/>
      <c r="C933" s="540"/>
      <c r="D933" s="540"/>
      <c r="E933" s="540"/>
      <c r="F933" s="540"/>
      <c r="G933" s="540"/>
      <c r="H933" s="540"/>
      <c r="I933" s="540"/>
      <c r="J933" s="540"/>
      <c r="K933" s="540"/>
      <c r="L933" s="540"/>
      <c r="M933" s="540"/>
      <c r="N933" s="540"/>
      <c r="O933" s="540"/>
      <c r="P933" s="540"/>
      <c r="Q933" s="540"/>
      <c r="R933" s="540"/>
      <c r="S933" s="540"/>
      <c r="T933" s="540"/>
      <c r="U933" s="540"/>
      <c r="V933" s="540"/>
      <c r="W933" s="540"/>
      <c r="X933" s="540"/>
      <c r="Y933" s="540"/>
      <c r="Z933" s="540"/>
    </row>
    <row r="934" ht="14.25" customHeight="1">
      <c r="A934" s="540"/>
      <c r="B934" s="540"/>
      <c r="C934" s="540"/>
      <c r="D934" s="540"/>
      <c r="E934" s="540"/>
      <c r="F934" s="540"/>
      <c r="G934" s="540"/>
      <c r="H934" s="540"/>
      <c r="I934" s="540"/>
      <c r="J934" s="540"/>
      <c r="K934" s="540"/>
      <c r="L934" s="540"/>
      <c r="M934" s="540"/>
      <c r="N934" s="540"/>
      <c r="O934" s="540"/>
      <c r="P934" s="540"/>
      <c r="Q934" s="540"/>
      <c r="R934" s="540"/>
      <c r="S934" s="540"/>
      <c r="T934" s="540"/>
      <c r="U934" s="540"/>
      <c r="V934" s="540"/>
      <c r="W934" s="540"/>
      <c r="X934" s="540"/>
      <c r="Y934" s="540"/>
      <c r="Z934" s="540"/>
    </row>
    <row r="935" ht="14.25" customHeight="1">
      <c r="A935" s="540"/>
      <c r="B935" s="540"/>
      <c r="C935" s="540"/>
      <c r="D935" s="540"/>
      <c r="E935" s="540"/>
      <c r="F935" s="540"/>
      <c r="G935" s="540"/>
      <c r="H935" s="540"/>
      <c r="I935" s="540"/>
      <c r="J935" s="540"/>
      <c r="K935" s="540"/>
      <c r="L935" s="540"/>
      <c r="M935" s="540"/>
      <c r="N935" s="540"/>
      <c r="O935" s="540"/>
      <c r="P935" s="540"/>
      <c r="Q935" s="540"/>
      <c r="R935" s="540"/>
      <c r="S935" s="540"/>
      <c r="T935" s="540"/>
      <c r="U935" s="540"/>
      <c r="V935" s="540"/>
      <c r="W935" s="540"/>
      <c r="X935" s="540"/>
      <c r="Y935" s="540"/>
      <c r="Z935" s="540"/>
    </row>
    <row r="936" ht="14.25" customHeight="1">
      <c r="A936" s="540"/>
      <c r="B936" s="540"/>
      <c r="C936" s="540"/>
      <c r="D936" s="540"/>
      <c r="E936" s="540"/>
      <c r="F936" s="540"/>
      <c r="G936" s="540"/>
      <c r="H936" s="540"/>
      <c r="I936" s="540"/>
      <c r="J936" s="540"/>
      <c r="K936" s="540"/>
      <c r="L936" s="540"/>
      <c r="M936" s="540"/>
      <c r="N936" s="540"/>
      <c r="O936" s="540"/>
      <c r="P936" s="540"/>
      <c r="Q936" s="540"/>
      <c r="R936" s="540"/>
      <c r="S936" s="540"/>
      <c r="T936" s="540"/>
      <c r="U936" s="540"/>
      <c r="V936" s="540"/>
      <c r="W936" s="540"/>
      <c r="X936" s="540"/>
      <c r="Y936" s="540"/>
      <c r="Z936" s="540"/>
    </row>
    <row r="937" ht="14.25" customHeight="1">
      <c r="A937" s="540"/>
      <c r="B937" s="540"/>
      <c r="C937" s="540"/>
      <c r="D937" s="540"/>
      <c r="E937" s="540"/>
      <c r="F937" s="540"/>
      <c r="G937" s="540"/>
      <c r="H937" s="540"/>
      <c r="I937" s="540"/>
      <c r="J937" s="540"/>
      <c r="K937" s="540"/>
      <c r="L937" s="540"/>
      <c r="M937" s="540"/>
      <c r="N937" s="540"/>
      <c r="O937" s="540"/>
      <c r="P937" s="540"/>
      <c r="Q937" s="540"/>
      <c r="R937" s="540"/>
      <c r="S937" s="540"/>
      <c r="T937" s="540"/>
      <c r="U937" s="540"/>
      <c r="V937" s="540"/>
      <c r="W937" s="540"/>
      <c r="X937" s="540"/>
      <c r="Y937" s="540"/>
      <c r="Z937" s="540"/>
    </row>
    <row r="938" ht="14.25" customHeight="1">
      <c r="A938" s="540"/>
      <c r="B938" s="540"/>
      <c r="C938" s="540"/>
      <c r="D938" s="540"/>
      <c r="E938" s="540"/>
      <c r="F938" s="540"/>
      <c r="G938" s="540"/>
      <c r="H938" s="540"/>
      <c r="I938" s="540"/>
      <c r="J938" s="540"/>
      <c r="K938" s="540"/>
      <c r="L938" s="540"/>
      <c r="M938" s="540"/>
      <c r="N938" s="540"/>
      <c r="O938" s="540"/>
      <c r="P938" s="540"/>
      <c r="Q938" s="540"/>
      <c r="R938" s="540"/>
      <c r="S938" s="540"/>
      <c r="T938" s="540"/>
      <c r="U938" s="540"/>
      <c r="V938" s="540"/>
      <c r="W938" s="540"/>
      <c r="X938" s="540"/>
      <c r="Y938" s="540"/>
      <c r="Z938" s="540"/>
    </row>
    <row r="939" ht="14.25" customHeight="1">
      <c r="A939" s="540"/>
      <c r="B939" s="540"/>
      <c r="C939" s="540"/>
      <c r="D939" s="540"/>
      <c r="E939" s="540"/>
      <c r="F939" s="540"/>
      <c r="G939" s="540"/>
      <c r="H939" s="540"/>
      <c r="I939" s="540"/>
      <c r="J939" s="540"/>
      <c r="K939" s="540"/>
      <c r="L939" s="540"/>
      <c r="M939" s="540"/>
      <c r="N939" s="540"/>
      <c r="O939" s="540"/>
      <c r="P939" s="540"/>
      <c r="Q939" s="540"/>
      <c r="R939" s="540"/>
      <c r="S939" s="540"/>
      <c r="T939" s="540"/>
      <c r="U939" s="540"/>
      <c r="V939" s="540"/>
      <c r="W939" s="540"/>
      <c r="X939" s="540"/>
      <c r="Y939" s="540"/>
      <c r="Z939" s="540"/>
    </row>
    <row r="940" ht="14.25" customHeight="1">
      <c r="A940" s="540"/>
      <c r="B940" s="540"/>
      <c r="C940" s="540"/>
      <c r="D940" s="540"/>
      <c r="E940" s="540"/>
      <c r="F940" s="540"/>
      <c r="G940" s="540"/>
      <c r="H940" s="540"/>
      <c r="I940" s="540"/>
      <c r="J940" s="540"/>
      <c r="K940" s="540"/>
      <c r="L940" s="540"/>
      <c r="M940" s="540"/>
      <c r="N940" s="540"/>
      <c r="O940" s="540"/>
      <c r="P940" s="540"/>
      <c r="Q940" s="540"/>
      <c r="R940" s="540"/>
      <c r="S940" s="540"/>
      <c r="T940" s="540"/>
      <c r="U940" s="540"/>
      <c r="V940" s="540"/>
      <c r="W940" s="540"/>
      <c r="X940" s="540"/>
      <c r="Y940" s="540"/>
      <c r="Z940" s="540"/>
    </row>
    <row r="941" ht="14.25" customHeight="1">
      <c r="A941" s="540"/>
      <c r="B941" s="540"/>
      <c r="C941" s="540"/>
      <c r="D941" s="540"/>
      <c r="E941" s="540"/>
      <c r="F941" s="540"/>
      <c r="G941" s="540"/>
      <c r="H941" s="540"/>
      <c r="I941" s="540"/>
      <c r="J941" s="540"/>
      <c r="K941" s="540"/>
      <c r="L941" s="540"/>
      <c r="M941" s="540"/>
      <c r="N941" s="540"/>
      <c r="O941" s="540"/>
      <c r="P941" s="540"/>
      <c r="Q941" s="540"/>
      <c r="R941" s="540"/>
      <c r="S941" s="540"/>
      <c r="T941" s="540"/>
      <c r="U941" s="540"/>
      <c r="V941" s="540"/>
      <c r="W941" s="540"/>
      <c r="X941" s="540"/>
      <c r="Y941" s="540"/>
      <c r="Z941" s="540"/>
    </row>
    <row r="942" ht="14.25" customHeight="1">
      <c r="A942" s="540"/>
      <c r="B942" s="540"/>
      <c r="C942" s="540"/>
      <c r="D942" s="540"/>
      <c r="E942" s="540"/>
      <c r="F942" s="540"/>
      <c r="G942" s="540"/>
      <c r="H942" s="540"/>
      <c r="I942" s="540"/>
      <c r="J942" s="540"/>
      <c r="K942" s="540"/>
      <c r="L942" s="540"/>
      <c r="M942" s="540"/>
      <c r="N942" s="540"/>
      <c r="O942" s="540"/>
      <c r="P942" s="540"/>
      <c r="Q942" s="540"/>
      <c r="R942" s="540"/>
      <c r="S942" s="540"/>
      <c r="T942" s="540"/>
      <c r="U942" s="540"/>
      <c r="V942" s="540"/>
      <c r="W942" s="540"/>
      <c r="X942" s="540"/>
      <c r="Y942" s="540"/>
      <c r="Z942" s="540"/>
    </row>
    <row r="943" ht="14.25" customHeight="1">
      <c r="A943" s="540"/>
      <c r="B943" s="540"/>
      <c r="C943" s="540"/>
      <c r="D943" s="540"/>
      <c r="E943" s="540"/>
      <c r="F943" s="540"/>
      <c r="G943" s="540"/>
      <c r="H943" s="540"/>
      <c r="I943" s="540"/>
      <c r="J943" s="540"/>
      <c r="K943" s="540"/>
      <c r="L943" s="540"/>
      <c r="M943" s="540"/>
      <c r="N943" s="540"/>
      <c r="O943" s="540"/>
      <c r="P943" s="540"/>
      <c r="Q943" s="540"/>
      <c r="R943" s="540"/>
      <c r="S943" s="540"/>
      <c r="T943" s="540"/>
      <c r="U943" s="540"/>
      <c r="V943" s="540"/>
      <c r="W943" s="540"/>
      <c r="X943" s="540"/>
      <c r="Y943" s="540"/>
      <c r="Z943" s="540"/>
    </row>
    <row r="944" ht="14.25" customHeight="1">
      <c r="A944" s="540"/>
      <c r="B944" s="540"/>
      <c r="C944" s="540"/>
      <c r="D944" s="540"/>
      <c r="E944" s="540"/>
      <c r="F944" s="540"/>
      <c r="G944" s="540"/>
      <c r="H944" s="540"/>
      <c r="I944" s="540"/>
      <c r="J944" s="540"/>
      <c r="K944" s="540"/>
      <c r="L944" s="540"/>
      <c r="M944" s="540"/>
      <c r="N944" s="540"/>
      <c r="O944" s="540"/>
      <c r="P944" s="540"/>
      <c r="Q944" s="540"/>
      <c r="R944" s="540"/>
      <c r="S944" s="540"/>
      <c r="T944" s="540"/>
      <c r="U944" s="540"/>
      <c r="V944" s="540"/>
      <c r="W944" s="540"/>
      <c r="X944" s="540"/>
      <c r="Y944" s="540"/>
      <c r="Z944" s="540"/>
    </row>
    <row r="945" ht="14.25" customHeight="1">
      <c r="A945" s="540"/>
      <c r="B945" s="540"/>
      <c r="C945" s="540"/>
      <c r="D945" s="540"/>
      <c r="E945" s="540"/>
      <c r="F945" s="540"/>
      <c r="G945" s="540"/>
      <c r="H945" s="540"/>
      <c r="I945" s="540"/>
      <c r="J945" s="540"/>
      <c r="K945" s="540"/>
      <c r="L945" s="540"/>
      <c r="M945" s="540"/>
      <c r="N945" s="540"/>
      <c r="O945" s="540"/>
      <c r="P945" s="540"/>
      <c r="Q945" s="540"/>
      <c r="R945" s="540"/>
      <c r="S945" s="540"/>
      <c r="T945" s="540"/>
      <c r="U945" s="540"/>
      <c r="V945" s="540"/>
      <c r="W945" s="540"/>
      <c r="X945" s="540"/>
      <c r="Y945" s="540"/>
      <c r="Z945" s="540"/>
    </row>
    <row r="946" ht="14.25" customHeight="1">
      <c r="A946" s="540"/>
      <c r="B946" s="540"/>
      <c r="C946" s="540"/>
      <c r="D946" s="540"/>
      <c r="E946" s="540"/>
      <c r="F946" s="540"/>
      <c r="G946" s="540"/>
      <c r="H946" s="540"/>
      <c r="I946" s="540"/>
      <c r="J946" s="540"/>
      <c r="K946" s="540"/>
      <c r="L946" s="540"/>
      <c r="M946" s="540"/>
      <c r="N946" s="540"/>
      <c r="O946" s="540"/>
      <c r="P946" s="540"/>
      <c r="Q946" s="540"/>
      <c r="R946" s="540"/>
      <c r="S946" s="540"/>
      <c r="T946" s="540"/>
      <c r="U946" s="540"/>
      <c r="V946" s="540"/>
      <c r="W946" s="540"/>
      <c r="X946" s="540"/>
      <c r="Y946" s="540"/>
      <c r="Z946" s="540"/>
    </row>
    <row r="947" ht="14.25" customHeight="1">
      <c r="A947" s="540"/>
      <c r="B947" s="540"/>
      <c r="C947" s="540"/>
      <c r="D947" s="540"/>
      <c r="E947" s="540"/>
      <c r="F947" s="540"/>
      <c r="G947" s="540"/>
      <c r="H947" s="540"/>
      <c r="I947" s="540"/>
      <c r="J947" s="540"/>
      <c r="K947" s="540"/>
      <c r="L947" s="540"/>
      <c r="M947" s="540"/>
      <c r="N947" s="540"/>
      <c r="O947" s="540"/>
      <c r="P947" s="540"/>
      <c r="Q947" s="540"/>
      <c r="R947" s="540"/>
      <c r="S947" s="540"/>
      <c r="T947" s="540"/>
      <c r="U947" s="540"/>
      <c r="V947" s="540"/>
      <c r="W947" s="540"/>
      <c r="X947" s="540"/>
      <c r="Y947" s="540"/>
      <c r="Z947" s="540"/>
    </row>
    <row r="948" ht="14.25" customHeight="1">
      <c r="A948" s="540"/>
      <c r="B948" s="540"/>
      <c r="C948" s="540"/>
      <c r="D948" s="540"/>
      <c r="E948" s="540"/>
      <c r="F948" s="540"/>
      <c r="G948" s="540"/>
      <c r="H948" s="540"/>
      <c r="I948" s="540"/>
      <c r="J948" s="540"/>
      <c r="K948" s="540"/>
      <c r="L948" s="540"/>
      <c r="M948" s="540"/>
      <c r="N948" s="540"/>
      <c r="O948" s="540"/>
      <c r="P948" s="540"/>
      <c r="Q948" s="540"/>
      <c r="R948" s="540"/>
      <c r="S948" s="540"/>
      <c r="T948" s="540"/>
      <c r="U948" s="540"/>
      <c r="V948" s="540"/>
      <c r="W948" s="540"/>
      <c r="X948" s="540"/>
      <c r="Y948" s="540"/>
      <c r="Z948" s="540"/>
    </row>
    <row r="949" ht="14.25" customHeight="1">
      <c r="A949" s="540"/>
      <c r="B949" s="540"/>
      <c r="C949" s="540"/>
      <c r="D949" s="540"/>
      <c r="E949" s="540"/>
      <c r="F949" s="540"/>
      <c r="G949" s="540"/>
      <c r="H949" s="540"/>
      <c r="I949" s="540"/>
      <c r="J949" s="540"/>
      <c r="K949" s="540"/>
      <c r="L949" s="540"/>
      <c r="M949" s="540"/>
      <c r="N949" s="540"/>
      <c r="O949" s="540"/>
      <c r="P949" s="540"/>
      <c r="Q949" s="540"/>
      <c r="R949" s="540"/>
      <c r="S949" s="540"/>
      <c r="T949" s="540"/>
      <c r="U949" s="540"/>
      <c r="V949" s="540"/>
      <c r="W949" s="540"/>
      <c r="X949" s="540"/>
      <c r="Y949" s="540"/>
      <c r="Z949" s="540"/>
    </row>
    <row r="950" ht="14.25" customHeight="1">
      <c r="A950" s="540"/>
      <c r="B950" s="540"/>
      <c r="C950" s="540"/>
      <c r="D950" s="540"/>
      <c r="E950" s="540"/>
      <c r="F950" s="540"/>
      <c r="G950" s="540"/>
      <c r="H950" s="540"/>
      <c r="I950" s="540"/>
      <c r="J950" s="540"/>
      <c r="K950" s="540"/>
      <c r="L950" s="540"/>
      <c r="M950" s="540"/>
      <c r="N950" s="540"/>
      <c r="O950" s="540"/>
      <c r="P950" s="540"/>
      <c r="Q950" s="540"/>
      <c r="R950" s="540"/>
      <c r="S950" s="540"/>
      <c r="T950" s="540"/>
      <c r="U950" s="540"/>
      <c r="V950" s="540"/>
      <c r="W950" s="540"/>
      <c r="X950" s="540"/>
      <c r="Y950" s="540"/>
      <c r="Z950" s="540"/>
    </row>
    <row r="951" ht="14.25" customHeight="1">
      <c r="A951" s="540"/>
      <c r="B951" s="540"/>
      <c r="C951" s="540"/>
      <c r="D951" s="540"/>
      <c r="E951" s="540"/>
      <c r="F951" s="540"/>
      <c r="G951" s="540"/>
      <c r="H951" s="540"/>
      <c r="I951" s="540"/>
      <c r="J951" s="540"/>
      <c r="K951" s="540"/>
      <c r="L951" s="540"/>
      <c r="M951" s="540"/>
      <c r="N951" s="540"/>
      <c r="O951" s="540"/>
      <c r="P951" s="540"/>
      <c r="Q951" s="540"/>
      <c r="R951" s="540"/>
      <c r="S951" s="540"/>
      <c r="T951" s="540"/>
      <c r="U951" s="540"/>
      <c r="V951" s="540"/>
      <c r="W951" s="540"/>
      <c r="X951" s="540"/>
      <c r="Y951" s="540"/>
      <c r="Z951" s="540"/>
    </row>
    <row r="952" ht="14.25" customHeight="1">
      <c r="A952" s="540"/>
      <c r="B952" s="540"/>
      <c r="C952" s="540"/>
      <c r="D952" s="540"/>
      <c r="E952" s="540"/>
      <c r="F952" s="540"/>
      <c r="G952" s="540"/>
      <c r="H952" s="540"/>
      <c r="I952" s="540"/>
      <c r="J952" s="540"/>
      <c r="K952" s="540"/>
      <c r="L952" s="540"/>
      <c r="M952" s="540"/>
      <c r="N952" s="540"/>
      <c r="O952" s="540"/>
      <c r="P952" s="540"/>
      <c r="Q952" s="540"/>
      <c r="R952" s="540"/>
      <c r="S952" s="540"/>
      <c r="T952" s="540"/>
      <c r="U952" s="540"/>
      <c r="V952" s="540"/>
      <c r="W952" s="540"/>
      <c r="X952" s="540"/>
      <c r="Y952" s="540"/>
      <c r="Z952" s="540"/>
    </row>
    <row r="953" ht="14.25" customHeight="1">
      <c r="A953" s="540"/>
      <c r="B953" s="540"/>
      <c r="C953" s="540"/>
      <c r="D953" s="540"/>
      <c r="E953" s="540"/>
      <c r="F953" s="540"/>
      <c r="G953" s="540"/>
      <c r="H953" s="540"/>
      <c r="I953" s="540"/>
      <c r="J953" s="540"/>
      <c r="K953" s="540"/>
      <c r="L953" s="540"/>
      <c r="M953" s="540"/>
      <c r="N953" s="540"/>
      <c r="O953" s="540"/>
      <c r="P953" s="540"/>
      <c r="Q953" s="540"/>
      <c r="R953" s="540"/>
      <c r="S953" s="540"/>
      <c r="T953" s="540"/>
      <c r="U953" s="540"/>
      <c r="V953" s="540"/>
      <c r="W953" s="540"/>
      <c r="X953" s="540"/>
      <c r="Y953" s="540"/>
      <c r="Z953" s="540"/>
    </row>
    <row r="954" ht="14.25" customHeight="1">
      <c r="A954" s="540"/>
      <c r="B954" s="540"/>
      <c r="C954" s="540"/>
      <c r="D954" s="540"/>
      <c r="E954" s="540"/>
      <c r="F954" s="540"/>
      <c r="G954" s="540"/>
      <c r="H954" s="540"/>
      <c r="I954" s="540"/>
      <c r="J954" s="540"/>
      <c r="K954" s="540"/>
      <c r="L954" s="540"/>
      <c r="M954" s="540"/>
      <c r="N954" s="540"/>
      <c r="O954" s="540"/>
      <c r="P954" s="540"/>
      <c r="Q954" s="540"/>
      <c r="R954" s="540"/>
      <c r="S954" s="540"/>
      <c r="T954" s="540"/>
      <c r="U954" s="540"/>
      <c r="V954" s="540"/>
      <c r="W954" s="540"/>
      <c r="X954" s="540"/>
      <c r="Y954" s="540"/>
      <c r="Z954" s="540"/>
    </row>
    <row r="955" ht="14.25" customHeight="1">
      <c r="A955" s="540"/>
      <c r="B955" s="540"/>
      <c r="C955" s="540"/>
      <c r="D955" s="540"/>
      <c r="E955" s="540"/>
      <c r="F955" s="540"/>
      <c r="G955" s="540"/>
      <c r="H955" s="540"/>
      <c r="I955" s="540"/>
      <c r="J955" s="540"/>
      <c r="K955" s="540"/>
      <c r="L955" s="540"/>
      <c r="M955" s="540"/>
      <c r="N955" s="540"/>
      <c r="O955" s="540"/>
      <c r="P955" s="540"/>
      <c r="Q955" s="540"/>
      <c r="R955" s="540"/>
      <c r="S955" s="540"/>
      <c r="T955" s="540"/>
      <c r="U955" s="540"/>
      <c r="V955" s="540"/>
      <c r="W955" s="540"/>
      <c r="X955" s="540"/>
      <c r="Y955" s="540"/>
      <c r="Z955" s="540"/>
    </row>
    <row r="956" ht="14.25" customHeight="1">
      <c r="A956" s="540"/>
      <c r="B956" s="540"/>
      <c r="C956" s="540"/>
      <c r="D956" s="540"/>
      <c r="E956" s="540"/>
      <c r="F956" s="540"/>
      <c r="G956" s="540"/>
      <c r="H956" s="540"/>
      <c r="I956" s="540"/>
      <c r="J956" s="540"/>
      <c r="K956" s="540"/>
      <c r="L956" s="540"/>
      <c r="M956" s="540"/>
      <c r="N956" s="540"/>
      <c r="O956" s="540"/>
      <c r="P956" s="540"/>
      <c r="Q956" s="540"/>
      <c r="R956" s="540"/>
      <c r="S956" s="540"/>
      <c r="T956" s="540"/>
      <c r="U956" s="540"/>
      <c r="V956" s="540"/>
      <c r="W956" s="540"/>
      <c r="X956" s="540"/>
      <c r="Y956" s="540"/>
      <c r="Z956" s="540"/>
    </row>
    <row r="957" ht="14.25" customHeight="1">
      <c r="A957" s="540"/>
      <c r="B957" s="540"/>
      <c r="C957" s="540"/>
      <c r="D957" s="540"/>
      <c r="E957" s="540"/>
      <c r="F957" s="540"/>
      <c r="G957" s="540"/>
      <c r="H957" s="540"/>
      <c r="I957" s="540"/>
      <c r="J957" s="540"/>
      <c r="K957" s="540"/>
      <c r="L957" s="540"/>
      <c r="M957" s="540"/>
      <c r="N957" s="540"/>
      <c r="O957" s="540"/>
      <c r="P957" s="540"/>
      <c r="Q957" s="540"/>
      <c r="R957" s="540"/>
      <c r="S957" s="540"/>
      <c r="T957" s="540"/>
      <c r="U957" s="540"/>
      <c r="V957" s="540"/>
      <c r="W957" s="540"/>
      <c r="X957" s="540"/>
      <c r="Y957" s="540"/>
      <c r="Z957" s="540"/>
    </row>
    <row r="958" ht="14.25" customHeight="1">
      <c r="A958" s="540"/>
      <c r="B958" s="540"/>
      <c r="C958" s="540"/>
      <c r="D958" s="540"/>
      <c r="E958" s="540"/>
      <c r="F958" s="540"/>
      <c r="G958" s="540"/>
      <c r="H958" s="540"/>
      <c r="I958" s="540"/>
      <c r="J958" s="540"/>
      <c r="K958" s="540"/>
      <c r="L958" s="540"/>
      <c r="M958" s="540"/>
      <c r="N958" s="540"/>
      <c r="O958" s="540"/>
      <c r="P958" s="540"/>
      <c r="Q958" s="540"/>
      <c r="R958" s="540"/>
      <c r="S958" s="540"/>
      <c r="T958" s="540"/>
      <c r="U958" s="540"/>
      <c r="V958" s="540"/>
      <c r="W958" s="540"/>
      <c r="X958" s="540"/>
      <c r="Y958" s="540"/>
      <c r="Z958" s="540"/>
    </row>
    <row r="959" ht="14.25" customHeight="1">
      <c r="A959" s="540"/>
      <c r="B959" s="540"/>
      <c r="C959" s="540"/>
      <c r="D959" s="540"/>
      <c r="E959" s="540"/>
      <c r="F959" s="540"/>
      <c r="G959" s="540"/>
      <c r="H959" s="540"/>
      <c r="I959" s="540"/>
      <c r="J959" s="540"/>
      <c r="K959" s="540"/>
      <c r="L959" s="540"/>
      <c r="M959" s="540"/>
      <c r="N959" s="540"/>
      <c r="O959" s="540"/>
      <c r="P959" s="540"/>
      <c r="Q959" s="540"/>
      <c r="R959" s="540"/>
      <c r="S959" s="540"/>
      <c r="T959" s="540"/>
      <c r="U959" s="540"/>
      <c r="V959" s="540"/>
      <c r="W959" s="540"/>
      <c r="X959" s="540"/>
      <c r="Y959" s="540"/>
      <c r="Z959" s="540"/>
    </row>
    <row r="960" ht="14.25" customHeight="1">
      <c r="A960" s="540"/>
      <c r="B960" s="540"/>
      <c r="C960" s="540"/>
      <c r="D960" s="540"/>
      <c r="E960" s="540"/>
      <c r="F960" s="540"/>
      <c r="G960" s="540"/>
      <c r="H960" s="540"/>
      <c r="I960" s="540"/>
      <c r="J960" s="540"/>
      <c r="K960" s="540"/>
      <c r="L960" s="540"/>
      <c r="M960" s="540"/>
      <c r="N960" s="540"/>
      <c r="O960" s="540"/>
      <c r="P960" s="540"/>
      <c r="Q960" s="540"/>
      <c r="R960" s="540"/>
      <c r="S960" s="540"/>
      <c r="T960" s="540"/>
      <c r="U960" s="540"/>
      <c r="V960" s="540"/>
      <c r="W960" s="540"/>
      <c r="X960" s="540"/>
      <c r="Y960" s="540"/>
      <c r="Z960" s="540"/>
    </row>
    <row r="961" ht="14.25" customHeight="1">
      <c r="A961" s="540"/>
      <c r="B961" s="540"/>
      <c r="C961" s="540"/>
      <c r="D961" s="540"/>
      <c r="E961" s="540"/>
      <c r="F961" s="540"/>
      <c r="G961" s="540"/>
      <c r="H961" s="540"/>
      <c r="I961" s="540"/>
      <c r="J961" s="540"/>
      <c r="K961" s="540"/>
      <c r="L961" s="540"/>
      <c r="M961" s="540"/>
      <c r="N961" s="540"/>
      <c r="O961" s="540"/>
      <c r="P961" s="540"/>
      <c r="Q961" s="540"/>
      <c r="R961" s="540"/>
      <c r="S961" s="540"/>
      <c r="T961" s="540"/>
      <c r="U961" s="540"/>
      <c r="V961" s="540"/>
      <c r="W961" s="540"/>
      <c r="X961" s="540"/>
      <c r="Y961" s="540"/>
      <c r="Z961" s="540"/>
    </row>
    <row r="962" ht="14.25" customHeight="1">
      <c r="A962" s="540"/>
      <c r="B962" s="540"/>
      <c r="C962" s="540"/>
      <c r="D962" s="540"/>
      <c r="E962" s="540"/>
      <c r="F962" s="540"/>
      <c r="G962" s="540"/>
      <c r="H962" s="540"/>
      <c r="I962" s="540"/>
      <c r="J962" s="540"/>
      <c r="K962" s="540"/>
      <c r="L962" s="540"/>
      <c r="M962" s="540"/>
      <c r="N962" s="540"/>
      <c r="O962" s="540"/>
      <c r="P962" s="540"/>
      <c r="Q962" s="540"/>
      <c r="R962" s="540"/>
      <c r="S962" s="540"/>
      <c r="T962" s="540"/>
      <c r="U962" s="540"/>
      <c r="V962" s="540"/>
      <c r="W962" s="540"/>
      <c r="X962" s="540"/>
      <c r="Y962" s="540"/>
      <c r="Z962" s="540"/>
    </row>
    <row r="963" ht="14.25" customHeight="1">
      <c r="A963" s="540"/>
      <c r="B963" s="540"/>
      <c r="C963" s="540"/>
      <c r="D963" s="540"/>
      <c r="E963" s="540"/>
      <c r="F963" s="540"/>
      <c r="G963" s="540"/>
      <c r="H963" s="540"/>
      <c r="I963" s="540"/>
      <c r="J963" s="540"/>
      <c r="K963" s="540"/>
      <c r="L963" s="540"/>
      <c r="M963" s="540"/>
      <c r="N963" s="540"/>
      <c r="O963" s="540"/>
      <c r="P963" s="540"/>
      <c r="Q963" s="540"/>
      <c r="R963" s="540"/>
      <c r="S963" s="540"/>
      <c r="T963" s="540"/>
      <c r="U963" s="540"/>
      <c r="V963" s="540"/>
      <c r="W963" s="540"/>
      <c r="X963" s="540"/>
      <c r="Y963" s="540"/>
      <c r="Z963" s="540"/>
    </row>
    <row r="964" ht="14.25" customHeight="1">
      <c r="A964" s="540"/>
      <c r="B964" s="540"/>
      <c r="C964" s="540"/>
      <c r="D964" s="540"/>
      <c r="E964" s="540"/>
      <c r="F964" s="540"/>
      <c r="G964" s="540"/>
      <c r="H964" s="540"/>
      <c r="I964" s="540"/>
      <c r="J964" s="540"/>
      <c r="K964" s="540"/>
      <c r="L964" s="540"/>
      <c r="M964" s="540"/>
      <c r="N964" s="540"/>
      <c r="O964" s="540"/>
      <c r="P964" s="540"/>
      <c r="Q964" s="540"/>
      <c r="R964" s="540"/>
      <c r="S964" s="540"/>
      <c r="T964" s="540"/>
      <c r="U964" s="540"/>
      <c r="V964" s="540"/>
      <c r="W964" s="540"/>
      <c r="X964" s="540"/>
      <c r="Y964" s="540"/>
      <c r="Z964" s="540"/>
    </row>
    <row r="965" ht="14.25" customHeight="1">
      <c r="A965" s="540"/>
      <c r="B965" s="540"/>
      <c r="C965" s="540"/>
      <c r="D965" s="540"/>
      <c r="E965" s="540"/>
      <c r="F965" s="540"/>
      <c r="G965" s="540"/>
      <c r="H965" s="540"/>
      <c r="I965" s="540"/>
      <c r="J965" s="540"/>
      <c r="K965" s="540"/>
      <c r="L965" s="540"/>
      <c r="M965" s="540"/>
      <c r="N965" s="540"/>
      <c r="O965" s="540"/>
      <c r="P965" s="540"/>
      <c r="Q965" s="540"/>
      <c r="R965" s="540"/>
      <c r="S965" s="540"/>
      <c r="T965" s="540"/>
      <c r="U965" s="540"/>
      <c r="V965" s="540"/>
      <c r="W965" s="540"/>
      <c r="X965" s="540"/>
      <c r="Y965" s="540"/>
      <c r="Z965" s="540"/>
    </row>
    <row r="966" ht="14.25" customHeight="1">
      <c r="A966" s="540"/>
      <c r="B966" s="540"/>
      <c r="C966" s="540"/>
      <c r="D966" s="540"/>
      <c r="E966" s="540"/>
      <c r="F966" s="540"/>
      <c r="G966" s="540"/>
      <c r="H966" s="540"/>
      <c r="I966" s="540"/>
      <c r="J966" s="540"/>
      <c r="K966" s="540"/>
      <c r="L966" s="540"/>
      <c r="M966" s="540"/>
      <c r="N966" s="540"/>
      <c r="O966" s="540"/>
      <c r="P966" s="540"/>
      <c r="Q966" s="540"/>
      <c r="R966" s="540"/>
      <c r="S966" s="540"/>
      <c r="T966" s="540"/>
      <c r="U966" s="540"/>
      <c r="V966" s="540"/>
      <c r="W966" s="540"/>
      <c r="X966" s="540"/>
      <c r="Y966" s="540"/>
      <c r="Z966" s="540"/>
    </row>
    <row r="967" ht="14.25" customHeight="1">
      <c r="A967" s="540"/>
      <c r="B967" s="540"/>
      <c r="C967" s="540"/>
      <c r="D967" s="540"/>
      <c r="E967" s="540"/>
      <c r="F967" s="540"/>
      <c r="G967" s="540"/>
      <c r="H967" s="540"/>
      <c r="I967" s="540"/>
      <c r="J967" s="540"/>
      <c r="K967" s="540"/>
      <c r="L967" s="540"/>
      <c r="M967" s="540"/>
      <c r="N967" s="540"/>
      <c r="O967" s="540"/>
      <c r="P967" s="540"/>
      <c r="Q967" s="540"/>
      <c r="R967" s="540"/>
      <c r="S967" s="540"/>
      <c r="T967" s="540"/>
      <c r="U967" s="540"/>
      <c r="V967" s="540"/>
      <c r="W967" s="540"/>
      <c r="X967" s="540"/>
      <c r="Y967" s="540"/>
      <c r="Z967" s="540"/>
    </row>
    <row r="968" ht="14.25" customHeight="1">
      <c r="A968" s="540"/>
      <c r="B968" s="540"/>
      <c r="C968" s="540"/>
      <c r="D968" s="540"/>
      <c r="E968" s="540"/>
      <c r="F968" s="540"/>
      <c r="G968" s="540"/>
      <c r="H968" s="540"/>
      <c r="I968" s="540"/>
      <c r="J968" s="540"/>
      <c r="K968" s="540"/>
      <c r="L968" s="540"/>
      <c r="M968" s="540"/>
      <c r="N968" s="540"/>
      <c r="O968" s="540"/>
      <c r="P968" s="540"/>
      <c r="Q968" s="540"/>
      <c r="R968" s="540"/>
      <c r="S968" s="540"/>
      <c r="T968" s="540"/>
      <c r="U968" s="540"/>
      <c r="V968" s="540"/>
      <c r="W968" s="540"/>
      <c r="X968" s="540"/>
      <c r="Y968" s="540"/>
      <c r="Z968" s="540"/>
    </row>
    <row r="969" ht="14.25" customHeight="1">
      <c r="A969" s="540"/>
      <c r="B969" s="540"/>
      <c r="C969" s="540"/>
      <c r="D969" s="540"/>
      <c r="E969" s="540"/>
      <c r="F969" s="540"/>
      <c r="G969" s="540"/>
      <c r="H969" s="540"/>
      <c r="I969" s="540"/>
      <c r="J969" s="540"/>
      <c r="K969" s="540"/>
      <c r="L969" s="540"/>
      <c r="M969" s="540"/>
      <c r="N969" s="540"/>
      <c r="O969" s="540"/>
      <c r="P969" s="540"/>
      <c r="Q969" s="540"/>
      <c r="R969" s="540"/>
      <c r="S969" s="540"/>
      <c r="T969" s="540"/>
      <c r="U969" s="540"/>
      <c r="V969" s="540"/>
      <c r="W969" s="540"/>
      <c r="X969" s="540"/>
      <c r="Y969" s="540"/>
      <c r="Z969" s="540"/>
    </row>
    <row r="970" ht="14.25" customHeight="1">
      <c r="A970" s="540"/>
      <c r="B970" s="540"/>
      <c r="C970" s="540"/>
      <c r="D970" s="540"/>
      <c r="E970" s="540"/>
      <c r="F970" s="540"/>
      <c r="G970" s="540"/>
      <c r="H970" s="540"/>
      <c r="I970" s="540"/>
      <c r="J970" s="540"/>
      <c r="K970" s="540"/>
      <c r="L970" s="540"/>
      <c r="M970" s="540"/>
      <c r="N970" s="540"/>
      <c r="O970" s="540"/>
      <c r="P970" s="540"/>
      <c r="Q970" s="540"/>
      <c r="R970" s="540"/>
      <c r="S970" s="540"/>
      <c r="T970" s="540"/>
      <c r="U970" s="540"/>
      <c r="V970" s="540"/>
      <c r="W970" s="540"/>
      <c r="X970" s="540"/>
      <c r="Y970" s="540"/>
      <c r="Z970" s="540"/>
    </row>
    <row r="971" ht="14.25" customHeight="1">
      <c r="A971" s="540"/>
      <c r="B971" s="540"/>
      <c r="C971" s="540"/>
      <c r="D971" s="540"/>
      <c r="E971" s="540"/>
      <c r="F971" s="540"/>
      <c r="G971" s="540"/>
      <c r="H971" s="540"/>
      <c r="I971" s="540"/>
      <c r="J971" s="540"/>
      <c r="K971" s="540"/>
      <c r="L971" s="540"/>
      <c r="M971" s="540"/>
      <c r="N971" s="540"/>
      <c r="O971" s="540"/>
      <c r="P971" s="540"/>
      <c r="Q971" s="540"/>
      <c r="R971" s="540"/>
      <c r="S971" s="540"/>
      <c r="T971" s="540"/>
      <c r="U971" s="540"/>
      <c r="V971" s="540"/>
      <c r="W971" s="540"/>
      <c r="X971" s="540"/>
      <c r="Y971" s="540"/>
      <c r="Z971" s="540"/>
    </row>
    <row r="972" ht="14.25" customHeight="1">
      <c r="A972" s="540"/>
      <c r="B972" s="540"/>
      <c r="C972" s="540"/>
      <c r="D972" s="540"/>
      <c r="E972" s="540"/>
      <c r="F972" s="540"/>
      <c r="G972" s="540"/>
      <c r="H972" s="540"/>
      <c r="I972" s="540"/>
      <c r="J972" s="540"/>
      <c r="K972" s="540"/>
      <c r="L972" s="540"/>
      <c r="M972" s="540"/>
      <c r="N972" s="540"/>
      <c r="O972" s="540"/>
      <c r="P972" s="540"/>
      <c r="Q972" s="540"/>
      <c r="R972" s="540"/>
      <c r="S972" s="540"/>
      <c r="T972" s="540"/>
      <c r="U972" s="540"/>
      <c r="V972" s="540"/>
      <c r="W972" s="540"/>
      <c r="X972" s="540"/>
      <c r="Y972" s="540"/>
      <c r="Z972" s="540"/>
    </row>
    <row r="973" ht="14.25" customHeight="1">
      <c r="A973" s="540"/>
      <c r="B973" s="540"/>
      <c r="C973" s="540"/>
      <c r="D973" s="540"/>
      <c r="E973" s="540"/>
      <c r="F973" s="540"/>
      <c r="G973" s="540"/>
      <c r="H973" s="540"/>
      <c r="I973" s="540"/>
      <c r="J973" s="540"/>
      <c r="K973" s="540"/>
      <c r="L973" s="540"/>
      <c r="M973" s="540"/>
      <c r="N973" s="540"/>
      <c r="O973" s="540"/>
      <c r="P973" s="540"/>
      <c r="Q973" s="540"/>
      <c r="R973" s="540"/>
      <c r="S973" s="540"/>
      <c r="T973" s="540"/>
      <c r="U973" s="540"/>
      <c r="V973" s="540"/>
      <c r="W973" s="540"/>
      <c r="X973" s="540"/>
      <c r="Y973" s="540"/>
      <c r="Z973" s="540"/>
    </row>
    <row r="974" ht="14.25" customHeight="1">
      <c r="A974" s="540"/>
      <c r="B974" s="540"/>
      <c r="C974" s="540"/>
      <c r="D974" s="540"/>
      <c r="E974" s="540"/>
      <c r="F974" s="540"/>
      <c r="G974" s="540"/>
      <c r="H974" s="540"/>
      <c r="I974" s="540"/>
      <c r="J974" s="540"/>
      <c r="K974" s="540"/>
      <c r="L974" s="540"/>
      <c r="M974" s="540"/>
      <c r="N974" s="540"/>
      <c r="O974" s="540"/>
      <c r="P974" s="540"/>
      <c r="Q974" s="540"/>
      <c r="R974" s="540"/>
      <c r="S974" s="540"/>
      <c r="T974" s="540"/>
      <c r="U974" s="540"/>
      <c r="V974" s="540"/>
      <c r="W974" s="540"/>
      <c r="X974" s="540"/>
      <c r="Y974" s="540"/>
      <c r="Z974" s="540"/>
    </row>
    <row r="975" ht="14.25" customHeight="1">
      <c r="A975" s="540"/>
      <c r="B975" s="540"/>
      <c r="C975" s="540"/>
      <c r="D975" s="540"/>
      <c r="E975" s="540"/>
      <c r="F975" s="540"/>
      <c r="G975" s="540"/>
      <c r="H975" s="540"/>
      <c r="I975" s="540"/>
      <c r="J975" s="540"/>
      <c r="K975" s="540"/>
      <c r="L975" s="540"/>
      <c r="M975" s="540"/>
      <c r="N975" s="540"/>
      <c r="O975" s="540"/>
      <c r="P975" s="540"/>
      <c r="Q975" s="540"/>
      <c r="R975" s="540"/>
      <c r="S975" s="540"/>
      <c r="T975" s="540"/>
      <c r="U975" s="540"/>
      <c r="V975" s="540"/>
      <c r="W975" s="540"/>
      <c r="X975" s="540"/>
      <c r="Y975" s="540"/>
      <c r="Z975" s="540"/>
    </row>
    <row r="976" ht="14.25" customHeight="1">
      <c r="A976" s="540"/>
      <c r="B976" s="540"/>
      <c r="C976" s="540"/>
      <c r="D976" s="540"/>
      <c r="E976" s="540"/>
      <c r="F976" s="540"/>
      <c r="G976" s="540"/>
      <c r="H976" s="540"/>
      <c r="I976" s="540"/>
      <c r="J976" s="540"/>
      <c r="K976" s="540"/>
      <c r="L976" s="540"/>
      <c r="M976" s="540"/>
      <c r="N976" s="540"/>
      <c r="O976" s="540"/>
      <c r="P976" s="540"/>
      <c r="Q976" s="540"/>
      <c r="R976" s="540"/>
      <c r="S976" s="540"/>
      <c r="T976" s="540"/>
      <c r="U976" s="540"/>
      <c r="V976" s="540"/>
      <c r="W976" s="540"/>
      <c r="X976" s="540"/>
      <c r="Y976" s="540"/>
      <c r="Z976" s="540"/>
    </row>
    <row r="977" ht="14.25" customHeight="1">
      <c r="A977" s="540"/>
      <c r="B977" s="540"/>
      <c r="C977" s="540"/>
      <c r="D977" s="540"/>
      <c r="E977" s="540"/>
      <c r="F977" s="540"/>
      <c r="G977" s="540"/>
      <c r="H977" s="540"/>
      <c r="I977" s="540"/>
      <c r="J977" s="540"/>
      <c r="K977" s="540"/>
      <c r="L977" s="540"/>
      <c r="M977" s="540"/>
      <c r="N977" s="540"/>
      <c r="O977" s="540"/>
      <c r="P977" s="540"/>
      <c r="Q977" s="540"/>
      <c r="R977" s="540"/>
      <c r="S977" s="540"/>
      <c r="T977" s="540"/>
      <c r="U977" s="540"/>
      <c r="V977" s="540"/>
      <c r="W977" s="540"/>
      <c r="X977" s="540"/>
      <c r="Y977" s="540"/>
      <c r="Z977" s="540"/>
    </row>
    <row r="978" ht="14.25" customHeight="1">
      <c r="A978" s="540"/>
      <c r="B978" s="540"/>
      <c r="C978" s="540"/>
      <c r="D978" s="540"/>
      <c r="E978" s="540"/>
      <c r="F978" s="540"/>
      <c r="G978" s="540"/>
      <c r="H978" s="540"/>
      <c r="I978" s="540"/>
      <c r="J978" s="540"/>
      <c r="K978" s="540"/>
      <c r="L978" s="540"/>
      <c r="M978" s="540"/>
      <c r="N978" s="540"/>
      <c r="O978" s="540"/>
      <c r="P978" s="540"/>
      <c r="Q978" s="540"/>
      <c r="R978" s="540"/>
      <c r="S978" s="540"/>
      <c r="T978" s="540"/>
      <c r="U978" s="540"/>
      <c r="V978" s="540"/>
      <c r="W978" s="540"/>
      <c r="X978" s="540"/>
      <c r="Y978" s="540"/>
      <c r="Z978" s="540"/>
    </row>
    <row r="979" ht="14.25" customHeight="1">
      <c r="A979" s="540"/>
      <c r="B979" s="540"/>
      <c r="C979" s="540"/>
      <c r="D979" s="540"/>
      <c r="E979" s="540"/>
      <c r="F979" s="540"/>
      <c r="G979" s="540"/>
      <c r="H979" s="540"/>
      <c r="I979" s="540"/>
      <c r="J979" s="540"/>
      <c r="K979" s="540"/>
      <c r="L979" s="540"/>
      <c r="M979" s="540"/>
      <c r="N979" s="540"/>
      <c r="O979" s="540"/>
      <c r="P979" s="540"/>
      <c r="Q979" s="540"/>
      <c r="R979" s="540"/>
      <c r="S979" s="540"/>
      <c r="T979" s="540"/>
      <c r="U979" s="540"/>
      <c r="V979" s="540"/>
      <c r="W979" s="540"/>
      <c r="X979" s="540"/>
      <c r="Y979" s="540"/>
      <c r="Z979" s="540"/>
    </row>
    <row r="980" ht="14.25" customHeight="1">
      <c r="A980" s="540"/>
      <c r="B980" s="540"/>
      <c r="C980" s="540"/>
      <c r="D980" s="540"/>
      <c r="E980" s="540"/>
      <c r="F980" s="540"/>
      <c r="G980" s="540"/>
      <c r="H980" s="540"/>
      <c r="I980" s="540"/>
      <c r="J980" s="540"/>
      <c r="K980" s="540"/>
      <c r="L980" s="540"/>
      <c r="M980" s="540"/>
      <c r="N980" s="540"/>
      <c r="O980" s="540"/>
      <c r="P980" s="540"/>
      <c r="Q980" s="540"/>
      <c r="R980" s="540"/>
      <c r="S980" s="540"/>
      <c r="T980" s="540"/>
      <c r="U980" s="540"/>
      <c r="V980" s="540"/>
      <c r="W980" s="540"/>
      <c r="X980" s="540"/>
      <c r="Y980" s="540"/>
      <c r="Z980" s="540"/>
    </row>
    <row r="981" ht="14.25" customHeight="1">
      <c r="A981" s="540"/>
      <c r="B981" s="540"/>
      <c r="C981" s="540"/>
      <c r="D981" s="540"/>
      <c r="E981" s="540"/>
      <c r="F981" s="540"/>
      <c r="G981" s="540"/>
      <c r="H981" s="540"/>
      <c r="I981" s="540"/>
      <c r="J981" s="540"/>
      <c r="K981" s="540"/>
      <c r="L981" s="540"/>
      <c r="M981" s="540"/>
      <c r="N981" s="540"/>
      <c r="O981" s="540"/>
      <c r="P981" s="540"/>
      <c r="Q981" s="540"/>
      <c r="R981" s="540"/>
      <c r="S981" s="540"/>
      <c r="T981" s="540"/>
      <c r="U981" s="540"/>
      <c r="V981" s="540"/>
      <c r="W981" s="540"/>
      <c r="X981" s="540"/>
      <c r="Y981" s="540"/>
      <c r="Z981" s="540"/>
    </row>
    <row r="982" ht="14.25" customHeight="1">
      <c r="A982" s="540"/>
      <c r="B982" s="540"/>
      <c r="C982" s="540"/>
      <c r="D982" s="540"/>
      <c r="E982" s="540"/>
      <c r="F982" s="540"/>
      <c r="G982" s="540"/>
      <c r="H982" s="540"/>
      <c r="I982" s="540"/>
      <c r="J982" s="540"/>
      <c r="K982" s="540"/>
      <c r="L982" s="540"/>
      <c r="M982" s="540"/>
      <c r="N982" s="540"/>
      <c r="O982" s="540"/>
      <c r="P982" s="540"/>
      <c r="Q982" s="540"/>
      <c r="R982" s="540"/>
      <c r="S982" s="540"/>
      <c r="T982" s="540"/>
      <c r="U982" s="540"/>
      <c r="V982" s="540"/>
      <c r="W982" s="540"/>
      <c r="X982" s="540"/>
      <c r="Y982" s="540"/>
      <c r="Z982" s="540"/>
    </row>
    <row r="983" ht="14.25" customHeight="1">
      <c r="A983" s="540"/>
      <c r="B983" s="540"/>
      <c r="C983" s="540"/>
      <c r="D983" s="540"/>
      <c r="E983" s="540"/>
      <c r="F983" s="540"/>
      <c r="G983" s="540"/>
      <c r="H983" s="540"/>
      <c r="I983" s="540"/>
      <c r="J983" s="540"/>
      <c r="K983" s="540"/>
      <c r="L983" s="540"/>
      <c r="M983" s="540"/>
      <c r="N983" s="540"/>
      <c r="O983" s="540"/>
      <c r="P983" s="540"/>
      <c r="Q983" s="540"/>
      <c r="R983" s="540"/>
      <c r="S983" s="540"/>
      <c r="T983" s="540"/>
      <c r="U983" s="540"/>
      <c r="V983" s="540"/>
      <c r="W983" s="540"/>
      <c r="X983" s="540"/>
      <c r="Y983" s="540"/>
      <c r="Z983" s="540"/>
    </row>
    <row r="984" ht="14.25" customHeight="1">
      <c r="A984" s="540"/>
      <c r="B984" s="540"/>
      <c r="C984" s="540"/>
      <c r="D984" s="540"/>
      <c r="E984" s="540"/>
      <c r="F984" s="540"/>
      <c r="G984" s="540"/>
      <c r="H984" s="540"/>
      <c r="I984" s="540"/>
      <c r="J984" s="540"/>
      <c r="K984" s="540"/>
      <c r="L984" s="540"/>
      <c r="M984" s="540"/>
      <c r="N984" s="540"/>
      <c r="O984" s="540"/>
      <c r="P984" s="540"/>
      <c r="Q984" s="540"/>
      <c r="R984" s="540"/>
      <c r="S984" s="540"/>
      <c r="T984" s="540"/>
      <c r="U984" s="540"/>
      <c r="V984" s="540"/>
      <c r="W984" s="540"/>
      <c r="X984" s="540"/>
      <c r="Y984" s="540"/>
      <c r="Z984" s="540"/>
    </row>
    <row r="985" ht="14.25" customHeight="1">
      <c r="A985" s="540"/>
      <c r="B985" s="540"/>
      <c r="C985" s="540"/>
      <c r="D985" s="540"/>
      <c r="E985" s="540"/>
      <c r="F985" s="540"/>
      <c r="G985" s="540"/>
      <c r="H985" s="540"/>
      <c r="I985" s="540"/>
      <c r="J985" s="540"/>
      <c r="K985" s="540"/>
      <c r="L985" s="540"/>
      <c r="M985" s="540"/>
      <c r="N985" s="540"/>
      <c r="O985" s="540"/>
      <c r="P985" s="540"/>
      <c r="Q985" s="540"/>
      <c r="R985" s="540"/>
      <c r="S985" s="540"/>
      <c r="T985" s="540"/>
      <c r="U985" s="540"/>
      <c r="V985" s="540"/>
      <c r="W985" s="540"/>
      <c r="X985" s="540"/>
      <c r="Y985" s="540"/>
      <c r="Z985" s="540"/>
    </row>
    <row r="986" ht="14.25" customHeight="1">
      <c r="A986" s="540"/>
      <c r="B986" s="540"/>
      <c r="C986" s="540"/>
      <c r="D986" s="540"/>
      <c r="E986" s="540"/>
      <c r="F986" s="540"/>
      <c r="G986" s="540"/>
      <c r="H986" s="540"/>
      <c r="I986" s="540"/>
      <c r="J986" s="540"/>
      <c r="K986" s="540"/>
      <c r="L986" s="540"/>
      <c r="M986" s="540"/>
      <c r="N986" s="540"/>
      <c r="O986" s="540"/>
      <c r="P986" s="540"/>
      <c r="Q986" s="540"/>
      <c r="R986" s="540"/>
      <c r="S986" s="540"/>
      <c r="T986" s="540"/>
      <c r="U986" s="540"/>
      <c r="V986" s="540"/>
      <c r="W986" s="540"/>
      <c r="X986" s="540"/>
      <c r="Y986" s="540"/>
      <c r="Z986" s="540"/>
    </row>
    <row r="987" ht="14.25" customHeight="1">
      <c r="A987" s="540"/>
      <c r="B987" s="540"/>
      <c r="C987" s="540"/>
      <c r="D987" s="540"/>
      <c r="E987" s="540"/>
      <c r="F987" s="540"/>
      <c r="G987" s="540"/>
      <c r="H987" s="540"/>
      <c r="I987" s="540"/>
      <c r="J987" s="540"/>
      <c r="K987" s="540"/>
      <c r="L987" s="540"/>
      <c r="M987" s="540"/>
      <c r="N987" s="540"/>
      <c r="O987" s="540"/>
      <c r="P987" s="540"/>
      <c r="Q987" s="540"/>
      <c r="R987" s="540"/>
      <c r="S987" s="540"/>
      <c r="T987" s="540"/>
      <c r="U987" s="540"/>
      <c r="V987" s="540"/>
      <c r="W987" s="540"/>
      <c r="X987" s="540"/>
      <c r="Y987" s="540"/>
      <c r="Z987" s="540"/>
    </row>
    <row r="988" ht="14.25" customHeight="1">
      <c r="A988" s="540"/>
      <c r="B988" s="540"/>
      <c r="C988" s="540"/>
      <c r="D988" s="540"/>
      <c r="E988" s="540"/>
      <c r="F988" s="540"/>
      <c r="G988" s="540"/>
      <c r="H988" s="540"/>
      <c r="I988" s="540"/>
      <c r="J988" s="540"/>
      <c r="K988" s="540"/>
      <c r="L988" s="540"/>
      <c r="M988" s="540"/>
      <c r="N988" s="540"/>
      <c r="O988" s="540"/>
      <c r="P988" s="540"/>
      <c r="Q988" s="540"/>
      <c r="R988" s="540"/>
      <c r="S988" s="540"/>
      <c r="T988" s="540"/>
      <c r="U988" s="540"/>
      <c r="V988" s="540"/>
      <c r="W988" s="540"/>
      <c r="X988" s="540"/>
      <c r="Y988" s="540"/>
      <c r="Z988" s="540"/>
    </row>
    <row r="989" ht="14.25" customHeight="1">
      <c r="A989" s="540"/>
      <c r="B989" s="540"/>
      <c r="C989" s="540"/>
      <c r="D989" s="540"/>
      <c r="E989" s="540"/>
      <c r="F989" s="540"/>
      <c r="G989" s="540"/>
      <c r="H989" s="540"/>
      <c r="I989" s="540"/>
      <c r="J989" s="540"/>
      <c r="K989" s="540"/>
      <c r="L989" s="540"/>
      <c r="M989" s="540"/>
      <c r="N989" s="540"/>
      <c r="O989" s="540"/>
      <c r="P989" s="540"/>
      <c r="Q989" s="540"/>
      <c r="R989" s="540"/>
      <c r="S989" s="540"/>
      <c r="T989" s="540"/>
      <c r="U989" s="540"/>
      <c r="V989" s="540"/>
      <c r="W989" s="540"/>
      <c r="X989" s="540"/>
      <c r="Y989" s="540"/>
      <c r="Z989" s="540"/>
    </row>
    <row r="990" ht="14.25" customHeight="1">
      <c r="A990" s="540"/>
      <c r="B990" s="540"/>
      <c r="C990" s="540"/>
      <c r="D990" s="540"/>
      <c r="E990" s="540"/>
      <c r="F990" s="540"/>
      <c r="G990" s="540"/>
      <c r="H990" s="540"/>
      <c r="I990" s="540"/>
      <c r="J990" s="540"/>
      <c r="K990" s="540"/>
      <c r="L990" s="540"/>
      <c r="M990" s="540"/>
      <c r="N990" s="540"/>
      <c r="O990" s="540"/>
      <c r="P990" s="540"/>
      <c r="Q990" s="540"/>
      <c r="R990" s="540"/>
      <c r="S990" s="540"/>
      <c r="T990" s="540"/>
      <c r="U990" s="540"/>
      <c r="V990" s="540"/>
      <c r="W990" s="540"/>
      <c r="X990" s="540"/>
      <c r="Y990" s="540"/>
      <c r="Z990" s="540"/>
    </row>
    <row r="991" ht="14.25" customHeight="1">
      <c r="A991" s="540"/>
      <c r="B991" s="540"/>
      <c r="C991" s="540"/>
      <c r="D991" s="540"/>
      <c r="E991" s="540"/>
      <c r="F991" s="540"/>
      <c r="G991" s="540"/>
      <c r="H991" s="540"/>
      <c r="I991" s="540"/>
      <c r="J991" s="540"/>
      <c r="K991" s="540"/>
      <c r="L991" s="540"/>
      <c r="M991" s="540"/>
      <c r="N991" s="540"/>
      <c r="O991" s="540"/>
      <c r="P991" s="540"/>
      <c r="Q991" s="540"/>
      <c r="R991" s="540"/>
      <c r="S991" s="540"/>
      <c r="T991" s="540"/>
      <c r="U991" s="540"/>
      <c r="V991" s="540"/>
      <c r="W991" s="540"/>
      <c r="X991" s="540"/>
      <c r="Y991" s="540"/>
      <c r="Z991" s="540"/>
    </row>
    <row r="992" ht="14.25" customHeight="1">
      <c r="A992" s="540"/>
      <c r="B992" s="540"/>
      <c r="C992" s="540"/>
      <c r="D992" s="540"/>
      <c r="E992" s="540"/>
      <c r="F992" s="540"/>
      <c r="G992" s="540"/>
      <c r="H992" s="540"/>
      <c r="I992" s="540"/>
      <c r="J992" s="540"/>
      <c r="K992" s="540"/>
      <c r="L992" s="540"/>
      <c r="M992" s="540"/>
      <c r="N992" s="540"/>
      <c r="O992" s="540"/>
      <c r="P992" s="540"/>
      <c r="Q992" s="540"/>
      <c r="R992" s="540"/>
      <c r="S992" s="540"/>
      <c r="T992" s="540"/>
      <c r="U992" s="540"/>
      <c r="V992" s="540"/>
      <c r="W992" s="540"/>
      <c r="X992" s="540"/>
      <c r="Y992" s="540"/>
      <c r="Z992" s="540"/>
    </row>
    <row r="993" ht="14.25" customHeight="1">
      <c r="A993" s="540"/>
      <c r="B993" s="540"/>
      <c r="C993" s="540"/>
      <c r="D993" s="540"/>
      <c r="E993" s="540"/>
      <c r="F993" s="540"/>
      <c r="G993" s="540"/>
      <c r="H993" s="540"/>
      <c r="I993" s="540"/>
      <c r="J993" s="540"/>
      <c r="K993" s="540"/>
      <c r="L993" s="540"/>
      <c r="M993" s="540"/>
      <c r="N993" s="540"/>
      <c r="O993" s="540"/>
      <c r="P993" s="540"/>
      <c r="Q993" s="540"/>
      <c r="R993" s="540"/>
      <c r="S993" s="540"/>
      <c r="T993" s="540"/>
      <c r="U993" s="540"/>
      <c r="V993" s="540"/>
      <c r="W993" s="540"/>
      <c r="X993" s="540"/>
      <c r="Y993" s="540"/>
      <c r="Z993" s="540"/>
    </row>
    <row r="994" ht="14.25" customHeight="1">
      <c r="A994" s="540"/>
      <c r="B994" s="540"/>
      <c r="C994" s="540"/>
      <c r="D994" s="540"/>
      <c r="E994" s="540"/>
      <c r="F994" s="540"/>
      <c r="G994" s="540"/>
      <c r="H994" s="540"/>
      <c r="I994" s="540"/>
      <c r="J994" s="540"/>
      <c r="K994" s="540"/>
      <c r="L994" s="540"/>
      <c r="M994" s="540"/>
      <c r="N994" s="540"/>
      <c r="O994" s="540"/>
      <c r="P994" s="540"/>
      <c r="Q994" s="540"/>
      <c r="R994" s="540"/>
      <c r="S994" s="540"/>
      <c r="T994" s="540"/>
      <c r="U994" s="540"/>
      <c r="V994" s="540"/>
      <c r="W994" s="540"/>
      <c r="X994" s="540"/>
      <c r="Y994" s="540"/>
      <c r="Z994" s="540"/>
    </row>
    <row r="995" ht="14.25" customHeight="1">
      <c r="A995" s="540"/>
      <c r="B995" s="540"/>
      <c r="C995" s="540"/>
      <c r="D995" s="540"/>
      <c r="E995" s="540"/>
      <c r="F995" s="540"/>
      <c r="G995" s="540"/>
      <c r="H995" s="540"/>
      <c r="I995" s="540"/>
      <c r="J995" s="540"/>
      <c r="K995" s="540"/>
      <c r="L995" s="540"/>
      <c r="M995" s="540"/>
      <c r="N995" s="540"/>
      <c r="O995" s="540"/>
      <c r="P995" s="540"/>
      <c r="Q995" s="540"/>
      <c r="R995" s="540"/>
      <c r="S995" s="540"/>
      <c r="T995" s="540"/>
      <c r="U995" s="540"/>
      <c r="V995" s="540"/>
      <c r="W995" s="540"/>
      <c r="X995" s="540"/>
      <c r="Y995" s="540"/>
      <c r="Z995" s="540"/>
    </row>
    <row r="996" ht="14.25" customHeight="1">
      <c r="A996" s="540"/>
      <c r="B996" s="540"/>
      <c r="C996" s="540"/>
      <c r="D996" s="540"/>
      <c r="E996" s="540"/>
      <c r="F996" s="540"/>
      <c r="G996" s="540"/>
      <c r="H996" s="540"/>
      <c r="I996" s="540"/>
      <c r="J996" s="540"/>
      <c r="K996" s="540"/>
      <c r="L996" s="540"/>
      <c r="M996" s="540"/>
      <c r="N996" s="540"/>
      <c r="O996" s="540"/>
      <c r="P996" s="540"/>
      <c r="Q996" s="540"/>
      <c r="R996" s="540"/>
      <c r="S996" s="540"/>
      <c r="T996" s="540"/>
      <c r="U996" s="540"/>
      <c r="V996" s="540"/>
      <c r="W996" s="540"/>
      <c r="X996" s="540"/>
      <c r="Y996" s="540"/>
      <c r="Z996" s="540"/>
    </row>
    <row r="997" ht="14.25" customHeight="1">
      <c r="A997" s="540"/>
      <c r="B997" s="540"/>
      <c r="C997" s="540"/>
      <c r="D997" s="540"/>
      <c r="E997" s="540"/>
      <c r="F997" s="540"/>
      <c r="G997" s="540"/>
      <c r="H997" s="540"/>
      <c r="I997" s="540"/>
      <c r="J997" s="540"/>
      <c r="K997" s="540"/>
      <c r="L997" s="540"/>
      <c r="M997" s="540"/>
      <c r="N997" s="540"/>
      <c r="O997" s="540"/>
      <c r="P997" s="540"/>
      <c r="Q997" s="540"/>
      <c r="R997" s="540"/>
      <c r="S997" s="540"/>
      <c r="T997" s="540"/>
      <c r="U997" s="540"/>
      <c r="V997" s="540"/>
      <c r="W997" s="540"/>
      <c r="X997" s="540"/>
      <c r="Y997" s="540"/>
      <c r="Z997" s="540"/>
    </row>
    <row r="998" ht="14.25" customHeight="1">
      <c r="A998" s="540"/>
      <c r="B998" s="540"/>
      <c r="C998" s="540"/>
      <c r="D998" s="540"/>
      <c r="E998" s="540"/>
      <c r="F998" s="540"/>
      <c r="G998" s="540"/>
      <c r="H998" s="540"/>
      <c r="I998" s="540"/>
      <c r="J998" s="540"/>
      <c r="K998" s="540"/>
      <c r="L998" s="540"/>
      <c r="M998" s="540"/>
      <c r="N998" s="540"/>
      <c r="O998" s="540"/>
      <c r="P998" s="540"/>
      <c r="Q998" s="540"/>
      <c r="R998" s="540"/>
      <c r="S998" s="540"/>
      <c r="T998" s="540"/>
      <c r="U998" s="540"/>
      <c r="V998" s="540"/>
      <c r="W998" s="540"/>
      <c r="X998" s="540"/>
      <c r="Y998" s="540"/>
      <c r="Z998" s="540"/>
    </row>
    <row r="999" ht="14.25" customHeight="1">
      <c r="A999" s="540"/>
      <c r="B999" s="540"/>
      <c r="C999" s="540"/>
      <c r="D999" s="540"/>
      <c r="E999" s="540"/>
      <c r="F999" s="540"/>
      <c r="G999" s="540"/>
      <c r="H999" s="540"/>
      <c r="I999" s="540"/>
      <c r="J999" s="540"/>
      <c r="K999" s="540"/>
      <c r="L999" s="540"/>
      <c r="M999" s="540"/>
      <c r="N999" s="540"/>
      <c r="O999" s="540"/>
      <c r="P999" s="540"/>
      <c r="Q999" s="540"/>
      <c r="R999" s="540"/>
      <c r="S999" s="540"/>
      <c r="T999" s="540"/>
      <c r="U999" s="540"/>
      <c r="V999" s="540"/>
      <c r="W999" s="540"/>
      <c r="X999" s="540"/>
      <c r="Y999" s="540"/>
      <c r="Z999" s="540"/>
    </row>
    <row r="1000" ht="14.25" customHeight="1">
      <c r="A1000" s="540"/>
      <c r="B1000" s="540"/>
      <c r="C1000" s="540"/>
      <c r="D1000" s="540"/>
      <c r="E1000" s="540"/>
      <c r="F1000" s="540"/>
      <c r="G1000" s="540"/>
      <c r="H1000" s="540"/>
      <c r="I1000" s="540"/>
      <c r="J1000" s="540"/>
      <c r="K1000" s="540"/>
      <c r="L1000" s="540"/>
      <c r="M1000" s="540"/>
      <c r="N1000" s="540"/>
      <c r="O1000" s="540"/>
      <c r="P1000" s="540"/>
      <c r="Q1000" s="540"/>
      <c r="R1000" s="540"/>
      <c r="S1000" s="540"/>
      <c r="T1000" s="540"/>
      <c r="U1000" s="540"/>
      <c r="V1000" s="540"/>
      <c r="W1000" s="540"/>
      <c r="X1000" s="540"/>
      <c r="Y1000" s="540"/>
      <c r="Z1000" s="54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0.14"/>
    <col customWidth="1" min="3" max="3" width="38.14"/>
    <col customWidth="1" min="4" max="4" width="34.14"/>
    <col customWidth="1" min="5" max="5" width="108.14"/>
    <col customWidth="1" min="6" max="6" width="34.14"/>
    <col customWidth="1" min="7" max="7" width="14.14"/>
    <col customWidth="1" min="8" max="8" width="16.0"/>
    <col customWidth="1" min="9" max="9" width="18.0"/>
    <col customWidth="1" min="10" max="26" width="9.14"/>
  </cols>
  <sheetData>
    <row r="1" ht="13.5" customHeight="1">
      <c r="A1" s="1"/>
      <c r="B1" s="2" t="s">
        <v>0</v>
      </c>
      <c r="C1" s="3" t="s">
        <v>3906</v>
      </c>
      <c r="D1" s="13"/>
      <c r="E1" s="6"/>
      <c r="F1" s="13"/>
      <c r="G1" s="8"/>
      <c r="H1" s="8"/>
      <c r="I1" s="8"/>
      <c r="J1" s="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3</v>
      </c>
      <c r="C2" s="20">
        <v>76000.0</v>
      </c>
      <c r="D2" s="13"/>
      <c r="E2" s="6"/>
      <c r="F2" s="13"/>
      <c r="G2" s="8"/>
      <c r="H2" s="8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2" t="s">
        <v>5</v>
      </c>
      <c r="C3" s="25">
        <v>9066.42</v>
      </c>
      <c r="D3" s="13"/>
      <c r="E3" s="6"/>
      <c r="F3" s="13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2" t="s">
        <v>7</v>
      </c>
      <c r="C4" s="30">
        <v>8676.0</v>
      </c>
      <c r="D4" s="13"/>
      <c r="E4" s="6"/>
      <c r="F4" s="13"/>
      <c r="G4" s="8"/>
      <c r="H4" s="8"/>
      <c r="I4" s="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2" t="s">
        <v>9</v>
      </c>
      <c r="C5" s="33">
        <v>7.21375</v>
      </c>
      <c r="D5" s="13"/>
      <c r="E5" s="6"/>
      <c r="F5" s="13"/>
      <c r="G5" s="8"/>
      <c r="H5" s="8"/>
      <c r="I5" s="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9" t="s">
        <v>11</v>
      </c>
      <c r="B6" s="2" t="s">
        <v>12</v>
      </c>
      <c r="C6" s="41">
        <v>1.045</v>
      </c>
      <c r="D6" s="13"/>
      <c r="E6" s="13"/>
      <c r="F6" s="13"/>
      <c r="G6" s="8"/>
      <c r="H6" s="8"/>
      <c r="I6" s="8"/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9"/>
      <c r="B7" s="2" t="s">
        <v>16</v>
      </c>
      <c r="C7" s="546">
        <v>7.538368749999999</v>
      </c>
      <c r="D7" s="13"/>
      <c r="E7" s="13"/>
      <c r="F7" s="13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48" t="s">
        <v>3907</v>
      </c>
      <c r="B8" s="2" t="s">
        <v>3908</v>
      </c>
      <c r="C8" s="547">
        <v>3000.0</v>
      </c>
      <c r="D8" s="2"/>
      <c r="E8" s="53"/>
      <c r="F8" s="13"/>
      <c r="G8" s="8"/>
      <c r="H8" s="8"/>
      <c r="I8" s="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2" t="s">
        <v>3909</v>
      </c>
      <c r="C9" s="547">
        <v>4000.0</v>
      </c>
      <c r="D9" s="2"/>
      <c r="E9" s="53"/>
      <c r="F9" s="13"/>
      <c r="G9" s="8"/>
      <c r="H9" s="8"/>
      <c r="I9" s="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2" t="s">
        <v>3910</v>
      </c>
      <c r="C10" s="547">
        <v>3000.0</v>
      </c>
      <c r="D10" s="2"/>
      <c r="E10" s="53"/>
      <c r="F10" s="13"/>
      <c r="G10" s="8"/>
      <c r="H10" s="8"/>
      <c r="I10" s="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61"/>
      <c r="B11" s="2" t="s">
        <v>20</v>
      </c>
      <c r="C11" s="547">
        <v>350.0</v>
      </c>
      <c r="D11" s="61"/>
      <c r="E11" s="59"/>
      <c r="F11" s="548"/>
      <c r="G11" s="59"/>
      <c r="H11" s="59"/>
      <c r="I11" s="46"/>
      <c r="J11" s="59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3.5" customHeight="1">
      <c r="A12" s="1"/>
      <c r="B12" s="1"/>
      <c r="C12" s="1"/>
      <c r="D12" s="13"/>
      <c r="E12" s="13"/>
      <c r="F12" s="13"/>
      <c r="G12" s="8"/>
      <c r="H12" s="8"/>
      <c r="I12" s="8"/>
      <c r="J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549" t="s">
        <v>3911</v>
      </c>
      <c r="B13" s="550" t="s">
        <v>3912</v>
      </c>
      <c r="C13" s="550" t="s">
        <v>3913</v>
      </c>
      <c r="D13" s="550" t="s">
        <v>3914</v>
      </c>
      <c r="E13" s="550" t="s">
        <v>36</v>
      </c>
      <c r="F13" s="550" t="s">
        <v>3915</v>
      </c>
      <c r="G13" s="551" t="s">
        <v>41</v>
      </c>
      <c r="H13" s="552" t="s">
        <v>42</v>
      </c>
      <c r="I13" s="553" t="s">
        <v>3916</v>
      </c>
      <c r="J13" s="553" t="s">
        <v>61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hidden="1" customHeight="1">
      <c r="A14" s="554" t="s">
        <v>3917</v>
      </c>
      <c r="B14" s="555" t="s">
        <v>3918</v>
      </c>
      <c r="C14" s="556" t="s">
        <v>3919</v>
      </c>
      <c r="D14" s="357" t="s">
        <v>164</v>
      </c>
      <c r="E14" s="556" t="s">
        <v>166</v>
      </c>
      <c r="F14" s="555" t="s">
        <v>96</v>
      </c>
      <c r="G14" s="557" t="s">
        <v>97</v>
      </c>
      <c r="H14" s="557">
        <v>9.0</v>
      </c>
      <c r="I14" s="558">
        <v>362.02431027136635</v>
      </c>
      <c r="J14" s="559" t="s">
        <v>10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hidden="1" customHeight="1">
      <c r="A15" s="554" t="s">
        <v>3917</v>
      </c>
      <c r="B15" s="555" t="s">
        <v>3918</v>
      </c>
      <c r="C15" s="556" t="s">
        <v>3919</v>
      </c>
      <c r="D15" s="357" t="s">
        <v>169</v>
      </c>
      <c r="E15" s="556" t="s">
        <v>171</v>
      </c>
      <c r="F15" s="555" t="s">
        <v>96</v>
      </c>
      <c r="G15" s="557" t="s">
        <v>97</v>
      </c>
      <c r="H15" s="557">
        <v>4.0</v>
      </c>
      <c r="I15" s="558">
        <v>750.9419191037299</v>
      </c>
      <c r="J15" s="559" t="s">
        <v>10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hidden="1" customHeight="1">
      <c r="A16" s="554" t="s">
        <v>3917</v>
      </c>
      <c r="B16" s="555" t="s">
        <v>3918</v>
      </c>
      <c r="C16" s="556" t="s">
        <v>3920</v>
      </c>
      <c r="D16" s="357" t="s">
        <v>248</v>
      </c>
      <c r="E16" s="556" t="s">
        <v>250</v>
      </c>
      <c r="F16" s="555" t="s">
        <v>96</v>
      </c>
      <c r="G16" s="557" t="s">
        <v>97</v>
      </c>
      <c r="H16" s="557">
        <v>9.0</v>
      </c>
      <c r="I16" s="558">
        <v>371.4607570659792</v>
      </c>
      <c r="J16" s="559" t="s">
        <v>10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hidden="1" customHeight="1">
      <c r="A17" s="554" t="s">
        <v>3917</v>
      </c>
      <c r="B17" s="555" t="s">
        <v>3918</v>
      </c>
      <c r="C17" s="556" t="s">
        <v>3920</v>
      </c>
      <c r="D17" s="357" t="s">
        <v>253</v>
      </c>
      <c r="E17" s="556" t="s">
        <v>255</v>
      </c>
      <c r="F17" s="555" t="s">
        <v>96</v>
      </c>
      <c r="G17" s="557" t="s">
        <v>97</v>
      </c>
      <c r="H17" s="557">
        <v>4.0</v>
      </c>
      <c r="I17" s="558">
        <v>770.093738801697</v>
      </c>
      <c r="J17" s="559" t="s">
        <v>10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hidden="1" customHeight="1">
      <c r="A18" s="554" t="s">
        <v>3917</v>
      </c>
      <c r="B18" s="555" t="s">
        <v>3918</v>
      </c>
      <c r="C18" s="556" t="s">
        <v>3920</v>
      </c>
      <c r="D18" s="357" t="s">
        <v>301</v>
      </c>
      <c r="E18" s="556" t="s">
        <v>303</v>
      </c>
      <c r="F18" s="555" t="s">
        <v>96</v>
      </c>
      <c r="G18" s="557" t="s">
        <v>97</v>
      </c>
      <c r="H18" s="557">
        <v>9.0</v>
      </c>
      <c r="I18" s="558">
        <v>370.46244300367164</v>
      </c>
      <c r="J18" s="559" t="s">
        <v>10</v>
      </c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ht="13.5" hidden="1" customHeight="1">
      <c r="A19" s="554" t="s">
        <v>3917</v>
      </c>
      <c r="B19" s="555" t="s">
        <v>3918</v>
      </c>
      <c r="C19" s="556" t="s">
        <v>3920</v>
      </c>
      <c r="D19" s="357" t="s">
        <v>306</v>
      </c>
      <c r="E19" s="556" t="s">
        <v>308</v>
      </c>
      <c r="F19" s="555" t="s">
        <v>96</v>
      </c>
      <c r="G19" s="557" t="s">
        <v>97</v>
      </c>
      <c r="H19" s="557">
        <v>4.0</v>
      </c>
      <c r="I19" s="558">
        <v>768.4604274162551</v>
      </c>
      <c r="J19" s="559" t="s">
        <v>10</v>
      </c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ht="13.5" hidden="1" customHeight="1">
      <c r="A20" s="554" t="s">
        <v>3917</v>
      </c>
      <c r="B20" s="555" t="s">
        <v>3918</v>
      </c>
      <c r="C20" s="556" t="s">
        <v>3920</v>
      </c>
      <c r="D20" s="357" t="s">
        <v>324</v>
      </c>
      <c r="E20" s="556" t="s">
        <v>326</v>
      </c>
      <c r="F20" s="555" t="s">
        <v>96</v>
      </c>
      <c r="G20" s="557" t="s">
        <v>97</v>
      </c>
      <c r="H20" s="557">
        <v>9.0</v>
      </c>
      <c r="I20" s="558">
        <v>407.28726703974996</v>
      </c>
      <c r="J20" s="559" t="s">
        <v>10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hidden="1" customHeight="1">
      <c r="A21" s="556" t="s">
        <v>3917</v>
      </c>
      <c r="B21" s="555" t="s">
        <v>3918</v>
      </c>
      <c r="C21" s="556" t="s">
        <v>3920</v>
      </c>
      <c r="D21" s="357" t="s">
        <v>362</v>
      </c>
      <c r="E21" s="556" t="s">
        <v>364</v>
      </c>
      <c r="F21" s="555" t="s">
        <v>96</v>
      </c>
      <c r="G21" s="557" t="s">
        <v>97</v>
      </c>
      <c r="H21" s="557">
        <v>9.0</v>
      </c>
      <c r="I21" s="558">
        <v>460.9869076029278</v>
      </c>
      <c r="J21" s="559" t="s">
        <v>10</v>
      </c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</row>
    <row r="22" ht="13.5" hidden="1" customHeight="1">
      <c r="A22" s="554" t="s">
        <v>3917</v>
      </c>
      <c r="B22" s="555" t="s">
        <v>3918</v>
      </c>
      <c r="C22" s="556" t="s">
        <v>3921</v>
      </c>
      <c r="D22" s="357" t="s">
        <v>398</v>
      </c>
      <c r="E22" s="556" t="s">
        <v>400</v>
      </c>
      <c r="F22" s="555" t="s">
        <v>96</v>
      </c>
      <c r="G22" s="557" t="s">
        <v>97</v>
      </c>
      <c r="H22" s="557">
        <v>6.0</v>
      </c>
      <c r="I22" s="558">
        <v>473.597069519627</v>
      </c>
      <c r="J22" s="559" t="s">
        <v>10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hidden="1" customHeight="1">
      <c r="A23" s="554" t="s">
        <v>3917</v>
      </c>
      <c r="B23" s="555" t="s">
        <v>3918</v>
      </c>
      <c r="C23" s="556" t="s">
        <v>3921</v>
      </c>
      <c r="D23" s="357" t="s">
        <v>403</v>
      </c>
      <c r="E23" s="556" t="s">
        <v>405</v>
      </c>
      <c r="F23" s="555" t="s">
        <v>96</v>
      </c>
      <c r="G23" s="557" t="s">
        <v>97</v>
      </c>
      <c r="H23" s="557">
        <v>4.0</v>
      </c>
      <c r="I23" s="558">
        <v>986.4964516942076</v>
      </c>
      <c r="J23" s="559" t="s">
        <v>10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hidden="1" customHeight="1">
      <c r="A24" s="554" t="s">
        <v>3917</v>
      </c>
      <c r="B24" s="555" t="s">
        <v>3922</v>
      </c>
      <c r="C24" s="555" t="s">
        <v>3922</v>
      </c>
      <c r="D24" s="357" t="s">
        <v>503</v>
      </c>
      <c r="E24" s="556" t="s">
        <v>505</v>
      </c>
      <c r="F24" s="555" t="s">
        <v>506</v>
      </c>
      <c r="G24" s="557" t="s">
        <v>507</v>
      </c>
      <c r="H24" s="557">
        <v>8640.0</v>
      </c>
      <c r="I24" s="561">
        <v>0.4620811816723377</v>
      </c>
      <c r="J24" s="559" t="s">
        <v>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hidden="1" customHeight="1">
      <c r="A25" s="554" t="s">
        <v>3917</v>
      </c>
      <c r="B25" s="555" t="s">
        <v>3922</v>
      </c>
      <c r="C25" s="555" t="s">
        <v>3922</v>
      </c>
      <c r="D25" s="357" t="s">
        <v>511</v>
      </c>
      <c r="E25" s="556" t="s">
        <v>513</v>
      </c>
      <c r="F25" s="555" t="s">
        <v>514</v>
      </c>
      <c r="G25" s="557" t="s">
        <v>507</v>
      </c>
      <c r="H25" s="557">
        <v>8640.0</v>
      </c>
      <c r="I25" s="561">
        <v>0.49782935261937994</v>
      </c>
      <c r="J25" s="559" t="s">
        <v>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hidden="1" customHeight="1">
      <c r="A26" s="554" t="s">
        <v>3917</v>
      </c>
      <c r="B26" s="555" t="s">
        <v>3922</v>
      </c>
      <c r="C26" s="555" t="s">
        <v>3922</v>
      </c>
      <c r="D26" s="357" t="s">
        <v>516</v>
      </c>
      <c r="E26" s="556" t="s">
        <v>518</v>
      </c>
      <c r="F26" s="555" t="s">
        <v>506</v>
      </c>
      <c r="G26" s="557" t="s">
        <v>507</v>
      </c>
      <c r="H26" s="557">
        <v>11520.0</v>
      </c>
      <c r="I26" s="561">
        <v>0.4210953461632333</v>
      </c>
      <c r="J26" s="559" t="s">
        <v>6</v>
      </c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 ht="13.5" hidden="1" customHeight="1">
      <c r="A27" s="554" t="s">
        <v>3917</v>
      </c>
      <c r="B27" s="555" t="s">
        <v>3922</v>
      </c>
      <c r="C27" s="555" t="s">
        <v>3922</v>
      </c>
      <c r="D27" s="357" t="s">
        <v>520</v>
      </c>
      <c r="E27" s="556" t="s">
        <v>522</v>
      </c>
      <c r="F27" s="555" t="s">
        <v>514</v>
      </c>
      <c r="G27" s="557" t="s">
        <v>507</v>
      </c>
      <c r="H27" s="557">
        <v>11520.0</v>
      </c>
      <c r="I27" s="561">
        <v>0.432792439112212</v>
      </c>
      <c r="J27" s="559" t="s">
        <v>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hidden="1" customHeight="1">
      <c r="A28" s="554" t="s">
        <v>3917</v>
      </c>
      <c r="B28" s="555" t="s">
        <v>3922</v>
      </c>
      <c r="C28" s="555" t="s">
        <v>3922</v>
      </c>
      <c r="D28" s="357" t="s">
        <v>524</v>
      </c>
      <c r="E28" s="556" t="s">
        <v>526</v>
      </c>
      <c r="F28" s="555" t="s">
        <v>514</v>
      </c>
      <c r="G28" s="557" t="s">
        <v>507</v>
      </c>
      <c r="H28" s="557">
        <v>11520.0</v>
      </c>
      <c r="I28" s="561">
        <v>0.5742019764077031</v>
      </c>
      <c r="J28" s="559" t="s">
        <v>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hidden="1" customHeight="1">
      <c r="A29" s="554" t="s">
        <v>3917</v>
      </c>
      <c r="B29" s="555" t="s">
        <v>3922</v>
      </c>
      <c r="C29" s="555" t="s">
        <v>3922</v>
      </c>
      <c r="D29" s="357" t="s">
        <v>528</v>
      </c>
      <c r="E29" s="556" t="s">
        <v>530</v>
      </c>
      <c r="F29" s="555" t="s">
        <v>514</v>
      </c>
      <c r="G29" s="557" t="s">
        <v>507</v>
      </c>
      <c r="H29" s="557">
        <v>11520.0</v>
      </c>
      <c r="I29" s="561">
        <v>0.5943494141763944</v>
      </c>
      <c r="J29" s="559" t="s">
        <v>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hidden="1" customHeight="1">
      <c r="A30" s="556" t="s">
        <v>3917</v>
      </c>
      <c r="B30" s="556" t="s">
        <v>3923</v>
      </c>
      <c r="C30" s="556" t="s">
        <v>3924</v>
      </c>
      <c r="D30" s="357" t="s">
        <v>3925</v>
      </c>
      <c r="E30" s="556" t="s">
        <v>3926</v>
      </c>
      <c r="F30" s="555" t="s">
        <v>514</v>
      </c>
      <c r="G30" s="557" t="s">
        <v>573</v>
      </c>
      <c r="H30" s="557">
        <v>8064.0</v>
      </c>
      <c r="I30" s="561">
        <v>1.5771171827571109</v>
      </c>
      <c r="J30" s="559" t="s">
        <v>10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hidden="1" customHeight="1">
      <c r="A31" s="556" t="s">
        <v>3917</v>
      </c>
      <c r="B31" s="556" t="s">
        <v>3923</v>
      </c>
      <c r="C31" s="556" t="s">
        <v>3924</v>
      </c>
      <c r="D31" s="357" t="s">
        <v>3927</v>
      </c>
      <c r="E31" s="556" t="s">
        <v>3928</v>
      </c>
      <c r="F31" s="555" t="s">
        <v>514</v>
      </c>
      <c r="G31" s="557" t="s">
        <v>573</v>
      </c>
      <c r="H31" s="557">
        <v>8064.0</v>
      </c>
      <c r="I31" s="561">
        <v>1.791550239624869</v>
      </c>
      <c r="J31" s="559" t="s">
        <v>10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hidden="1" customHeight="1">
      <c r="A32" s="554" t="s">
        <v>3917</v>
      </c>
      <c r="B32" s="556" t="s">
        <v>3923</v>
      </c>
      <c r="C32" s="556" t="s">
        <v>619</v>
      </c>
      <c r="D32" s="357" t="s">
        <v>638</v>
      </c>
      <c r="E32" s="556" t="s">
        <v>640</v>
      </c>
      <c r="F32" s="555" t="s">
        <v>641</v>
      </c>
      <c r="G32" s="557" t="s">
        <v>573</v>
      </c>
      <c r="H32" s="557">
        <v>6912.0</v>
      </c>
      <c r="I32" s="561">
        <v>1.442275112355246</v>
      </c>
      <c r="J32" s="559" t="s">
        <v>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hidden="1" customHeight="1">
      <c r="A33" s="554" t="s">
        <v>3917</v>
      </c>
      <c r="B33" s="556" t="s">
        <v>3923</v>
      </c>
      <c r="C33" s="556" t="s">
        <v>619</v>
      </c>
      <c r="D33" s="357" t="s">
        <v>643</v>
      </c>
      <c r="E33" s="556" t="s">
        <v>645</v>
      </c>
      <c r="F33" s="555" t="s">
        <v>506</v>
      </c>
      <c r="G33" s="557" t="s">
        <v>573</v>
      </c>
      <c r="H33" s="557">
        <v>8064.0</v>
      </c>
      <c r="I33" s="561">
        <v>1.421071435454099</v>
      </c>
      <c r="J33" s="559" t="s">
        <v>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hidden="1" customHeight="1">
      <c r="A34" s="554" t="s">
        <v>3917</v>
      </c>
      <c r="B34" s="556" t="s">
        <v>3923</v>
      </c>
      <c r="C34" s="556" t="s">
        <v>619</v>
      </c>
      <c r="D34" s="357" t="s">
        <v>647</v>
      </c>
      <c r="E34" s="556" t="s">
        <v>649</v>
      </c>
      <c r="F34" s="555" t="s">
        <v>614</v>
      </c>
      <c r="G34" s="557" t="s">
        <v>573</v>
      </c>
      <c r="H34" s="557">
        <v>10368.0</v>
      </c>
      <c r="I34" s="561">
        <v>1.394284489745452</v>
      </c>
      <c r="J34" s="559" t="s">
        <v>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hidden="1" customHeight="1">
      <c r="A35" s="554" t="s">
        <v>3917</v>
      </c>
      <c r="B35" s="556" t="s">
        <v>3923</v>
      </c>
      <c r="C35" s="556" t="s">
        <v>659</v>
      </c>
      <c r="D35" s="357" t="s">
        <v>672</v>
      </c>
      <c r="E35" s="556" t="s">
        <v>674</v>
      </c>
      <c r="F35" s="555" t="s">
        <v>641</v>
      </c>
      <c r="G35" s="557" t="s">
        <v>573</v>
      </c>
      <c r="H35" s="557">
        <v>6912.0</v>
      </c>
      <c r="I35" s="561">
        <v>1.5579057527447748</v>
      </c>
      <c r="J35" s="559" t="s">
        <v>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hidden="1" customHeight="1">
      <c r="A36" s="554" t="s">
        <v>3917</v>
      </c>
      <c r="B36" s="556" t="s">
        <v>3923</v>
      </c>
      <c r="C36" s="556" t="s">
        <v>659</v>
      </c>
      <c r="D36" s="357" t="s">
        <v>680</v>
      </c>
      <c r="E36" s="556" t="s">
        <v>682</v>
      </c>
      <c r="F36" s="555" t="s">
        <v>609</v>
      </c>
      <c r="G36" s="557" t="s">
        <v>573</v>
      </c>
      <c r="H36" s="557">
        <v>10368.0</v>
      </c>
      <c r="I36" s="561">
        <v>1.5138842793733847</v>
      </c>
      <c r="J36" s="559" t="s">
        <v>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hidden="1" customHeight="1">
      <c r="A37" s="554" t="s">
        <v>3917</v>
      </c>
      <c r="B37" s="556" t="s">
        <v>3923</v>
      </c>
      <c r="C37" s="556" t="s">
        <v>659</v>
      </c>
      <c r="D37" s="357" t="s">
        <v>692</v>
      </c>
      <c r="E37" s="556" t="s">
        <v>694</v>
      </c>
      <c r="F37" s="555" t="s">
        <v>614</v>
      </c>
      <c r="G37" s="557" t="s">
        <v>573</v>
      </c>
      <c r="H37" s="557">
        <v>10368.0</v>
      </c>
      <c r="I37" s="561">
        <v>1.7234604695621136</v>
      </c>
      <c r="J37" s="559" t="s">
        <v>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hidden="1" customHeight="1">
      <c r="A38" s="556" t="s">
        <v>3917</v>
      </c>
      <c r="B38" s="556" t="s">
        <v>3923</v>
      </c>
      <c r="C38" s="556" t="s">
        <v>3929</v>
      </c>
      <c r="D38" s="357" t="s">
        <v>710</v>
      </c>
      <c r="E38" s="556" t="s">
        <v>712</v>
      </c>
      <c r="F38" s="555" t="s">
        <v>713</v>
      </c>
      <c r="G38" s="557" t="s">
        <v>714</v>
      </c>
      <c r="H38" s="557">
        <v>86400.0</v>
      </c>
      <c r="I38" s="561">
        <v>0.04913904122427836</v>
      </c>
      <c r="J38" s="559" t="s">
        <v>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hidden="1" customHeight="1">
      <c r="A39" s="556" t="s">
        <v>3917</v>
      </c>
      <c r="B39" s="556" t="s">
        <v>3923</v>
      </c>
      <c r="C39" s="556" t="s">
        <v>3929</v>
      </c>
      <c r="D39" s="357" t="s">
        <v>716</v>
      </c>
      <c r="E39" s="556" t="s">
        <v>718</v>
      </c>
      <c r="F39" s="555" t="s">
        <v>713</v>
      </c>
      <c r="G39" s="557" t="s">
        <v>714</v>
      </c>
      <c r="H39" s="557">
        <v>86400.0</v>
      </c>
      <c r="I39" s="561">
        <v>0.04913904122427836</v>
      </c>
      <c r="J39" s="559" t="s">
        <v>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hidden="1" customHeight="1">
      <c r="A40" s="556" t="s">
        <v>3917</v>
      </c>
      <c r="B40" s="556" t="s">
        <v>3923</v>
      </c>
      <c r="C40" s="556" t="s">
        <v>3929</v>
      </c>
      <c r="D40" s="357" t="s">
        <v>720</v>
      </c>
      <c r="E40" s="556" t="s">
        <v>722</v>
      </c>
      <c r="F40" s="555" t="s">
        <v>713</v>
      </c>
      <c r="G40" s="557" t="s">
        <v>714</v>
      </c>
      <c r="H40" s="557">
        <v>86400.0</v>
      </c>
      <c r="I40" s="561">
        <v>0.04913904122427836</v>
      </c>
      <c r="J40" s="559" t="s">
        <v>10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hidden="1" customHeight="1">
      <c r="A41" s="556" t="s">
        <v>3917</v>
      </c>
      <c r="B41" s="556" t="s">
        <v>3923</v>
      </c>
      <c r="C41" s="556" t="s">
        <v>3929</v>
      </c>
      <c r="D41" s="357" t="s">
        <v>724</v>
      </c>
      <c r="E41" s="556" t="s">
        <v>726</v>
      </c>
      <c r="F41" s="555" t="s">
        <v>713</v>
      </c>
      <c r="G41" s="557" t="s">
        <v>714</v>
      </c>
      <c r="H41" s="557">
        <v>86400.0</v>
      </c>
      <c r="I41" s="561">
        <v>0.04913904122427836</v>
      </c>
      <c r="J41" s="559" t="s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hidden="1" customHeight="1">
      <c r="A42" s="554" t="s">
        <v>3917</v>
      </c>
      <c r="B42" s="555" t="s">
        <v>3930</v>
      </c>
      <c r="C42" s="556" t="s">
        <v>840</v>
      </c>
      <c r="D42" s="357" t="s">
        <v>841</v>
      </c>
      <c r="E42" s="556" t="s">
        <v>843</v>
      </c>
      <c r="F42" s="555" t="s">
        <v>3931</v>
      </c>
      <c r="G42" s="557" t="s">
        <v>795</v>
      </c>
      <c r="H42" s="557">
        <v>4800.0</v>
      </c>
      <c r="I42" s="562">
        <v>0.4987262739413922</v>
      </c>
      <c r="J42" s="559" t="s">
        <v>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hidden="1" customHeight="1">
      <c r="A43" s="554" t="s">
        <v>3917</v>
      </c>
      <c r="B43" s="555" t="s">
        <v>3930</v>
      </c>
      <c r="C43" s="556" t="s">
        <v>840</v>
      </c>
      <c r="D43" s="357" t="s">
        <v>845</v>
      </c>
      <c r="E43" s="556" t="s">
        <v>847</v>
      </c>
      <c r="F43" s="555" t="s">
        <v>3931</v>
      </c>
      <c r="G43" s="557" t="s">
        <v>795</v>
      </c>
      <c r="H43" s="557">
        <v>4800.0</v>
      </c>
      <c r="I43" s="562">
        <v>0.5517881515525134</v>
      </c>
      <c r="J43" s="559" t="s">
        <v>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hidden="1" customHeight="1">
      <c r="A44" s="554" t="s">
        <v>3917</v>
      </c>
      <c r="B44" s="555" t="s">
        <v>3930</v>
      </c>
      <c r="C44" s="556" t="s">
        <v>840</v>
      </c>
      <c r="D44" s="357" t="s">
        <v>849</v>
      </c>
      <c r="E44" s="556" t="s">
        <v>851</v>
      </c>
      <c r="F44" s="555" t="s">
        <v>3931</v>
      </c>
      <c r="G44" s="557" t="s">
        <v>795</v>
      </c>
      <c r="H44" s="557">
        <v>3200.0</v>
      </c>
      <c r="I44" s="562">
        <v>0.704265985206475</v>
      </c>
      <c r="J44" s="559" t="s">
        <v>10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hidden="1" customHeight="1">
      <c r="A45" s="554" t="s">
        <v>3917</v>
      </c>
      <c r="B45" s="555" t="s">
        <v>3930</v>
      </c>
      <c r="C45" s="556" t="s">
        <v>840</v>
      </c>
      <c r="D45" s="357" t="s">
        <v>853</v>
      </c>
      <c r="E45" s="556" t="s">
        <v>855</v>
      </c>
      <c r="F45" s="555" t="s">
        <v>3931</v>
      </c>
      <c r="G45" s="557" t="s">
        <v>795</v>
      </c>
      <c r="H45" s="557">
        <v>2240.0</v>
      </c>
      <c r="I45" s="562">
        <v>0.9923099077692861</v>
      </c>
      <c r="J45" s="559" t="s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hidden="1" customHeight="1">
      <c r="A46" s="554" t="s">
        <v>3917</v>
      </c>
      <c r="B46" s="555" t="s">
        <v>3930</v>
      </c>
      <c r="C46" s="556" t="s">
        <v>840</v>
      </c>
      <c r="D46" s="357" t="s">
        <v>857</v>
      </c>
      <c r="E46" s="556" t="s">
        <v>859</v>
      </c>
      <c r="F46" s="555" t="s">
        <v>3931</v>
      </c>
      <c r="G46" s="557" t="s">
        <v>795</v>
      </c>
      <c r="H46" s="557">
        <v>1600.0</v>
      </c>
      <c r="I46" s="562">
        <v>1.2918274241194425</v>
      </c>
      <c r="J46" s="559" t="s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hidden="1" customHeight="1">
      <c r="A47" s="554" t="s">
        <v>3917</v>
      </c>
      <c r="B47" s="555" t="s">
        <v>3930</v>
      </c>
      <c r="C47" s="556" t="s">
        <v>840</v>
      </c>
      <c r="D47" s="357" t="s">
        <v>861</v>
      </c>
      <c r="E47" s="556" t="s">
        <v>863</v>
      </c>
      <c r="F47" s="555" t="s">
        <v>3931</v>
      </c>
      <c r="G47" s="557" t="s">
        <v>795</v>
      </c>
      <c r="H47" s="557">
        <v>960.0</v>
      </c>
      <c r="I47" s="562">
        <v>1.912003705296964</v>
      </c>
      <c r="J47" s="559" t="s">
        <v>10</v>
      </c>
      <c r="K47" s="563"/>
      <c r="L47" s="563"/>
      <c r="M47" s="563"/>
      <c r="N47" s="563"/>
      <c r="O47" s="563"/>
      <c r="P47" s="563"/>
      <c r="Q47" s="563"/>
      <c r="R47" s="563"/>
      <c r="S47" s="563"/>
      <c r="T47" s="563"/>
      <c r="U47" s="563"/>
      <c r="V47" s="563"/>
      <c r="W47" s="563"/>
      <c r="X47" s="563"/>
      <c r="Y47" s="563"/>
      <c r="Z47" s="563"/>
    </row>
    <row r="48" ht="13.5" hidden="1" customHeight="1">
      <c r="A48" s="554" t="s">
        <v>3917</v>
      </c>
      <c r="B48" s="555" t="s">
        <v>3930</v>
      </c>
      <c r="C48" s="556" t="s">
        <v>840</v>
      </c>
      <c r="D48" s="357" t="s">
        <v>865</v>
      </c>
      <c r="E48" s="556" t="s">
        <v>867</v>
      </c>
      <c r="F48" s="555" t="s">
        <v>3931</v>
      </c>
      <c r="G48" s="557" t="s">
        <v>795</v>
      </c>
      <c r="H48" s="557">
        <v>640.0</v>
      </c>
      <c r="I48" s="562">
        <v>3.312082938428995</v>
      </c>
      <c r="J48" s="559" t="s">
        <v>10</v>
      </c>
      <c r="K48" s="563"/>
      <c r="L48" s="563"/>
      <c r="M48" s="563"/>
      <c r="N48" s="563"/>
      <c r="O48" s="563"/>
      <c r="P48" s="563"/>
      <c r="Q48" s="563"/>
      <c r="R48" s="563"/>
      <c r="S48" s="563"/>
      <c r="T48" s="563"/>
      <c r="U48" s="563"/>
      <c r="V48" s="563"/>
      <c r="W48" s="563"/>
      <c r="X48" s="563"/>
      <c r="Y48" s="563"/>
      <c r="Z48" s="563"/>
    </row>
    <row r="49" ht="13.5" hidden="1" customHeight="1">
      <c r="A49" s="554" t="s">
        <v>3917</v>
      </c>
      <c r="B49" s="555" t="s">
        <v>3930</v>
      </c>
      <c r="C49" s="556" t="s">
        <v>840</v>
      </c>
      <c r="D49" s="357" t="s">
        <v>869</v>
      </c>
      <c r="E49" s="556" t="s">
        <v>871</v>
      </c>
      <c r="F49" s="555" t="s">
        <v>3931</v>
      </c>
      <c r="G49" s="557" t="s">
        <v>795</v>
      </c>
      <c r="H49" s="557">
        <v>4800.0</v>
      </c>
      <c r="I49" s="562">
        <v>0.5131551656428763</v>
      </c>
      <c r="J49" s="559" t="s">
        <v>10</v>
      </c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</row>
    <row r="50" ht="13.5" hidden="1" customHeight="1">
      <c r="A50" s="554" t="s">
        <v>3917</v>
      </c>
      <c r="B50" s="555" t="s">
        <v>3930</v>
      </c>
      <c r="C50" s="556" t="s">
        <v>840</v>
      </c>
      <c r="D50" s="357" t="s">
        <v>872</v>
      </c>
      <c r="E50" s="556" t="s">
        <v>874</v>
      </c>
      <c r="F50" s="555" t="s">
        <v>3931</v>
      </c>
      <c r="G50" s="557" t="s">
        <v>795</v>
      </c>
      <c r="H50" s="557">
        <v>4800.0</v>
      </c>
      <c r="I50" s="562">
        <v>0.5689672015448178</v>
      </c>
      <c r="J50" s="559" t="s">
        <v>10</v>
      </c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</row>
    <row r="51" ht="13.5" hidden="1" customHeight="1">
      <c r="A51" s="554" t="s">
        <v>3917</v>
      </c>
      <c r="B51" s="555" t="s">
        <v>3930</v>
      </c>
      <c r="C51" s="556" t="s">
        <v>840</v>
      </c>
      <c r="D51" s="357" t="s">
        <v>875</v>
      </c>
      <c r="E51" s="556" t="s">
        <v>877</v>
      </c>
      <c r="F51" s="555" t="s">
        <v>3931</v>
      </c>
      <c r="G51" s="557" t="s">
        <v>795</v>
      </c>
      <c r="H51" s="557">
        <v>3200.0</v>
      </c>
      <c r="I51" s="562">
        <v>0.7287230351276708</v>
      </c>
      <c r="J51" s="559" t="s">
        <v>10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hidden="1" customHeight="1">
      <c r="A52" s="554" t="s">
        <v>3917</v>
      </c>
      <c r="B52" s="555" t="s">
        <v>3930</v>
      </c>
      <c r="C52" s="556" t="s">
        <v>840</v>
      </c>
      <c r="D52" s="357" t="s">
        <v>878</v>
      </c>
      <c r="E52" s="556" t="s">
        <v>880</v>
      </c>
      <c r="F52" s="555" t="s">
        <v>3931</v>
      </c>
      <c r="G52" s="557" t="s">
        <v>795</v>
      </c>
      <c r="H52" s="557">
        <v>2240.0</v>
      </c>
      <c r="I52" s="562">
        <v>1.0309104759691152</v>
      </c>
      <c r="J52" s="559" t="s">
        <v>10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hidden="1" customHeight="1">
      <c r="A53" s="554" t="s">
        <v>3917</v>
      </c>
      <c r="B53" s="555" t="s">
        <v>3930</v>
      </c>
      <c r="C53" s="556" t="s">
        <v>840</v>
      </c>
      <c r="D53" s="357" t="s">
        <v>881</v>
      </c>
      <c r="E53" s="556" t="s">
        <v>883</v>
      </c>
      <c r="F53" s="555" t="s">
        <v>3931</v>
      </c>
      <c r="G53" s="557" t="s">
        <v>795</v>
      </c>
      <c r="H53" s="557">
        <v>1600.0</v>
      </c>
      <c r="I53" s="562">
        <v>1.3450131283659232</v>
      </c>
      <c r="J53" s="559" t="s">
        <v>10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hidden="1" customHeight="1">
      <c r="A54" s="554" t="s">
        <v>3917</v>
      </c>
      <c r="B54" s="555" t="s">
        <v>3930</v>
      </c>
      <c r="C54" s="556" t="s">
        <v>840</v>
      </c>
      <c r="D54" s="357" t="s">
        <v>884</v>
      </c>
      <c r="E54" s="556" t="s">
        <v>886</v>
      </c>
      <c r="F54" s="555" t="s">
        <v>3931</v>
      </c>
      <c r="G54" s="557" t="s">
        <v>795</v>
      </c>
      <c r="H54" s="557">
        <v>960.0</v>
      </c>
      <c r="I54" s="562">
        <v>1.994875321843509</v>
      </c>
      <c r="J54" s="559" t="s">
        <v>10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hidden="1" customHeight="1">
      <c r="A55" s="554" t="s">
        <v>3917</v>
      </c>
      <c r="B55" s="555" t="s">
        <v>3930</v>
      </c>
      <c r="C55" s="556" t="s">
        <v>840</v>
      </c>
      <c r="D55" s="357" t="s">
        <v>887</v>
      </c>
      <c r="E55" s="556" t="s">
        <v>889</v>
      </c>
      <c r="F55" s="555" t="s">
        <v>3931</v>
      </c>
      <c r="G55" s="557" t="s">
        <v>795</v>
      </c>
      <c r="H55" s="557">
        <v>640.0</v>
      </c>
      <c r="I55" s="562">
        <v>3.465016660752141</v>
      </c>
      <c r="J55" s="559" t="s">
        <v>10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hidden="1" customHeight="1">
      <c r="A56" s="554" t="s">
        <v>3917</v>
      </c>
      <c r="B56" s="555" t="s">
        <v>3930</v>
      </c>
      <c r="C56" s="556" t="s">
        <v>973</v>
      </c>
      <c r="D56" s="357" t="s">
        <v>1003</v>
      </c>
      <c r="E56" s="556" t="s">
        <v>977</v>
      </c>
      <c r="F56" s="555" t="s">
        <v>3931</v>
      </c>
      <c r="G56" s="557" t="s">
        <v>795</v>
      </c>
      <c r="H56" s="557">
        <v>4800.0</v>
      </c>
      <c r="I56" s="562">
        <v>0.5533440754271827</v>
      </c>
      <c r="J56" s="559" t="s">
        <v>10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hidden="1" customHeight="1">
      <c r="A57" s="554" t="s">
        <v>3917</v>
      </c>
      <c r="B57" s="555" t="s">
        <v>3930</v>
      </c>
      <c r="C57" s="556" t="s">
        <v>973</v>
      </c>
      <c r="D57" s="357" t="s">
        <v>1005</v>
      </c>
      <c r="E57" s="556" t="s">
        <v>982</v>
      </c>
      <c r="F57" s="555" t="s">
        <v>3931</v>
      </c>
      <c r="G57" s="557" t="s">
        <v>795</v>
      </c>
      <c r="H57" s="557">
        <v>4800.0</v>
      </c>
      <c r="I57" s="562">
        <v>0.6221586979541053</v>
      </c>
      <c r="J57" s="559" t="s">
        <v>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hidden="1" customHeight="1">
      <c r="A58" s="554" t="s">
        <v>3917</v>
      </c>
      <c r="B58" s="555" t="s">
        <v>3930</v>
      </c>
      <c r="C58" s="556" t="s">
        <v>973</v>
      </c>
      <c r="D58" s="357" t="s">
        <v>1006</v>
      </c>
      <c r="E58" s="556" t="s">
        <v>986</v>
      </c>
      <c r="F58" s="555" t="s">
        <v>3931</v>
      </c>
      <c r="G58" s="557" t="s">
        <v>795</v>
      </c>
      <c r="H58" s="557">
        <v>3200.0</v>
      </c>
      <c r="I58" s="562">
        <v>0.8131026396522292</v>
      </c>
      <c r="J58" s="559" t="s">
        <v>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hidden="1" customHeight="1">
      <c r="A59" s="554" t="s">
        <v>3917</v>
      </c>
      <c r="B59" s="555" t="s">
        <v>3930</v>
      </c>
      <c r="C59" s="556" t="s">
        <v>973</v>
      </c>
      <c r="D59" s="357" t="s">
        <v>1007</v>
      </c>
      <c r="E59" s="556" t="s">
        <v>990</v>
      </c>
      <c r="F59" s="555" t="s">
        <v>3931</v>
      </c>
      <c r="G59" s="557" t="s">
        <v>795</v>
      </c>
      <c r="H59" s="557">
        <v>2240.0</v>
      </c>
      <c r="I59" s="562">
        <v>1.1792230114765259</v>
      </c>
      <c r="J59" s="559" t="s">
        <v>10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hidden="1" customHeight="1">
      <c r="A60" s="554" t="s">
        <v>3917</v>
      </c>
      <c r="B60" s="555" t="s">
        <v>3930</v>
      </c>
      <c r="C60" s="556" t="s">
        <v>973</v>
      </c>
      <c r="D60" s="357" t="s">
        <v>1008</v>
      </c>
      <c r="E60" s="556" t="s">
        <v>994</v>
      </c>
      <c r="F60" s="555" t="s">
        <v>3931</v>
      </c>
      <c r="G60" s="557" t="s">
        <v>795</v>
      </c>
      <c r="H60" s="557">
        <v>1600.0</v>
      </c>
      <c r="I60" s="562">
        <v>1.549597193503402</v>
      </c>
      <c r="J60" s="559" t="s">
        <v>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hidden="1" customHeight="1">
      <c r="A61" s="554" t="s">
        <v>3917</v>
      </c>
      <c r="B61" s="555" t="s">
        <v>3930</v>
      </c>
      <c r="C61" s="556" t="s">
        <v>973</v>
      </c>
      <c r="D61" s="357" t="s">
        <v>1009</v>
      </c>
      <c r="E61" s="556" t="s">
        <v>998</v>
      </c>
      <c r="F61" s="555" t="s">
        <v>3931</v>
      </c>
      <c r="G61" s="557" t="s">
        <v>795</v>
      </c>
      <c r="H61" s="557">
        <v>960.0</v>
      </c>
      <c r="I61" s="562">
        <v>2.3093933194750633</v>
      </c>
      <c r="J61" s="559" t="s">
        <v>10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hidden="1" customHeight="1">
      <c r="A62" s="554" t="s">
        <v>3917</v>
      </c>
      <c r="B62" s="555" t="s">
        <v>3930</v>
      </c>
      <c r="C62" s="556" t="s">
        <v>973</v>
      </c>
      <c r="D62" s="357" t="s">
        <v>1010</v>
      </c>
      <c r="E62" s="556" t="s">
        <v>1002</v>
      </c>
      <c r="F62" s="555" t="s">
        <v>3931</v>
      </c>
      <c r="G62" s="557" t="s">
        <v>795</v>
      </c>
      <c r="H62" s="557">
        <v>640.0</v>
      </c>
      <c r="I62" s="562">
        <v>4.0784470309288565</v>
      </c>
      <c r="J62" s="559" t="s">
        <v>10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hidden="1" customHeight="1">
      <c r="A63" s="554" t="s">
        <v>3917</v>
      </c>
      <c r="B63" s="555" t="s">
        <v>3930</v>
      </c>
      <c r="C63" s="556" t="s">
        <v>973</v>
      </c>
      <c r="D63" s="357" t="s">
        <v>1037</v>
      </c>
      <c r="E63" s="556" t="s">
        <v>1039</v>
      </c>
      <c r="F63" s="555" t="s">
        <v>3931</v>
      </c>
      <c r="G63" s="557" t="s">
        <v>795</v>
      </c>
      <c r="H63" s="557">
        <v>4800.0</v>
      </c>
      <c r="I63" s="562">
        <v>0.5265454860013407</v>
      </c>
      <c r="J63" s="559" t="s">
        <v>10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hidden="1" customHeight="1">
      <c r="A64" s="554" t="s">
        <v>3917</v>
      </c>
      <c r="B64" s="555" t="s">
        <v>3930</v>
      </c>
      <c r="C64" s="556" t="s">
        <v>973</v>
      </c>
      <c r="D64" s="357" t="s">
        <v>1041</v>
      </c>
      <c r="E64" s="556" t="s">
        <v>1043</v>
      </c>
      <c r="F64" s="555" t="s">
        <v>3931</v>
      </c>
      <c r="G64" s="557" t="s">
        <v>795</v>
      </c>
      <c r="H64" s="557">
        <v>4800.0</v>
      </c>
      <c r="I64" s="562">
        <v>0.5751855404782016</v>
      </c>
      <c r="J64" s="559" t="s">
        <v>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hidden="1" customHeight="1">
      <c r="A65" s="554" t="s">
        <v>3917</v>
      </c>
      <c r="B65" s="555" t="s">
        <v>3930</v>
      </c>
      <c r="C65" s="556" t="s">
        <v>973</v>
      </c>
      <c r="D65" s="357" t="s">
        <v>1044</v>
      </c>
      <c r="E65" s="556" t="s">
        <v>1046</v>
      </c>
      <c r="F65" s="555" t="s">
        <v>3931</v>
      </c>
      <c r="G65" s="557" t="s">
        <v>795</v>
      </c>
      <c r="H65" s="557">
        <v>3200.0</v>
      </c>
      <c r="I65" s="562">
        <v>0.7082696061990218</v>
      </c>
      <c r="J65" s="559" t="s">
        <v>10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hidden="1" customHeight="1">
      <c r="A66" s="554" t="s">
        <v>3917</v>
      </c>
      <c r="B66" s="555" t="s">
        <v>3930</v>
      </c>
      <c r="C66" s="556" t="s">
        <v>973</v>
      </c>
      <c r="D66" s="357" t="s">
        <v>1047</v>
      </c>
      <c r="E66" s="556" t="s">
        <v>1049</v>
      </c>
      <c r="F66" s="555" t="s">
        <v>3931</v>
      </c>
      <c r="G66" s="557" t="s">
        <v>795</v>
      </c>
      <c r="H66" s="557">
        <v>2240.0</v>
      </c>
      <c r="I66" s="562">
        <v>0.9781641350043705</v>
      </c>
      <c r="J66" s="559" t="s">
        <v>10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hidden="1" customHeight="1">
      <c r="A67" s="554" t="s">
        <v>3917</v>
      </c>
      <c r="B67" s="555" t="s">
        <v>3930</v>
      </c>
      <c r="C67" s="556" t="s">
        <v>973</v>
      </c>
      <c r="D67" s="357" t="s">
        <v>1050</v>
      </c>
      <c r="E67" s="556" t="s">
        <v>1052</v>
      </c>
      <c r="F67" s="555" t="s">
        <v>3931</v>
      </c>
      <c r="G67" s="557" t="s">
        <v>795</v>
      </c>
      <c r="H67" s="557">
        <v>1600.0</v>
      </c>
      <c r="I67" s="562">
        <v>1.2384757961838007</v>
      </c>
      <c r="J67" s="559" t="s">
        <v>10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hidden="1" customHeight="1">
      <c r="A68" s="554" t="s">
        <v>3917</v>
      </c>
      <c r="B68" s="555" t="s">
        <v>3930</v>
      </c>
      <c r="C68" s="556" t="s">
        <v>973</v>
      </c>
      <c r="D68" s="357" t="s">
        <v>1053</v>
      </c>
      <c r="E68" s="556" t="s">
        <v>1055</v>
      </c>
      <c r="F68" s="555" t="s">
        <v>3931</v>
      </c>
      <c r="G68" s="557" t="s">
        <v>795</v>
      </c>
      <c r="H68" s="557">
        <v>960.0</v>
      </c>
      <c r="I68" s="562">
        <v>1.7747236718396966</v>
      </c>
      <c r="J68" s="559" t="s">
        <v>10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hidden="1" customHeight="1">
      <c r="A69" s="554" t="s">
        <v>3917</v>
      </c>
      <c r="B69" s="555" t="s">
        <v>3930</v>
      </c>
      <c r="C69" s="556" t="s">
        <v>973</v>
      </c>
      <c r="D69" s="357" t="s">
        <v>1056</v>
      </c>
      <c r="E69" s="556" t="s">
        <v>1058</v>
      </c>
      <c r="F69" s="555" t="s">
        <v>3931</v>
      </c>
      <c r="G69" s="557" t="s">
        <v>795</v>
      </c>
      <c r="H69" s="557">
        <v>640.0</v>
      </c>
      <c r="I69" s="562">
        <v>2.97620502041256</v>
      </c>
      <c r="J69" s="559" t="s">
        <v>10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hidden="1" customHeight="1">
      <c r="A70" s="554" t="s">
        <v>3917</v>
      </c>
      <c r="B70" s="554" t="s">
        <v>3932</v>
      </c>
      <c r="C70" s="554" t="s">
        <v>3932</v>
      </c>
      <c r="D70" s="357" t="s">
        <v>1173</v>
      </c>
      <c r="E70" s="556" t="s">
        <v>3933</v>
      </c>
      <c r="F70" s="555" t="s">
        <v>554</v>
      </c>
      <c r="G70" s="557" t="s">
        <v>1176</v>
      </c>
      <c r="H70" s="557">
        <v>240.0</v>
      </c>
      <c r="I70" s="561">
        <v>6.000004791553278</v>
      </c>
      <c r="J70" s="559" t="s">
        <v>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hidden="1" customHeight="1">
      <c r="A71" s="554" t="s">
        <v>3917</v>
      </c>
      <c r="B71" s="554" t="s">
        <v>3932</v>
      </c>
      <c r="C71" s="554" t="s">
        <v>3932</v>
      </c>
      <c r="D71" s="357" t="s">
        <v>1179</v>
      </c>
      <c r="E71" s="556" t="s">
        <v>3934</v>
      </c>
      <c r="F71" s="555" t="s">
        <v>554</v>
      </c>
      <c r="G71" s="557" t="s">
        <v>1176</v>
      </c>
      <c r="H71" s="557">
        <v>240.0</v>
      </c>
      <c r="I71" s="561">
        <v>13.060731130230169</v>
      </c>
      <c r="J71" s="559" t="s">
        <v>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hidden="1" customHeight="1">
      <c r="A72" s="554" t="s">
        <v>3917</v>
      </c>
      <c r="B72" s="554" t="s">
        <v>3932</v>
      </c>
      <c r="C72" s="554" t="s">
        <v>3932</v>
      </c>
      <c r="D72" s="357" t="s">
        <v>1189</v>
      </c>
      <c r="E72" s="556" t="s">
        <v>3935</v>
      </c>
      <c r="F72" s="555" t="s">
        <v>554</v>
      </c>
      <c r="G72" s="557" t="s">
        <v>1176</v>
      </c>
      <c r="H72" s="557">
        <v>240.0</v>
      </c>
      <c r="I72" s="561">
        <v>6.117461931557364</v>
      </c>
      <c r="J72" s="559" t="s">
        <v>10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hidden="1" customHeight="1">
      <c r="A73" s="556" t="s">
        <v>3917</v>
      </c>
      <c r="B73" s="554" t="s">
        <v>3932</v>
      </c>
      <c r="C73" s="554" t="s">
        <v>3932</v>
      </c>
      <c r="D73" s="357" t="s">
        <v>1208</v>
      </c>
      <c r="E73" s="556" t="s">
        <v>1206</v>
      </c>
      <c r="F73" s="555" t="s">
        <v>554</v>
      </c>
      <c r="G73" s="557" t="s">
        <v>1176</v>
      </c>
      <c r="H73" s="557">
        <v>120.0</v>
      </c>
      <c r="I73" s="561">
        <v>26.140406845682335</v>
      </c>
      <c r="J73" s="559" t="s">
        <v>10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hidden="1" customHeight="1">
      <c r="A74" s="554" t="s">
        <v>3936</v>
      </c>
      <c r="B74" s="554" t="s">
        <v>3937</v>
      </c>
      <c r="C74" s="554" t="s">
        <v>3937</v>
      </c>
      <c r="D74" s="357" t="s">
        <v>1269</v>
      </c>
      <c r="E74" s="556" t="s">
        <v>3938</v>
      </c>
      <c r="F74" s="555" t="s">
        <v>1272</v>
      </c>
      <c r="G74" s="557" t="s">
        <v>555</v>
      </c>
      <c r="H74" s="557">
        <v>36000.0</v>
      </c>
      <c r="I74" s="561">
        <v>0.3942458321079167</v>
      </c>
      <c r="J74" s="559" t="s">
        <v>10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hidden="1" customHeight="1">
      <c r="A75" s="554" t="s">
        <v>3936</v>
      </c>
      <c r="B75" s="554" t="s">
        <v>3937</v>
      </c>
      <c r="C75" s="554" t="s">
        <v>3937</v>
      </c>
      <c r="D75" s="357" t="s">
        <v>1276</v>
      </c>
      <c r="E75" s="556" t="s">
        <v>3939</v>
      </c>
      <c r="F75" s="555" t="s">
        <v>1272</v>
      </c>
      <c r="G75" s="557" t="s">
        <v>555</v>
      </c>
      <c r="H75" s="557">
        <v>36000.0</v>
      </c>
      <c r="I75" s="561">
        <v>0.3942458321079167</v>
      </c>
      <c r="J75" s="559" t="s">
        <v>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hidden="1" customHeight="1">
      <c r="A76" s="554" t="s">
        <v>3936</v>
      </c>
      <c r="B76" s="554" t="s">
        <v>3937</v>
      </c>
      <c r="C76" s="554" t="s">
        <v>3937</v>
      </c>
      <c r="D76" s="357" t="s">
        <v>1289</v>
      </c>
      <c r="E76" s="556" t="s">
        <v>3940</v>
      </c>
      <c r="F76" s="555" t="s">
        <v>1287</v>
      </c>
      <c r="G76" s="557" t="s">
        <v>555</v>
      </c>
      <c r="H76" s="557">
        <v>18000.0</v>
      </c>
      <c r="I76" s="561">
        <v>0.3007905832312643</v>
      </c>
      <c r="J76" s="559" t="s">
        <v>10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hidden="1" customHeight="1">
      <c r="A77" s="554" t="s">
        <v>3936</v>
      </c>
      <c r="B77" s="554" t="s">
        <v>3937</v>
      </c>
      <c r="C77" s="554" t="s">
        <v>3937</v>
      </c>
      <c r="D77" s="357" t="s">
        <v>1293</v>
      </c>
      <c r="E77" s="556" t="s">
        <v>1295</v>
      </c>
      <c r="F77" s="555" t="s">
        <v>1287</v>
      </c>
      <c r="G77" s="557" t="s">
        <v>555</v>
      </c>
      <c r="H77" s="557">
        <v>18000.0</v>
      </c>
      <c r="I77" s="561">
        <v>0.3007905832312643</v>
      </c>
      <c r="J77" s="559" t="s">
        <v>10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hidden="1" customHeight="1">
      <c r="A78" s="554" t="s">
        <v>3936</v>
      </c>
      <c r="B78" s="554" t="s">
        <v>3941</v>
      </c>
      <c r="C78" s="554" t="s">
        <v>3942</v>
      </c>
      <c r="D78" s="357" t="s">
        <v>1308</v>
      </c>
      <c r="E78" s="556" t="s">
        <v>1310</v>
      </c>
      <c r="F78" s="555" t="s">
        <v>554</v>
      </c>
      <c r="G78" s="557" t="s">
        <v>1176</v>
      </c>
      <c r="H78" s="557">
        <v>1800.0</v>
      </c>
      <c r="I78" s="561">
        <v>1.103247612961336</v>
      </c>
      <c r="J78" s="559" t="s">
        <v>10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hidden="1" customHeight="1">
      <c r="A79" s="554" t="s">
        <v>3936</v>
      </c>
      <c r="B79" s="554" t="s">
        <v>3941</v>
      </c>
      <c r="C79" s="554" t="s">
        <v>3942</v>
      </c>
      <c r="D79" s="357" t="s">
        <v>1313</v>
      </c>
      <c r="E79" s="556" t="s">
        <v>1315</v>
      </c>
      <c r="F79" s="555" t="s">
        <v>554</v>
      </c>
      <c r="G79" s="557" t="s">
        <v>1176</v>
      </c>
      <c r="H79" s="557">
        <v>1800.0</v>
      </c>
      <c r="I79" s="561">
        <v>0.11959485352603393</v>
      </c>
      <c r="J79" s="559" t="s">
        <v>10</v>
      </c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  <c r="W79" s="564"/>
      <c r="X79" s="564"/>
      <c r="Y79" s="564"/>
      <c r="Z79" s="564"/>
    </row>
    <row r="80" ht="13.5" hidden="1" customHeight="1">
      <c r="A80" s="554" t="s">
        <v>3936</v>
      </c>
      <c r="B80" s="554" t="s">
        <v>3943</v>
      </c>
      <c r="C80" s="554" t="s">
        <v>3944</v>
      </c>
      <c r="D80" s="357" t="s">
        <v>1320</v>
      </c>
      <c r="E80" s="556" t="s">
        <v>1322</v>
      </c>
      <c r="F80" s="555" t="s">
        <v>1323</v>
      </c>
      <c r="G80" s="557" t="s">
        <v>1324</v>
      </c>
      <c r="H80" s="557">
        <v>1440.0</v>
      </c>
      <c r="I80" s="561">
        <v>1.9866011599309108</v>
      </c>
      <c r="J80" s="559" t="s">
        <v>10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hidden="1" customHeight="1">
      <c r="A81" s="554" t="s">
        <v>3936</v>
      </c>
      <c r="B81" s="554" t="s">
        <v>3943</v>
      </c>
      <c r="C81" s="554" t="s">
        <v>3944</v>
      </c>
      <c r="D81" s="357" t="s">
        <v>1325</v>
      </c>
      <c r="E81" s="556" t="s">
        <v>1327</v>
      </c>
      <c r="F81" s="555" t="s">
        <v>1323</v>
      </c>
      <c r="G81" s="557" t="s">
        <v>1324</v>
      </c>
      <c r="H81" s="557">
        <v>1120.0</v>
      </c>
      <c r="I81" s="561">
        <v>2.2050075173547907</v>
      </c>
      <c r="J81" s="559" t="s">
        <v>10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hidden="1" customHeight="1">
      <c r="A82" s="554" t="s">
        <v>3936</v>
      </c>
      <c r="B82" s="554" t="s">
        <v>3943</v>
      </c>
      <c r="C82" s="554" t="s">
        <v>3944</v>
      </c>
      <c r="D82" s="357" t="s">
        <v>1328</v>
      </c>
      <c r="E82" s="556" t="s">
        <v>1330</v>
      </c>
      <c r="F82" s="555" t="s">
        <v>1323</v>
      </c>
      <c r="G82" s="557" t="s">
        <v>1324</v>
      </c>
      <c r="H82" s="557">
        <v>1040.0</v>
      </c>
      <c r="I82" s="561">
        <v>2.402384926376589</v>
      </c>
      <c r="J82" s="559" t="s">
        <v>10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hidden="1" customHeight="1">
      <c r="A83" s="554" t="s">
        <v>3936</v>
      </c>
      <c r="B83" s="554" t="s">
        <v>3943</v>
      </c>
      <c r="C83" s="554" t="s">
        <v>3944</v>
      </c>
      <c r="D83" s="357" t="s">
        <v>1331</v>
      </c>
      <c r="E83" s="556" t="s">
        <v>1333</v>
      </c>
      <c r="F83" s="555" t="s">
        <v>1323</v>
      </c>
      <c r="G83" s="557" t="s">
        <v>1324</v>
      </c>
      <c r="H83" s="557">
        <v>800.0</v>
      </c>
      <c r="I83" s="561">
        <v>2.8096061494326845</v>
      </c>
      <c r="J83" s="559" t="s">
        <v>10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hidden="1" customHeight="1">
      <c r="A84" s="554" t="s">
        <v>3936</v>
      </c>
      <c r="B84" s="554" t="s">
        <v>3943</v>
      </c>
      <c r="C84" s="554" t="s">
        <v>3944</v>
      </c>
      <c r="D84" s="357" t="s">
        <v>1341</v>
      </c>
      <c r="E84" s="556" t="s">
        <v>1343</v>
      </c>
      <c r="F84" s="555" t="s">
        <v>1323</v>
      </c>
      <c r="G84" s="557" t="s">
        <v>1324</v>
      </c>
      <c r="H84" s="557">
        <v>1600.0</v>
      </c>
      <c r="I84" s="561">
        <v>1.9763887416302572</v>
      </c>
      <c r="J84" s="559" t="s">
        <v>10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hidden="1" customHeight="1">
      <c r="A85" s="554" t="s">
        <v>3936</v>
      </c>
      <c r="B85" s="554" t="s">
        <v>3943</v>
      </c>
      <c r="C85" s="554" t="s">
        <v>3944</v>
      </c>
      <c r="D85" s="357" t="s">
        <v>1345</v>
      </c>
      <c r="E85" s="556" t="s">
        <v>1347</v>
      </c>
      <c r="F85" s="555" t="s">
        <v>1323</v>
      </c>
      <c r="G85" s="557" t="s">
        <v>1324</v>
      </c>
      <c r="H85" s="557">
        <v>1200.0</v>
      </c>
      <c r="I85" s="561">
        <v>2.1962540159542305</v>
      </c>
      <c r="J85" s="559" t="s">
        <v>10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hidden="1" customHeight="1">
      <c r="A86" s="554" t="s">
        <v>3936</v>
      </c>
      <c r="B86" s="554" t="s">
        <v>3943</v>
      </c>
      <c r="C86" s="554" t="s">
        <v>3944</v>
      </c>
      <c r="D86" s="357" t="s">
        <v>1348</v>
      </c>
      <c r="E86" s="556" t="s">
        <v>1350</v>
      </c>
      <c r="F86" s="555" t="s">
        <v>1323</v>
      </c>
      <c r="G86" s="557" t="s">
        <v>1324</v>
      </c>
      <c r="H86" s="557">
        <v>1120.0</v>
      </c>
      <c r="I86" s="561">
        <v>2.392284732452865</v>
      </c>
      <c r="J86" s="559" t="s">
        <v>10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hidden="1" customHeight="1">
      <c r="A87" s="554" t="s">
        <v>3936</v>
      </c>
      <c r="B87" s="554" t="s">
        <v>3943</v>
      </c>
      <c r="C87" s="554" t="s">
        <v>3944</v>
      </c>
      <c r="D87" s="357" t="s">
        <v>1352</v>
      </c>
      <c r="E87" s="556" t="s">
        <v>1354</v>
      </c>
      <c r="F87" s="555" t="s">
        <v>1323</v>
      </c>
      <c r="G87" s="557" t="s">
        <v>1324</v>
      </c>
      <c r="H87" s="557">
        <v>800.0</v>
      </c>
      <c r="I87" s="561">
        <v>2.8096061494326845</v>
      </c>
      <c r="J87" s="559" t="s">
        <v>10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hidden="1" customHeight="1">
      <c r="A88" s="554" t="s">
        <v>3936</v>
      </c>
      <c r="B88" s="554" t="s">
        <v>3943</v>
      </c>
      <c r="C88" s="554" t="s">
        <v>3944</v>
      </c>
      <c r="D88" s="357" t="s">
        <v>1368</v>
      </c>
      <c r="E88" s="556" t="s">
        <v>1370</v>
      </c>
      <c r="F88" s="555" t="s">
        <v>1323</v>
      </c>
      <c r="G88" s="557" t="s">
        <v>1324</v>
      </c>
      <c r="H88" s="557">
        <v>1760.0</v>
      </c>
      <c r="I88" s="561">
        <v>1.9680331266569953</v>
      </c>
      <c r="J88" s="559" t="s">
        <v>10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hidden="1" customHeight="1">
      <c r="A89" s="554" t="s">
        <v>3936</v>
      </c>
      <c r="B89" s="554" t="s">
        <v>3943</v>
      </c>
      <c r="C89" s="554" t="s">
        <v>3944</v>
      </c>
      <c r="D89" s="357" t="s">
        <v>1372</v>
      </c>
      <c r="E89" s="556" t="s">
        <v>1374</v>
      </c>
      <c r="F89" s="555" t="s">
        <v>1323</v>
      </c>
      <c r="G89" s="557" t="s">
        <v>1324</v>
      </c>
      <c r="H89" s="557">
        <v>1280.0</v>
      </c>
      <c r="I89" s="561">
        <v>2.1885947022287406</v>
      </c>
      <c r="J89" s="559" t="s">
        <v>10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hidden="1" customHeight="1">
      <c r="A90" s="554" t="s">
        <v>3936</v>
      </c>
      <c r="B90" s="554" t="s">
        <v>3943</v>
      </c>
      <c r="C90" s="554" t="s">
        <v>3944</v>
      </c>
      <c r="D90" s="357" t="s">
        <v>1375</v>
      </c>
      <c r="E90" s="556" t="s">
        <v>1377</v>
      </c>
      <c r="F90" s="555" t="s">
        <v>1323</v>
      </c>
      <c r="G90" s="557" t="s">
        <v>1324</v>
      </c>
      <c r="H90" s="557">
        <v>1120.0</v>
      </c>
      <c r="I90" s="561">
        <v>2.392284732452865</v>
      </c>
      <c r="J90" s="559" t="s">
        <v>10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hidden="1" customHeight="1">
      <c r="A91" s="554" t="s">
        <v>3936</v>
      </c>
      <c r="B91" s="554" t="s">
        <v>3943</v>
      </c>
      <c r="C91" s="554" t="s">
        <v>3944</v>
      </c>
      <c r="D91" s="357" t="s">
        <v>1379</v>
      </c>
      <c r="E91" s="556" t="s">
        <v>1381</v>
      </c>
      <c r="F91" s="555" t="s">
        <v>1323</v>
      </c>
      <c r="G91" s="557" t="s">
        <v>1324</v>
      </c>
      <c r="H91" s="557">
        <v>800.0</v>
      </c>
      <c r="I91" s="561">
        <v>2.8096061494326845</v>
      </c>
      <c r="J91" s="559" t="s">
        <v>10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hidden="1" customHeight="1">
      <c r="A92" s="554" t="s">
        <v>3936</v>
      </c>
      <c r="B92" s="554" t="s">
        <v>3943</v>
      </c>
      <c r="C92" s="554" t="s">
        <v>3945</v>
      </c>
      <c r="D92" s="357" t="s">
        <v>1396</v>
      </c>
      <c r="E92" s="556" t="s">
        <v>1398</v>
      </c>
      <c r="F92" s="555" t="s">
        <v>1323</v>
      </c>
      <c r="G92" s="557" t="s">
        <v>1324</v>
      </c>
      <c r="H92" s="557">
        <v>1440.0</v>
      </c>
      <c r="I92" s="561">
        <v>2.121206658282652</v>
      </c>
      <c r="J92" s="559" t="s">
        <v>10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hidden="1" customHeight="1">
      <c r="A93" s="554" t="s">
        <v>3936</v>
      </c>
      <c r="B93" s="554" t="s">
        <v>3943</v>
      </c>
      <c r="C93" s="554" t="s">
        <v>3945</v>
      </c>
      <c r="D93" s="357" t="s">
        <v>1399</v>
      </c>
      <c r="E93" s="556" t="s">
        <v>1401</v>
      </c>
      <c r="F93" s="555" t="s">
        <v>1323</v>
      </c>
      <c r="G93" s="557" t="s">
        <v>1324</v>
      </c>
      <c r="H93" s="557">
        <v>1120.0</v>
      </c>
      <c r="I93" s="561">
        <v>2.460562883790705</v>
      </c>
      <c r="J93" s="559" t="s">
        <v>10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hidden="1" customHeight="1">
      <c r="A94" s="554" t="s">
        <v>3936</v>
      </c>
      <c r="B94" s="554" t="s">
        <v>3943</v>
      </c>
      <c r="C94" s="554" t="s">
        <v>3945</v>
      </c>
      <c r="D94" s="357" t="s">
        <v>1402</v>
      </c>
      <c r="E94" s="556" t="s">
        <v>1404</v>
      </c>
      <c r="F94" s="555" t="s">
        <v>1323</v>
      </c>
      <c r="G94" s="557" t="s">
        <v>1324</v>
      </c>
      <c r="H94" s="557">
        <v>1040.0</v>
      </c>
      <c r="I94" s="561">
        <v>2.7925457911642444</v>
      </c>
      <c r="J94" s="559" t="s">
        <v>10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hidden="1" customHeight="1">
      <c r="A95" s="554" t="s">
        <v>3936</v>
      </c>
      <c r="B95" s="554" t="s">
        <v>3943</v>
      </c>
      <c r="C95" s="554" t="s">
        <v>3945</v>
      </c>
      <c r="D95" s="357" t="s">
        <v>1405</v>
      </c>
      <c r="E95" s="556" t="s">
        <v>1407</v>
      </c>
      <c r="F95" s="555" t="s">
        <v>1323</v>
      </c>
      <c r="G95" s="557" t="s">
        <v>1324</v>
      </c>
      <c r="H95" s="557">
        <v>800.0</v>
      </c>
      <c r="I95" s="561">
        <v>3.4689780109238213</v>
      </c>
      <c r="J95" s="559" t="s">
        <v>10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hidden="1" customHeight="1">
      <c r="A96" s="554" t="s">
        <v>3936</v>
      </c>
      <c r="B96" s="554" t="s">
        <v>3943</v>
      </c>
      <c r="C96" s="554" t="s">
        <v>3945</v>
      </c>
      <c r="D96" s="357" t="s">
        <v>1414</v>
      </c>
      <c r="E96" s="556" t="s">
        <v>1416</v>
      </c>
      <c r="F96" s="555" t="s">
        <v>1323</v>
      </c>
      <c r="G96" s="557" t="s">
        <v>1324</v>
      </c>
      <c r="H96" s="557">
        <v>1600.0</v>
      </c>
      <c r="I96" s="561">
        <v>2.110994239981998</v>
      </c>
      <c r="J96" s="559" t="s">
        <v>10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hidden="1" customHeight="1">
      <c r="A97" s="554" t="s">
        <v>3936</v>
      </c>
      <c r="B97" s="554" t="s">
        <v>3943</v>
      </c>
      <c r="C97" s="554" t="s">
        <v>3945</v>
      </c>
      <c r="D97" s="357" t="s">
        <v>1417</v>
      </c>
      <c r="E97" s="556" t="s">
        <v>1419</v>
      </c>
      <c r="F97" s="555" t="s">
        <v>1323</v>
      </c>
      <c r="G97" s="557" t="s">
        <v>1324</v>
      </c>
      <c r="H97" s="557">
        <v>1200.0</v>
      </c>
      <c r="I97" s="561">
        <v>2.451809382390145</v>
      </c>
      <c r="J97" s="559" t="s">
        <v>10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hidden="1" customHeight="1">
      <c r="A98" s="554" t="s">
        <v>3936</v>
      </c>
      <c r="B98" s="554" t="s">
        <v>3943</v>
      </c>
      <c r="C98" s="554" t="s">
        <v>3945</v>
      </c>
      <c r="D98" s="357" t="s">
        <v>1420</v>
      </c>
      <c r="E98" s="556" t="s">
        <v>1422</v>
      </c>
      <c r="F98" s="555" t="s">
        <v>1323</v>
      </c>
      <c r="G98" s="557" t="s">
        <v>1324</v>
      </c>
      <c r="H98" s="557">
        <v>1120.0</v>
      </c>
      <c r="I98" s="561">
        <v>2.7824455972405207</v>
      </c>
      <c r="J98" s="559" t="s">
        <v>10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hidden="1" customHeight="1">
      <c r="A99" s="554" t="s">
        <v>3936</v>
      </c>
      <c r="B99" s="554" t="s">
        <v>3943</v>
      </c>
      <c r="C99" s="554" t="s">
        <v>3945</v>
      </c>
      <c r="D99" s="357" t="s">
        <v>1423</v>
      </c>
      <c r="E99" s="556" t="s">
        <v>1425</v>
      </c>
      <c r="F99" s="555" t="s">
        <v>1323</v>
      </c>
      <c r="G99" s="557" t="s">
        <v>1324</v>
      </c>
      <c r="H99" s="557">
        <v>800.0</v>
      </c>
      <c r="I99" s="561">
        <v>3.4689780109238213</v>
      </c>
      <c r="J99" s="559" t="s">
        <v>10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hidden="1" customHeight="1">
      <c r="A100" s="554" t="s">
        <v>3936</v>
      </c>
      <c r="B100" s="554" t="s">
        <v>3943</v>
      </c>
      <c r="C100" s="554" t="s">
        <v>3945</v>
      </c>
      <c r="D100" s="357" t="s">
        <v>1438</v>
      </c>
      <c r="E100" s="556" t="s">
        <v>1440</v>
      </c>
      <c r="F100" s="555" t="s">
        <v>1323</v>
      </c>
      <c r="G100" s="557" t="s">
        <v>1324</v>
      </c>
      <c r="H100" s="557">
        <v>1760.0</v>
      </c>
      <c r="I100" s="561">
        <v>2.102638625008736</v>
      </c>
      <c r="J100" s="559" t="s">
        <v>10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hidden="1" customHeight="1">
      <c r="A101" s="554" t="s">
        <v>3936</v>
      </c>
      <c r="B101" s="554" t="s">
        <v>3943</v>
      </c>
      <c r="C101" s="554" t="s">
        <v>3945</v>
      </c>
      <c r="D101" s="357" t="s">
        <v>1442</v>
      </c>
      <c r="E101" s="556" t="s">
        <v>1444</v>
      </c>
      <c r="F101" s="555" t="s">
        <v>1323</v>
      </c>
      <c r="G101" s="557" t="s">
        <v>1324</v>
      </c>
      <c r="H101" s="557">
        <v>1280.0</v>
      </c>
      <c r="I101" s="561">
        <v>2.444150068664655</v>
      </c>
      <c r="J101" s="559" t="s">
        <v>10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hidden="1" customHeight="1">
      <c r="A102" s="554" t="s">
        <v>3936</v>
      </c>
      <c r="B102" s="554" t="s">
        <v>3943</v>
      </c>
      <c r="C102" s="554" t="s">
        <v>3945</v>
      </c>
      <c r="D102" s="357" t="s">
        <v>1446</v>
      </c>
      <c r="E102" s="556" t="s">
        <v>1448</v>
      </c>
      <c r="F102" s="555" t="s">
        <v>1323</v>
      </c>
      <c r="G102" s="557" t="s">
        <v>1324</v>
      </c>
      <c r="H102" s="557">
        <v>1120.0</v>
      </c>
      <c r="I102" s="561">
        <v>2.7824455972405207</v>
      </c>
      <c r="J102" s="559" t="s">
        <v>10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hidden="1" customHeight="1">
      <c r="A103" s="554" t="s">
        <v>3936</v>
      </c>
      <c r="B103" s="554" t="s">
        <v>3943</v>
      </c>
      <c r="C103" s="554" t="s">
        <v>3945</v>
      </c>
      <c r="D103" s="357" t="s">
        <v>1450</v>
      </c>
      <c r="E103" s="556" t="s">
        <v>1452</v>
      </c>
      <c r="F103" s="555" t="s">
        <v>1323</v>
      </c>
      <c r="G103" s="557" t="s">
        <v>1324</v>
      </c>
      <c r="H103" s="557">
        <v>800.0</v>
      </c>
      <c r="I103" s="561">
        <v>3.4689780109238213</v>
      </c>
      <c r="J103" s="559" t="s">
        <v>10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hidden="1" customHeight="1">
      <c r="A104" s="554" t="s">
        <v>3936</v>
      </c>
      <c r="B104" s="554" t="s">
        <v>3943</v>
      </c>
      <c r="C104" s="554" t="s">
        <v>3946</v>
      </c>
      <c r="D104" s="357" t="s">
        <v>1466</v>
      </c>
      <c r="E104" s="556" t="s">
        <v>1468</v>
      </c>
      <c r="F104" s="555" t="s">
        <v>1323</v>
      </c>
      <c r="G104" s="557" t="s">
        <v>1324</v>
      </c>
      <c r="H104" s="557">
        <v>1440.0</v>
      </c>
      <c r="I104" s="561">
        <v>2.1621735490853555</v>
      </c>
      <c r="J104" s="559" t="s">
        <v>10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hidden="1" customHeight="1">
      <c r="A105" s="554" t="s">
        <v>3936</v>
      </c>
      <c r="B105" s="554" t="s">
        <v>3943</v>
      </c>
      <c r="C105" s="554" t="s">
        <v>3946</v>
      </c>
      <c r="D105" s="357" t="s">
        <v>1469</v>
      </c>
      <c r="E105" s="556" t="s">
        <v>1471</v>
      </c>
      <c r="F105" s="555" t="s">
        <v>1323</v>
      </c>
      <c r="G105" s="557" t="s">
        <v>1324</v>
      </c>
      <c r="H105" s="557">
        <v>1120.0</v>
      </c>
      <c r="I105" s="561">
        <v>2.743429510761755</v>
      </c>
      <c r="J105" s="559" t="s">
        <v>10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hidden="1" customHeight="1">
      <c r="A106" s="554" t="s">
        <v>3936</v>
      </c>
      <c r="B106" s="554" t="s">
        <v>3943</v>
      </c>
      <c r="C106" s="554" t="s">
        <v>3946</v>
      </c>
      <c r="D106" s="357" t="s">
        <v>1472</v>
      </c>
      <c r="E106" s="556" t="s">
        <v>1474</v>
      </c>
      <c r="F106" s="555" t="s">
        <v>1323</v>
      </c>
      <c r="G106" s="557" t="s">
        <v>1324</v>
      </c>
      <c r="H106" s="557">
        <v>1040.0</v>
      </c>
      <c r="I106" s="561">
        <v>3.3056073283600105</v>
      </c>
      <c r="J106" s="559" t="s">
        <v>10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hidden="1" customHeight="1">
      <c r="A107" s="554" t="s">
        <v>3936</v>
      </c>
      <c r="B107" s="554" t="s">
        <v>3943</v>
      </c>
      <c r="C107" s="554" t="s">
        <v>3946</v>
      </c>
      <c r="D107" s="357" t="s">
        <v>1475</v>
      </c>
      <c r="E107" s="556" t="s">
        <v>1477</v>
      </c>
      <c r="F107" s="555" t="s">
        <v>1323</v>
      </c>
      <c r="G107" s="557" t="s">
        <v>1324</v>
      </c>
      <c r="H107" s="557">
        <v>800.0</v>
      </c>
      <c r="I107" s="561">
        <v>4.450232585864775</v>
      </c>
      <c r="J107" s="559" t="s">
        <v>10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hidden="1" customHeight="1">
      <c r="A108" s="554" t="s">
        <v>3936</v>
      </c>
      <c r="B108" s="554" t="s">
        <v>3943</v>
      </c>
      <c r="C108" s="554" t="s">
        <v>3946</v>
      </c>
      <c r="D108" s="357" t="s">
        <v>1484</v>
      </c>
      <c r="E108" s="556" t="s">
        <v>1486</v>
      </c>
      <c r="F108" s="555" t="s">
        <v>1323</v>
      </c>
      <c r="G108" s="557" t="s">
        <v>1324</v>
      </c>
      <c r="H108" s="557">
        <v>1600.0</v>
      </c>
      <c r="I108" s="561">
        <v>2.151961130784702</v>
      </c>
      <c r="J108" s="559" t="s">
        <v>10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hidden="1" customHeight="1">
      <c r="A109" s="554" t="s">
        <v>3936</v>
      </c>
      <c r="B109" s="554" t="s">
        <v>3943</v>
      </c>
      <c r="C109" s="554" t="s">
        <v>3946</v>
      </c>
      <c r="D109" s="357" t="s">
        <v>1487</v>
      </c>
      <c r="E109" s="556" t="s">
        <v>1489</v>
      </c>
      <c r="F109" s="555" t="s">
        <v>1323</v>
      </c>
      <c r="G109" s="557" t="s">
        <v>1324</v>
      </c>
      <c r="H109" s="557">
        <v>1200.0</v>
      </c>
      <c r="I109" s="561">
        <v>2.734676009361195</v>
      </c>
      <c r="J109" s="559" t="s">
        <v>10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hidden="1" customHeight="1">
      <c r="A110" s="554" t="s">
        <v>3936</v>
      </c>
      <c r="B110" s="554" t="s">
        <v>3943</v>
      </c>
      <c r="C110" s="554" t="s">
        <v>3946</v>
      </c>
      <c r="D110" s="357" t="s">
        <v>1490</v>
      </c>
      <c r="E110" s="556" t="s">
        <v>1492</v>
      </c>
      <c r="F110" s="555" t="s">
        <v>1323</v>
      </c>
      <c r="G110" s="557" t="s">
        <v>1324</v>
      </c>
      <c r="H110" s="557">
        <v>1120.0</v>
      </c>
      <c r="I110" s="561">
        <v>3.295507134436287</v>
      </c>
      <c r="J110" s="559" t="s">
        <v>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hidden="1" customHeight="1">
      <c r="A111" s="554" t="s">
        <v>3936</v>
      </c>
      <c r="B111" s="554" t="s">
        <v>3943</v>
      </c>
      <c r="C111" s="554" t="s">
        <v>3946</v>
      </c>
      <c r="D111" s="357" t="s">
        <v>1493</v>
      </c>
      <c r="E111" s="556" t="s">
        <v>1495</v>
      </c>
      <c r="F111" s="555" t="s">
        <v>1323</v>
      </c>
      <c r="G111" s="557" t="s">
        <v>1324</v>
      </c>
      <c r="H111" s="557">
        <v>800.0</v>
      </c>
      <c r="I111" s="561">
        <v>4.450232585864775</v>
      </c>
      <c r="J111" s="559" t="s">
        <v>10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hidden="1" customHeight="1">
      <c r="A112" s="554" t="s">
        <v>3936</v>
      </c>
      <c r="B112" s="554" t="s">
        <v>3943</v>
      </c>
      <c r="C112" s="554" t="s">
        <v>3946</v>
      </c>
      <c r="D112" s="357" t="s">
        <v>1502</v>
      </c>
      <c r="E112" s="556" t="s">
        <v>1504</v>
      </c>
      <c r="F112" s="555" t="s">
        <v>1323</v>
      </c>
      <c r="G112" s="557" t="s">
        <v>1324</v>
      </c>
      <c r="H112" s="557">
        <v>1760.0</v>
      </c>
      <c r="I112" s="561">
        <v>2.14360551581144</v>
      </c>
      <c r="J112" s="559" t="s">
        <v>10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hidden="1" customHeight="1">
      <c r="A113" s="554" t="s">
        <v>3936</v>
      </c>
      <c r="B113" s="554" t="s">
        <v>3943</v>
      </c>
      <c r="C113" s="554" t="s">
        <v>3946</v>
      </c>
      <c r="D113" s="357" t="s">
        <v>1505</v>
      </c>
      <c r="E113" s="556" t="s">
        <v>1507</v>
      </c>
      <c r="F113" s="555" t="s">
        <v>1323</v>
      </c>
      <c r="G113" s="557" t="s">
        <v>1324</v>
      </c>
      <c r="H113" s="557">
        <v>1280.0</v>
      </c>
      <c r="I113" s="561">
        <v>2.727016695635705</v>
      </c>
      <c r="J113" s="559" t="s">
        <v>10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hidden="1" customHeight="1">
      <c r="A114" s="554" t="s">
        <v>3936</v>
      </c>
      <c r="B114" s="554" t="s">
        <v>3943</v>
      </c>
      <c r="C114" s="554" t="s">
        <v>3946</v>
      </c>
      <c r="D114" s="357" t="s">
        <v>1508</v>
      </c>
      <c r="E114" s="556" t="s">
        <v>1510</v>
      </c>
      <c r="F114" s="555" t="s">
        <v>1323</v>
      </c>
      <c r="G114" s="557" t="s">
        <v>1324</v>
      </c>
      <c r="H114" s="557">
        <v>1120.0</v>
      </c>
      <c r="I114" s="561">
        <v>3.295507134436287</v>
      </c>
      <c r="J114" s="559" t="s">
        <v>10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hidden="1" customHeight="1">
      <c r="A115" s="554" t="s">
        <v>3936</v>
      </c>
      <c r="B115" s="554" t="s">
        <v>3943</v>
      </c>
      <c r="C115" s="554" t="s">
        <v>3946</v>
      </c>
      <c r="D115" s="357" t="s">
        <v>1511</v>
      </c>
      <c r="E115" s="556" t="s">
        <v>1513</v>
      </c>
      <c r="F115" s="555" t="s">
        <v>1323</v>
      </c>
      <c r="G115" s="557" t="s">
        <v>1324</v>
      </c>
      <c r="H115" s="557">
        <v>800.0</v>
      </c>
      <c r="I115" s="561">
        <v>4.450232585864775</v>
      </c>
      <c r="J115" s="559" t="s">
        <v>10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hidden="1" customHeight="1">
      <c r="A116" s="554" t="s">
        <v>3936</v>
      </c>
      <c r="B116" s="554" t="s">
        <v>3943</v>
      </c>
      <c r="C116" s="554" t="s">
        <v>3947</v>
      </c>
      <c r="D116" s="357" t="s">
        <v>1521</v>
      </c>
      <c r="E116" s="556" t="s">
        <v>1523</v>
      </c>
      <c r="F116" s="555" t="s">
        <v>1323</v>
      </c>
      <c r="G116" s="557" t="s">
        <v>1324</v>
      </c>
      <c r="H116" s="557">
        <v>1440.0</v>
      </c>
      <c r="I116" s="561">
        <v>2.013912420466047</v>
      </c>
      <c r="J116" s="559" t="s">
        <v>10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hidden="1" customHeight="1">
      <c r="A117" s="554" t="s">
        <v>3936</v>
      </c>
      <c r="B117" s="554" t="s">
        <v>3943</v>
      </c>
      <c r="C117" s="554" t="s">
        <v>3947</v>
      </c>
      <c r="D117" s="357" t="s">
        <v>1524</v>
      </c>
      <c r="E117" s="556" t="s">
        <v>1526</v>
      </c>
      <c r="F117" s="555" t="s">
        <v>1323</v>
      </c>
      <c r="G117" s="557" t="s">
        <v>1324</v>
      </c>
      <c r="H117" s="557">
        <v>1120.0</v>
      </c>
      <c r="I117" s="561">
        <v>2.150384996284519</v>
      </c>
      <c r="J117" s="559" t="s">
        <v>10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hidden="1" customHeight="1">
      <c r="A118" s="554" t="s">
        <v>3936</v>
      </c>
      <c r="B118" s="554" t="s">
        <v>3943</v>
      </c>
      <c r="C118" s="554" t="s">
        <v>3947</v>
      </c>
      <c r="D118" s="357" t="s">
        <v>1527</v>
      </c>
      <c r="E118" s="556" t="s">
        <v>1529</v>
      </c>
      <c r="F118" s="555" t="s">
        <v>1323</v>
      </c>
      <c r="G118" s="557" t="s">
        <v>1324</v>
      </c>
      <c r="H118" s="557">
        <v>1040.0</v>
      </c>
      <c r="I118" s="561">
        <v>2.267779428024848</v>
      </c>
      <c r="J118" s="559" t="s">
        <v>10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hidden="1" customHeight="1">
      <c r="A119" s="554" t="s">
        <v>3936</v>
      </c>
      <c r="B119" s="554" t="s">
        <v>3943</v>
      </c>
      <c r="C119" s="554" t="s">
        <v>3947</v>
      </c>
      <c r="D119" s="357" t="s">
        <v>1530</v>
      </c>
      <c r="E119" s="556" t="s">
        <v>1532</v>
      </c>
      <c r="F119" s="555" t="s">
        <v>1323</v>
      </c>
      <c r="G119" s="557" t="s">
        <v>1324</v>
      </c>
      <c r="H119" s="557">
        <v>800.0</v>
      </c>
      <c r="I119" s="561">
        <v>2.5130838921940666</v>
      </c>
      <c r="J119" s="559" t="s">
        <v>10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hidden="1" customHeight="1">
      <c r="A120" s="554" t="s">
        <v>3936</v>
      </c>
      <c r="B120" s="554" t="s">
        <v>3943</v>
      </c>
      <c r="C120" s="554" t="s">
        <v>3947</v>
      </c>
      <c r="D120" s="357" t="s">
        <v>1539</v>
      </c>
      <c r="E120" s="556" t="s">
        <v>1541</v>
      </c>
      <c r="F120" s="555" t="s">
        <v>1323</v>
      </c>
      <c r="G120" s="557" t="s">
        <v>1324</v>
      </c>
      <c r="H120" s="557">
        <v>1600.0</v>
      </c>
      <c r="I120" s="561">
        <v>2.0037000021653935</v>
      </c>
      <c r="J120" s="559" t="s">
        <v>10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hidden="1" customHeight="1">
      <c r="A121" s="554" t="s">
        <v>3936</v>
      </c>
      <c r="B121" s="554" t="s">
        <v>3943</v>
      </c>
      <c r="C121" s="554" t="s">
        <v>3947</v>
      </c>
      <c r="D121" s="357" t="s">
        <v>1543</v>
      </c>
      <c r="E121" s="556" t="s">
        <v>1545</v>
      </c>
      <c r="F121" s="555" t="s">
        <v>1323</v>
      </c>
      <c r="G121" s="557" t="s">
        <v>1324</v>
      </c>
      <c r="H121" s="557">
        <v>1200.0</v>
      </c>
      <c r="I121" s="561">
        <v>2.141631494883959</v>
      </c>
      <c r="J121" s="559" t="s">
        <v>10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hidden="1" customHeight="1">
      <c r="A122" s="554" t="s">
        <v>3936</v>
      </c>
      <c r="B122" s="554" t="s">
        <v>3943</v>
      </c>
      <c r="C122" s="554" t="s">
        <v>3947</v>
      </c>
      <c r="D122" s="357" t="s">
        <v>1546</v>
      </c>
      <c r="E122" s="556" t="s">
        <v>1548</v>
      </c>
      <c r="F122" s="555" t="s">
        <v>1323</v>
      </c>
      <c r="G122" s="557" t="s">
        <v>1324</v>
      </c>
      <c r="H122" s="557">
        <v>1120.0</v>
      </c>
      <c r="I122" s="561">
        <v>2.2576792341011243</v>
      </c>
      <c r="J122" s="559" t="s">
        <v>10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hidden="1" customHeight="1">
      <c r="A123" s="554" t="s">
        <v>3936</v>
      </c>
      <c r="B123" s="554" t="s">
        <v>3943</v>
      </c>
      <c r="C123" s="554" t="s">
        <v>3947</v>
      </c>
      <c r="D123" s="357" t="s">
        <v>1549</v>
      </c>
      <c r="E123" s="556" t="s">
        <v>1551</v>
      </c>
      <c r="F123" s="555" t="s">
        <v>1323</v>
      </c>
      <c r="G123" s="557" t="s">
        <v>1324</v>
      </c>
      <c r="H123" s="557">
        <v>800.0</v>
      </c>
      <c r="I123" s="561">
        <v>2.5130838921940666</v>
      </c>
      <c r="J123" s="559" t="s">
        <v>10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hidden="1" customHeight="1">
      <c r="A124" s="554" t="s">
        <v>3936</v>
      </c>
      <c r="B124" s="554" t="s">
        <v>3943</v>
      </c>
      <c r="C124" s="554" t="s">
        <v>3947</v>
      </c>
      <c r="D124" s="357" t="s">
        <v>1564</v>
      </c>
      <c r="E124" s="556" t="s">
        <v>1566</v>
      </c>
      <c r="F124" s="555" t="s">
        <v>1323</v>
      </c>
      <c r="G124" s="557" t="s">
        <v>1324</v>
      </c>
      <c r="H124" s="557">
        <v>1760.0</v>
      </c>
      <c r="I124" s="561">
        <v>1.9953443871921313</v>
      </c>
      <c r="J124" s="559" t="s">
        <v>10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hidden="1" customHeight="1">
      <c r="A125" s="554" t="s">
        <v>3936</v>
      </c>
      <c r="B125" s="554" t="s">
        <v>3943</v>
      </c>
      <c r="C125" s="554" t="s">
        <v>3947</v>
      </c>
      <c r="D125" s="357" t="s">
        <v>1568</v>
      </c>
      <c r="E125" s="556" t="s">
        <v>1570</v>
      </c>
      <c r="F125" s="555" t="s">
        <v>1323</v>
      </c>
      <c r="G125" s="557" t="s">
        <v>1324</v>
      </c>
      <c r="H125" s="557">
        <v>1280.0</v>
      </c>
      <c r="I125" s="561">
        <v>2.1339721811584687</v>
      </c>
      <c r="J125" s="559" t="s">
        <v>10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hidden="1" customHeight="1">
      <c r="A126" s="554" t="s">
        <v>3936</v>
      </c>
      <c r="B126" s="554" t="s">
        <v>3943</v>
      </c>
      <c r="C126" s="554" t="s">
        <v>3947</v>
      </c>
      <c r="D126" s="357" t="s">
        <v>1571</v>
      </c>
      <c r="E126" s="556" t="s">
        <v>1573</v>
      </c>
      <c r="F126" s="555" t="s">
        <v>1323</v>
      </c>
      <c r="G126" s="557" t="s">
        <v>1324</v>
      </c>
      <c r="H126" s="557">
        <v>1120.0</v>
      </c>
      <c r="I126" s="561">
        <v>2.2576792341011243</v>
      </c>
      <c r="J126" s="559" t="s">
        <v>10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hidden="1" customHeight="1">
      <c r="A127" s="554" t="s">
        <v>3936</v>
      </c>
      <c r="B127" s="554" t="s">
        <v>3943</v>
      </c>
      <c r="C127" s="554" t="s">
        <v>3947</v>
      </c>
      <c r="D127" s="357" t="s">
        <v>1575</v>
      </c>
      <c r="E127" s="556" t="s">
        <v>1577</v>
      </c>
      <c r="F127" s="555" t="s">
        <v>1323</v>
      </c>
      <c r="G127" s="557" t="s">
        <v>1324</v>
      </c>
      <c r="H127" s="557">
        <v>800.0</v>
      </c>
      <c r="I127" s="561">
        <v>2.5130838921940666</v>
      </c>
      <c r="J127" s="559" t="s">
        <v>10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hidden="1" customHeight="1">
      <c r="A128" s="554" t="s">
        <v>3936</v>
      </c>
      <c r="B128" s="554" t="s">
        <v>3948</v>
      </c>
      <c r="C128" s="554" t="s">
        <v>3948</v>
      </c>
      <c r="D128" s="357" t="s">
        <v>1634</v>
      </c>
      <c r="E128" s="556" t="s">
        <v>3949</v>
      </c>
      <c r="F128" s="555" t="s">
        <v>554</v>
      </c>
      <c r="G128" s="557" t="s">
        <v>1637</v>
      </c>
      <c r="H128" s="557">
        <v>120.0</v>
      </c>
      <c r="I128" s="561">
        <v>15.094746298003967</v>
      </c>
      <c r="J128" s="559" t="s">
        <v>6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hidden="1" customHeight="1">
      <c r="A129" s="554" t="s">
        <v>3936</v>
      </c>
      <c r="B129" s="554" t="s">
        <v>3948</v>
      </c>
      <c r="C129" s="554" t="s">
        <v>3948</v>
      </c>
      <c r="D129" s="357" t="s">
        <v>1639</v>
      </c>
      <c r="E129" s="556" t="s">
        <v>2964</v>
      </c>
      <c r="F129" s="555" t="s">
        <v>554</v>
      </c>
      <c r="G129" s="557" t="s">
        <v>1637</v>
      </c>
      <c r="H129" s="557">
        <v>120.0</v>
      </c>
      <c r="I129" s="561">
        <v>13.640778401587895</v>
      </c>
      <c r="J129" s="559" t="s">
        <v>6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hidden="1" customHeight="1">
      <c r="A130" s="554" t="s">
        <v>3936</v>
      </c>
      <c r="B130" s="554" t="s">
        <v>3948</v>
      </c>
      <c r="C130" s="554" t="s">
        <v>3948</v>
      </c>
      <c r="D130" s="357" t="s">
        <v>1758</v>
      </c>
      <c r="E130" s="556" t="s">
        <v>1760</v>
      </c>
      <c r="F130" s="555" t="s">
        <v>554</v>
      </c>
      <c r="G130" s="557" t="s">
        <v>1176</v>
      </c>
      <c r="H130" s="557">
        <v>500.0</v>
      </c>
      <c r="I130" s="561">
        <v>1.7525708760898069</v>
      </c>
      <c r="J130" s="559" t="s">
        <v>6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hidden="1" customHeight="1">
      <c r="A131" s="554" t="s">
        <v>3936</v>
      </c>
      <c r="B131" s="554" t="s">
        <v>3948</v>
      </c>
      <c r="C131" s="554" t="s">
        <v>3948</v>
      </c>
      <c r="D131" s="357" t="s">
        <v>1762</v>
      </c>
      <c r="E131" s="556" t="s">
        <v>1764</v>
      </c>
      <c r="F131" s="555" t="s">
        <v>554</v>
      </c>
      <c r="G131" s="557" t="s">
        <v>1176</v>
      </c>
      <c r="H131" s="557">
        <v>500.0</v>
      </c>
      <c r="I131" s="561">
        <v>1.7525708760898069</v>
      </c>
      <c r="J131" s="559" t="s">
        <v>6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hidden="1" customHeight="1">
      <c r="A132" s="554" t="s">
        <v>3936</v>
      </c>
      <c r="B132" s="554" t="s">
        <v>3948</v>
      </c>
      <c r="C132" s="554" t="s">
        <v>3948</v>
      </c>
      <c r="D132" s="357" t="s">
        <v>1766</v>
      </c>
      <c r="E132" s="556" t="s">
        <v>1768</v>
      </c>
      <c r="F132" s="555" t="s">
        <v>554</v>
      </c>
      <c r="G132" s="557" t="s">
        <v>1176</v>
      </c>
      <c r="H132" s="557">
        <v>500.0</v>
      </c>
      <c r="I132" s="561">
        <v>1.7525708760898069</v>
      </c>
      <c r="J132" s="559" t="s">
        <v>6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hidden="1" customHeight="1">
      <c r="A133" s="554" t="s">
        <v>3936</v>
      </c>
      <c r="B133" s="554" t="s">
        <v>3948</v>
      </c>
      <c r="C133" s="554" t="s">
        <v>3948</v>
      </c>
      <c r="D133" s="357" t="s">
        <v>1770</v>
      </c>
      <c r="E133" s="556" t="s">
        <v>1772</v>
      </c>
      <c r="F133" s="555" t="s">
        <v>554</v>
      </c>
      <c r="G133" s="557" t="s">
        <v>1176</v>
      </c>
      <c r="H133" s="557">
        <v>500.0</v>
      </c>
      <c r="I133" s="561">
        <v>1.7525708760898069</v>
      </c>
      <c r="J133" s="559" t="s">
        <v>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hidden="1" customHeight="1">
      <c r="A134" s="554" t="s">
        <v>3936</v>
      </c>
      <c r="B134" s="554" t="s">
        <v>3948</v>
      </c>
      <c r="C134" s="554" t="s">
        <v>3948</v>
      </c>
      <c r="D134" s="357" t="s">
        <v>1774</v>
      </c>
      <c r="E134" s="556" t="s">
        <v>1776</v>
      </c>
      <c r="F134" s="555" t="s">
        <v>554</v>
      </c>
      <c r="G134" s="557" t="s">
        <v>1176</v>
      </c>
      <c r="H134" s="557">
        <v>500.0</v>
      </c>
      <c r="I134" s="561">
        <v>1.7525708760898069</v>
      </c>
      <c r="J134" s="559" t="s">
        <v>6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hidden="1" customHeight="1">
      <c r="A135" s="554" t="s">
        <v>3936</v>
      </c>
      <c r="B135" s="554" t="s">
        <v>3948</v>
      </c>
      <c r="C135" s="554" t="s">
        <v>3948</v>
      </c>
      <c r="D135" s="357" t="s">
        <v>1793</v>
      </c>
      <c r="E135" s="556" t="s">
        <v>1795</v>
      </c>
      <c r="F135" s="555" t="s">
        <v>3950</v>
      </c>
      <c r="G135" s="557" t="s">
        <v>1176</v>
      </c>
      <c r="H135" s="557">
        <v>500.0</v>
      </c>
      <c r="I135" s="561">
        <v>9.2</v>
      </c>
      <c r="J135" s="55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hidden="1" customHeight="1">
      <c r="A136" s="554" t="s">
        <v>3936</v>
      </c>
      <c r="B136" s="554" t="s">
        <v>3948</v>
      </c>
      <c r="C136" s="554" t="s">
        <v>3948</v>
      </c>
      <c r="D136" s="357" t="s">
        <v>1798</v>
      </c>
      <c r="E136" s="556" t="s">
        <v>1800</v>
      </c>
      <c r="F136" s="555" t="s">
        <v>3951</v>
      </c>
      <c r="G136" s="557" t="s">
        <v>1176</v>
      </c>
      <c r="H136" s="557">
        <v>500.0</v>
      </c>
      <c r="I136" s="561">
        <v>5.95</v>
      </c>
      <c r="J136" s="55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hidden="1" customHeight="1">
      <c r="A137" s="554" t="s">
        <v>3936</v>
      </c>
      <c r="B137" s="554" t="s">
        <v>3948</v>
      </c>
      <c r="C137" s="554" t="s">
        <v>3948</v>
      </c>
      <c r="D137" s="357" t="s">
        <v>3952</v>
      </c>
      <c r="E137" s="556" t="s">
        <v>3953</v>
      </c>
      <c r="F137" s="555" t="s">
        <v>3954</v>
      </c>
      <c r="G137" s="557" t="s">
        <v>1176</v>
      </c>
      <c r="H137" s="557">
        <v>500.0</v>
      </c>
      <c r="I137" s="561">
        <v>7.99</v>
      </c>
      <c r="J137" s="55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hidden="1" customHeight="1">
      <c r="A138" s="554" t="s">
        <v>3936</v>
      </c>
      <c r="B138" s="554" t="s">
        <v>3948</v>
      </c>
      <c r="C138" s="554" t="s">
        <v>3948</v>
      </c>
      <c r="D138" s="357" t="s">
        <v>1802</v>
      </c>
      <c r="E138" s="556" t="s">
        <v>1804</v>
      </c>
      <c r="F138" s="555" t="s">
        <v>3955</v>
      </c>
      <c r="G138" s="557" t="s">
        <v>1176</v>
      </c>
      <c r="H138" s="557">
        <v>500.0</v>
      </c>
      <c r="I138" s="561">
        <v>12.45</v>
      </c>
      <c r="J138" s="55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hidden="1" customHeight="1">
      <c r="A139" s="554" t="s">
        <v>3936</v>
      </c>
      <c r="B139" s="554" t="s">
        <v>3948</v>
      </c>
      <c r="C139" s="554" t="s">
        <v>3948</v>
      </c>
      <c r="D139" s="357" t="s">
        <v>1806</v>
      </c>
      <c r="E139" s="556" t="s">
        <v>1808</v>
      </c>
      <c r="F139" s="555" t="s">
        <v>3956</v>
      </c>
      <c r="G139" s="557" t="s">
        <v>1176</v>
      </c>
      <c r="H139" s="557">
        <v>500.0</v>
      </c>
      <c r="I139" s="561">
        <v>6.75</v>
      </c>
      <c r="J139" s="55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hidden="1" customHeight="1">
      <c r="A140" s="554" t="s">
        <v>3936</v>
      </c>
      <c r="B140" s="554" t="s">
        <v>3948</v>
      </c>
      <c r="C140" s="554" t="s">
        <v>3948</v>
      </c>
      <c r="D140" s="357" t="s">
        <v>1810</v>
      </c>
      <c r="E140" s="556" t="s">
        <v>1812</v>
      </c>
      <c r="F140" s="555" t="s">
        <v>3957</v>
      </c>
      <c r="G140" s="557" t="s">
        <v>1176</v>
      </c>
      <c r="H140" s="557">
        <v>500.0</v>
      </c>
      <c r="I140" s="561">
        <v>9.2</v>
      </c>
      <c r="J140" s="55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hidden="1" customHeight="1">
      <c r="A141" s="554" t="s">
        <v>3936</v>
      </c>
      <c r="B141" s="554" t="s">
        <v>3948</v>
      </c>
      <c r="C141" s="554" t="s">
        <v>3948</v>
      </c>
      <c r="D141" s="357" t="s">
        <v>1814</v>
      </c>
      <c r="E141" s="556" t="s">
        <v>1816</v>
      </c>
      <c r="F141" s="555" t="s">
        <v>3958</v>
      </c>
      <c r="G141" s="557" t="s">
        <v>1176</v>
      </c>
      <c r="H141" s="557">
        <v>500.0</v>
      </c>
      <c r="I141" s="561">
        <v>5.95</v>
      </c>
      <c r="J141" s="55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hidden="1" customHeight="1">
      <c r="A142" s="554" t="s">
        <v>3936</v>
      </c>
      <c r="B142" s="554" t="s">
        <v>3948</v>
      </c>
      <c r="C142" s="554" t="s">
        <v>3948</v>
      </c>
      <c r="D142" s="357" t="s">
        <v>1818</v>
      </c>
      <c r="E142" s="556" t="s">
        <v>1820</v>
      </c>
      <c r="F142" s="555" t="s">
        <v>3959</v>
      </c>
      <c r="G142" s="557" t="s">
        <v>1176</v>
      </c>
      <c r="H142" s="557">
        <v>500.0</v>
      </c>
      <c r="I142" s="561">
        <v>12.45</v>
      </c>
      <c r="J142" s="55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hidden="1" customHeight="1">
      <c r="A143" s="554" t="s">
        <v>3936</v>
      </c>
      <c r="B143" s="554" t="s">
        <v>3948</v>
      </c>
      <c r="C143" s="554" t="s">
        <v>3948</v>
      </c>
      <c r="D143" s="357" t="s">
        <v>1822</v>
      </c>
      <c r="E143" s="556" t="s">
        <v>1824</v>
      </c>
      <c r="F143" s="555" t="s">
        <v>3960</v>
      </c>
      <c r="G143" s="557" t="s">
        <v>1176</v>
      </c>
      <c r="H143" s="557">
        <v>500.0</v>
      </c>
      <c r="I143" s="561">
        <v>6.75</v>
      </c>
      <c r="J143" s="55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hidden="1" customHeight="1">
      <c r="A144" s="554" t="s">
        <v>3936</v>
      </c>
      <c r="B144" s="554" t="s">
        <v>1826</v>
      </c>
      <c r="C144" s="554" t="s">
        <v>1319</v>
      </c>
      <c r="D144" s="357" t="s">
        <v>1827</v>
      </c>
      <c r="E144" s="556" t="s">
        <v>1829</v>
      </c>
      <c r="F144" s="555" t="s">
        <v>1323</v>
      </c>
      <c r="G144" s="557" t="s">
        <v>1176</v>
      </c>
      <c r="H144" s="557">
        <v>4800.0</v>
      </c>
      <c r="I144" s="561">
        <v>0.4837003610625862</v>
      </c>
      <c r="J144" s="559" t="s">
        <v>10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hidden="1" customHeight="1">
      <c r="A145" s="554" t="s">
        <v>3936</v>
      </c>
      <c r="B145" s="554" t="s">
        <v>1826</v>
      </c>
      <c r="C145" s="554" t="s">
        <v>1319</v>
      </c>
      <c r="D145" s="357" t="s">
        <v>1830</v>
      </c>
      <c r="E145" s="556" t="s">
        <v>1832</v>
      </c>
      <c r="F145" s="555" t="s">
        <v>1323</v>
      </c>
      <c r="G145" s="557" t="s">
        <v>1176</v>
      </c>
      <c r="H145" s="557">
        <v>7200.0</v>
      </c>
      <c r="I145" s="561">
        <v>0.47501980550703066</v>
      </c>
      <c r="J145" s="559" t="s">
        <v>10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hidden="1" customHeight="1">
      <c r="A146" s="554" t="s">
        <v>3936</v>
      </c>
      <c r="B146" s="554" t="s">
        <v>1826</v>
      </c>
      <c r="C146" s="554" t="s">
        <v>1395</v>
      </c>
      <c r="D146" s="357" t="s">
        <v>1833</v>
      </c>
      <c r="E146" s="556" t="s">
        <v>1835</v>
      </c>
      <c r="F146" s="555" t="s">
        <v>1323</v>
      </c>
      <c r="G146" s="557" t="s">
        <v>1176</v>
      </c>
      <c r="H146" s="557">
        <v>4800.0</v>
      </c>
      <c r="I146" s="561">
        <v>0.6097223203889988</v>
      </c>
      <c r="J146" s="559" t="s">
        <v>10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hidden="1" customHeight="1">
      <c r="A147" s="554" t="s">
        <v>3936</v>
      </c>
      <c r="B147" s="554" t="s">
        <v>1826</v>
      </c>
      <c r="C147" s="554" t="s">
        <v>1395</v>
      </c>
      <c r="D147" s="357" t="s">
        <v>1836</v>
      </c>
      <c r="E147" s="556" t="s">
        <v>1838</v>
      </c>
      <c r="F147" s="555" t="s">
        <v>1323</v>
      </c>
      <c r="G147" s="557" t="s">
        <v>1176</v>
      </c>
      <c r="H147" s="557">
        <v>7200.0</v>
      </c>
      <c r="I147" s="561">
        <v>0.6010417648334433</v>
      </c>
      <c r="J147" s="559" t="s">
        <v>10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hidden="1" customHeight="1">
      <c r="A148" s="554" t="s">
        <v>3936</v>
      </c>
      <c r="B148" s="554" t="s">
        <v>1826</v>
      </c>
      <c r="C148" s="554" t="s">
        <v>2150</v>
      </c>
      <c r="D148" s="357" t="s">
        <v>1845</v>
      </c>
      <c r="E148" s="556" t="s">
        <v>1847</v>
      </c>
      <c r="F148" s="555" t="s">
        <v>1323</v>
      </c>
      <c r="G148" s="557" t="s">
        <v>1176</v>
      </c>
      <c r="H148" s="557">
        <v>4800.0</v>
      </c>
      <c r="I148" s="561">
        <v>0.4389294018282028</v>
      </c>
      <c r="J148" s="559" t="s">
        <v>10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hidden="1" customHeight="1">
      <c r="A149" s="554" t="s">
        <v>3936</v>
      </c>
      <c r="B149" s="554" t="s">
        <v>1826</v>
      </c>
      <c r="C149" s="554" t="s">
        <v>2150</v>
      </c>
      <c r="D149" s="357" t="s">
        <v>1849</v>
      </c>
      <c r="E149" s="556" t="s">
        <v>1851</v>
      </c>
      <c r="F149" s="555" t="s">
        <v>1323</v>
      </c>
      <c r="G149" s="557" t="s">
        <v>1176</v>
      </c>
      <c r="H149" s="557">
        <v>7200.0</v>
      </c>
      <c r="I149" s="561">
        <v>0.43024884627264726</v>
      </c>
      <c r="J149" s="559" t="s">
        <v>10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hidden="1" customHeight="1">
      <c r="A150" s="554" t="s">
        <v>3936</v>
      </c>
      <c r="B150" s="554" t="s">
        <v>3961</v>
      </c>
      <c r="C150" s="554" t="s">
        <v>3962</v>
      </c>
      <c r="D150" s="357" t="s">
        <v>1952</v>
      </c>
      <c r="E150" s="556" t="s">
        <v>1954</v>
      </c>
      <c r="F150" s="555" t="s">
        <v>480</v>
      </c>
      <c r="G150" s="557" t="s">
        <v>1955</v>
      </c>
      <c r="H150" s="557">
        <v>4.0</v>
      </c>
      <c r="I150" s="565">
        <v>472.8571428571429</v>
      </c>
      <c r="J150" s="559" t="s">
        <v>10</v>
      </c>
      <c r="K150" s="564"/>
      <c r="L150" s="564"/>
      <c r="M150" s="564"/>
      <c r="N150" s="564"/>
      <c r="O150" s="564"/>
      <c r="P150" s="564"/>
      <c r="Q150" s="564"/>
      <c r="R150" s="564"/>
      <c r="S150" s="564"/>
      <c r="T150" s="564"/>
      <c r="U150" s="564"/>
      <c r="V150" s="564"/>
      <c r="W150" s="564"/>
      <c r="X150" s="564"/>
      <c r="Y150" s="564"/>
      <c r="Z150" s="564"/>
    </row>
    <row r="151" ht="13.5" hidden="1" customHeight="1">
      <c r="A151" s="554" t="s">
        <v>3936</v>
      </c>
      <c r="B151" s="554" t="s">
        <v>3961</v>
      </c>
      <c r="C151" s="554" t="s">
        <v>3962</v>
      </c>
      <c r="D151" s="357" t="s">
        <v>1959</v>
      </c>
      <c r="E151" s="556" t="s">
        <v>1961</v>
      </c>
      <c r="F151" s="555" t="s">
        <v>480</v>
      </c>
      <c r="G151" s="557" t="s">
        <v>1955</v>
      </c>
      <c r="H151" s="557">
        <v>4.0</v>
      </c>
      <c r="I151" s="565">
        <v>544.2857142857143</v>
      </c>
      <c r="J151" s="559" t="s">
        <v>10</v>
      </c>
      <c r="K151" s="564"/>
      <c r="L151" s="564"/>
      <c r="M151" s="564"/>
      <c r="N151" s="564"/>
      <c r="O151" s="564"/>
      <c r="P151" s="564"/>
      <c r="Q151" s="564"/>
      <c r="R151" s="564"/>
      <c r="S151" s="564"/>
      <c r="T151" s="564"/>
      <c r="U151" s="564"/>
      <c r="V151" s="564"/>
      <c r="W151" s="564"/>
      <c r="X151" s="564"/>
      <c r="Y151" s="564"/>
      <c r="Z151" s="564"/>
    </row>
    <row r="152" ht="13.5" hidden="1" customHeight="1">
      <c r="A152" s="554" t="s">
        <v>3936</v>
      </c>
      <c r="B152" s="554" t="s">
        <v>3961</v>
      </c>
      <c r="C152" s="554" t="s">
        <v>3962</v>
      </c>
      <c r="D152" s="357" t="s">
        <v>2245</v>
      </c>
      <c r="E152" s="556" t="s">
        <v>1966</v>
      </c>
      <c r="F152" s="555" t="s">
        <v>480</v>
      </c>
      <c r="G152" s="557" t="s">
        <v>1955</v>
      </c>
      <c r="H152" s="557">
        <v>4.0</v>
      </c>
      <c r="I152" s="565">
        <v>688.5714285714287</v>
      </c>
      <c r="J152" s="559" t="s">
        <v>10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hidden="1" customHeight="1">
      <c r="A153" s="554" t="s">
        <v>3936</v>
      </c>
      <c r="B153" s="554" t="s">
        <v>3961</v>
      </c>
      <c r="C153" s="554" t="s">
        <v>3962</v>
      </c>
      <c r="D153" s="357" t="s">
        <v>1969</v>
      </c>
      <c r="E153" s="556" t="s">
        <v>1971</v>
      </c>
      <c r="F153" s="555" t="s">
        <v>480</v>
      </c>
      <c r="G153" s="557" t="s">
        <v>1955</v>
      </c>
      <c r="H153" s="557">
        <v>4.0</v>
      </c>
      <c r="I153" s="565">
        <v>1132.857142857143</v>
      </c>
      <c r="J153" s="559" t="s">
        <v>10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hidden="1" customHeight="1">
      <c r="A154" s="554" t="s">
        <v>3936</v>
      </c>
      <c r="B154" s="554" t="s">
        <v>3961</v>
      </c>
      <c r="C154" s="554" t="s">
        <v>3963</v>
      </c>
      <c r="D154" s="357" t="s">
        <v>1974</v>
      </c>
      <c r="E154" s="556" t="s">
        <v>1976</v>
      </c>
      <c r="F154" s="555" t="s">
        <v>480</v>
      </c>
      <c r="G154" s="557" t="s">
        <v>1955</v>
      </c>
      <c r="H154" s="557">
        <v>4.0</v>
      </c>
      <c r="I154" s="565">
        <v>482.8571428571429</v>
      </c>
      <c r="J154" s="559" t="s">
        <v>10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hidden="1" customHeight="1">
      <c r="A155" s="554" t="s">
        <v>3936</v>
      </c>
      <c r="B155" s="554" t="s">
        <v>3961</v>
      </c>
      <c r="C155" s="554" t="s">
        <v>3963</v>
      </c>
      <c r="D155" s="357" t="s">
        <v>1978</v>
      </c>
      <c r="E155" s="556" t="s">
        <v>1980</v>
      </c>
      <c r="F155" s="555" t="s">
        <v>480</v>
      </c>
      <c r="G155" s="557" t="s">
        <v>1955</v>
      </c>
      <c r="H155" s="557">
        <v>4.0</v>
      </c>
      <c r="I155" s="565">
        <v>571.4285714285714</v>
      </c>
      <c r="J155" s="559" t="s">
        <v>10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hidden="1" customHeight="1">
      <c r="A156" s="554" t="s">
        <v>3936</v>
      </c>
      <c r="B156" s="554" t="s">
        <v>3961</v>
      </c>
      <c r="C156" s="554" t="s">
        <v>3963</v>
      </c>
      <c r="D156" s="357" t="s">
        <v>1982</v>
      </c>
      <c r="E156" s="556" t="s">
        <v>1984</v>
      </c>
      <c r="F156" s="555" t="s">
        <v>480</v>
      </c>
      <c r="G156" s="557" t="s">
        <v>1955</v>
      </c>
      <c r="H156" s="557">
        <v>4.0</v>
      </c>
      <c r="I156" s="565">
        <v>742.8571428571429</v>
      </c>
      <c r="J156" s="559" t="s">
        <v>10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hidden="1" customHeight="1">
      <c r="A157" s="554" t="s">
        <v>3936</v>
      </c>
      <c r="B157" s="554" t="s">
        <v>3961</v>
      </c>
      <c r="C157" s="554" t="s">
        <v>3963</v>
      </c>
      <c r="D157" s="357" t="s">
        <v>1986</v>
      </c>
      <c r="E157" s="556" t="s">
        <v>1988</v>
      </c>
      <c r="F157" s="555" t="s">
        <v>1989</v>
      </c>
      <c r="G157" s="557" t="s">
        <v>1990</v>
      </c>
      <c r="H157" s="557">
        <v>2.0</v>
      </c>
      <c r="I157" s="565">
        <v>1300.0</v>
      </c>
      <c r="J157" s="559" t="s">
        <v>10</v>
      </c>
      <c r="K157" s="564"/>
      <c r="L157" s="564"/>
      <c r="M157" s="564"/>
      <c r="N157" s="564"/>
      <c r="O157" s="564"/>
      <c r="P157" s="564"/>
      <c r="Q157" s="564"/>
      <c r="R157" s="564"/>
      <c r="S157" s="564"/>
      <c r="T157" s="564"/>
      <c r="U157" s="564"/>
      <c r="V157" s="564"/>
      <c r="W157" s="564"/>
      <c r="X157" s="564"/>
      <c r="Y157" s="564"/>
      <c r="Z157" s="564"/>
    </row>
    <row r="158" ht="13.5" hidden="1" customHeight="1">
      <c r="A158" s="554" t="s">
        <v>3936</v>
      </c>
      <c r="B158" s="554" t="s">
        <v>3961</v>
      </c>
      <c r="C158" s="554" t="s">
        <v>3964</v>
      </c>
      <c r="D158" s="357" t="s">
        <v>1993</v>
      </c>
      <c r="E158" s="556" t="s">
        <v>1995</v>
      </c>
      <c r="F158" s="555" t="s">
        <v>480</v>
      </c>
      <c r="G158" s="557" t="s">
        <v>1955</v>
      </c>
      <c r="H158" s="557">
        <v>4.0</v>
      </c>
      <c r="I158" s="565">
        <v>418.5714285714286</v>
      </c>
      <c r="J158" s="559" t="s">
        <v>10</v>
      </c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</row>
    <row r="159" ht="13.5" hidden="1" customHeight="1">
      <c r="A159" s="554" t="s">
        <v>3936</v>
      </c>
      <c r="B159" s="554" t="s">
        <v>3961</v>
      </c>
      <c r="C159" s="554" t="s">
        <v>3964</v>
      </c>
      <c r="D159" s="357" t="s">
        <v>1997</v>
      </c>
      <c r="E159" s="556" t="s">
        <v>1999</v>
      </c>
      <c r="F159" s="555" t="s">
        <v>480</v>
      </c>
      <c r="G159" s="557" t="s">
        <v>1955</v>
      </c>
      <c r="H159" s="557">
        <v>4.0</v>
      </c>
      <c r="I159" s="565">
        <v>487.14285714285717</v>
      </c>
      <c r="J159" s="559" t="s">
        <v>10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hidden="1" customHeight="1">
      <c r="A160" s="566" t="s">
        <v>3936</v>
      </c>
      <c r="B160" s="554" t="s">
        <v>3961</v>
      </c>
      <c r="C160" s="554" t="s">
        <v>3964</v>
      </c>
      <c r="D160" s="357" t="s">
        <v>2001</v>
      </c>
      <c r="E160" s="556" t="s">
        <v>2003</v>
      </c>
      <c r="F160" s="567" t="s">
        <v>480</v>
      </c>
      <c r="G160" s="568" t="s">
        <v>1955</v>
      </c>
      <c r="H160" s="568">
        <v>4.0</v>
      </c>
      <c r="I160" s="565">
        <v>625.7142857142858</v>
      </c>
      <c r="J160" s="559" t="s">
        <v>10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hidden="1" customHeight="1">
      <c r="A161" s="554" t="s">
        <v>3936</v>
      </c>
      <c r="B161" s="554" t="s">
        <v>3961</v>
      </c>
      <c r="C161" s="554" t="s">
        <v>3964</v>
      </c>
      <c r="D161" s="357" t="s">
        <v>2005</v>
      </c>
      <c r="E161" s="556" t="s">
        <v>2007</v>
      </c>
      <c r="F161" s="567" t="s">
        <v>480</v>
      </c>
      <c r="G161" s="557" t="s">
        <v>1955</v>
      </c>
      <c r="H161" s="557">
        <v>4.0</v>
      </c>
      <c r="I161" s="565">
        <v>1050.0</v>
      </c>
      <c r="J161" s="559" t="s">
        <v>10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hidden="1" customHeight="1">
      <c r="A162" s="566" t="s">
        <v>3936</v>
      </c>
      <c r="B162" s="554" t="s">
        <v>3961</v>
      </c>
      <c r="C162" s="554" t="s">
        <v>3965</v>
      </c>
      <c r="D162" s="357" t="s">
        <v>2010</v>
      </c>
      <c r="E162" s="556" t="s">
        <v>2012</v>
      </c>
      <c r="F162" s="567" t="s">
        <v>480</v>
      </c>
      <c r="G162" s="568" t="s">
        <v>1955</v>
      </c>
      <c r="H162" s="568">
        <v>4.0</v>
      </c>
      <c r="I162" s="565">
        <v>507.14285714285717</v>
      </c>
      <c r="J162" s="559" t="s">
        <v>10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hidden="1" customHeight="1">
      <c r="A163" s="554" t="s">
        <v>3936</v>
      </c>
      <c r="B163" s="554" t="s">
        <v>3961</v>
      </c>
      <c r="C163" s="554" t="s">
        <v>3965</v>
      </c>
      <c r="D163" s="357" t="s">
        <v>2014</v>
      </c>
      <c r="E163" s="556" t="s">
        <v>2016</v>
      </c>
      <c r="F163" s="567" t="s">
        <v>480</v>
      </c>
      <c r="G163" s="557" t="s">
        <v>1955</v>
      </c>
      <c r="H163" s="557">
        <v>4.0</v>
      </c>
      <c r="I163" s="565">
        <v>578.5714285714286</v>
      </c>
      <c r="J163" s="559" t="s">
        <v>10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hidden="1" customHeight="1">
      <c r="A164" s="554" t="s">
        <v>3936</v>
      </c>
      <c r="B164" s="554" t="s">
        <v>3961</v>
      </c>
      <c r="C164" s="554" t="s">
        <v>3965</v>
      </c>
      <c r="D164" s="357" t="s">
        <v>2018</v>
      </c>
      <c r="E164" s="556" t="s">
        <v>2020</v>
      </c>
      <c r="F164" s="567" t="s">
        <v>480</v>
      </c>
      <c r="G164" s="557" t="s">
        <v>1955</v>
      </c>
      <c r="H164" s="557">
        <v>4.0</v>
      </c>
      <c r="I164" s="565">
        <v>714.2857142857143</v>
      </c>
      <c r="J164" s="559" t="s">
        <v>10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hidden="1" customHeight="1">
      <c r="A165" s="566" t="s">
        <v>3936</v>
      </c>
      <c r="B165" s="554" t="s">
        <v>3961</v>
      </c>
      <c r="C165" s="554" t="s">
        <v>3965</v>
      </c>
      <c r="D165" s="357" t="s">
        <v>2022</v>
      </c>
      <c r="E165" s="556" t="s">
        <v>2024</v>
      </c>
      <c r="F165" s="567" t="s">
        <v>480</v>
      </c>
      <c r="G165" s="568" t="s">
        <v>1955</v>
      </c>
      <c r="H165" s="568">
        <v>4.0</v>
      </c>
      <c r="I165" s="565">
        <v>1150.0</v>
      </c>
      <c r="J165" s="559" t="s">
        <v>10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hidden="1" customHeight="1">
      <c r="A166" s="554" t="s">
        <v>3936</v>
      </c>
      <c r="B166" s="554" t="s">
        <v>3961</v>
      </c>
      <c r="C166" s="554" t="s">
        <v>3962</v>
      </c>
      <c r="D166" s="357" t="s">
        <v>2028</v>
      </c>
      <c r="E166" s="556" t="s">
        <v>2030</v>
      </c>
      <c r="F166" s="555" t="s">
        <v>480</v>
      </c>
      <c r="G166" s="557" t="s">
        <v>1955</v>
      </c>
      <c r="H166" s="557">
        <v>4.0</v>
      </c>
      <c r="I166" s="565">
        <v>2307.1428571428573</v>
      </c>
      <c r="J166" s="559" t="s">
        <v>10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hidden="1" customHeight="1">
      <c r="A167" s="566" t="s">
        <v>3936</v>
      </c>
      <c r="B167" s="554" t="s">
        <v>3961</v>
      </c>
      <c r="C167" s="554" t="s">
        <v>3962</v>
      </c>
      <c r="D167" s="357" t="s">
        <v>2033</v>
      </c>
      <c r="E167" s="556" t="s">
        <v>2035</v>
      </c>
      <c r="F167" s="567" t="s">
        <v>480</v>
      </c>
      <c r="G167" s="568" t="s">
        <v>1955</v>
      </c>
      <c r="H167" s="568">
        <v>4.0</v>
      </c>
      <c r="I167" s="565">
        <v>3992.857142857143</v>
      </c>
      <c r="J167" s="559" t="s">
        <v>10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hidden="1" customHeight="1">
      <c r="A168" s="554" t="s">
        <v>3936</v>
      </c>
      <c r="B168" s="554" t="s">
        <v>3961</v>
      </c>
      <c r="C168" s="554" t="s">
        <v>3964</v>
      </c>
      <c r="D168" s="357" t="s">
        <v>2038</v>
      </c>
      <c r="E168" s="556" t="s">
        <v>2040</v>
      </c>
      <c r="F168" s="555" t="s">
        <v>480</v>
      </c>
      <c r="G168" s="557" t="s">
        <v>1955</v>
      </c>
      <c r="H168" s="557">
        <v>4.0</v>
      </c>
      <c r="I168" s="565">
        <v>2214.285714285714</v>
      </c>
      <c r="J168" s="559" t="s">
        <v>10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hidden="1" customHeight="1">
      <c r="A169" s="554" t="s">
        <v>3936</v>
      </c>
      <c r="B169" s="554" t="s">
        <v>3961</v>
      </c>
      <c r="C169" s="554" t="s">
        <v>3964</v>
      </c>
      <c r="D169" s="357" t="s">
        <v>2042</v>
      </c>
      <c r="E169" s="556" t="s">
        <v>2044</v>
      </c>
      <c r="F169" s="555" t="s">
        <v>480</v>
      </c>
      <c r="G169" s="557" t="s">
        <v>1955</v>
      </c>
      <c r="H169" s="557">
        <v>4.0</v>
      </c>
      <c r="I169" s="565">
        <v>3864.2857142857147</v>
      </c>
      <c r="J169" s="559" t="s">
        <v>10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hidden="1" customHeight="1">
      <c r="A170" s="554" t="s">
        <v>3936</v>
      </c>
      <c r="B170" s="554" t="s">
        <v>3961</v>
      </c>
      <c r="C170" s="554" t="s">
        <v>3965</v>
      </c>
      <c r="D170" s="357" t="s">
        <v>2047</v>
      </c>
      <c r="E170" s="556" t="s">
        <v>2049</v>
      </c>
      <c r="F170" s="555" t="s">
        <v>480</v>
      </c>
      <c r="G170" s="557" t="s">
        <v>1955</v>
      </c>
      <c r="H170" s="557">
        <v>4.0</v>
      </c>
      <c r="I170" s="565">
        <v>2350.0</v>
      </c>
      <c r="J170" s="559" t="s">
        <v>10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hidden="1" customHeight="1">
      <c r="A171" s="554" t="s">
        <v>3936</v>
      </c>
      <c r="B171" s="554" t="s">
        <v>3961</v>
      </c>
      <c r="C171" s="554" t="s">
        <v>3965</v>
      </c>
      <c r="D171" s="357" t="s">
        <v>2051</v>
      </c>
      <c r="E171" s="556" t="s">
        <v>2053</v>
      </c>
      <c r="F171" s="555" t="s">
        <v>480</v>
      </c>
      <c r="G171" s="557" t="s">
        <v>1955</v>
      </c>
      <c r="H171" s="557">
        <v>4.0</v>
      </c>
      <c r="I171" s="565">
        <v>4028.571428571429</v>
      </c>
      <c r="J171" s="559" t="s">
        <v>10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hidden="1" customHeight="1">
      <c r="A172" s="554" t="s">
        <v>3936</v>
      </c>
      <c r="B172" s="554" t="s">
        <v>3961</v>
      </c>
      <c r="C172" s="554" t="s">
        <v>3966</v>
      </c>
      <c r="D172" s="357" t="s">
        <v>2055</v>
      </c>
      <c r="E172" s="556" t="s">
        <v>2057</v>
      </c>
      <c r="F172" s="555" t="s">
        <v>480</v>
      </c>
      <c r="G172" s="557" t="s">
        <v>1955</v>
      </c>
      <c r="H172" s="557">
        <v>4.0</v>
      </c>
      <c r="I172" s="565">
        <v>820.5882352941177</v>
      </c>
      <c r="J172" s="559" t="s">
        <v>10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hidden="1" customHeight="1">
      <c r="A173" s="554" t="s">
        <v>3936</v>
      </c>
      <c r="B173" s="554" t="s">
        <v>3961</v>
      </c>
      <c r="C173" s="554" t="s">
        <v>3966</v>
      </c>
      <c r="D173" s="357" t="s">
        <v>2445</v>
      </c>
      <c r="E173" s="556" t="s">
        <v>2061</v>
      </c>
      <c r="F173" s="555" t="s">
        <v>480</v>
      </c>
      <c r="G173" s="557" t="s">
        <v>1955</v>
      </c>
      <c r="H173" s="557">
        <v>4.0</v>
      </c>
      <c r="I173" s="565">
        <v>1005.8823529411766</v>
      </c>
      <c r="J173" s="559" t="s">
        <v>10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hidden="1" customHeight="1">
      <c r="A174" s="554" t="s">
        <v>3936</v>
      </c>
      <c r="B174" s="554" t="s">
        <v>3961</v>
      </c>
      <c r="C174" s="554" t="s">
        <v>3966</v>
      </c>
      <c r="D174" s="357" t="s">
        <v>2447</v>
      </c>
      <c r="E174" s="556" t="s">
        <v>2065</v>
      </c>
      <c r="F174" s="555" t="s">
        <v>480</v>
      </c>
      <c r="G174" s="557" t="s">
        <v>1955</v>
      </c>
      <c r="H174" s="557">
        <v>4.0</v>
      </c>
      <c r="I174" s="565">
        <v>1376.4705882352941</v>
      </c>
      <c r="J174" s="559" t="s">
        <v>10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hidden="1" customHeight="1">
      <c r="A175" s="554" t="s">
        <v>3936</v>
      </c>
      <c r="B175" s="554" t="s">
        <v>3961</v>
      </c>
      <c r="C175" s="554" t="s">
        <v>3966</v>
      </c>
      <c r="D175" s="357" t="s">
        <v>2449</v>
      </c>
      <c r="E175" s="556" t="s">
        <v>2069</v>
      </c>
      <c r="F175" s="555" t="s">
        <v>480</v>
      </c>
      <c r="G175" s="557" t="s">
        <v>1955</v>
      </c>
      <c r="H175" s="557">
        <v>4.0</v>
      </c>
      <c r="I175" s="565">
        <v>2500.0000000000005</v>
      </c>
      <c r="J175" s="559" t="s">
        <v>10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hidden="1" customHeight="1">
      <c r="A176" s="554" t="s">
        <v>3936</v>
      </c>
      <c r="B176" s="554" t="s">
        <v>3961</v>
      </c>
      <c r="C176" s="554" t="s">
        <v>3966</v>
      </c>
      <c r="D176" s="357" t="s">
        <v>2071</v>
      </c>
      <c r="E176" s="556" t="s">
        <v>2073</v>
      </c>
      <c r="F176" s="555" t="s">
        <v>480</v>
      </c>
      <c r="G176" s="557" t="s">
        <v>1955</v>
      </c>
      <c r="H176" s="557">
        <v>4.0</v>
      </c>
      <c r="I176" s="565">
        <v>4992.64705882353</v>
      </c>
      <c r="J176" s="559" t="s">
        <v>10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hidden="1" customHeight="1">
      <c r="A177" s="554" t="s">
        <v>3936</v>
      </c>
      <c r="B177" s="554" t="s">
        <v>3961</v>
      </c>
      <c r="C177" s="554" t="s">
        <v>3966</v>
      </c>
      <c r="D177" s="357" t="s">
        <v>2075</v>
      </c>
      <c r="E177" s="556" t="s">
        <v>2077</v>
      </c>
      <c r="F177" s="555" t="s">
        <v>480</v>
      </c>
      <c r="G177" s="557" t="s">
        <v>1955</v>
      </c>
      <c r="H177" s="557">
        <v>4.0</v>
      </c>
      <c r="I177" s="565">
        <v>9117.64705882353</v>
      </c>
      <c r="J177" s="559" t="s">
        <v>10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hidden="1" customHeight="1">
      <c r="A178" s="554" t="s">
        <v>3936</v>
      </c>
      <c r="B178" s="554" t="s">
        <v>3961</v>
      </c>
      <c r="C178" s="554" t="s">
        <v>3967</v>
      </c>
      <c r="D178" s="357" t="s">
        <v>2079</v>
      </c>
      <c r="E178" s="556" t="s">
        <v>2081</v>
      </c>
      <c r="F178" s="555" t="s">
        <v>480</v>
      </c>
      <c r="G178" s="557" t="s">
        <v>1955</v>
      </c>
      <c r="H178" s="557">
        <v>4.0</v>
      </c>
      <c r="I178" s="565">
        <v>841.1764705882354</v>
      </c>
      <c r="J178" s="559" t="s">
        <v>10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hidden="1" customHeight="1">
      <c r="A179" s="554" t="s">
        <v>3936</v>
      </c>
      <c r="B179" s="554" t="s">
        <v>3961</v>
      </c>
      <c r="C179" s="554" t="s">
        <v>3967</v>
      </c>
      <c r="D179" s="357" t="s">
        <v>2083</v>
      </c>
      <c r="E179" s="556" t="s">
        <v>2085</v>
      </c>
      <c r="F179" s="555" t="s">
        <v>480</v>
      </c>
      <c r="G179" s="557" t="s">
        <v>1955</v>
      </c>
      <c r="H179" s="557">
        <v>4.0</v>
      </c>
      <c r="I179" s="565">
        <v>1047.058823529412</v>
      </c>
      <c r="J179" s="559" t="s">
        <v>10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hidden="1" customHeight="1">
      <c r="A180" s="554" t="s">
        <v>3936</v>
      </c>
      <c r="B180" s="554" t="s">
        <v>3961</v>
      </c>
      <c r="C180" s="554" t="s">
        <v>3967</v>
      </c>
      <c r="D180" s="357" t="s">
        <v>2087</v>
      </c>
      <c r="E180" s="556" t="s">
        <v>2089</v>
      </c>
      <c r="F180" s="555" t="s">
        <v>480</v>
      </c>
      <c r="G180" s="557" t="s">
        <v>1955</v>
      </c>
      <c r="H180" s="557">
        <v>4.0</v>
      </c>
      <c r="I180" s="565">
        <v>1448.529411764706</v>
      </c>
      <c r="J180" s="559" t="s">
        <v>10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hidden="1" customHeight="1">
      <c r="A181" s="554" t="s">
        <v>3936</v>
      </c>
      <c r="B181" s="554" t="s">
        <v>3961</v>
      </c>
      <c r="C181" s="554" t="s">
        <v>3967</v>
      </c>
      <c r="D181" s="357" t="s">
        <v>2091</v>
      </c>
      <c r="E181" s="556" t="s">
        <v>2093</v>
      </c>
      <c r="F181" s="555" t="s">
        <v>1989</v>
      </c>
      <c r="G181" s="557" t="s">
        <v>1990</v>
      </c>
      <c r="H181" s="557">
        <v>2.0</v>
      </c>
      <c r="I181" s="565">
        <v>2720.588235294118</v>
      </c>
      <c r="J181" s="559" t="s">
        <v>10</v>
      </c>
      <c r="K181" s="569"/>
      <c r="L181" s="569"/>
      <c r="M181" s="569"/>
      <c r="N181" s="569"/>
      <c r="O181" s="569"/>
      <c r="P181" s="569"/>
      <c r="Q181" s="569"/>
      <c r="R181" s="569"/>
      <c r="S181" s="569"/>
      <c r="T181" s="569"/>
      <c r="U181" s="569"/>
      <c r="V181" s="569"/>
      <c r="W181" s="569"/>
      <c r="X181" s="569"/>
      <c r="Y181" s="569"/>
      <c r="Z181" s="569"/>
    </row>
    <row r="182" ht="13.5" hidden="1" customHeight="1">
      <c r="A182" s="554" t="s">
        <v>3936</v>
      </c>
      <c r="B182" s="554" t="s">
        <v>3961</v>
      </c>
      <c r="C182" s="554" t="s">
        <v>3968</v>
      </c>
      <c r="D182" s="357" t="s">
        <v>2095</v>
      </c>
      <c r="E182" s="556" t="s">
        <v>2097</v>
      </c>
      <c r="F182" s="555" t="s">
        <v>480</v>
      </c>
      <c r="G182" s="557" t="s">
        <v>1955</v>
      </c>
      <c r="H182" s="557">
        <v>4.0</v>
      </c>
      <c r="I182" s="565">
        <v>1529.4117647058824</v>
      </c>
      <c r="J182" s="559" t="s">
        <v>10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hidden="1" customHeight="1">
      <c r="A183" s="554" t="s">
        <v>3936</v>
      </c>
      <c r="B183" s="554" t="s">
        <v>3961</v>
      </c>
      <c r="C183" s="554" t="s">
        <v>3968</v>
      </c>
      <c r="D183" s="357" t="s">
        <v>2099</v>
      </c>
      <c r="E183" s="556" t="s">
        <v>2101</v>
      </c>
      <c r="F183" s="555" t="s">
        <v>480</v>
      </c>
      <c r="G183" s="557" t="s">
        <v>1955</v>
      </c>
      <c r="H183" s="557">
        <v>4.0</v>
      </c>
      <c r="I183" s="565">
        <v>1963.2352941176473</v>
      </c>
      <c r="J183" s="559" t="s">
        <v>10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hidden="1" customHeight="1">
      <c r="A184" s="554" t="s">
        <v>3936</v>
      </c>
      <c r="B184" s="554" t="s">
        <v>3961</v>
      </c>
      <c r="C184" s="554" t="s">
        <v>3968</v>
      </c>
      <c r="D184" s="357" t="s">
        <v>2103</v>
      </c>
      <c r="E184" s="556" t="s">
        <v>2105</v>
      </c>
      <c r="F184" s="555" t="s">
        <v>480</v>
      </c>
      <c r="G184" s="557" t="s">
        <v>1955</v>
      </c>
      <c r="H184" s="557">
        <v>4.0</v>
      </c>
      <c r="I184" s="565">
        <v>2830.8823529411766</v>
      </c>
      <c r="J184" s="559" t="s">
        <v>10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hidden="1" customHeight="1">
      <c r="A185" s="554" t="s">
        <v>3936</v>
      </c>
      <c r="B185" s="554" t="s">
        <v>3961</v>
      </c>
      <c r="C185" s="554" t="s">
        <v>3968</v>
      </c>
      <c r="D185" s="357" t="s">
        <v>2107</v>
      </c>
      <c r="E185" s="556" t="s">
        <v>2109</v>
      </c>
      <c r="F185" s="555" t="s">
        <v>1989</v>
      </c>
      <c r="G185" s="557" t="s">
        <v>1990</v>
      </c>
      <c r="H185" s="557">
        <v>2.0</v>
      </c>
      <c r="I185" s="565">
        <v>5455.882352941177</v>
      </c>
      <c r="J185" s="559" t="s">
        <v>10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hidden="1" customHeight="1">
      <c r="A186" s="554" t="s">
        <v>3936</v>
      </c>
      <c r="B186" s="554" t="s">
        <v>3961</v>
      </c>
      <c r="C186" s="554" t="s">
        <v>3969</v>
      </c>
      <c r="D186" s="357" t="s">
        <v>2111</v>
      </c>
      <c r="E186" s="556" t="s">
        <v>2113</v>
      </c>
      <c r="F186" s="555" t="s">
        <v>480</v>
      </c>
      <c r="G186" s="557" t="s">
        <v>1955</v>
      </c>
      <c r="H186" s="557">
        <v>4.0</v>
      </c>
      <c r="I186" s="565">
        <v>4889.705882352941</v>
      </c>
      <c r="J186" s="559" t="s">
        <v>10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hidden="1" customHeight="1">
      <c r="A187" s="554" t="s">
        <v>3936</v>
      </c>
      <c r="B187" s="554" t="s">
        <v>3961</v>
      </c>
      <c r="C187" s="554" t="s">
        <v>3969</v>
      </c>
      <c r="D187" s="357" t="s">
        <v>2115</v>
      </c>
      <c r="E187" s="556" t="s">
        <v>2117</v>
      </c>
      <c r="F187" s="555" t="s">
        <v>480</v>
      </c>
      <c r="G187" s="557" t="s">
        <v>1955</v>
      </c>
      <c r="H187" s="557">
        <v>4.0</v>
      </c>
      <c r="I187" s="565">
        <v>9022.058823529413</v>
      </c>
      <c r="J187" s="559" t="s">
        <v>10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hidden="1" customHeight="1">
      <c r="A188" s="554" t="s">
        <v>3936</v>
      </c>
      <c r="B188" s="554" t="s">
        <v>3961</v>
      </c>
      <c r="C188" s="554" t="s">
        <v>3970</v>
      </c>
      <c r="D188" s="357" t="s">
        <v>2119</v>
      </c>
      <c r="E188" s="556" t="s">
        <v>2121</v>
      </c>
      <c r="F188" s="555" t="s">
        <v>480</v>
      </c>
      <c r="G188" s="557" t="s">
        <v>1955</v>
      </c>
      <c r="H188" s="557">
        <v>4.0</v>
      </c>
      <c r="I188" s="565">
        <v>5036.764705882353</v>
      </c>
      <c r="J188" s="559" t="s">
        <v>10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hidden="1" customHeight="1">
      <c r="A189" s="554" t="s">
        <v>3936</v>
      </c>
      <c r="B189" s="554" t="s">
        <v>3961</v>
      </c>
      <c r="C189" s="554" t="s">
        <v>3970</v>
      </c>
      <c r="D189" s="357" t="s">
        <v>2123</v>
      </c>
      <c r="E189" s="556" t="s">
        <v>2125</v>
      </c>
      <c r="F189" s="555" t="s">
        <v>480</v>
      </c>
      <c r="G189" s="557" t="s">
        <v>1955</v>
      </c>
      <c r="H189" s="557">
        <v>4.0</v>
      </c>
      <c r="I189" s="565">
        <v>9154.411764705883</v>
      </c>
      <c r="J189" s="559" t="s">
        <v>10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hidden="1" customHeight="1">
      <c r="A190" s="554" t="s">
        <v>3936</v>
      </c>
      <c r="B190" s="554" t="s">
        <v>3961</v>
      </c>
      <c r="C190" s="554" t="s">
        <v>3971</v>
      </c>
      <c r="D190" s="357" t="s">
        <v>2127</v>
      </c>
      <c r="E190" s="556" t="s">
        <v>2129</v>
      </c>
      <c r="F190" s="555" t="s">
        <v>480</v>
      </c>
      <c r="G190" s="557" t="s">
        <v>1955</v>
      </c>
      <c r="H190" s="557">
        <v>4.0</v>
      </c>
      <c r="I190" s="565">
        <v>1531.818181818182</v>
      </c>
      <c r="J190" s="559" t="s">
        <v>10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hidden="1" customHeight="1">
      <c r="A191" s="554" t="s">
        <v>3936</v>
      </c>
      <c r="B191" s="554" t="s">
        <v>3961</v>
      </c>
      <c r="C191" s="554" t="s">
        <v>3971</v>
      </c>
      <c r="D191" s="357" t="s">
        <v>2131</v>
      </c>
      <c r="E191" s="556" t="s">
        <v>2133</v>
      </c>
      <c r="F191" s="555" t="s">
        <v>480</v>
      </c>
      <c r="G191" s="557" t="s">
        <v>1955</v>
      </c>
      <c r="H191" s="557">
        <v>4.0</v>
      </c>
      <c r="I191" s="565">
        <v>1953.0303030303032</v>
      </c>
      <c r="J191" s="559" t="s">
        <v>10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hidden="1" customHeight="1">
      <c r="A192" s="554" t="s">
        <v>3936</v>
      </c>
      <c r="B192" s="554" t="s">
        <v>3961</v>
      </c>
      <c r="C192" s="554" t="s">
        <v>3971</v>
      </c>
      <c r="D192" s="357" t="s">
        <v>2135</v>
      </c>
      <c r="E192" s="556" t="s">
        <v>2137</v>
      </c>
      <c r="F192" s="555" t="s">
        <v>480</v>
      </c>
      <c r="G192" s="557" t="s">
        <v>1955</v>
      </c>
      <c r="H192" s="557">
        <v>4.0</v>
      </c>
      <c r="I192" s="565">
        <v>2792.424242424243</v>
      </c>
      <c r="J192" s="559" t="s">
        <v>10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hidden="1" customHeight="1">
      <c r="A193" s="554" t="s">
        <v>3936</v>
      </c>
      <c r="B193" s="554" t="s">
        <v>3961</v>
      </c>
      <c r="C193" s="554" t="s">
        <v>3971</v>
      </c>
      <c r="D193" s="357" t="s">
        <v>2139</v>
      </c>
      <c r="E193" s="556" t="s">
        <v>2141</v>
      </c>
      <c r="F193" s="555" t="s">
        <v>480</v>
      </c>
      <c r="G193" s="557" t="s">
        <v>1955</v>
      </c>
      <c r="H193" s="557">
        <v>4.0</v>
      </c>
      <c r="I193" s="565">
        <v>5325.757575757576</v>
      </c>
      <c r="J193" s="559" t="s">
        <v>10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hidden="1" customHeight="1">
      <c r="A194" s="554" t="s">
        <v>3936</v>
      </c>
      <c r="B194" s="554" t="s">
        <v>3961</v>
      </c>
      <c r="C194" s="554" t="s">
        <v>3971</v>
      </c>
      <c r="D194" s="357" t="s">
        <v>2143</v>
      </c>
      <c r="E194" s="556" t="s">
        <v>2145</v>
      </c>
      <c r="F194" s="555" t="s">
        <v>480</v>
      </c>
      <c r="G194" s="557" t="s">
        <v>1955</v>
      </c>
      <c r="H194" s="557">
        <v>4.0</v>
      </c>
      <c r="I194" s="565">
        <v>9280.303030303032</v>
      </c>
      <c r="J194" s="559" t="s">
        <v>10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hidden="1" customHeight="1">
      <c r="A195" s="554" t="s">
        <v>3936</v>
      </c>
      <c r="B195" s="554" t="s">
        <v>3961</v>
      </c>
      <c r="C195" s="554" t="s">
        <v>3971</v>
      </c>
      <c r="D195" s="357" t="s">
        <v>2147</v>
      </c>
      <c r="E195" s="556" t="s">
        <v>2149</v>
      </c>
      <c r="F195" s="555" t="s">
        <v>480</v>
      </c>
      <c r="G195" s="557" t="s">
        <v>1955</v>
      </c>
      <c r="H195" s="557">
        <v>4.0</v>
      </c>
      <c r="I195" s="565">
        <v>18068.18181818182</v>
      </c>
      <c r="J195" s="559" t="s">
        <v>10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hidden="1" customHeight="1">
      <c r="A196" s="554" t="s">
        <v>3936</v>
      </c>
      <c r="B196" s="554" t="s">
        <v>3961</v>
      </c>
      <c r="C196" s="554" t="s">
        <v>3972</v>
      </c>
      <c r="D196" s="357" t="s">
        <v>2657</v>
      </c>
      <c r="E196" s="556" t="s">
        <v>2154</v>
      </c>
      <c r="F196" s="555" t="s">
        <v>480</v>
      </c>
      <c r="G196" s="557" t="s">
        <v>1955</v>
      </c>
      <c r="H196" s="557">
        <v>4.0</v>
      </c>
      <c r="I196" s="565">
        <v>278.0821917808219</v>
      </c>
      <c r="J196" s="559" t="s">
        <v>10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hidden="1" customHeight="1">
      <c r="A197" s="554" t="s">
        <v>3936</v>
      </c>
      <c r="B197" s="554" t="s">
        <v>3961</v>
      </c>
      <c r="C197" s="554" t="s">
        <v>3972</v>
      </c>
      <c r="D197" s="357" t="s">
        <v>2659</v>
      </c>
      <c r="E197" s="556" t="s">
        <v>2160</v>
      </c>
      <c r="F197" s="555" t="s">
        <v>480</v>
      </c>
      <c r="G197" s="557" t="s">
        <v>1955</v>
      </c>
      <c r="H197" s="557">
        <v>4.0</v>
      </c>
      <c r="I197" s="565">
        <v>287.67123287671234</v>
      </c>
      <c r="J197" s="559" t="s">
        <v>10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hidden="1" customHeight="1">
      <c r="A198" s="554" t="s">
        <v>3936</v>
      </c>
      <c r="B198" s="554" t="s">
        <v>3961</v>
      </c>
      <c r="C198" s="554" t="s">
        <v>3972</v>
      </c>
      <c r="D198" s="357" t="s">
        <v>2661</v>
      </c>
      <c r="E198" s="556" t="s">
        <v>2164</v>
      </c>
      <c r="F198" s="555" t="s">
        <v>480</v>
      </c>
      <c r="G198" s="557" t="s">
        <v>1955</v>
      </c>
      <c r="H198" s="557">
        <v>4.0</v>
      </c>
      <c r="I198" s="565">
        <v>308.2191780821918</v>
      </c>
      <c r="J198" s="559" t="s">
        <v>10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hidden="1" customHeight="1">
      <c r="A199" s="554" t="s">
        <v>3936</v>
      </c>
      <c r="B199" s="554" t="s">
        <v>3961</v>
      </c>
      <c r="C199" s="554" t="s">
        <v>3972</v>
      </c>
      <c r="D199" s="357" t="s">
        <v>2663</v>
      </c>
      <c r="E199" s="556" t="s">
        <v>2168</v>
      </c>
      <c r="F199" s="555" t="s">
        <v>480</v>
      </c>
      <c r="G199" s="557" t="s">
        <v>1955</v>
      </c>
      <c r="H199" s="557">
        <v>4.0</v>
      </c>
      <c r="I199" s="565">
        <v>382.1917808219178</v>
      </c>
      <c r="J199" s="559" t="s">
        <v>10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hidden="1" customHeight="1">
      <c r="A200" s="554" t="s">
        <v>3936</v>
      </c>
      <c r="B200" s="554" t="s">
        <v>3961</v>
      </c>
      <c r="C200" s="554" t="s">
        <v>3973</v>
      </c>
      <c r="D200" s="357" t="s">
        <v>2170</v>
      </c>
      <c r="E200" s="556" t="s">
        <v>2172</v>
      </c>
      <c r="F200" s="555" t="s">
        <v>480</v>
      </c>
      <c r="G200" s="557" t="s">
        <v>1955</v>
      </c>
      <c r="H200" s="557">
        <v>4.0</v>
      </c>
      <c r="I200" s="565">
        <v>278.0821917808219</v>
      </c>
      <c r="J200" s="559" t="s">
        <v>10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hidden="1" customHeight="1">
      <c r="A201" s="554" t="s">
        <v>3936</v>
      </c>
      <c r="B201" s="554" t="s">
        <v>3961</v>
      </c>
      <c r="C201" s="554" t="s">
        <v>3973</v>
      </c>
      <c r="D201" s="357" t="s">
        <v>2174</v>
      </c>
      <c r="E201" s="556" t="s">
        <v>2176</v>
      </c>
      <c r="F201" s="555" t="s">
        <v>480</v>
      </c>
      <c r="G201" s="557" t="s">
        <v>1955</v>
      </c>
      <c r="H201" s="557">
        <v>4.0</v>
      </c>
      <c r="I201" s="565">
        <v>301.36986301369865</v>
      </c>
      <c r="J201" s="559" t="s">
        <v>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hidden="1" customHeight="1">
      <c r="A202" s="554" t="s">
        <v>3936</v>
      </c>
      <c r="B202" s="554" t="s">
        <v>3961</v>
      </c>
      <c r="C202" s="554" t="s">
        <v>3973</v>
      </c>
      <c r="D202" s="357" t="s">
        <v>2178</v>
      </c>
      <c r="E202" s="556" t="s">
        <v>2180</v>
      </c>
      <c r="F202" s="555" t="s">
        <v>480</v>
      </c>
      <c r="G202" s="557" t="s">
        <v>1955</v>
      </c>
      <c r="H202" s="557">
        <v>4.0</v>
      </c>
      <c r="I202" s="565">
        <v>342.4657534246575</v>
      </c>
      <c r="J202" s="559" t="s">
        <v>10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hidden="1" customHeight="1">
      <c r="A203" s="554" t="s">
        <v>3936</v>
      </c>
      <c r="B203" s="554" t="s">
        <v>3961</v>
      </c>
      <c r="C203" s="554" t="s">
        <v>3973</v>
      </c>
      <c r="D203" s="357" t="s">
        <v>2182</v>
      </c>
      <c r="E203" s="556" t="s">
        <v>2184</v>
      </c>
      <c r="F203" s="555" t="s">
        <v>1989</v>
      </c>
      <c r="G203" s="557" t="s">
        <v>1955</v>
      </c>
      <c r="H203" s="557">
        <v>4.0</v>
      </c>
      <c r="I203" s="565">
        <v>472.60273972602744</v>
      </c>
      <c r="J203" s="559" t="s">
        <v>10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hidden="1" customHeight="1">
      <c r="A204" s="554" t="s">
        <v>3936</v>
      </c>
      <c r="B204" s="554" t="s">
        <v>3961</v>
      </c>
      <c r="C204" s="554" t="s">
        <v>3974</v>
      </c>
      <c r="D204" s="357" t="s">
        <v>2186</v>
      </c>
      <c r="E204" s="556" t="s">
        <v>2188</v>
      </c>
      <c r="F204" s="555" t="s">
        <v>480</v>
      </c>
      <c r="G204" s="557" t="s">
        <v>1955</v>
      </c>
      <c r="H204" s="557">
        <v>4.0</v>
      </c>
      <c r="I204" s="565">
        <v>239.72602739726028</v>
      </c>
      <c r="J204" s="559" t="s">
        <v>10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hidden="1" customHeight="1">
      <c r="A205" s="554" t="s">
        <v>3936</v>
      </c>
      <c r="B205" s="554" t="s">
        <v>3961</v>
      </c>
      <c r="C205" s="554" t="s">
        <v>3974</v>
      </c>
      <c r="D205" s="357" t="s">
        <v>2190</v>
      </c>
      <c r="E205" s="556" t="s">
        <v>2192</v>
      </c>
      <c r="F205" s="555" t="s">
        <v>480</v>
      </c>
      <c r="G205" s="557" t="s">
        <v>1955</v>
      </c>
      <c r="H205" s="557">
        <v>4.0</v>
      </c>
      <c r="I205" s="565">
        <v>250.68493150684932</v>
      </c>
      <c r="J205" s="559" t="s">
        <v>10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hidden="1" customHeight="1">
      <c r="A206" s="554" t="s">
        <v>3936</v>
      </c>
      <c r="B206" s="554" t="s">
        <v>3961</v>
      </c>
      <c r="C206" s="554" t="s">
        <v>3974</v>
      </c>
      <c r="D206" s="357" t="s">
        <v>2194</v>
      </c>
      <c r="E206" s="556" t="s">
        <v>2196</v>
      </c>
      <c r="F206" s="555" t="s">
        <v>480</v>
      </c>
      <c r="G206" s="557" t="s">
        <v>1955</v>
      </c>
      <c r="H206" s="557">
        <v>4.0</v>
      </c>
      <c r="I206" s="565">
        <v>273.972602739726</v>
      </c>
      <c r="J206" s="559" t="s">
        <v>10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hidden="1" customHeight="1">
      <c r="A207" s="554" t="s">
        <v>3936</v>
      </c>
      <c r="B207" s="554" t="s">
        <v>3961</v>
      </c>
      <c r="C207" s="554" t="s">
        <v>3974</v>
      </c>
      <c r="D207" s="357" t="s">
        <v>2198</v>
      </c>
      <c r="E207" s="556" t="s">
        <v>2200</v>
      </c>
      <c r="F207" s="555" t="s">
        <v>480</v>
      </c>
      <c r="G207" s="557" t="s">
        <v>1955</v>
      </c>
      <c r="H207" s="557">
        <v>4.0</v>
      </c>
      <c r="I207" s="565">
        <v>342.4657534246575</v>
      </c>
      <c r="J207" s="559" t="s">
        <v>10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hidden="1" customHeight="1">
      <c r="A208" s="554" t="s">
        <v>3936</v>
      </c>
      <c r="B208" s="554" t="s">
        <v>3961</v>
      </c>
      <c r="C208" s="554" t="s">
        <v>3975</v>
      </c>
      <c r="D208" s="357" t="s">
        <v>2202</v>
      </c>
      <c r="E208" s="556" t="s">
        <v>2204</v>
      </c>
      <c r="F208" s="555" t="s">
        <v>480</v>
      </c>
      <c r="G208" s="557" t="s">
        <v>1955</v>
      </c>
      <c r="H208" s="557">
        <v>4.0</v>
      </c>
      <c r="I208" s="565">
        <v>319.17808219178085</v>
      </c>
      <c r="J208" s="559" t="s">
        <v>10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hidden="1" customHeight="1">
      <c r="A209" s="554" t="s">
        <v>3936</v>
      </c>
      <c r="B209" s="554" t="s">
        <v>3961</v>
      </c>
      <c r="C209" s="554" t="s">
        <v>3975</v>
      </c>
      <c r="D209" s="357" t="s">
        <v>2206</v>
      </c>
      <c r="E209" s="556" t="s">
        <v>2208</v>
      </c>
      <c r="F209" s="555" t="s">
        <v>480</v>
      </c>
      <c r="G209" s="557" t="s">
        <v>1955</v>
      </c>
      <c r="H209" s="557">
        <v>4.0</v>
      </c>
      <c r="I209" s="565">
        <v>328.76712328767127</v>
      </c>
      <c r="J209" s="559" t="s">
        <v>10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hidden="1" customHeight="1">
      <c r="A210" s="554" t="s">
        <v>3936</v>
      </c>
      <c r="B210" s="554" t="s">
        <v>3961</v>
      </c>
      <c r="C210" s="554" t="s">
        <v>3975</v>
      </c>
      <c r="D210" s="357" t="s">
        <v>2703</v>
      </c>
      <c r="E210" s="556" t="s">
        <v>2212</v>
      </c>
      <c r="F210" s="555" t="s">
        <v>480</v>
      </c>
      <c r="G210" s="557" t="s">
        <v>1955</v>
      </c>
      <c r="H210" s="557">
        <v>4.0</v>
      </c>
      <c r="I210" s="565">
        <v>349.3150684931507</v>
      </c>
      <c r="J210" s="559" t="s">
        <v>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hidden="1" customHeight="1">
      <c r="A211" s="554" t="s">
        <v>3936</v>
      </c>
      <c r="B211" s="554" t="s">
        <v>3961</v>
      </c>
      <c r="C211" s="554" t="s">
        <v>3975</v>
      </c>
      <c r="D211" s="357" t="s">
        <v>2713</v>
      </c>
      <c r="E211" s="556" t="s">
        <v>2216</v>
      </c>
      <c r="F211" s="555" t="s">
        <v>480</v>
      </c>
      <c r="G211" s="557" t="s">
        <v>1955</v>
      </c>
      <c r="H211" s="557">
        <v>4.0</v>
      </c>
      <c r="I211" s="565">
        <v>426.027397260274</v>
      </c>
      <c r="J211" s="559" t="s">
        <v>10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hidden="1" customHeight="1">
      <c r="A212" s="554" t="s">
        <v>3936</v>
      </c>
      <c r="B212" s="554" t="s">
        <v>3961</v>
      </c>
      <c r="C212" s="554" t="s">
        <v>3972</v>
      </c>
      <c r="D212" s="357" t="s">
        <v>2218</v>
      </c>
      <c r="E212" s="556" t="s">
        <v>2220</v>
      </c>
      <c r="F212" s="555" t="s">
        <v>480</v>
      </c>
      <c r="G212" s="557" t="s">
        <v>1955</v>
      </c>
      <c r="H212" s="557">
        <v>4.0</v>
      </c>
      <c r="I212" s="565">
        <v>808.2191780821918</v>
      </c>
      <c r="J212" s="559" t="s">
        <v>10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hidden="1" customHeight="1">
      <c r="A213" s="554" t="s">
        <v>3936</v>
      </c>
      <c r="B213" s="554" t="s">
        <v>3961</v>
      </c>
      <c r="C213" s="554" t="s">
        <v>3972</v>
      </c>
      <c r="D213" s="357" t="s">
        <v>2222</v>
      </c>
      <c r="E213" s="556" t="s">
        <v>2224</v>
      </c>
      <c r="F213" s="555" t="s">
        <v>480</v>
      </c>
      <c r="G213" s="557" t="s">
        <v>1955</v>
      </c>
      <c r="H213" s="557">
        <v>4.0</v>
      </c>
      <c r="I213" s="565">
        <v>1130.13698630137</v>
      </c>
      <c r="J213" s="559" t="s">
        <v>10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hidden="1" customHeight="1">
      <c r="A214" s="554" t="s">
        <v>3936</v>
      </c>
      <c r="B214" s="554" t="s">
        <v>3961</v>
      </c>
      <c r="C214" s="554" t="s">
        <v>3974</v>
      </c>
      <c r="D214" s="357" t="s">
        <v>2226</v>
      </c>
      <c r="E214" s="556" t="s">
        <v>2228</v>
      </c>
      <c r="F214" s="555" t="s">
        <v>480</v>
      </c>
      <c r="G214" s="557" t="s">
        <v>1955</v>
      </c>
      <c r="H214" s="557">
        <v>4.0</v>
      </c>
      <c r="I214" s="565">
        <v>719.1780821917808</v>
      </c>
      <c r="J214" s="559" t="s">
        <v>10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hidden="1" customHeight="1">
      <c r="A215" s="554" t="s">
        <v>3936</v>
      </c>
      <c r="B215" s="554" t="s">
        <v>3961</v>
      </c>
      <c r="C215" s="554" t="s">
        <v>3974</v>
      </c>
      <c r="D215" s="357" t="s">
        <v>2230</v>
      </c>
      <c r="E215" s="556" t="s">
        <v>2232</v>
      </c>
      <c r="F215" s="555" t="s">
        <v>480</v>
      </c>
      <c r="G215" s="557" t="s">
        <v>1955</v>
      </c>
      <c r="H215" s="557">
        <v>4.0</v>
      </c>
      <c r="I215" s="565">
        <v>1009.5890410958905</v>
      </c>
      <c r="J215" s="559" t="s">
        <v>10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hidden="1" customHeight="1">
      <c r="A216" s="554" t="s">
        <v>3936</v>
      </c>
      <c r="B216" s="554" t="s">
        <v>3961</v>
      </c>
      <c r="C216" s="554" t="s">
        <v>3975</v>
      </c>
      <c r="D216" s="357" t="s">
        <v>2234</v>
      </c>
      <c r="E216" s="556" t="s">
        <v>2236</v>
      </c>
      <c r="F216" s="555" t="s">
        <v>480</v>
      </c>
      <c r="G216" s="557" t="s">
        <v>1955</v>
      </c>
      <c r="H216" s="557">
        <v>4.0</v>
      </c>
      <c r="I216" s="565">
        <v>849.3150684931508</v>
      </c>
      <c r="J216" s="559" t="s">
        <v>10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hidden="1" customHeight="1">
      <c r="A217" s="554" t="s">
        <v>3936</v>
      </c>
      <c r="B217" s="554" t="s">
        <v>3961</v>
      </c>
      <c r="C217" s="554" t="s">
        <v>3975</v>
      </c>
      <c r="D217" s="357" t="s">
        <v>2238</v>
      </c>
      <c r="E217" s="556" t="s">
        <v>2240</v>
      </c>
      <c r="F217" s="555" t="s">
        <v>480</v>
      </c>
      <c r="G217" s="557" t="s">
        <v>1955</v>
      </c>
      <c r="H217" s="557">
        <v>4.0</v>
      </c>
      <c r="I217" s="565">
        <v>1168.4931506849316</v>
      </c>
      <c r="J217" s="559" t="s">
        <v>10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554" t="s">
        <v>3976</v>
      </c>
      <c r="B218" s="554" t="s">
        <v>3977</v>
      </c>
      <c r="C218" s="554" t="s">
        <v>3977</v>
      </c>
      <c r="D218" s="357" t="s">
        <v>1891</v>
      </c>
      <c r="E218" s="556" t="s">
        <v>1893</v>
      </c>
      <c r="F218" s="555" t="s">
        <v>554</v>
      </c>
      <c r="G218" s="557" t="s">
        <v>1176</v>
      </c>
      <c r="H218" s="557">
        <v>400.0</v>
      </c>
      <c r="I218" s="561">
        <v>2.7271706975963546</v>
      </c>
      <c r="J218" s="559" t="s">
        <v>10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554" t="s">
        <v>3976</v>
      </c>
      <c r="B219" s="554" t="s">
        <v>3977</v>
      </c>
      <c r="C219" s="554" t="s">
        <v>3977</v>
      </c>
      <c r="D219" s="357" t="s">
        <v>1894</v>
      </c>
      <c r="E219" s="556" t="s">
        <v>1896</v>
      </c>
      <c r="F219" s="555" t="s">
        <v>554</v>
      </c>
      <c r="G219" s="557" t="s">
        <v>1176</v>
      </c>
      <c r="H219" s="557">
        <v>400.0</v>
      </c>
      <c r="I219" s="561">
        <v>3.4192540941352147</v>
      </c>
      <c r="J219" s="559" t="s">
        <v>10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554" t="s">
        <v>3976</v>
      </c>
      <c r="B220" s="554" t="s">
        <v>3977</v>
      </c>
      <c r="C220" s="554" t="s">
        <v>3977</v>
      </c>
      <c r="D220" s="357" t="s">
        <v>1898</v>
      </c>
      <c r="E220" s="556" t="s">
        <v>1900</v>
      </c>
      <c r="F220" s="555" t="s">
        <v>554</v>
      </c>
      <c r="G220" s="557" t="s">
        <v>555</v>
      </c>
      <c r="H220" s="557">
        <v>360.0</v>
      </c>
      <c r="I220" s="561">
        <v>3.542995919670582</v>
      </c>
      <c r="J220" s="559" t="s">
        <v>10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554" t="s">
        <v>3976</v>
      </c>
      <c r="B221" s="554" t="s">
        <v>3977</v>
      </c>
      <c r="C221" s="554" t="s">
        <v>3977</v>
      </c>
      <c r="D221" s="357" t="s">
        <v>1907</v>
      </c>
      <c r="E221" s="556" t="s">
        <v>1909</v>
      </c>
      <c r="F221" s="555" t="s">
        <v>554</v>
      </c>
      <c r="G221" s="557" t="s">
        <v>555</v>
      </c>
      <c r="H221" s="557">
        <v>360.0</v>
      </c>
      <c r="I221" s="561">
        <v>11.415193530266171</v>
      </c>
      <c r="J221" s="559" t="s">
        <v>10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554" t="s">
        <v>3976</v>
      </c>
      <c r="B222" s="554" t="s">
        <v>3977</v>
      </c>
      <c r="C222" s="554" t="s">
        <v>3977</v>
      </c>
      <c r="D222" s="357" t="s">
        <v>1913</v>
      </c>
      <c r="E222" s="556" t="s">
        <v>1915</v>
      </c>
      <c r="F222" s="555" t="s">
        <v>554</v>
      </c>
      <c r="G222" s="557" t="s">
        <v>1176</v>
      </c>
      <c r="H222" s="557">
        <v>1200.0</v>
      </c>
      <c r="I222" s="561">
        <v>3.1340055691123023</v>
      </c>
      <c r="J222" s="559" t="s">
        <v>10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554" t="s">
        <v>3976</v>
      </c>
      <c r="B223" s="554" t="s">
        <v>3977</v>
      </c>
      <c r="C223" s="554" t="s">
        <v>3977</v>
      </c>
      <c r="D223" s="357" t="s">
        <v>1917</v>
      </c>
      <c r="E223" s="556" t="s">
        <v>1919</v>
      </c>
      <c r="F223" s="555" t="s">
        <v>554</v>
      </c>
      <c r="G223" s="557" t="s">
        <v>741</v>
      </c>
      <c r="H223" s="557">
        <v>200.0</v>
      </c>
      <c r="I223" s="561">
        <v>6.7853252759739755</v>
      </c>
      <c r="J223" s="559" t="s">
        <v>10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554" t="s">
        <v>3976</v>
      </c>
      <c r="B224" s="554" t="s">
        <v>3977</v>
      </c>
      <c r="C224" s="554" t="s">
        <v>3977</v>
      </c>
      <c r="D224" s="357" t="s">
        <v>1921</v>
      </c>
      <c r="E224" s="556" t="s">
        <v>1923</v>
      </c>
      <c r="F224" s="555" t="s">
        <v>554</v>
      </c>
      <c r="G224" s="557" t="s">
        <v>741</v>
      </c>
      <c r="H224" s="557">
        <v>200.0</v>
      </c>
      <c r="I224" s="561">
        <v>7.6398272042474344</v>
      </c>
      <c r="J224" s="559" t="s">
        <v>10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554" t="s">
        <v>3976</v>
      </c>
      <c r="B225" s="554" t="s">
        <v>3977</v>
      </c>
      <c r="C225" s="554" t="s">
        <v>3977</v>
      </c>
      <c r="D225" s="357" t="s">
        <v>1924</v>
      </c>
      <c r="E225" s="556" t="s">
        <v>1926</v>
      </c>
      <c r="F225" s="555" t="s">
        <v>554</v>
      </c>
      <c r="G225" s="557" t="s">
        <v>1176</v>
      </c>
      <c r="H225" s="557">
        <v>900.0</v>
      </c>
      <c r="I225" s="561">
        <v>1.6008697863672923</v>
      </c>
      <c r="J225" s="559" t="s">
        <v>10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554" t="s">
        <v>3976</v>
      </c>
      <c r="B226" s="556" t="s">
        <v>3978</v>
      </c>
      <c r="C226" s="556" t="s">
        <v>3978</v>
      </c>
      <c r="D226" s="357" t="s">
        <v>1933</v>
      </c>
      <c r="E226" s="556" t="s">
        <v>1935</v>
      </c>
      <c r="F226" s="555" t="s">
        <v>554</v>
      </c>
      <c r="G226" s="557" t="s">
        <v>1637</v>
      </c>
      <c r="H226" s="557">
        <v>240.0</v>
      </c>
      <c r="I226" s="561">
        <v>9.370644516212769</v>
      </c>
      <c r="J226" s="559" t="s">
        <v>10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554" t="s">
        <v>3976</v>
      </c>
      <c r="B227" s="556" t="s">
        <v>3978</v>
      </c>
      <c r="C227" s="556" t="s">
        <v>3978</v>
      </c>
      <c r="D227" s="357" t="s">
        <v>1941</v>
      </c>
      <c r="E227" s="556" t="s">
        <v>1943</v>
      </c>
      <c r="F227" s="555" t="s">
        <v>554</v>
      </c>
      <c r="G227" s="557" t="s">
        <v>1637</v>
      </c>
      <c r="H227" s="557">
        <v>240.0</v>
      </c>
      <c r="I227" s="561">
        <v>9.370644516212769</v>
      </c>
      <c r="J227" s="559" t="s">
        <v>10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554" t="s">
        <v>3976</v>
      </c>
      <c r="B228" s="556" t="s">
        <v>3978</v>
      </c>
      <c r="C228" s="556" t="s">
        <v>3978</v>
      </c>
      <c r="D228" s="357" t="s">
        <v>1945</v>
      </c>
      <c r="E228" s="556" t="s">
        <v>1947</v>
      </c>
      <c r="F228" s="555" t="s">
        <v>554</v>
      </c>
      <c r="G228" s="557" t="s">
        <v>1637</v>
      </c>
      <c r="H228" s="557">
        <v>240.0</v>
      </c>
      <c r="I228" s="561">
        <v>27.98263076167777</v>
      </c>
      <c r="J228" s="559" t="s">
        <v>10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3"/>
      <c r="E229" s="13"/>
      <c r="F229" s="13"/>
      <c r="G229" s="8"/>
      <c r="H229" s="8"/>
      <c r="I229" s="8"/>
      <c r="J229" s="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3"/>
      <c r="E230" s="13"/>
      <c r="F230" s="13"/>
      <c r="G230" s="8"/>
      <c r="H230" s="8"/>
      <c r="I230" s="8"/>
      <c r="J230" s="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3"/>
      <c r="E231" s="13"/>
      <c r="F231" s="13"/>
      <c r="G231" s="8"/>
      <c r="H231" s="8"/>
      <c r="I231" s="8"/>
      <c r="J231" s="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3"/>
      <c r="E232" s="13"/>
      <c r="F232" s="13"/>
      <c r="G232" s="8"/>
      <c r="H232" s="8"/>
      <c r="I232" s="8"/>
      <c r="J232" s="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3"/>
      <c r="E233" s="13"/>
      <c r="F233" s="13"/>
      <c r="G233" s="8"/>
      <c r="H233" s="8"/>
      <c r="I233" s="8"/>
      <c r="J233" s="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3"/>
      <c r="E234" s="13"/>
      <c r="F234" s="13"/>
      <c r="G234" s="8"/>
      <c r="H234" s="8"/>
      <c r="I234" s="8"/>
      <c r="J234" s="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3"/>
      <c r="E235" s="13"/>
      <c r="F235" s="13"/>
      <c r="G235" s="8"/>
      <c r="H235" s="8"/>
      <c r="I235" s="8"/>
      <c r="J235" s="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3"/>
      <c r="E236" s="13"/>
      <c r="F236" s="13"/>
      <c r="G236" s="8"/>
      <c r="H236" s="8"/>
      <c r="I236" s="8"/>
      <c r="J236" s="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3"/>
      <c r="E237" s="13"/>
      <c r="F237" s="13"/>
      <c r="G237" s="8"/>
      <c r="H237" s="8"/>
      <c r="I237" s="8"/>
      <c r="J237" s="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3"/>
      <c r="E238" s="13"/>
      <c r="F238" s="13"/>
      <c r="G238" s="8"/>
      <c r="H238" s="8"/>
      <c r="I238" s="8"/>
      <c r="J238" s="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3"/>
      <c r="E239" s="13"/>
      <c r="F239" s="13"/>
      <c r="G239" s="8"/>
      <c r="H239" s="8"/>
      <c r="I239" s="8"/>
      <c r="J239" s="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3"/>
      <c r="E240" s="13"/>
      <c r="F240" s="13"/>
      <c r="G240" s="8"/>
      <c r="H240" s="8"/>
      <c r="I240" s="8"/>
      <c r="J240" s="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3"/>
      <c r="E241" s="13"/>
      <c r="F241" s="13"/>
      <c r="G241" s="8"/>
      <c r="H241" s="8"/>
      <c r="I241" s="8"/>
      <c r="J241" s="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3"/>
      <c r="E242" s="13"/>
      <c r="F242" s="13"/>
      <c r="G242" s="8"/>
      <c r="H242" s="8"/>
      <c r="I242" s="8"/>
      <c r="J242" s="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3"/>
      <c r="E243" s="13"/>
      <c r="F243" s="13"/>
      <c r="G243" s="8"/>
      <c r="H243" s="8"/>
      <c r="I243" s="8"/>
      <c r="J243" s="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3"/>
      <c r="E244" s="13"/>
      <c r="F244" s="13"/>
      <c r="G244" s="8"/>
      <c r="H244" s="8"/>
      <c r="I244" s="8"/>
      <c r="J244" s="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3"/>
      <c r="E245" s="13"/>
      <c r="F245" s="13"/>
      <c r="G245" s="8"/>
      <c r="H245" s="8"/>
      <c r="I245" s="8"/>
      <c r="J245" s="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3"/>
      <c r="E246" s="13"/>
      <c r="F246" s="13"/>
      <c r="G246" s="8"/>
      <c r="H246" s="8"/>
      <c r="I246" s="8"/>
      <c r="J246" s="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3"/>
      <c r="E247" s="13"/>
      <c r="F247" s="13"/>
      <c r="G247" s="8"/>
      <c r="H247" s="8"/>
      <c r="I247" s="8"/>
      <c r="J247" s="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3"/>
      <c r="E248" s="13"/>
      <c r="F248" s="13"/>
      <c r="G248" s="8"/>
      <c r="H248" s="8"/>
      <c r="I248" s="8"/>
      <c r="J248" s="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3"/>
      <c r="E249" s="13"/>
      <c r="F249" s="13"/>
      <c r="G249" s="8"/>
      <c r="H249" s="8"/>
      <c r="I249" s="8"/>
      <c r="J249" s="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3"/>
      <c r="E250" s="13"/>
      <c r="F250" s="13"/>
      <c r="G250" s="8"/>
      <c r="H250" s="8"/>
      <c r="I250" s="8"/>
      <c r="J250" s="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3"/>
      <c r="E251" s="13"/>
      <c r="F251" s="13"/>
      <c r="G251" s="8"/>
      <c r="H251" s="8"/>
      <c r="I251" s="8"/>
      <c r="J251" s="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3"/>
      <c r="E252" s="13"/>
      <c r="F252" s="13"/>
      <c r="G252" s="8"/>
      <c r="H252" s="8"/>
      <c r="I252" s="8"/>
      <c r="J252" s="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3"/>
      <c r="E253" s="13"/>
      <c r="F253" s="13"/>
      <c r="G253" s="8"/>
      <c r="H253" s="8"/>
      <c r="I253" s="8"/>
      <c r="J253" s="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3"/>
      <c r="E254" s="13"/>
      <c r="F254" s="13"/>
      <c r="G254" s="8"/>
      <c r="H254" s="8"/>
      <c r="I254" s="8"/>
      <c r="J254" s="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3"/>
      <c r="E255" s="13"/>
      <c r="F255" s="13"/>
      <c r="G255" s="8"/>
      <c r="H255" s="8"/>
      <c r="I255" s="8"/>
      <c r="J255" s="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3"/>
      <c r="E256" s="13"/>
      <c r="F256" s="13"/>
      <c r="G256" s="8"/>
      <c r="H256" s="8"/>
      <c r="I256" s="8"/>
      <c r="J256" s="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3"/>
      <c r="E257" s="13"/>
      <c r="F257" s="13"/>
      <c r="G257" s="8"/>
      <c r="H257" s="8"/>
      <c r="I257" s="8"/>
      <c r="J257" s="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3"/>
      <c r="E258" s="13"/>
      <c r="F258" s="13"/>
      <c r="G258" s="8"/>
      <c r="H258" s="8"/>
      <c r="I258" s="8"/>
      <c r="J258" s="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3"/>
      <c r="E259" s="13"/>
      <c r="F259" s="13"/>
      <c r="G259" s="8"/>
      <c r="H259" s="8"/>
      <c r="I259" s="8"/>
      <c r="J259" s="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3"/>
      <c r="E260" s="13"/>
      <c r="F260" s="13"/>
      <c r="G260" s="8"/>
      <c r="H260" s="8"/>
      <c r="I260" s="8"/>
      <c r="J260" s="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3"/>
      <c r="E261" s="13"/>
      <c r="F261" s="13"/>
      <c r="G261" s="8"/>
      <c r="H261" s="8"/>
      <c r="I261" s="8"/>
      <c r="J261" s="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3"/>
      <c r="E262" s="13"/>
      <c r="F262" s="13"/>
      <c r="G262" s="8"/>
      <c r="H262" s="8"/>
      <c r="I262" s="8"/>
      <c r="J262" s="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3"/>
      <c r="E263" s="13"/>
      <c r="F263" s="13"/>
      <c r="G263" s="8"/>
      <c r="H263" s="8"/>
      <c r="I263" s="8"/>
      <c r="J263" s="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3"/>
      <c r="E264" s="13"/>
      <c r="F264" s="13"/>
      <c r="G264" s="8"/>
      <c r="H264" s="8"/>
      <c r="I264" s="8"/>
      <c r="J264" s="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3"/>
      <c r="E265" s="13"/>
      <c r="F265" s="13"/>
      <c r="G265" s="8"/>
      <c r="H265" s="8"/>
      <c r="I265" s="8"/>
      <c r="J265" s="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3"/>
      <c r="E266" s="13"/>
      <c r="F266" s="13"/>
      <c r="G266" s="8"/>
      <c r="H266" s="8"/>
      <c r="I266" s="8"/>
      <c r="J266" s="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3"/>
      <c r="E267" s="13"/>
      <c r="F267" s="13"/>
      <c r="G267" s="8"/>
      <c r="H267" s="8"/>
      <c r="I267" s="8"/>
      <c r="J267" s="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3"/>
      <c r="E268" s="13"/>
      <c r="F268" s="13"/>
      <c r="G268" s="8"/>
      <c r="H268" s="8"/>
      <c r="I268" s="8"/>
      <c r="J268" s="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3"/>
      <c r="E269" s="13"/>
      <c r="F269" s="13"/>
      <c r="G269" s="8"/>
      <c r="H269" s="8"/>
      <c r="I269" s="8"/>
      <c r="J269" s="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3"/>
      <c r="E270" s="13"/>
      <c r="F270" s="13"/>
      <c r="G270" s="8"/>
      <c r="H270" s="8"/>
      <c r="I270" s="8"/>
      <c r="J270" s="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3"/>
      <c r="E271" s="13"/>
      <c r="F271" s="13"/>
      <c r="G271" s="8"/>
      <c r="H271" s="8"/>
      <c r="I271" s="8"/>
      <c r="J271" s="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3"/>
      <c r="E272" s="13"/>
      <c r="F272" s="13"/>
      <c r="G272" s="8"/>
      <c r="H272" s="8"/>
      <c r="I272" s="8"/>
      <c r="J272" s="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3"/>
      <c r="E273" s="13"/>
      <c r="F273" s="13"/>
      <c r="G273" s="8"/>
      <c r="H273" s="8"/>
      <c r="I273" s="8"/>
      <c r="J273" s="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3"/>
      <c r="E274" s="13"/>
      <c r="F274" s="13"/>
      <c r="G274" s="8"/>
      <c r="H274" s="8"/>
      <c r="I274" s="8"/>
      <c r="J274" s="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3"/>
      <c r="E275" s="13"/>
      <c r="F275" s="13"/>
      <c r="G275" s="8"/>
      <c r="H275" s="8"/>
      <c r="I275" s="8"/>
      <c r="J275" s="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3"/>
      <c r="E276" s="13"/>
      <c r="F276" s="13"/>
      <c r="G276" s="8"/>
      <c r="H276" s="8"/>
      <c r="I276" s="8"/>
      <c r="J276" s="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3"/>
      <c r="E277" s="13"/>
      <c r="F277" s="13"/>
      <c r="G277" s="8"/>
      <c r="H277" s="8"/>
      <c r="I277" s="8"/>
      <c r="J277" s="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3"/>
      <c r="E278" s="13"/>
      <c r="F278" s="13"/>
      <c r="G278" s="8"/>
      <c r="H278" s="8"/>
      <c r="I278" s="8"/>
      <c r="J278" s="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3"/>
      <c r="E279" s="13"/>
      <c r="F279" s="13"/>
      <c r="G279" s="8"/>
      <c r="H279" s="8"/>
      <c r="I279" s="8"/>
      <c r="J279" s="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3"/>
      <c r="E280" s="13"/>
      <c r="F280" s="13"/>
      <c r="G280" s="8"/>
      <c r="H280" s="8"/>
      <c r="I280" s="8"/>
      <c r="J280" s="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3"/>
      <c r="E281" s="13"/>
      <c r="F281" s="13"/>
      <c r="G281" s="8"/>
      <c r="H281" s="8"/>
      <c r="I281" s="8"/>
      <c r="J281" s="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3"/>
      <c r="E282" s="13"/>
      <c r="F282" s="13"/>
      <c r="G282" s="8"/>
      <c r="H282" s="8"/>
      <c r="I282" s="8"/>
      <c r="J282" s="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3"/>
      <c r="E283" s="13"/>
      <c r="F283" s="13"/>
      <c r="G283" s="8"/>
      <c r="H283" s="8"/>
      <c r="I283" s="8"/>
      <c r="J283" s="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3"/>
      <c r="E284" s="13"/>
      <c r="F284" s="13"/>
      <c r="G284" s="8"/>
      <c r="H284" s="8"/>
      <c r="I284" s="8"/>
      <c r="J284" s="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3"/>
      <c r="E285" s="13"/>
      <c r="F285" s="13"/>
      <c r="G285" s="8"/>
      <c r="H285" s="8"/>
      <c r="I285" s="8"/>
      <c r="J285" s="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3"/>
      <c r="E286" s="13"/>
      <c r="F286" s="13"/>
      <c r="G286" s="8"/>
      <c r="H286" s="8"/>
      <c r="I286" s="8"/>
      <c r="J286" s="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3"/>
      <c r="E287" s="13"/>
      <c r="F287" s="13"/>
      <c r="G287" s="8"/>
      <c r="H287" s="8"/>
      <c r="I287" s="8"/>
      <c r="J287" s="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3"/>
      <c r="E288" s="13"/>
      <c r="F288" s="13"/>
      <c r="G288" s="8"/>
      <c r="H288" s="8"/>
      <c r="I288" s="8"/>
      <c r="J288" s="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3"/>
      <c r="E289" s="13"/>
      <c r="F289" s="13"/>
      <c r="G289" s="8"/>
      <c r="H289" s="8"/>
      <c r="I289" s="8"/>
      <c r="J289" s="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3"/>
      <c r="E290" s="13"/>
      <c r="F290" s="13"/>
      <c r="G290" s="8"/>
      <c r="H290" s="8"/>
      <c r="I290" s="8"/>
      <c r="J290" s="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3"/>
      <c r="E291" s="13"/>
      <c r="F291" s="13"/>
      <c r="G291" s="8"/>
      <c r="H291" s="8"/>
      <c r="I291" s="8"/>
      <c r="J291" s="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3"/>
      <c r="E292" s="13"/>
      <c r="F292" s="13"/>
      <c r="G292" s="8"/>
      <c r="H292" s="8"/>
      <c r="I292" s="8"/>
      <c r="J292" s="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3"/>
      <c r="E293" s="13"/>
      <c r="F293" s="13"/>
      <c r="G293" s="8"/>
      <c r="H293" s="8"/>
      <c r="I293" s="8"/>
      <c r="J293" s="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3"/>
      <c r="E294" s="13"/>
      <c r="F294" s="13"/>
      <c r="G294" s="8"/>
      <c r="H294" s="8"/>
      <c r="I294" s="8"/>
      <c r="J294" s="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3"/>
      <c r="E295" s="13"/>
      <c r="F295" s="13"/>
      <c r="G295" s="8"/>
      <c r="H295" s="8"/>
      <c r="I295" s="8"/>
      <c r="J295" s="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3"/>
      <c r="E296" s="13"/>
      <c r="F296" s="13"/>
      <c r="G296" s="8"/>
      <c r="H296" s="8"/>
      <c r="I296" s="8"/>
      <c r="J296" s="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3"/>
      <c r="E297" s="13"/>
      <c r="F297" s="13"/>
      <c r="G297" s="8"/>
      <c r="H297" s="8"/>
      <c r="I297" s="8"/>
      <c r="J297" s="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3"/>
      <c r="E298" s="13"/>
      <c r="F298" s="13"/>
      <c r="G298" s="8"/>
      <c r="H298" s="8"/>
      <c r="I298" s="8"/>
      <c r="J298" s="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3"/>
      <c r="E299" s="13"/>
      <c r="F299" s="13"/>
      <c r="G299" s="8"/>
      <c r="H299" s="8"/>
      <c r="I299" s="8"/>
      <c r="J299" s="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3"/>
      <c r="E300" s="13"/>
      <c r="F300" s="13"/>
      <c r="G300" s="8"/>
      <c r="H300" s="8"/>
      <c r="I300" s="8"/>
      <c r="J300" s="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3"/>
      <c r="E301" s="13"/>
      <c r="F301" s="13"/>
      <c r="G301" s="8"/>
      <c r="H301" s="8"/>
      <c r="I301" s="8"/>
      <c r="J301" s="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3"/>
      <c r="E302" s="13"/>
      <c r="F302" s="13"/>
      <c r="G302" s="8"/>
      <c r="H302" s="8"/>
      <c r="I302" s="8"/>
      <c r="J302" s="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3"/>
      <c r="E303" s="13"/>
      <c r="F303" s="13"/>
      <c r="G303" s="8"/>
      <c r="H303" s="8"/>
      <c r="I303" s="8"/>
      <c r="J303" s="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3"/>
      <c r="E304" s="13"/>
      <c r="F304" s="13"/>
      <c r="G304" s="8"/>
      <c r="H304" s="8"/>
      <c r="I304" s="8"/>
      <c r="J304" s="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3"/>
      <c r="E305" s="13"/>
      <c r="F305" s="13"/>
      <c r="G305" s="8"/>
      <c r="H305" s="8"/>
      <c r="I305" s="8"/>
      <c r="J305" s="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3"/>
      <c r="E306" s="13"/>
      <c r="F306" s="13"/>
      <c r="G306" s="8"/>
      <c r="H306" s="8"/>
      <c r="I306" s="8"/>
      <c r="J306" s="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3"/>
      <c r="E307" s="13"/>
      <c r="F307" s="13"/>
      <c r="G307" s="8"/>
      <c r="H307" s="8"/>
      <c r="I307" s="8"/>
      <c r="J307" s="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3"/>
      <c r="E308" s="13"/>
      <c r="F308" s="13"/>
      <c r="G308" s="8"/>
      <c r="H308" s="8"/>
      <c r="I308" s="8"/>
      <c r="J308" s="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3"/>
      <c r="E309" s="13"/>
      <c r="F309" s="13"/>
      <c r="G309" s="8"/>
      <c r="H309" s="8"/>
      <c r="I309" s="8"/>
      <c r="J309" s="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3"/>
      <c r="E310" s="13"/>
      <c r="F310" s="13"/>
      <c r="G310" s="8"/>
      <c r="H310" s="8"/>
      <c r="I310" s="8"/>
      <c r="J310" s="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3"/>
      <c r="E311" s="13"/>
      <c r="F311" s="13"/>
      <c r="G311" s="8"/>
      <c r="H311" s="8"/>
      <c r="I311" s="8"/>
      <c r="J311" s="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3"/>
      <c r="E312" s="13"/>
      <c r="F312" s="13"/>
      <c r="G312" s="8"/>
      <c r="H312" s="8"/>
      <c r="I312" s="8"/>
      <c r="J312" s="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3"/>
      <c r="E313" s="13"/>
      <c r="F313" s="13"/>
      <c r="G313" s="8"/>
      <c r="H313" s="8"/>
      <c r="I313" s="8"/>
      <c r="J313" s="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3"/>
      <c r="E314" s="13"/>
      <c r="F314" s="13"/>
      <c r="G314" s="8"/>
      <c r="H314" s="8"/>
      <c r="I314" s="8"/>
      <c r="J314" s="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3"/>
      <c r="E315" s="13"/>
      <c r="F315" s="13"/>
      <c r="G315" s="8"/>
      <c r="H315" s="8"/>
      <c r="I315" s="8"/>
      <c r="J315" s="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3"/>
      <c r="E316" s="13"/>
      <c r="F316" s="13"/>
      <c r="G316" s="8"/>
      <c r="H316" s="8"/>
      <c r="I316" s="8"/>
      <c r="J316" s="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3"/>
      <c r="E317" s="13"/>
      <c r="F317" s="13"/>
      <c r="G317" s="8"/>
      <c r="H317" s="8"/>
      <c r="I317" s="8"/>
      <c r="J317" s="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3"/>
      <c r="E318" s="13"/>
      <c r="F318" s="13"/>
      <c r="G318" s="8"/>
      <c r="H318" s="8"/>
      <c r="I318" s="8"/>
      <c r="J318" s="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3"/>
      <c r="E319" s="13"/>
      <c r="F319" s="13"/>
      <c r="G319" s="8"/>
      <c r="H319" s="8"/>
      <c r="I319" s="8"/>
      <c r="J319" s="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3"/>
      <c r="E320" s="13"/>
      <c r="F320" s="13"/>
      <c r="G320" s="8"/>
      <c r="H320" s="8"/>
      <c r="I320" s="8"/>
      <c r="J320" s="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3"/>
      <c r="E321" s="13"/>
      <c r="F321" s="13"/>
      <c r="G321" s="8"/>
      <c r="H321" s="8"/>
      <c r="I321" s="8"/>
      <c r="J321" s="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3"/>
      <c r="E322" s="13"/>
      <c r="F322" s="13"/>
      <c r="G322" s="8"/>
      <c r="H322" s="8"/>
      <c r="I322" s="8"/>
      <c r="J322" s="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3"/>
      <c r="E323" s="13"/>
      <c r="F323" s="13"/>
      <c r="G323" s="8"/>
      <c r="H323" s="8"/>
      <c r="I323" s="8"/>
      <c r="J323" s="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3"/>
      <c r="E324" s="13"/>
      <c r="F324" s="13"/>
      <c r="G324" s="8"/>
      <c r="H324" s="8"/>
      <c r="I324" s="8"/>
      <c r="J324" s="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3"/>
      <c r="E325" s="13"/>
      <c r="F325" s="13"/>
      <c r="G325" s="8"/>
      <c r="H325" s="8"/>
      <c r="I325" s="8"/>
      <c r="J325" s="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3"/>
      <c r="E326" s="13"/>
      <c r="F326" s="13"/>
      <c r="G326" s="8"/>
      <c r="H326" s="8"/>
      <c r="I326" s="8"/>
      <c r="J326" s="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3"/>
      <c r="E327" s="13"/>
      <c r="F327" s="13"/>
      <c r="G327" s="8"/>
      <c r="H327" s="8"/>
      <c r="I327" s="8"/>
      <c r="J327" s="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3"/>
      <c r="E328" s="13"/>
      <c r="F328" s="13"/>
      <c r="G328" s="8"/>
      <c r="H328" s="8"/>
      <c r="I328" s="8"/>
      <c r="J328" s="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3"/>
      <c r="E329" s="13"/>
      <c r="F329" s="13"/>
      <c r="G329" s="8"/>
      <c r="H329" s="8"/>
      <c r="I329" s="8"/>
      <c r="J329" s="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3"/>
      <c r="E330" s="13"/>
      <c r="F330" s="13"/>
      <c r="G330" s="8"/>
      <c r="H330" s="8"/>
      <c r="I330" s="8"/>
      <c r="J330" s="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3"/>
      <c r="E331" s="13"/>
      <c r="F331" s="13"/>
      <c r="G331" s="8"/>
      <c r="H331" s="8"/>
      <c r="I331" s="8"/>
      <c r="J331" s="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3"/>
      <c r="E332" s="13"/>
      <c r="F332" s="13"/>
      <c r="G332" s="8"/>
      <c r="H332" s="8"/>
      <c r="I332" s="8"/>
      <c r="J332" s="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3"/>
      <c r="E333" s="13"/>
      <c r="F333" s="13"/>
      <c r="G333" s="8"/>
      <c r="H333" s="8"/>
      <c r="I333" s="8"/>
      <c r="J333" s="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3"/>
      <c r="E334" s="13"/>
      <c r="F334" s="13"/>
      <c r="G334" s="8"/>
      <c r="H334" s="8"/>
      <c r="I334" s="8"/>
      <c r="J334" s="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3"/>
      <c r="E335" s="13"/>
      <c r="F335" s="13"/>
      <c r="G335" s="8"/>
      <c r="H335" s="8"/>
      <c r="I335" s="8"/>
      <c r="J335" s="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3"/>
      <c r="E336" s="13"/>
      <c r="F336" s="13"/>
      <c r="G336" s="8"/>
      <c r="H336" s="8"/>
      <c r="I336" s="8"/>
      <c r="J336" s="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3"/>
      <c r="E337" s="13"/>
      <c r="F337" s="13"/>
      <c r="G337" s="8"/>
      <c r="H337" s="8"/>
      <c r="I337" s="8"/>
      <c r="J337" s="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3"/>
      <c r="E338" s="13"/>
      <c r="F338" s="13"/>
      <c r="G338" s="8"/>
      <c r="H338" s="8"/>
      <c r="I338" s="8"/>
      <c r="J338" s="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3"/>
      <c r="E339" s="13"/>
      <c r="F339" s="13"/>
      <c r="G339" s="8"/>
      <c r="H339" s="8"/>
      <c r="I339" s="8"/>
      <c r="J339" s="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3"/>
      <c r="E340" s="13"/>
      <c r="F340" s="13"/>
      <c r="G340" s="8"/>
      <c r="H340" s="8"/>
      <c r="I340" s="8"/>
      <c r="J340" s="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3"/>
      <c r="E341" s="13"/>
      <c r="F341" s="13"/>
      <c r="G341" s="8"/>
      <c r="H341" s="8"/>
      <c r="I341" s="8"/>
      <c r="J341" s="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3"/>
      <c r="E342" s="13"/>
      <c r="F342" s="13"/>
      <c r="G342" s="8"/>
      <c r="H342" s="8"/>
      <c r="I342" s="8"/>
      <c r="J342" s="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3"/>
      <c r="E343" s="13"/>
      <c r="F343" s="13"/>
      <c r="G343" s="8"/>
      <c r="H343" s="8"/>
      <c r="I343" s="8"/>
      <c r="J343" s="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3"/>
      <c r="E344" s="13"/>
      <c r="F344" s="13"/>
      <c r="G344" s="8"/>
      <c r="H344" s="8"/>
      <c r="I344" s="8"/>
      <c r="J344" s="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3"/>
      <c r="E345" s="13"/>
      <c r="F345" s="13"/>
      <c r="G345" s="8"/>
      <c r="H345" s="8"/>
      <c r="I345" s="8"/>
      <c r="J345" s="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3"/>
      <c r="E346" s="13"/>
      <c r="F346" s="13"/>
      <c r="G346" s="8"/>
      <c r="H346" s="8"/>
      <c r="I346" s="8"/>
      <c r="J346" s="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3"/>
      <c r="E347" s="13"/>
      <c r="F347" s="13"/>
      <c r="G347" s="8"/>
      <c r="H347" s="8"/>
      <c r="I347" s="8"/>
      <c r="J347" s="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3"/>
      <c r="E348" s="13"/>
      <c r="F348" s="13"/>
      <c r="G348" s="8"/>
      <c r="H348" s="8"/>
      <c r="I348" s="8"/>
      <c r="J348" s="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3"/>
      <c r="E349" s="13"/>
      <c r="F349" s="13"/>
      <c r="G349" s="8"/>
      <c r="H349" s="8"/>
      <c r="I349" s="8"/>
      <c r="J349" s="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3"/>
      <c r="E350" s="13"/>
      <c r="F350" s="13"/>
      <c r="G350" s="8"/>
      <c r="H350" s="8"/>
      <c r="I350" s="8"/>
      <c r="J350" s="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3"/>
      <c r="E351" s="13"/>
      <c r="F351" s="13"/>
      <c r="G351" s="8"/>
      <c r="H351" s="8"/>
      <c r="I351" s="8"/>
      <c r="J351" s="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3"/>
      <c r="E352" s="13"/>
      <c r="F352" s="13"/>
      <c r="G352" s="8"/>
      <c r="H352" s="8"/>
      <c r="I352" s="8"/>
      <c r="J352" s="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3"/>
      <c r="E353" s="13"/>
      <c r="F353" s="13"/>
      <c r="G353" s="8"/>
      <c r="H353" s="8"/>
      <c r="I353" s="8"/>
      <c r="J353" s="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3"/>
      <c r="E354" s="13"/>
      <c r="F354" s="13"/>
      <c r="G354" s="8"/>
      <c r="H354" s="8"/>
      <c r="I354" s="8"/>
      <c r="J354" s="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3"/>
      <c r="E355" s="13"/>
      <c r="F355" s="13"/>
      <c r="G355" s="8"/>
      <c r="H355" s="8"/>
      <c r="I355" s="8"/>
      <c r="J355" s="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3"/>
      <c r="E356" s="13"/>
      <c r="F356" s="13"/>
      <c r="G356" s="8"/>
      <c r="H356" s="8"/>
      <c r="I356" s="8"/>
      <c r="J356" s="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3"/>
      <c r="E357" s="13"/>
      <c r="F357" s="13"/>
      <c r="G357" s="8"/>
      <c r="H357" s="8"/>
      <c r="I357" s="8"/>
      <c r="J357" s="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3"/>
      <c r="E358" s="13"/>
      <c r="F358" s="13"/>
      <c r="G358" s="8"/>
      <c r="H358" s="8"/>
      <c r="I358" s="8"/>
      <c r="J358" s="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3"/>
      <c r="E359" s="13"/>
      <c r="F359" s="13"/>
      <c r="G359" s="8"/>
      <c r="H359" s="8"/>
      <c r="I359" s="8"/>
      <c r="J359" s="8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3"/>
      <c r="E360" s="13"/>
      <c r="F360" s="13"/>
      <c r="G360" s="8"/>
      <c r="H360" s="8"/>
      <c r="I360" s="8"/>
      <c r="J360" s="8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3"/>
      <c r="E361" s="13"/>
      <c r="F361" s="13"/>
      <c r="G361" s="8"/>
      <c r="H361" s="8"/>
      <c r="I361" s="8"/>
      <c r="J361" s="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3"/>
      <c r="E362" s="13"/>
      <c r="F362" s="13"/>
      <c r="G362" s="8"/>
      <c r="H362" s="8"/>
      <c r="I362" s="8"/>
      <c r="J362" s="8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3"/>
      <c r="E363" s="13"/>
      <c r="F363" s="13"/>
      <c r="G363" s="8"/>
      <c r="H363" s="8"/>
      <c r="I363" s="8"/>
      <c r="J363" s="8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3"/>
      <c r="E364" s="13"/>
      <c r="F364" s="13"/>
      <c r="G364" s="8"/>
      <c r="H364" s="8"/>
      <c r="I364" s="8"/>
      <c r="J364" s="8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3"/>
      <c r="E365" s="13"/>
      <c r="F365" s="13"/>
      <c r="G365" s="8"/>
      <c r="H365" s="8"/>
      <c r="I365" s="8"/>
      <c r="J365" s="8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3"/>
      <c r="E366" s="13"/>
      <c r="F366" s="13"/>
      <c r="G366" s="8"/>
      <c r="H366" s="8"/>
      <c r="I366" s="8"/>
      <c r="J366" s="8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3"/>
      <c r="E367" s="13"/>
      <c r="F367" s="13"/>
      <c r="G367" s="8"/>
      <c r="H367" s="8"/>
      <c r="I367" s="8"/>
      <c r="J367" s="8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3"/>
      <c r="E368" s="13"/>
      <c r="F368" s="13"/>
      <c r="G368" s="8"/>
      <c r="H368" s="8"/>
      <c r="I368" s="8"/>
      <c r="J368" s="8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3"/>
      <c r="E369" s="13"/>
      <c r="F369" s="13"/>
      <c r="G369" s="8"/>
      <c r="H369" s="8"/>
      <c r="I369" s="8"/>
      <c r="J369" s="8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3"/>
      <c r="E370" s="13"/>
      <c r="F370" s="13"/>
      <c r="G370" s="8"/>
      <c r="H370" s="8"/>
      <c r="I370" s="8"/>
      <c r="J370" s="8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3"/>
      <c r="E371" s="13"/>
      <c r="F371" s="13"/>
      <c r="G371" s="8"/>
      <c r="H371" s="8"/>
      <c r="I371" s="8"/>
      <c r="J371" s="8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3"/>
      <c r="E372" s="13"/>
      <c r="F372" s="13"/>
      <c r="G372" s="8"/>
      <c r="H372" s="8"/>
      <c r="I372" s="8"/>
      <c r="J372" s="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3"/>
      <c r="E373" s="13"/>
      <c r="F373" s="13"/>
      <c r="G373" s="8"/>
      <c r="H373" s="8"/>
      <c r="I373" s="8"/>
      <c r="J373" s="8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3"/>
      <c r="E374" s="13"/>
      <c r="F374" s="13"/>
      <c r="G374" s="8"/>
      <c r="H374" s="8"/>
      <c r="I374" s="8"/>
      <c r="J374" s="8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3"/>
      <c r="E375" s="13"/>
      <c r="F375" s="13"/>
      <c r="G375" s="8"/>
      <c r="H375" s="8"/>
      <c r="I375" s="8"/>
      <c r="J375" s="8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3"/>
      <c r="E376" s="13"/>
      <c r="F376" s="13"/>
      <c r="G376" s="8"/>
      <c r="H376" s="8"/>
      <c r="I376" s="8"/>
      <c r="J376" s="8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3"/>
      <c r="E377" s="13"/>
      <c r="F377" s="13"/>
      <c r="G377" s="8"/>
      <c r="H377" s="8"/>
      <c r="I377" s="8"/>
      <c r="J377" s="8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3"/>
      <c r="E378" s="13"/>
      <c r="F378" s="13"/>
      <c r="G378" s="8"/>
      <c r="H378" s="8"/>
      <c r="I378" s="8"/>
      <c r="J378" s="8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3"/>
      <c r="E379" s="13"/>
      <c r="F379" s="13"/>
      <c r="G379" s="8"/>
      <c r="H379" s="8"/>
      <c r="I379" s="8"/>
      <c r="J379" s="8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3"/>
      <c r="E380" s="13"/>
      <c r="F380" s="13"/>
      <c r="G380" s="8"/>
      <c r="H380" s="8"/>
      <c r="I380" s="8"/>
      <c r="J380" s="8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3"/>
      <c r="E381" s="13"/>
      <c r="F381" s="13"/>
      <c r="G381" s="8"/>
      <c r="H381" s="8"/>
      <c r="I381" s="8"/>
      <c r="J381" s="8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3"/>
      <c r="E382" s="13"/>
      <c r="F382" s="13"/>
      <c r="G382" s="8"/>
      <c r="H382" s="8"/>
      <c r="I382" s="8"/>
      <c r="J382" s="8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3"/>
      <c r="E383" s="13"/>
      <c r="F383" s="13"/>
      <c r="G383" s="8"/>
      <c r="H383" s="8"/>
      <c r="I383" s="8"/>
      <c r="J383" s="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3"/>
      <c r="E384" s="13"/>
      <c r="F384" s="13"/>
      <c r="G384" s="8"/>
      <c r="H384" s="8"/>
      <c r="I384" s="8"/>
      <c r="J384" s="8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3"/>
      <c r="E385" s="13"/>
      <c r="F385" s="13"/>
      <c r="G385" s="8"/>
      <c r="H385" s="8"/>
      <c r="I385" s="8"/>
      <c r="J385" s="8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3"/>
      <c r="E386" s="13"/>
      <c r="F386" s="13"/>
      <c r="G386" s="8"/>
      <c r="H386" s="8"/>
      <c r="I386" s="8"/>
      <c r="J386" s="8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3"/>
      <c r="E387" s="13"/>
      <c r="F387" s="13"/>
      <c r="G387" s="8"/>
      <c r="H387" s="8"/>
      <c r="I387" s="8"/>
      <c r="J387" s="8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3"/>
      <c r="E388" s="13"/>
      <c r="F388" s="13"/>
      <c r="G388" s="8"/>
      <c r="H388" s="8"/>
      <c r="I388" s="8"/>
      <c r="J388" s="8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3"/>
      <c r="E389" s="13"/>
      <c r="F389" s="13"/>
      <c r="G389" s="8"/>
      <c r="H389" s="8"/>
      <c r="I389" s="8"/>
      <c r="J389" s="8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3"/>
      <c r="E390" s="13"/>
      <c r="F390" s="13"/>
      <c r="G390" s="8"/>
      <c r="H390" s="8"/>
      <c r="I390" s="8"/>
      <c r="J390" s="8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3"/>
      <c r="E391" s="13"/>
      <c r="F391" s="13"/>
      <c r="G391" s="8"/>
      <c r="H391" s="8"/>
      <c r="I391" s="8"/>
      <c r="J391" s="8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3"/>
      <c r="E392" s="13"/>
      <c r="F392" s="13"/>
      <c r="G392" s="8"/>
      <c r="H392" s="8"/>
      <c r="I392" s="8"/>
      <c r="J392" s="8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3"/>
      <c r="E393" s="13"/>
      <c r="F393" s="13"/>
      <c r="G393" s="8"/>
      <c r="H393" s="8"/>
      <c r="I393" s="8"/>
      <c r="J393" s="8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3"/>
      <c r="E394" s="13"/>
      <c r="F394" s="13"/>
      <c r="G394" s="8"/>
      <c r="H394" s="8"/>
      <c r="I394" s="8"/>
      <c r="J394" s="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3"/>
      <c r="E395" s="13"/>
      <c r="F395" s="13"/>
      <c r="G395" s="8"/>
      <c r="H395" s="8"/>
      <c r="I395" s="8"/>
      <c r="J395" s="8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3"/>
      <c r="E396" s="13"/>
      <c r="F396" s="13"/>
      <c r="G396" s="8"/>
      <c r="H396" s="8"/>
      <c r="I396" s="8"/>
      <c r="J396" s="8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3"/>
      <c r="E397" s="13"/>
      <c r="F397" s="13"/>
      <c r="G397" s="8"/>
      <c r="H397" s="8"/>
      <c r="I397" s="8"/>
      <c r="J397" s="8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3"/>
      <c r="E398" s="13"/>
      <c r="F398" s="13"/>
      <c r="G398" s="8"/>
      <c r="H398" s="8"/>
      <c r="I398" s="8"/>
      <c r="J398" s="8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3"/>
      <c r="E399" s="13"/>
      <c r="F399" s="13"/>
      <c r="G399" s="8"/>
      <c r="H399" s="8"/>
      <c r="I399" s="8"/>
      <c r="J399" s="8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3"/>
      <c r="E400" s="13"/>
      <c r="F400" s="13"/>
      <c r="G400" s="8"/>
      <c r="H400" s="8"/>
      <c r="I400" s="8"/>
      <c r="J400" s="8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3"/>
      <c r="E401" s="13"/>
      <c r="F401" s="13"/>
      <c r="G401" s="8"/>
      <c r="H401" s="8"/>
      <c r="I401" s="8"/>
      <c r="J401" s="8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3"/>
      <c r="E402" s="13"/>
      <c r="F402" s="13"/>
      <c r="G402" s="8"/>
      <c r="H402" s="8"/>
      <c r="I402" s="8"/>
      <c r="J402" s="8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3"/>
      <c r="E403" s="13"/>
      <c r="F403" s="13"/>
      <c r="G403" s="8"/>
      <c r="H403" s="8"/>
      <c r="I403" s="8"/>
      <c r="J403" s="8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3"/>
      <c r="E404" s="13"/>
      <c r="F404" s="13"/>
      <c r="G404" s="8"/>
      <c r="H404" s="8"/>
      <c r="I404" s="8"/>
      <c r="J404" s="8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3"/>
      <c r="E405" s="13"/>
      <c r="F405" s="13"/>
      <c r="G405" s="8"/>
      <c r="H405" s="8"/>
      <c r="I405" s="8"/>
      <c r="J405" s="8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3"/>
      <c r="E406" s="13"/>
      <c r="F406" s="13"/>
      <c r="G406" s="8"/>
      <c r="H406" s="8"/>
      <c r="I406" s="8"/>
      <c r="J406" s="8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3"/>
      <c r="E407" s="13"/>
      <c r="F407" s="13"/>
      <c r="G407" s="8"/>
      <c r="H407" s="8"/>
      <c r="I407" s="8"/>
      <c r="J407" s="8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3"/>
      <c r="E408" s="13"/>
      <c r="F408" s="13"/>
      <c r="G408" s="8"/>
      <c r="H408" s="8"/>
      <c r="I408" s="8"/>
      <c r="J408" s="8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3"/>
      <c r="E409" s="13"/>
      <c r="F409" s="13"/>
      <c r="G409" s="8"/>
      <c r="H409" s="8"/>
      <c r="I409" s="8"/>
      <c r="J409" s="8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3"/>
      <c r="E410" s="13"/>
      <c r="F410" s="13"/>
      <c r="G410" s="8"/>
      <c r="H410" s="8"/>
      <c r="I410" s="8"/>
      <c r="J410" s="8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3"/>
      <c r="E411" s="13"/>
      <c r="F411" s="13"/>
      <c r="G411" s="8"/>
      <c r="H411" s="8"/>
      <c r="I411" s="8"/>
      <c r="J411" s="8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3"/>
      <c r="E412" s="13"/>
      <c r="F412" s="13"/>
      <c r="G412" s="8"/>
      <c r="H412" s="8"/>
      <c r="I412" s="8"/>
      <c r="J412" s="8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3"/>
      <c r="E413" s="13"/>
      <c r="F413" s="13"/>
      <c r="G413" s="8"/>
      <c r="H413" s="8"/>
      <c r="I413" s="8"/>
      <c r="J413" s="8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3"/>
      <c r="E414" s="13"/>
      <c r="F414" s="13"/>
      <c r="G414" s="8"/>
      <c r="H414" s="8"/>
      <c r="I414" s="8"/>
      <c r="J414" s="8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3"/>
      <c r="E415" s="13"/>
      <c r="F415" s="13"/>
      <c r="G415" s="8"/>
      <c r="H415" s="8"/>
      <c r="I415" s="8"/>
      <c r="J415" s="8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3"/>
      <c r="E416" s="13"/>
      <c r="F416" s="13"/>
      <c r="G416" s="8"/>
      <c r="H416" s="8"/>
      <c r="I416" s="8"/>
      <c r="J416" s="8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3"/>
      <c r="E417" s="13"/>
      <c r="F417" s="13"/>
      <c r="G417" s="8"/>
      <c r="H417" s="8"/>
      <c r="I417" s="8"/>
      <c r="J417" s="8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3"/>
      <c r="E418" s="13"/>
      <c r="F418" s="13"/>
      <c r="G418" s="8"/>
      <c r="H418" s="8"/>
      <c r="I418" s="8"/>
      <c r="J418" s="8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3"/>
      <c r="E419" s="13"/>
      <c r="F419" s="13"/>
      <c r="G419" s="8"/>
      <c r="H419" s="8"/>
      <c r="I419" s="8"/>
      <c r="J419" s="8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3"/>
      <c r="E420" s="13"/>
      <c r="F420" s="13"/>
      <c r="G420" s="8"/>
      <c r="H420" s="8"/>
      <c r="I420" s="8"/>
      <c r="J420" s="8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3"/>
      <c r="E421" s="13"/>
      <c r="F421" s="13"/>
      <c r="G421" s="8"/>
      <c r="H421" s="8"/>
      <c r="I421" s="8"/>
      <c r="J421" s="8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3"/>
      <c r="E422" s="13"/>
      <c r="F422" s="13"/>
      <c r="G422" s="8"/>
      <c r="H422" s="8"/>
      <c r="I422" s="8"/>
      <c r="J422" s="8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3"/>
      <c r="E423" s="13"/>
      <c r="F423" s="13"/>
      <c r="G423" s="8"/>
      <c r="H423" s="8"/>
      <c r="I423" s="8"/>
      <c r="J423" s="8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3"/>
      <c r="E424" s="13"/>
      <c r="F424" s="13"/>
      <c r="G424" s="8"/>
      <c r="H424" s="8"/>
      <c r="I424" s="8"/>
      <c r="J424" s="8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3"/>
      <c r="E425" s="13"/>
      <c r="F425" s="13"/>
      <c r="G425" s="8"/>
      <c r="H425" s="8"/>
      <c r="I425" s="8"/>
      <c r="J425" s="8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3"/>
      <c r="E426" s="13"/>
      <c r="F426" s="13"/>
      <c r="G426" s="8"/>
      <c r="H426" s="8"/>
      <c r="I426" s="8"/>
      <c r="J426" s="8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3"/>
      <c r="E427" s="13"/>
      <c r="F427" s="13"/>
      <c r="G427" s="8"/>
      <c r="H427" s="8"/>
      <c r="I427" s="8"/>
      <c r="J427" s="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3"/>
      <c r="E428" s="13"/>
      <c r="F428" s="13"/>
      <c r="G428" s="8"/>
      <c r="H428" s="8"/>
      <c r="I428" s="8"/>
      <c r="J428" s="8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3"/>
      <c r="E429" s="13"/>
      <c r="F429" s="13"/>
      <c r="G429" s="8"/>
      <c r="H429" s="8"/>
      <c r="I429" s="8"/>
      <c r="J429" s="8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3"/>
      <c r="E430" s="13"/>
      <c r="F430" s="13"/>
      <c r="G430" s="8"/>
      <c r="H430" s="8"/>
      <c r="I430" s="8"/>
      <c r="J430" s="8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3"/>
      <c r="E431" s="13"/>
      <c r="F431" s="13"/>
      <c r="G431" s="8"/>
      <c r="H431" s="8"/>
      <c r="I431" s="8"/>
      <c r="J431" s="8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3"/>
      <c r="E432" s="13"/>
      <c r="F432" s="13"/>
      <c r="G432" s="8"/>
      <c r="H432" s="8"/>
      <c r="I432" s="8"/>
      <c r="J432" s="8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3"/>
      <c r="E433" s="13"/>
      <c r="F433" s="13"/>
      <c r="G433" s="8"/>
      <c r="H433" s="8"/>
      <c r="I433" s="8"/>
      <c r="J433" s="8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3"/>
      <c r="E434" s="13"/>
      <c r="F434" s="13"/>
      <c r="G434" s="8"/>
      <c r="H434" s="8"/>
      <c r="I434" s="8"/>
      <c r="J434" s="8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3"/>
      <c r="E435" s="13"/>
      <c r="F435" s="13"/>
      <c r="G435" s="8"/>
      <c r="H435" s="8"/>
      <c r="I435" s="8"/>
      <c r="J435" s="8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3"/>
      <c r="E436" s="13"/>
      <c r="F436" s="13"/>
      <c r="G436" s="8"/>
      <c r="H436" s="8"/>
      <c r="I436" s="8"/>
      <c r="J436" s="8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3"/>
      <c r="E437" s="13"/>
      <c r="F437" s="13"/>
      <c r="G437" s="8"/>
      <c r="H437" s="8"/>
      <c r="I437" s="8"/>
      <c r="J437" s="8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3"/>
      <c r="E438" s="13"/>
      <c r="F438" s="13"/>
      <c r="G438" s="8"/>
      <c r="H438" s="8"/>
      <c r="I438" s="8"/>
      <c r="J438" s="8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3"/>
      <c r="E439" s="13"/>
      <c r="F439" s="13"/>
      <c r="G439" s="8"/>
      <c r="H439" s="8"/>
      <c r="I439" s="8"/>
      <c r="J439" s="8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3"/>
      <c r="E440" s="13"/>
      <c r="F440" s="13"/>
      <c r="G440" s="8"/>
      <c r="H440" s="8"/>
      <c r="I440" s="8"/>
      <c r="J440" s="8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3"/>
      <c r="E441" s="13"/>
      <c r="F441" s="13"/>
      <c r="G441" s="8"/>
      <c r="H441" s="8"/>
      <c r="I441" s="8"/>
      <c r="J441" s="8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3"/>
      <c r="E442" s="13"/>
      <c r="F442" s="13"/>
      <c r="G442" s="8"/>
      <c r="H442" s="8"/>
      <c r="I442" s="8"/>
      <c r="J442" s="8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3"/>
      <c r="E443" s="13"/>
      <c r="F443" s="13"/>
      <c r="G443" s="8"/>
      <c r="H443" s="8"/>
      <c r="I443" s="8"/>
      <c r="J443" s="8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3"/>
      <c r="E444" s="13"/>
      <c r="F444" s="13"/>
      <c r="G444" s="8"/>
      <c r="H444" s="8"/>
      <c r="I444" s="8"/>
      <c r="J444" s="8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3"/>
      <c r="E445" s="13"/>
      <c r="F445" s="13"/>
      <c r="G445" s="8"/>
      <c r="H445" s="8"/>
      <c r="I445" s="8"/>
      <c r="J445" s="8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3"/>
      <c r="E446" s="13"/>
      <c r="F446" s="13"/>
      <c r="G446" s="8"/>
      <c r="H446" s="8"/>
      <c r="I446" s="8"/>
      <c r="J446" s="8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3"/>
      <c r="E447" s="13"/>
      <c r="F447" s="13"/>
      <c r="G447" s="8"/>
      <c r="H447" s="8"/>
      <c r="I447" s="8"/>
      <c r="J447" s="8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3"/>
      <c r="E448" s="13"/>
      <c r="F448" s="13"/>
      <c r="G448" s="8"/>
      <c r="H448" s="8"/>
      <c r="I448" s="8"/>
      <c r="J448" s="8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3"/>
      <c r="E449" s="13"/>
      <c r="F449" s="13"/>
      <c r="G449" s="8"/>
      <c r="H449" s="8"/>
      <c r="I449" s="8"/>
      <c r="J449" s="8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3"/>
      <c r="E450" s="13"/>
      <c r="F450" s="13"/>
      <c r="G450" s="8"/>
      <c r="H450" s="8"/>
      <c r="I450" s="8"/>
      <c r="J450" s="8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3"/>
      <c r="E451" s="13"/>
      <c r="F451" s="13"/>
      <c r="G451" s="8"/>
      <c r="H451" s="8"/>
      <c r="I451" s="8"/>
      <c r="J451" s="8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3"/>
      <c r="E452" s="13"/>
      <c r="F452" s="13"/>
      <c r="G452" s="8"/>
      <c r="H452" s="8"/>
      <c r="I452" s="8"/>
      <c r="J452" s="8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3"/>
      <c r="E453" s="13"/>
      <c r="F453" s="13"/>
      <c r="G453" s="8"/>
      <c r="H453" s="8"/>
      <c r="I453" s="8"/>
      <c r="J453" s="8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3"/>
      <c r="E454" s="13"/>
      <c r="F454" s="13"/>
      <c r="G454" s="8"/>
      <c r="H454" s="8"/>
      <c r="I454" s="8"/>
      <c r="J454" s="8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3"/>
      <c r="E455" s="13"/>
      <c r="F455" s="13"/>
      <c r="G455" s="8"/>
      <c r="H455" s="8"/>
      <c r="I455" s="8"/>
      <c r="J455" s="8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3"/>
      <c r="E456" s="13"/>
      <c r="F456" s="13"/>
      <c r="G456" s="8"/>
      <c r="H456" s="8"/>
      <c r="I456" s="8"/>
      <c r="J456" s="8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3"/>
      <c r="E457" s="13"/>
      <c r="F457" s="13"/>
      <c r="G457" s="8"/>
      <c r="H457" s="8"/>
      <c r="I457" s="8"/>
      <c r="J457" s="8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3"/>
      <c r="E458" s="13"/>
      <c r="F458" s="13"/>
      <c r="G458" s="8"/>
      <c r="H458" s="8"/>
      <c r="I458" s="8"/>
      <c r="J458" s="8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3"/>
      <c r="E459" s="13"/>
      <c r="F459" s="13"/>
      <c r="G459" s="8"/>
      <c r="H459" s="8"/>
      <c r="I459" s="8"/>
      <c r="J459" s="8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3"/>
      <c r="E460" s="13"/>
      <c r="F460" s="13"/>
      <c r="G460" s="8"/>
      <c r="H460" s="8"/>
      <c r="I460" s="8"/>
      <c r="J460" s="8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3"/>
      <c r="E461" s="13"/>
      <c r="F461" s="13"/>
      <c r="G461" s="8"/>
      <c r="H461" s="8"/>
      <c r="I461" s="8"/>
      <c r="J461" s="8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3"/>
      <c r="E462" s="13"/>
      <c r="F462" s="13"/>
      <c r="G462" s="8"/>
      <c r="H462" s="8"/>
      <c r="I462" s="8"/>
      <c r="J462" s="8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3"/>
      <c r="E463" s="13"/>
      <c r="F463" s="13"/>
      <c r="G463" s="8"/>
      <c r="H463" s="8"/>
      <c r="I463" s="8"/>
      <c r="J463" s="8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3"/>
      <c r="E464" s="13"/>
      <c r="F464" s="13"/>
      <c r="G464" s="8"/>
      <c r="H464" s="8"/>
      <c r="I464" s="8"/>
      <c r="J464" s="8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3"/>
      <c r="E465" s="13"/>
      <c r="F465" s="13"/>
      <c r="G465" s="8"/>
      <c r="H465" s="8"/>
      <c r="I465" s="8"/>
      <c r="J465" s="8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3"/>
      <c r="E466" s="13"/>
      <c r="F466" s="13"/>
      <c r="G466" s="8"/>
      <c r="H466" s="8"/>
      <c r="I466" s="8"/>
      <c r="J466" s="8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3"/>
      <c r="E467" s="13"/>
      <c r="F467" s="13"/>
      <c r="G467" s="8"/>
      <c r="H467" s="8"/>
      <c r="I467" s="8"/>
      <c r="J467" s="8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3"/>
      <c r="E468" s="13"/>
      <c r="F468" s="13"/>
      <c r="G468" s="8"/>
      <c r="H468" s="8"/>
      <c r="I468" s="8"/>
      <c r="J468" s="8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3"/>
      <c r="E469" s="13"/>
      <c r="F469" s="13"/>
      <c r="G469" s="8"/>
      <c r="H469" s="8"/>
      <c r="I469" s="8"/>
      <c r="J469" s="8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3"/>
      <c r="E470" s="13"/>
      <c r="F470" s="13"/>
      <c r="G470" s="8"/>
      <c r="H470" s="8"/>
      <c r="I470" s="8"/>
      <c r="J470" s="8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3"/>
      <c r="E471" s="13"/>
      <c r="F471" s="13"/>
      <c r="G471" s="8"/>
      <c r="H471" s="8"/>
      <c r="I471" s="8"/>
      <c r="J471" s="8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3"/>
      <c r="E472" s="13"/>
      <c r="F472" s="13"/>
      <c r="G472" s="8"/>
      <c r="H472" s="8"/>
      <c r="I472" s="8"/>
      <c r="J472" s="8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3"/>
      <c r="E473" s="13"/>
      <c r="F473" s="13"/>
      <c r="G473" s="8"/>
      <c r="H473" s="8"/>
      <c r="I473" s="8"/>
      <c r="J473" s="8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3"/>
      <c r="E474" s="13"/>
      <c r="F474" s="13"/>
      <c r="G474" s="8"/>
      <c r="H474" s="8"/>
      <c r="I474" s="8"/>
      <c r="J474" s="8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3"/>
      <c r="E475" s="13"/>
      <c r="F475" s="13"/>
      <c r="G475" s="8"/>
      <c r="H475" s="8"/>
      <c r="I475" s="8"/>
      <c r="J475" s="8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3"/>
      <c r="E476" s="13"/>
      <c r="F476" s="13"/>
      <c r="G476" s="8"/>
      <c r="H476" s="8"/>
      <c r="I476" s="8"/>
      <c r="J476" s="8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3"/>
      <c r="E477" s="13"/>
      <c r="F477" s="13"/>
      <c r="G477" s="8"/>
      <c r="H477" s="8"/>
      <c r="I477" s="8"/>
      <c r="J477" s="8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3"/>
      <c r="E478" s="13"/>
      <c r="F478" s="13"/>
      <c r="G478" s="8"/>
      <c r="H478" s="8"/>
      <c r="I478" s="8"/>
      <c r="J478" s="8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3"/>
      <c r="E479" s="13"/>
      <c r="F479" s="13"/>
      <c r="G479" s="8"/>
      <c r="H479" s="8"/>
      <c r="I479" s="8"/>
      <c r="J479" s="8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3"/>
      <c r="E480" s="13"/>
      <c r="F480" s="13"/>
      <c r="G480" s="8"/>
      <c r="H480" s="8"/>
      <c r="I480" s="8"/>
      <c r="J480" s="8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3"/>
      <c r="E481" s="13"/>
      <c r="F481" s="13"/>
      <c r="G481" s="8"/>
      <c r="H481" s="8"/>
      <c r="I481" s="8"/>
      <c r="J481" s="8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3"/>
      <c r="E482" s="13"/>
      <c r="F482" s="13"/>
      <c r="G482" s="8"/>
      <c r="H482" s="8"/>
      <c r="I482" s="8"/>
      <c r="J482" s="8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3"/>
      <c r="E483" s="13"/>
      <c r="F483" s="13"/>
      <c r="G483" s="8"/>
      <c r="H483" s="8"/>
      <c r="I483" s="8"/>
      <c r="J483" s="8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3"/>
      <c r="E484" s="13"/>
      <c r="F484" s="13"/>
      <c r="G484" s="8"/>
      <c r="H484" s="8"/>
      <c r="I484" s="8"/>
      <c r="J484" s="8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3"/>
      <c r="E485" s="13"/>
      <c r="F485" s="13"/>
      <c r="G485" s="8"/>
      <c r="H485" s="8"/>
      <c r="I485" s="8"/>
      <c r="J485" s="8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3"/>
      <c r="E486" s="13"/>
      <c r="F486" s="13"/>
      <c r="G486" s="8"/>
      <c r="H486" s="8"/>
      <c r="I486" s="8"/>
      <c r="J486" s="8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3"/>
      <c r="E487" s="13"/>
      <c r="F487" s="13"/>
      <c r="G487" s="8"/>
      <c r="H487" s="8"/>
      <c r="I487" s="8"/>
      <c r="J487" s="8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3"/>
      <c r="E488" s="13"/>
      <c r="F488" s="13"/>
      <c r="G488" s="8"/>
      <c r="H488" s="8"/>
      <c r="I488" s="8"/>
      <c r="J488" s="8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3"/>
      <c r="E489" s="13"/>
      <c r="F489" s="13"/>
      <c r="G489" s="8"/>
      <c r="H489" s="8"/>
      <c r="I489" s="8"/>
      <c r="J489" s="8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3"/>
      <c r="E490" s="13"/>
      <c r="F490" s="13"/>
      <c r="G490" s="8"/>
      <c r="H490" s="8"/>
      <c r="I490" s="8"/>
      <c r="J490" s="8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3"/>
      <c r="E491" s="13"/>
      <c r="F491" s="13"/>
      <c r="G491" s="8"/>
      <c r="H491" s="8"/>
      <c r="I491" s="8"/>
      <c r="J491" s="8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3"/>
      <c r="E492" s="13"/>
      <c r="F492" s="13"/>
      <c r="G492" s="8"/>
      <c r="H492" s="8"/>
      <c r="I492" s="8"/>
      <c r="J492" s="8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3"/>
      <c r="E493" s="13"/>
      <c r="F493" s="13"/>
      <c r="G493" s="8"/>
      <c r="H493" s="8"/>
      <c r="I493" s="8"/>
      <c r="J493" s="8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3"/>
      <c r="E494" s="13"/>
      <c r="F494" s="13"/>
      <c r="G494" s="8"/>
      <c r="H494" s="8"/>
      <c r="I494" s="8"/>
      <c r="J494" s="8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3"/>
      <c r="E495" s="13"/>
      <c r="F495" s="13"/>
      <c r="G495" s="8"/>
      <c r="H495" s="8"/>
      <c r="I495" s="8"/>
      <c r="J495" s="8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3"/>
      <c r="E496" s="13"/>
      <c r="F496" s="13"/>
      <c r="G496" s="8"/>
      <c r="H496" s="8"/>
      <c r="I496" s="8"/>
      <c r="J496" s="8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3"/>
      <c r="E497" s="13"/>
      <c r="F497" s="13"/>
      <c r="G497" s="8"/>
      <c r="H497" s="8"/>
      <c r="I497" s="8"/>
      <c r="J497" s="8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3"/>
      <c r="E498" s="13"/>
      <c r="F498" s="13"/>
      <c r="G498" s="8"/>
      <c r="H498" s="8"/>
      <c r="I498" s="8"/>
      <c r="J498" s="8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3"/>
      <c r="E499" s="13"/>
      <c r="F499" s="13"/>
      <c r="G499" s="8"/>
      <c r="H499" s="8"/>
      <c r="I499" s="8"/>
      <c r="J499" s="8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3"/>
      <c r="E500" s="13"/>
      <c r="F500" s="13"/>
      <c r="G500" s="8"/>
      <c r="H500" s="8"/>
      <c r="I500" s="8"/>
      <c r="J500" s="8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3"/>
      <c r="E501" s="13"/>
      <c r="F501" s="13"/>
      <c r="G501" s="8"/>
      <c r="H501" s="8"/>
      <c r="I501" s="8"/>
      <c r="J501" s="8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3"/>
      <c r="E502" s="13"/>
      <c r="F502" s="13"/>
      <c r="G502" s="8"/>
      <c r="H502" s="8"/>
      <c r="I502" s="8"/>
      <c r="J502" s="8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3"/>
      <c r="E503" s="13"/>
      <c r="F503" s="13"/>
      <c r="G503" s="8"/>
      <c r="H503" s="8"/>
      <c r="I503" s="8"/>
      <c r="J503" s="8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3"/>
      <c r="E504" s="13"/>
      <c r="F504" s="13"/>
      <c r="G504" s="8"/>
      <c r="H504" s="8"/>
      <c r="I504" s="8"/>
      <c r="J504" s="8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3"/>
      <c r="E505" s="13"/>
      <c r="F505" s="13"/>
      <c r="G505" s="8"/>
      <c r="H505" s="8"/>
      <c r="I505" s="8"/>
      <c r="J505" s="8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3"/>
      <c r="E506" s="13"/>
      <c r="F506" s="13"/>
      <c r="G506" s="8"/>
      <c r="H506" s="8"/>
      <c r="I506" s="8"/>
      <c r="J506" s="8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3"/>
      <c r="E507" s="13"/>
      <c r="F507" s="13"/>
      <c r="G507" s="8"/>
      <c r="H507" s="8"/>
      <c r="I507" s="8"/>
      <c r="J507" s="8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3"/>
      <c r="E508" s="13"/>
      <c r="F508" s="13"/>
      <c r="G508" s="8"/>
      <c r="H508" s="8"/>
      <c r="I508" s="8"/>
      <c r="J508" s="8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3"/>
      <c r="E509" s="13"/>
      <c r="F509" s="13"/>
      <c r="G509" s="8"/>
      <c r="H509" s="8"/>
      <c r="I509" s="8"/>
      <c r="J509" s="8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3"/>
      <c r="E510" s="13"/>
      <c r="F510" s="13"/>
      <c r="G510" s="8"/>
      <c r="H510" s="8"/>
      <c r="I510" s="8"/>
      <c r="J510" s="8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3"/>
      <c r="E511" s="13"/>
      <c r="F511" s="13"/>
      <c r="G511" s="8"/>
      <c r="H511" s="8"/>
      <c r="I511" s="8"/>
      <c r="J511" s="8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3"/>
      <c r="E512" s="13"/>
      <c r="F512" s="13"/>
      <c r="G512" s="8"/>
      <c r="H512" s="8"/>
      <c r="I512" s="8"/>
      <c r="J512" s="8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3"/>
      <c r="E513" s="13"/>
      <c r="F513" s="13"/>
      <c r="G513" s="8"/>
      <c r="H513" s="8"/>
      <c r="I513" s="8"/>
      <c r="J513" s="8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3"/>
      <c r="E514" s="13"/>
      <c r="F514" s="13"/>
      <c r="G514" s="8"/>
      <c r="H514" s="8"/>
      <c r="I514" s="8"/>
      <c r="J514" s="8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3"/>
      <c r="E515" s="13"/>
      <c r="F515" s="13"/>
      <c r="G515" s="8"/>
      <c r="H515" s="8"/>
      <c r="I515" s="8"/>
      <c r="J515" s="8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3"/>
      <c r="E516" s="13"/>
      <c r="F516" s="13"/>
      <c r="G516" s="8"/>
      <c r="H516" s="8"/>
      <c r="I516" s="8"/>
      <c r="J516" s="8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3"/>
      <c r="E517" s="13"/>
      <c r="F517" s="13"/>
      <c r="G517" s="8"/>
      <c r="H517" s="8"/>
      <c r="I517" s="8"/>
      <c r="J517" s="8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3"/>
      <c r="E518" s="13"/>
      <c r="F518" s="13"/>
      <c r="G518" s="8"/>
      <c r="H518" s="8"/>
      <c r="I518" s="8"/>
      <c r="J518" s="8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3"/>
      <c r="E519" s="13"/>
      <c r="F519" s="13"/>
      <c r="G519" s="8"/>
      <c r="H519" s="8"/>
      <c r="I519" s="8"/>
      <c r="J519" s="8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3"/>
      <c r="E520" s="13"/>
      <c r="F520" s="13"/>
      <c r="G520" s="8"/>
      <c r="H520" s="8"/>
      <c r="I520" s="8"/>
      <c r="J520" s="8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3"/>
      <c r="E521" s="13"/>
      <c r="F521" s="13"/>
      <c r="G521" s="8"/>
      <c r="H521" s="8"/>
      <c r="I521" s="8"/>
      <c r="J521" s="8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3"/>
      <c r="E522" s="13"/>
      <c r="F522" s="13"/>
      <c r="G522" s="8"/>
      <c r="H522" s="8"/>
      <c r="I522" s="8"/>
      <c r="J522" s="8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3"/>
      <c r="E523" s="13"/>
      <c r="F523" s="13"/>
      <c r="G523" s="8"/>
      <c r="H523" s="8"/>
      <c r="I523" s="8"/>
      <c r="J523" s="8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3"/>
      <c r="E524" s="13"/>
      <c r="F524" s="13"/>
      <c r="G524" s="8"/>
      <c r="H524" s="8"/>
      <c r="I524" s="8"/>
      <c r="J524" s="8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3"/>
      <c r="E525" s="13"/>
      <c r="F525" s="13"/>
      <c r="G525" s="8"/>
      <c r="H525" s="8"/>
      <c r="I525" s="8"/>
      <c r="J525" s="8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3"/>
      <c r="E526" s="13"/>
      <c r="F526" s="13"/>
      <c r="G526" s="8"/>
      <c r="H526" s="8"/>
      <c r="I526" s="8"/>
      <c r="J526" s="8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3"/>
      <c r="E527" s="13"/>
      <c r="F527" s="13"/>
      <c r="G527" s="8"/>
      <c r="H527" s="8"/>
      <c r="I527" s="8"/>
      <c r="J527" s="8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3"/>
      <c r="E528" s="13"/>
      <c r="F528" s="13"/>
      <c r="G528" s="8"/>
      <c r="H528" s="8"/>
      <c r="I528" s="8"/>
      <c r="J528" s="8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3"/>
      <c r="E529" s="13"/>
      <c r="F529" s="13"/>
      <c r="G529" s="8"/>
      <c r="H529" s="8"/>
      <c r="I529" s="8"/>
      <c r="J529" s="8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3"/>
      <c r="E530" s="13"/>
      <c r="F530" s="13"/>
      <c r="G530" s="8"/>
      <c r="H530" s="8"/>
      <c r="I530" s="8"/>
      <c r="J530" s="8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3"/>
      <c r="E531" s="13"/>
      <c r="F531" s="13"/>
      <c r="G531" s="8"/>
      <c r="H531" s="8"/>
      <c r="I531" s="8"/>
      <c r="J531" s="8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3"/>
      <c r="E532" s="13"/>
      <c r="F532" s="13"/>
      <c r="G532" s="8"/>
      <c r="H532" s="8"/>
      <c r="I532" s="8"/>
      <c r="J532" s="8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3"/>
      <c r="E533" s="13"/>
      <c r="F533" s="13"/>
      <c r="G533" s="8"/>
      <c r="H533" s="8"/>
      <c r="I533" s="8"/>
      <c r="J533" s="8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3"/>
      <c r="E534" s="13"/>
      <c r="F534" s="13"/>
      <c r="G534" s="8"/>
      <c r="H534" s="8"/>
      <c r="I534" s="8"/>
      <c r="J534" s="8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3"/>
      <c r="E535" s="13"/>
      <c r="F535" s="13"/>
      <c r="G535" s="8"/>
      <c r="H535" s="8"/>
      <c r="I535" s="8"/>
      <c r="J535" s="8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3"/>
      <c r="E536" s="13"/>
      <c r="F536" s="13"/>
      <c r="G536" s="8"/>
      <c r="H536" s="8"/>
      <c r="I536" s="8"/>
      <c r="J536" s="8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3"/>
      <c r="E537" s="13"/>
      <c r="F537" s="13"/>
      <c r="G537" s="8"/>
      <c r="H537" s="8"/>
      <c r="I537" s="8"/>
      <c r="J537" s="8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3"/>
      <c r="E538" s="13"/>
      <c r="F538" s="13"/>
      <c r="G538" s="8"/>
      <c r="H538" s="8"/>
      <c r="I538" s="8"/>
      <c r="J538" s="8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3"/>
      <c r="E539" s="13"/>
      <c r="F539" s="13"/>
      <c r="G539" s="8"/>
      <c r="H539" s="8"/>
      <c r="I539" s="8"/>
      <c r="J539" s="8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3"/>
      <c r="E540" s="13"/>
      <c r="F540" s="13"/>
      <c r="G540" s="8"/>
      <c r="H540" s="8"/>
      <c r="I540" s="8"/>
      <c r="J540" s="8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3"/>
      <c r="E541" s="13"/>
      <c r="F541" s="13"/>
      <c r="G541" s="8"/>
      <c r="H541" s="8"/>
      <c r="I541" s="8"/>
      <c r="J541" s="8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3"/>
      <c r="E542" s="13"/>
      <c r="F542" s="13"/>
      <c r="G542" s="8"/>
      <c r="H542" s="8"/>
      <c r="I542" s="8"/>
      <c r="J542" s="8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3"/>
      <c r="E543" s="13"/>
      <c r="F543" s="13"/>
      <c r="G543" s="8"/>
      <c r="H543" s="8"/>
      <c r="I543" s="8"/>
      <c r="J543" s="8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3"/>
      <c r="E544" s="13"/>
      <c r="F544" s="13"/>
      <c r="G544" s="8"/>
      <c r="H544" s="8"/>
      <c r="I544" s="8"/>
      <c r="J544" s="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3"/>
      <c r="E545" s="13"/>
      <c r="F545" s="13"/>
      <c r="G545" s="8"/>
      <c r="H545" s="8"/>
      <c r="I545" s="8"/>
      <c r="J545" s="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3"/>
      <c r="E546" s="13"/>
      <c r="F546" s="13"/>
      <c r="G546" s="8"/>
      <c r="H546" s="8"/>
      <c r="I546" s="8"/>
      <c r="J546" s="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3"/>
      <c r="E547" s="13"/>
      <c r="F547" s="13"/>
      <c r="G547" s="8"/>
      <c r="H547" s="8"/>
      <c r="I547" s="8"/>
      <c r="J547" s="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3"/>
      <c r="E548" s="13"/>
      <c r="F548" s="13"/>
      <c r="G548" s="8"/>
      <c r="H548" s="8"/>
      <c r="I548" s="8"/>
      <c r="J548" s="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3"/>
      <c r="E549" s="13"/>
      <c r="F549" s="13"/>
      <c r="G549" s="8"/>
      <c r="H549" s="8"/>
      <c r="I549" s="8"/>
      <c r="J549" s="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3"/>
      <c r="E550" s="13"/>
      <c r="F550" s="13"/>
      <c r="G550" s="8"/>
      <c r="H550" s="8"/>
      <c r="I550" s="8"/>
      <c r="J550" s="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3"/>
      <c r="E551" s="13"/>
      <c r="F551" s="13"/>
      <c r="G551" s="8"/>
      <c r="H551" s="8"/>
      <c r="I551" s="8"/>
      <c r="J551" s="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3"/>
      <c r="E552" s="13"/>
      <c r="F552" s="13"/>
      <c r="G552" s="8"/>
      <c r="H552" s="8"/>
      <c r="I552" s="8"/>
      <c r="J552" s="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3"/>
      <c r="E553" s="13"/>
      <c r="F553" s="13"/>
      <c r="G553" s="8"/>
      <c r="H553" s="8"/>
      <c r="I553" s="8"/>
      <c r="J553" s="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3"/>
      <c r="E554" s="13"/>
      <c r="F554" s="13"/>
      <c r="G554" s="8"/>
      <c r="H554" s="8"/>
      <c r="I554" s="8"/>
      <c r="J554" s="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3"/>
      <c r="E555" s="13"/>
      <c r="F555" s="13"/>
      <c r="G555" s="8"/>
      <c r="H555" s="8"/>
      <c r="I555" s="8"/>
      <c r="J555" s="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3"/>
      <c r="E556" s="13"/>
      <c r="F556" s="13"/>
      <c r="G556" s="8"/>
      <c r="H556" s="8"/>
      <c r="I556" s="8"/>
      <c r="J556" s="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3"/>
      <c r="E557" s="13"/>
      <c r="F557" s="13"/>
      <c r="G557" s="8"/>
      <c r="H557" s="8"/>
      <c r="I557" s="8"/>
      <c r="J557" s="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3"/>
      <c r="E558" s="13"/>
      <c r="F558" s="13"/>
      <c r="G558" s="8"/>
      <c r="H558" s="8"/>
      <c r="I558" s="8"/>
      <c r="J558" s="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3"/>
      <c r="E559" s="13"/>
      <c r="F559" s="13"/>
      <c r="G559" s="8"/>
      <c r="H559" s="8"/>
      <c r="I559" s="8"/>
      <c r="J559" s="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3"/>
      <c r="E560" s="13"/>
      <c r="F560" s="13"/>
      <c r="G560" s="8"/>
      <c r="H560" s="8"/>
      <c r="I560" s="8"/>
      <c r="J560" s="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3"/>
      <c r="E561" s="13"/>
      <c r="F561" s="13"/>
      <c r="G561" s="8"/>
      <c r="H561" s="8"/>
      <c r="I561" s="8"/>
      <c r="J561" s="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3"/>
      <c r="E562" s="13"/>
      <c r="F562" s="13"/>
      <c r="G562" s="8"/>
      <c r="H562" s="8"/>
      <c r="I562" s="8"/>
      <c r="J562" s="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3"/>
      <c r="E563" s="13"/>
      <c r="F563" s="13"/>
      <c r="G563" s="8"/>
      <c r="H563" s="8"/>
      <c r="I563" s="8"/>
      <c r="J563" s="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3"/>
      <c r="E564" s="13"/>
      <c r="F564" s="13"/>
      <c r="G564" s="8"/>
      <c r="H564" s="8"/>
      <c r="I564" s="8"/>
      <c r="J564" s="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3"/>
      <c r="E565" s="13"/>
      <c r="F565" s="13"/>
      <c r="G565" s="8"/>
      <c r="H565" s="8"/>
      <c r="I565" s="8"/>
      <c r="J565" s="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3"/>
      <c r="E566" s="13"/>
      <c r="F566" s="13"/>
      <c r="G566" s="8"/>
      <c r="H566" s="8"/>
      <c r="I566" s="8"/>
      <c r="J566" s="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3"/>
      <c r="E567" s="13"/>
      <c r="F567" s="13"/>
      <c r="G567" s="8"/>
      <c r="H567" s="8"/>
      <c r="I567" s="8"/>
      <c r="J567" s="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3"/>
      <c r="E568" s="13"/>
      <c r="F568" s="13"/>
      <c r="G568" s="8"/>
      <c r="H568" s="8"/>
      <c r="I568" s="8"/>
      <c r="J568" s="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3"/>
      <c r="E569" s="13"/>
      <c r="F569" s="13"/>
      <c r="G569" s="8"/>
      <c r="H569" s="8"/>
      <c r="I569" s="8"/>
      <c r="J569" s="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3"/>
      <c r="E570" s="13"/>
      <c r="F570" s="13"/>
      <c r="G570" s="8"/>
      <c r="H570" s="8"/>
      <c r="I570" s="8"/>
      <c r="J570" s="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3"/>
      <c r="E571" s="13"/>
      <c r="F571" s="13"/>
      <c r="G571" s="8"/>
      <c r="H571" s="8"/>
      <c r="I571" s="8"/>
      <c r="J571" s="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3"/>
      <c r="E572" s="13"/>
      <c r="F572" s="13"/>
      <c r="G572" s="8"/>
      <c r="H572" s="8"/>
      <c r="I572" s="8"/>
      <c r="J572" s="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3"/>
      <c r="E573" s="13"/>
      <c r="F573" s="13"/>
      <c r="G573" s="8"/>
      <c r="H573" s="8"/>
      <c r="I573" s="8"/>
      <c r="J573" s="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3"/>
      <c r="E574" s="13"/>
      <c r="F574" s="13"/>
      <c r="G574" s="8"/>
      <c r="H574" s="8"/>
      <c r="I574" s="8"/>
      <c r="J574" s="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3"/>
      <c r="E575" s="13"/>
      <c r="F575" s="13"/>
      <c r="G575" s="8"/>
      <c r="H575" s="8"/>
      <c r="I575" s="8"/>
      <c r="J575" s="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3"/>
      <c r="E576" s="13"/>
      <c r="F576" s="13"/>
      <c r="G576" s="8"/>
      <c r="H576" s="8"/>
      <c r="I576" s="8"/>
      <c r="J576" s="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3"/>
      <c r="E577" s="13"/>
      <c r="F577" s="13"/>
      <c r="G577" s="8"/>
      <c r="H577" s="8"/>
      <c r="I577" s="8"/>
      <c r="J577" s="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3"/>
      <c r="E578" s="13"/>
      <c r="F578" s="13"/>
      <c r="G578" s="8"/>
      <c r="H578" s="8"/>
      <c r="I578" s="8"/>
      <c r="J578" s="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3"/>
      <c r="E579" s="13"/>
      <c r="F579" s="13"/>
      <c r="G579" s="8"/>
      <c r="H579" s="8"/>
      <c r="I579" s="8"/>
      <c r="J579" s="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3"/>
      <c r="E580" s="13"/>
      <c r="F580" s="13"/>
      <c r="G580" s="8"/>
      <c r="H580" s="8"/>
      <c r="I580" s="8"/>
      <c r="J580" s="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3"/>
      <c r="E581" s="13"/>
      <c r="F581" s="13"/>
      <c r="G581" s="8"/>
      <c r="H581" s="8"/>
      <c r="I581" s="8"/>
      <c r="J581" s="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3"/>
      <c r="E582" s="13"/>
      <c r="F582" s="13"/>
      <c r="G582" s="8"/>
      <c r="H582" s="8"/>
      <c r="I582" s="8"/>
      <c r="J582" s="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3"/>
      <c r="E583" s="13"/>
      <c r="F583" s="13"/>
      <c r="G583" s="8"/>
      <c r="H583" s="8"/>
      <c r="I583" s="8"/>
      <c r="J583" s="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3"/>
      <c r="E584" s="13"/>
      <c r="F584" s="13"/>
      <c r="G584" s="8"/>
      <c r="H584" s="8"/>
      <c r="I584" s="8"/>
      <c r="J584" s="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3"/>
      <c r="E585" s="13"/>
      <c r="F585" s="13"/>
      <c r="G585" s="8"/>
      <c r="H585" s="8"/>
      <c r="I585" s="8"/>
      <c r="J585" s="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3"/>
      <c r="E586" s="13"/>
      <c r="F586" s="13"/>
      <c r="G586" s="8"/>
      <c r="H586" s="8"/>
      <c r="I586" s="8"/>
      <c r="J586" s="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3"/>
      <c r="E587" s="13"/>
      <c r="F587" s="13"/>
      <c r="G587" s="8"/>
      <c r="H587" s="8"/>
      <c r="I587" s="8"/>
      <c r="J587" s="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3"/>
      <c r="E588" s="13"/>
      <c r="F588" s="13"/>
      <c r="G588" s="8"/>
      <c r="H588" s="8"/>
      <c r="I588" s="8"/>
      <c r="J588" s="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3"/>
      <c r="E589" s="13"/>
      <c r="F589" s="13"/>
      <c r="G589" s="8"/>
      <c r="H589" s="8"/>
      <c r="I589" s="8"/>
      <c r="J589" s="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3"/>
      <c r="E590" s="13"/>
      <c r="F590" s="13"/>
      <c r="G590" s="8"/>
      <c r="H590" s="8"/>
      <c r="I590" s="8"/>
      <c r="J590" s="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3"/>
      <c r="E591" s="13"/>
      <c r="F591" s="13"/>
      <c r="G591" s="8"/>
      <c r="H591" s="8"/>
      <c r="I591" s="8"/>
      <c r="J591" s="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3"/>
      <c r="E592" s="13"/>
      <c r="F592" s="13"/>
      <c r="G592" s="8"/>
      <c r="H592" s="8"/>
      <c r="I592" s="8"/>
      <c r="J592" s="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3"/>
      <c r="E593" s="13"/>
      <c r="F593" s="13"/>
      <c r="G593" s="8"/>
      <c r="H593" s="8"/>
      <c r="I593" s="8"/>
      <c r="J593" s="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3"/>
      <c r="E594" s="13"/>
      <c r="F594" s="13"/>
      <c r="G594" s="8"/>
      <c r="H594" s="8"/>
      <c r="I594" s="8"/>
      <c r="J594" s="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3"/>
      <c r="E595" s="13"/>
      <c r="F595" s="13"/>
      <c r="G595" s="8"/>
      <c r="H595" s="8"/>
      <c r="I595" s="8"/>
      <c r="J595" s="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3"/>
      <c r="E596" s="13"/>
      <c r="F596" s="13"/>
      <c r="G596" s="8"/>
      <c r="H596" s="8"/>
      <c r="I596" s="8"/>
      <c r="J596" s="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3"/>
      <c r="E597" s="13"/>
      <c r="F597" s="13"/>
      <c r="G597" s="8"/>
      <c r="H597" s="8"/>
      <c r="I597" s="8"/>
      <c r="J597" s="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3"/>
      <c r="E598" s="13"/>
      <c r="F598" s="13"/>
      <c r="G598" s="8"/>
      <c r="H598" s="8"/>
      <c r="I598" s="8"/>
      <c r="J598" s="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3"/>
      <c r="E599" s="13"/>
      <c r="F599" s="13"/>
      <c r="G599" s="8"/>
      <c r="H599" s="8"/>
      <c r="I599" s="8"/>
      <c r="J599" s="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3"/>
      <c r="E600" s="13"/>
      <c r="F600" s="13"/>
      <c r="G600" s="8"/>
      <c r="H600" s="8"/>
      <c r="I600" s="8"/>
      <c r="J600" s="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3"/>
      <c r="E601" s="13"/>
      <c r="F601" s="13"/>
      <c r="G601" s="8"/>
      <c r="H601" s="8"/>
      <c r="I601" s="8"/>
      <c r="J601" s="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3"/>
      <c r="E602" s="13"/>
      <c r="F602" s="13"/>
      <c r="G602" s="8"/>
      <c r="H602" s="8"/>
      <c r="I602" s="8"/>
      <c r="J602" s="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3"/>
      <c r="E603" s="13"/>
      <c r="F603" s="13"/>
      <c r="G603" s="8"/>
      <c r="H603" s="8"/>
      <c r="I603" s="8"/>
      <c r="J603" s="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3"/>
      <c r="E604" s="13"/>
      <c r="F604" s="13"/>
      <c r="G604" s="8"/>
      <c r="H604" s="8"/>
      <c r="I604" s="8"/>
      <c r="J604" s="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3"/>
      <c r="E605" s="13"/>
      <c r="F605" s="13"/>
      <c r="G605" s="8"/>
      <c r="H605" s="8"/>
      <c r="I605" s="8"/>
      <c r="J605" s="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3"/>
      <c r="E606" s="13"/>
      <c r="F606" s="13"/>
      <c r="G606" s="8"/>
      <c r="H606" s="8"/>
      <c r="I606" s="8"/>
      <c r="J606" s="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3"/>
      <c r="E607" s="13"/>
      <c r="F607" s="13"/>
      <c r="G607" s="8"/>
      <c r="H607" s="8"/>
      <c r="I607" s="8"/>
      <c r="J607" s="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3"/>
      <c r="E608" s="13"/>
      <c r="F608" s="13"/>
      <c r="G608" s="8"/>
      <c r="H608" s="8"/>
      <c r="I608" s="8"/>
      <c r="J608" s="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3"/>
      <c r="E609" s="13"/>
      <c r="F609" s="13"/>
      <c r="G609" s="8"/>
      <c r="H609" s="8"/>
      <c r="I609" s="8"/>
      <c r="J609" s="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3"/>
      <c r="E610" s="13"/>
      <c r="F610" s="13"/>
      <c r="G610" s="8"/>
      <c r="H610" s="8"/>
      <c r="I610" s="8"/>
      <c r="J610" s="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3"/>
      <c r="E611" s="13"/>
      <c r="F611" s="13"/>
      <c r="G611" s="8"/>
      <c r="H611" s="8"/>
      <c r="I611" s="8"/>
      <c r="J611" s="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3"/>
      <c r="E612" s="13"/>
      <c r="F612" s="13"/>
      <c r="G612" s="8"/>
      <c r="H612" s="8"/>
      <c r="I612" s="8"/>
      <c r="J612" s="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3"/>
      <c r="E613" s="13"/>
      <c r="F613" s="13"/>
      <c r="G613" s="8"/>
      <c r="H613" s="8"/>
      <c r="I613" s="8"/>
      <c r="J613" s="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3"/>
      <c r="E614" s="13"/>
      <c r="F614" s="13"/>
      <c r="G614" s="8"/>
      <c r="H614" s="8"/>
      <c r="I614" s="8"/>
      <c r="J614" s="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3"/>
      <c r="E615" s="13"/>
      <c r="F615" s="13"/>
      <c r="G615" s="8"/>
      <c r="H615" s="8"/>
      <c r="I615" s="8"/>
      <c r="J615" s="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3"/>
      <c r="E616" s="13"/>
      <c r="F616" s="13"/>
      <c r="G616" s="8"/>
      <c r="H616" s="8"/>
      <c r="I616" s="8"/>
      <c r="J616" s="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3"/>
      <c r="E617" s="13"/>
      <c r="F617" s="13"/>
      <c r="G617" s="8"/>
      <c r="H617" s="8"/>
      <c r="I617" s="8"/>
      <c r="J617" s="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3"/>
      <c r="E618" s="13"/>
      <c r="F618" s="13"/>
      <c r="G618" s="8"/>
      <c r="H618" s="8"/>
      <c r="I618" s="8"/>
      <c r="J618" s="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3"/>
      <c r="E619" s="13"/>
      <c r="F619" s="13"/>
      <c r="G619" s="8"/>
      <c r="H619" s="8"/>
      <c r="I619" s="8"/>
      <c r="J619" s="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3"/>
      <c r="E620" s="13"/>
      <c r="F620" s="13"/>
      <c r="G620" s="8"/>
      <c r="H620" s="8"/>
      <c r="I620" s="8"/>
      <c r="J620" s="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3"/>
      <c r="E621" s="13"/>
      <c r="F621" s="13"/>
      <c r="G621" s="8"/>
      <c r="H621" s="8"/>
      <c r="I621" s="8"/>
      <c r="J621" s="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3"/>
      <c r="E622" s="13"/>
      <c r="F622" s="13"/>
      <c r="G622" s="8"/>
      <c r="H622" s="8"/>
      <c r="I622" s="8"/>
      <c r="J622" s="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3"/>
      <c r="E623" s="13"/>
      <c r="F623" s="13"/>
      <c r="G623" s="8"/>
      <c r="H623" s="8"/>
      <c r="I623" s="8"/>
      <c r="J623" s="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3"/>
      <c r="E624" s="13"/>
      <c r="F624" s="13"/>
      <c r="G624" s="8"/>
      <c r="H624" s="8"/>
      <c r="I624" s="8"/>
      <c r="J624" s="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3"/>
      <c r="E625" s="13"/>
      <c r="F625" s="13"/>
      <c r="G625" s="8"/>
      <c r="H625" s="8"/>
      <c r="I625" s="8"/>
      <c r="J625" s="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3"/>
      <c r="E626" s="13"/>
      <c r="F626" s="13"/>
      <c r="G626" s="8"/>
      <c r="H626" s="8"/>
      <c r="I626" s="8"/>
      <c r="J626" s="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3"/>
      <c r="E627" s="13"/>
      <c r="F627" s="13"/>
      <c r="G627" s="8"/>
      <c r="H627" s="8"/>
      <c r="I627" s="8"/>
      <c r="J627" s="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3"/>
      <c r="E628" s="13"/>
      <c r="F628" s="13"/>
      <c r="G628" s="8"/>
      <c r="H628" s="8"/>
      <c r="I628" s="8"/>
      <c r="J628" s="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3"/>
      <c r="E629" s="13"/>
      <c r="F629" s="13"/>
      <c r="G629" s="8"/>
      <c r="H629" s="8"/>
      <c r="I629" s="8"/>
      <c r="J629" s="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3"/>
      <c r="E630" s="13"/>
      <c r="F630" s="13"/>
      <c r="G630" s="8"/>
      <c r="H630" s="8"/>
      <c r="I630" s="8"/>
      <c r="J630" s="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3"/>
      <c r="E631" s="13"/>
      <c r="F631" s="13"/>
      <c r="G631" s="8"/>
      <c r="H631" s="8"/>
      <c r="I631" s="8"/>
      <c r="J631" s="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3"/>
      <c r="E632" s="13"/>
      <c r="F632" s="13"/>
      <c r="G632" s="8"/>
      <c r="H632" s="8"/>
      <c r="I632" s="8"/>
      <c r="J632" s="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3"/>
      <c r="E633" s="13"/>
      <c r="F633" s="13"/>
      <c r="G633" s="8"/>
      <c r="H633" s="8"/>
      <c r="I633" s="8"/>
      <c r="J633" s="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3"/>
      <c r="E634" s="13"/>
      <c r="F634" s="13"/>
      <c r="G634" s="8"/>
      <c r="H634" s="8"/>
      <c r="I634" s="8"/>
      <c r="J634" s="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3"/>
      <c r="E635" s="13"/>
      <c r="F635" s="13"/>
      <c r="G635" s="8"/>
      <c r="H635" s="8"/>
      <c r="I635" s="8"/>
      <c r="J635" s="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3"/>
      <c r="E636" s="13"/>
      <c r="F636" s="13"/>
      <c r="G636" s="8"/>
      <c r="H636" s="8"/>
      <c r="I636" s="8"/>
      <c r="J636" s="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3"/>
      <c r="E637" s="13"/>
      <c r="F637" s="13"/>
      <c r="G637" s="8"/>
      <c r="H637" s="8"/>
      <c r="I637" s="8"/>
      <c r="J637" s="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3"/>
      <c r="E638" s="13"/>
      <c r="F638" s="13"/>
      <c r="G638" s="8"/>
      <c r="H638" s="8"/>
      <c r="I638" s="8"/>
      <c r="J638" s="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3"/>
      <c r="E639" s="13"/>
      <c r="F639" s="13"/>
      <c r="G639" s="8"/>
      <c r="H639" s="8"/>
      <c r="I639" s="8"/>
      <c r="J639" s="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3"/>
      <c r="E640" s="13"/>
      <c r="F640" s="13"/>
      <c r="G640" s="8"/>
      <c r="H640" s="8"/>
      <c r="I640" s="8"/>
      <c r="J640" s="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3"/>
      <c r="E641" s="13"/>
      <c r="F641" s="13"/>
      <c r="G641" s="8"/>
      <c r="H641" s="8"/>
      <c r="I641" s="8"/>
      <c r="J641" s="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3"/>
      <c r="E642" s="13"/>
      <c r="F642" s="13"/>
      <c r="G642" s="8"/>
      <c r="H642" s="8"/>
      <c r="I642" s="8"/>
      <c r="J642" s="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3"/>
      <c r="E643" s="13"/>
      <c r="F643" s="13"/>
      <c r="G643" s="8"/>
      <c r="H643" s="8"/>
      <c r="I643" s="8"/>
      <c r="J643" s="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3"/>
      <c r="E644" s="13"/>
      <c r="F644" s="13"/>
      <c r="G644" s="8"/>
      <c r="H644" s="8"/>
      <c r="I644" s="8"/>
      <c r="J644" s="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3"/>
      <c r="E645" s="13"/>
      <c r="F645" s="13"/>
      <c r="G645" s="8"/>
      <c r="H645" s="8"/>
      <c r="I645" s="8"/>
      <c r="J645" s="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3"/>
      <c r="E646" s="13"/>
      <c r="F646" s="13"/>
      <c r="G646" s="8"/>
      <c r="H646" s="8"/>
      <c r="I646" s="8"/>
      <c r="J646" s="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3"/>
      <c r="E647" s="13"/>
      <c r="F647" s="13"/>
      <c r="G647" s="8"/>
      <c r="H647" s="8"/>
      <c r="I647" s="8"/>
      <c r="J647" s="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3"/>
      <c r="E648" s="13"/>
      <c r="F648" s="13"/>
      <c r="G648" s="8"/>
      <c r="H648" s="8"/>
      <c r="I648" s="8"/>
      <c r="J648" s="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3"/>
      <c r="E649" s="13"/>
      <c r="F649" s="13"/>
      <c r="G649" s="8"/>
      <c r="H649" s="8"/>
      <c r="I649" s="8"/>
      <c r="J649" s="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3"/>
      <c r="E650" s="13"/>
      <c r="F650" s="13"/>
      <c r="G650" s="8"/>
      <c r="H650" s="8"/>
      <c r="I650" s="8"/>
      <c r="J650" s="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3"/>
      <c r="E651" s="13"/>
      <c r="F651" s="13"/>
      <c r="G651" s="8"/>
      <c r="H651" s="8"/>
      <c r="I651" s="8"/>
      <c r="J651" s="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3"/>
      <c r="E652" s="13"/>
      <c r="F652" s="13"/>
      <c r="G652" s="8"/>
      <c r="H652" s="8"/>
      <c r="I652" s="8"/>
      <c r="J652" s="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3"/>
      <c r="E653" s="13"/>
      <c r="F653" s="13"/>
      <c r="G653" s="8"/>
      <c r="H653" s="8"/>
      <c r="I653" s="8"/>
      <c r="J653" s="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3"/>
      <c r="E654" s="13"/>
      <c r="F654" s="13"/>
      <c r="G654" s="8"/>
      <c r="H654" s="8"/>
      <c r="I654" s="8"/>
      <c r="J654" s="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3"/>
      <c r="E655" s="13"/>
      <c r="F655" s="13"/>
      <c r="G655" s="8"/>
      <c r="H655" s="8"/>
      <c r="I655" s="8"/>
      <c r="J655" s="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3"/>
      <c r="E656" s="13"/>
      <c r="F656" s="13"/>
      <c r="G656" s="8"/>
      <c r="H656" s="8"/>
      <c r="I656" s="8"/>
      <c r="J656" s="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3"/>
      <c r="E657" s="13"/>
      <c r="F657" s="13"/>
      <c r="G657" s="8"/>
      <c r="H657" s="8"/>
      <c r="I657" s="8"/>
      <c r="J657" s="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3"/>
      <c r="E658" s="13"/>
      <c r="F658" s="13"/>
      <c r="G658" s="8"/>
      <c r="H658" s="8"/>
      <c r="I658" s="8"/>
      <c r="J658" s="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3"/>
      <c r="E659" s="13"/>
      <c r="F659" s="13"/>
      <c r="G659" s="8"/>
      <c r="H659" s="8"/>
      <c r="I659" s="8"/>
      <c r="J659" s="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3"/>
      <c r="E660" s="13"/>
      <c r="F660" s="13"/>
      <c r="G660" s="8"/>
      <c r="H660" s="8"/>
      <c r="I660" s="8"/>
      <c r="J660" s="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3"/>
      <c r="E661" s="13"/>
      <c r="F661" s="13"/>
      <c r="G661" s="8"/>
      <c r="H661" s="8"/>
      <c r="I661" s="8"/>
      <c r="J661" s="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3"/>
      <c r="E662" s="13"/>
      <c r="F662" s="13"/>
      <c r="G662" s="8"/>
      <c r="H662" s="8"/>
      <c r="I662" s="8"/>
      <c r="J662" s="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3"/>
      <c r="E663" s="13"/>
      <c r="F663" s="13"/>
      <c r="G663" s="8"/>
      <c r="H663" s="8"/>
      <c r="I663" s="8"/>
      <c r="J663" s="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3"/>
      <c r="E664" s="13"/>
      <c r="F664" s="13"/>
      <c r="G664" s="8"/>
      <c r="H664" s="8"/>
      <c r="I664" s="8"/>
      <c r="J664" s="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3"/>
      <c r="E665" s="13"/>
      <c r="F665" s="13"/>
      <c r="G665" s="8"/>
      <c r="H665" s="8"/>
      <c r="I665" s="8"/>
      <c r="J665" s="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3"/>
      <c r="E666" s="13"/>
      <c r="F666" s="13"/>
      <c r="G666" s="8"/>
      <c r="H666" s="8"/>
      <c r="I666" s="8"/>
      <c r="J666" s="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3"/>
      <c r="E667" s="13"/>
      <c r="F667" s="13"/>
      <c r="G667" s="8"/>
      <c r="H667" s="8"/>
      <c r="I667" s="8"/>
      <c r="J667" s="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3"/>
      <c r="E668" s="13"/>
      <c r="F668" s="13"/>
      <c r="G668" s="8"/>
      <c r="H668" s="8"/>
      <c r="I668" s="8"/>
      <c r="J668" s="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3"/>
      <c r="E669" s="13"/>
      <c r="F669" s="13"/>
      <c r="G669" s="8"/>
      <c r="H669" s="8"/>
      <c r="I669" s="8"/>
      <c r="J669" s="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3"/>
      <c r="E670" s="13"/>
      <c r="F670" s="13"/>
      <c r="G670" s="8"/>
      <c r="H670" s="8"/>
      <c r="I670" s="8"/>
      <c r="J670" s="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3"/>
      <c r="E671" s="13"/>
      <c r="F671" s="13"/>
      <c r="G671" s="8"/>
      <c r="H671" s="8"/>
      <c r="I671" s="8"/>
      <c r="J671" s="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3"/>
      <c r="E672" s="13"/>
      <c r="F672" s="13"/>
      <c r="G672" s="8"/>
      <c r="H672" s="8"/>
      <c r="I672" s="8"/>
      <c r="J672" s="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3"/>
      <c r="E673" s="13"/>
      <c r="F673" s="13"/>
      <c r="G673" s="8"/>
      <c r="H673" s="8"/>
      <c r="I673" s="8"/>
      <c r="J673" s="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3"/>
      <c r="E674" s="13"/>
      <c r="F674" s="13"/>
      <c r="G674" s="8"/>
      <c r="H674" s="8"/>
      <c r="I674" s="8"/>
      <c r="J674" s="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3"/>
      <c r="E675" s="13"/>
      <c r="F675" s="13"/>
      <c r="G675" s="8"/>
      <c r="H675" s="8"/>
      <c r="I675" s="8"/>
      <c r="J675" s="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3"/>
      <c r="E676" s="13"/>
      <c r="F676" s="13"/>
      <c r="G676" s="8"/>
      <c r="H676" s="8"/>
      <c r="I676" s="8"/>
      <c r="J676" s="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3"/>
      <c r="E677" s="13"/>
      <c r="F677" s="13"/>
      <c r="G677" s="8"/>
      <c r="H677" s="8"/>
      <c r="I677" s="8"/>
      <c r="J677" s="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3"/>
      <c r="E678" s="13"/>
      <c r="F678" s="13"/>
      <c r="G678" s="8"/>
      <c r="H678" s="8"/>
      <c r="I678" s="8"/>
      <c r="J678" s="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3"/>
      <c r="E679" s="13"/>
      <c r="F679" s="13"/>
      <c r="G679" s="8"/>
      <c r="H679" s="8"/>
      <c r="I679" s="8"/>
      <c r="J679" s="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3"/>
      <c r="E680" s="13"/>
      <c r="F680" s="13"/>
      <c r="G680" s="8"/>
      <c r="H680" s="8"/>
      <c r="I680" s="8"/>
      <c r="J680" s="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3"/>
      <c r="E681" s="13"/>
      <c r="F681" s="13"/>
      <c r="G681" s="8"/>
      <c r="H681" s="8"/>
      <c r="I681" s="8"/>
      <c r="J681" s="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3"/>
      <c r="E682" s="13"/>
      <c r="F682" s="13"/>
      <c r="G682" s="8"/>
      <c r="H682" s="8"/>
      <c r="I682" s="8"/>
      <c r="J682" s="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3"/>
      <c r="E683" s="13"/>
      <c r="F683" s="13"/>
      <c r="G683" s="8"/>
      <c r="H683" s="8"/>
      <c r="I683" s="8"/>
      <c r="J683" s="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3"/>
      <c r="E684" s="13"/>
      <c r="F684" s="13"/>
      <c r="G684" s="8"/>
      <c r="H684" s="8"/>
      <c r="I684" s="8"/>
      <c r="J684" s="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3"/>
      <c r="E685" s="13"/>
      <c r="F685" s="13"/>
      <c r="G685" s="8"/>
      <c r="H685" s="8"/>
      <c r="I685" s="8"/>
      <c r="J685" s="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3"/>
      <c r="E686" s="13"/>
      <c r="F686" s="13"/>
      <c r="G686" s="8"/>
      <c r="H686" s="8"/>
      <c r="I686" s="8"/>
      <c r="J686" s="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3"/>
      <c r="E687" s="13"/>
      <c r="F687" s="13"/>
      <c r="G687" s="8"/>
      <c r="H687" s="8"/>
      <c r="I687" s="8"/>
      <c r="J687" s="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3"/>
      <c r="E688" s="13"/>
      <c r="F688" s="13"/>
      <c r="G688" s="8"/>
      <c r="H688" s="8"/>
      <c r="I688" s="8"/>
      <c r="J688" s="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3"/>
      <c r="E689" s="13"/>
      <c r="F689" s="13"/>
      <c r="G689" s="8"/>
      <c r="H689" s="8"/>
      <c r="I689" s="8"/>
      <c r="J689" s="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3"/>
      <c r="E690" s="13"/>
      <c r="F690" s="13"/>
      <c r="G690" s="8"/>
      <c r="H690" s="8"/>
      <c r="I690" s="8"/>
      <c r="J690" s="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3"/>
      <c r="E691" s="13"/>
      <c r="F691" s="13"/>
      <c r="G691" s="8"/>
      <c r="H691" s="8"/>
      <c r="I691" s="8"/>
      <c r="J691" s="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3"/>
      <c r="E692" s="13"/>
      <c r="F692" s="13"/>
      <c r="G692" s="8"/>
      <c r="H692" s="8"/>
      <c r="I692" s="8"/>
      <c r="J692" s="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3"/>
      <c r="E693" s="13"/>
      <c r="F693" s="13"/>
      <c r="G693" s="8"/>
      <c r="H693" s="8"/>
      <c r="I693" s="8"/>
      <c r="J693" s="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3"/>
      <c r="E694" s="13"/>
      <c r="F694" s="13"/>
      <c r="G694" s="8"/>
      <c r="H694" s="8"/>
      <c r="I694" s="8"/>
      <c r="J694" s="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3"/>
      <c r="E695" s="13"/>
      <c r="F695" s="13"/>
      <c r="G695" s="8"/>
      <c r="H695" s="8"/>
      <c r="I695" s="8"/>
      <c r="J695" s="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3"/>
      <c r="E696" s="13"/>
      <c r="F696" s="13"/>
      <c r="G696" s="8"/>
      <c r="H696" s="8"/>
      <c r="I696" s="8"/>
      <c r="J696" s="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3"/>
      <c r="E697" s="13"/>
      <c r="F697" s="13"/>
      <c r="G697" s="8"/>
      <c r="H697" s="8"/>
      <c r="I697" s="8"/>
      <c r="J697" s="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3"/>
      <c r="E698" s="13"/>
      <c r="F698" s="13"/>
      <c r="G698" s="8"/>
      <c r="H698" s="8"/>
      <c r="I698" s="8"/>
      <c r="J698" s="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3"/>
      <c r="E699" s="13"/>
      <c r="F699" s="13"/>
      <c r="G699" s="8"/>
      <c r="H699" s="8"/>
      <c r="I699" s="8"/>
      <c r="J699" s="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3"/>
      <c r="E700" s="13"/>
      <c r="F700" s="13"/>
      <c r="G700" s="8"/>
      <c r="H700" s="8"/>
      <c r="I700" s="8"/>
      <c r="J700" s="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3"/>
      <c r="E701" s="13"/>
      <c r="F701" s="13"/>
      <c r="G701" s="8"/>
      <c r="H701" s="8"/>
      <c r="I701" s="8"/>
      <c r="J701" s="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3"/>
      <c r="E702" s="13"/>
      <c r="F702" s="13"/>
      <c r="G702" s="8"/>
      <c r="H702" s="8"/>
      <c r="I702" s="8"/>
      <c r="J702" s="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3"/>
      <c r="E703" s="13"/>
      <c r="F703" s="13"/>
      <c r="G703" s="8"/>
      <c r="H703" s="8"/>
      <c r="I703" s="8"/>
      <c r="J703" s="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3"/>
      <c r="E704" s="13"/>
      <c r="F704" s="13"/>
      <c r="G704" s="8"/>
      <c r="H704" s="8"/>
      <c r="I704" s="8"/>
      <c r="J704" s="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3"/>
      <c r="E705" s="13"/>
      <c r="F705" s="13"/>
      <c r="G705" s="8"/>
      <c r="H705" s="8"/>
      <c r="I705" s="8"/>
      <c r="J705" s="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3"/>
      <c r="E706" s="13"/>
      <c r="F706" s="13"/>
      <c r="G706" s="8"/>
      <c r="H706" s="8"/>
      <c r="I706" s="8"/>
      <c r="J706" s="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3"/>
      <c r="E707" s="13"/>
      <c r="F707" s="13"/>
      <c r="G707" s="8"/>
      <c r="H707" s="8"/>
      <c r="I707" s="8"/>
      <c r="J707" s="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3"/>
      <c r="E708" s="13"/>
      <c r="F708" s="13"/>
      <c r="G708" s="8"/>
      <c r="H708" s="8"/>
      <c r="I708" s="8"/>
      <c r="J708" s="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3"/>
      <c r="E709" s="13"/>
      <c r="F709" s="13"/>
      <c r="G709" s="8"/>
      <c r="H709" s="8"/>
      <c r="I709" s="8"/>
      <c r="J709" s="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3"/>
      <c r="E710" s="13"/>
      <c r="F710" s="13"/>
      <c r="G710" s="8"/>
      <c r="H710" s="8"/>
      <c r="I710" s="8"/>
      <c r="J710" s="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3"/>
      <c r="E711" s="13"/>
      <c r="F711" s="13"/>
      <c r="G711" s="8"/>
      <c r="H711" s="8"/>
      <c r="I711" s="8"/>
      <c r="J711" s="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3"/>
      <c r="E712" s="13"/>
      <c r="F712" s="13"/>
      <c r="G712" s="8"/>
      <c r="H712" s="8"/>
      <c r="I712" s="8"/>
      <c r="J712" s="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3"/>
      <c r="E713" s="13"/>
      <c r="F713" s="13"/>
      <c r="G713" s="8"/>
      <c r="H713" s="8"/>
      <c r="I713" s="8"/>
      <c r="J713" s="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3"/>
      <c r="E714" s="13"/>
      <c r="F714" s="13"/>
      <c r="G714" s="8"/>
      <c r="H714" s="8"/>
      <c r="I714" s="8"/>
      <c r="J714" s="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3"/>
      <c r="E715" s="13"/>
      <c r="F715" s="13"/>
      <c r="G715" s="8"/>
      <c r="H715" s="8"/>
      <c r="I715" s="8"/>
      <c r="J715" s="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3"/>
      <c r="E716" s="13"/>
      <c r="F716" s="13"/>
      <c r="G716" s="8"/>
      <c r="H716" s="8"/>
      <c r="I716" s="8"/>
      <c r="J716" s="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3"/>
      <c r="E717" s="13"/>
      <c r="F717" s="13"/>
      <c r="G717" s="8"/>
      <c r="H717" s="8"/>
      <c r="I717" s="8"/>
      <c r="J717" s="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3"/>
      <c r="E718" s="13"/>
      <c r="F718" s="13"/>
      <c r="G718" s="8"/>
      <c r="H718" s="8"/>
      <c r="I718" s="8"/>
      <c r="J718" s="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3"/>
      <c r="E719" s="13"/>
      <c r="F719" s="13"/>
      <c r="G719" s="8"/>
      <c r="H719" s="8"/>
      <c r="I719" s="8"/>
      <c r="J719" s="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3"/>
      <c r="E720" s="13"/>
      <c r="F720" s="13"/>
      <c r="G720" s="8"/>
      <c r="H720" s="8"/>
      <c r="I720" s="8"/>
      <c r="J720" s="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3"/>
      <c r="E721" s="13"/>
      <c r="F721" s="13"/>
      <c r="G721" s="8"/>
      <c r="H721" s="8"/>
      <c r="I721" s="8"/>
      <c r="J721" s="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3"/>
      <c r="E722" s="13"/>
      <c r="F722" s="13"/>
      <c r="G722" s="8"/>
      <c r="H722" s="8"/>
      <c r="I722" s="8"/>
      <c r="J722" s="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3"/>
      <c r="E723" s="13"/>
      <c r="F723" s="13"/>
      <c r="G723" s="8"/>
      <c r="H723" s="8"/>
      <c r="I723" s="8"/>
      <c r="J723" s="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3"/>
      <c r="E724" s="13"/>
      <c r="F724" s="13"/>
      <c r="G724" s="8"/>
      <c r="H724" s="8"/>
      <c r="I724" s="8"/>
      <c r="J724" s="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3"/>
      <c r="E725" s="13"/>
      <c r="F725" s="13"/>
      <c r="G725" s="8"/>
      <c r="H725" s="8"/>
      <c r="I725" s="8"/>
      <c r="J725" s="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3"/>
      <c r="E726" s="13"/>
      <c r="F726" s="13"/>
      <c r="G726" s="8"/>
      <c r="H726" s="8"/>
      <c r="I726" s="8"/>
      <c r="J726" s="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3"/>
      <c r="E727" s="13"/>
      <c r="F727" s="13"/>
      <c r="G727" s="8"/>
      <c r="H727" s="8"/>
      <c r="I727" s="8"/>
      <c r="J727" s="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3"/>
      <c r="E728" s="13"/>
      <c r="F728" s="13"/>
      <c r="G728" s="8"/>
      <c r="H728" s="8"/>
      <c r="I728" s="8"/>
      <c r="J728" s="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3"/>
      <c r="E729" s="13"/>
      <c r="F729" s="13"/>
      <c r="G729" s="8"/>
      <c r="H729" s="8"/>
      <c r="I729" s="8"/>
      <c r="J729" s="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3"/>
      <c r="E730" s="13"/>
      <c r="F730" s="13"/>
      <c r="G730" s="8"/>
      <c r="H730" s="8"/>
      <c r="I730" s="8"/>
      <c r="J730" s="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3"/>
      <c r="E731" s="13"/>
      <c r="F731" s="13"/>
      <c r="G731" s="8"/>
      <c r="H731" s="8"/>
      <c r="I731" s="8"/>
      <c r="J731" s="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3"/>
      <c r="E732" s="13"/>
      <c r="F732" s="13"/>
      <c r="G732" s="8"/>
      <c r="H732" s="8"/>
      <c r="I732" s="8"/>
      <c r="J732" s="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3"/>
      <c r="E733" s="13"/>
      <c r="F733" s="13"/>
      <c r="G733" s="8"/>
      <c r="H733" s="8"/>
      <c r="I733" s="8"/>
      <c r="J733" s="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3"/>
      <c r="E734" s="13"/>
      <c r="F734" s="13"/>
      <c r="G734" s="8"/>
      <c r="H734" s="8"/>
      <c r="I734" s="8"/>
      <c r="J734" s="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3"/>
      <c r="E735" s="13"/>
      <c r="F735" s="13"/>
      <c r="G735" s="8"/>
      <c r="H735" s="8"/>
      <c r="I735" s="8"/>
      <c r="J735" s="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3"/>
      <c r="E736" s="13"/>
      <c r="F736" s="13"/>
      <c r="G736" s="8"/>
      <c r="H736" s="8"/>
      <c r="I736" s="8"/>
      <c r="J736" s="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3"/>
      <c r="E737" s="13"/>
      <c r="F737" s="13"/>
      <c r="G737" s="8"/>
      <c r="H737" s="8"/>
      <c r="I737" s="8"/>
      <c r="J737" s="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3"/>
      <c r="E738" s="13"/>
      <c r="F738" s="13"/>
      <c r="G738" s="8"/>
      <c r="H738" s="8"/>
      <c r="I738" s="8"/>
      <c r="J738" s="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3"/>
      <c r="E739" s="13"/>
      <c r="F739" s="13"/>
      <c r="G739" s="8"/>
      <c r="H739" s="8"/>
      <c r="I739" s="8"/>
      <c r="J739" s="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3"/>
      <c r="E740" s="13"/>
      <c r="F740" s="13"/>
      <c r="G740" s="8"/>
      <c r="H740" s="8"/>
      <c r="I740" s="8"/>
      <c r="J740" s="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3"/>
      <c r="E741" s="13"/>
      <c r="F741" s="13"/>
      <c r="G741" s="8"/>
      <c r="H741" s="8"/>
      <c r="I741" s="8"/>
      <c r="J741" s="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3"/>
      <c r="E742" s="13"/>
      <c r="F742" s="13"/>
      <c r="G742" s="8"/>
      <c r="H742" s="8"/>
      <c r="I742" s="8"/>
      <c r="J742" s="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3"/>
      <c r="E743" s="13"/>
      <c r="F743" s="13"/>
      <c r="G743" s="8"/>
      <c r="H743" s="8"/>
      <c r="I743" s="8"/>
      <c r="J743" s="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3"/>
      <c r="E744" s="13"/>
      <c r="F744" s="13"/>
      <c r="G744" s="8"/>
      <c r="H744" s="8"/>
      <c r="I744" s="8"/>
      <c r="J744" s="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3"/>
      <c r="E745" s="13"/>
      <c r="F745" s="13"/>
      <c r="G745" s="8"/>
      <c r="H745" s="8"/>
      <c r="I745" s="8"/>
      <c r="J745" s="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3"/>
      <c r="E746" s="13"/>
      <c r="F746" s="13"/>
      <c r="G746" s="8"/>
      <c r="H746" s="8"/>
      <c r="I746" s="8"/>
      <c r="J746" s="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3"/>
      <c r="E747" s="13"/>
      <c r="F747" s="13"/>
      <c r="G747" s="8"/>
      <c r="H747" s="8"/>
      <c r="I747" s="8"/>
      <c r="J747" s="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3"/>
      <c r="E748" s="13"/>
      <c r="F748" s="13"/>
      <c r="G748" s="8"/>
      <c r="H748" s="8"/>
      <c r="I748" s="8"/>
      <c r="J748" s="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3"/>
      <c r="E749" s="13"/>
      <c r="F749" s="13"/>
      <c r="G749" s="8"/>
      <c r="H749" s="8"/>
      <c r="I749" s="8"/>
      <c r="J749" s="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3"/>
      <c r="E750" s="13"/>
      <c r="F750" s="13"/>
      <c r="G750" s="8"/>
      <c r="H750" s="8"/>
      <c r="I750" s="8"/>
      <c r="J750" s="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3"/>
      <c r="E751" s="13"/>
      <c r="F751" s="13"/>
      <c r="G751" s="8"/>
      <c r="H751" s="8"/>
      <c r="I751" s="8"/>
      <c r="J751" s="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3"/>
      <c r="E752" s="13"/>
      <c r="F752" s="13"/>
      <c r="G752" s="8"/>
      <c r="H752" s="8"/>
      <c r="I752" s="8"/>
      <c r="J752" s="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3"/>
      <c r="E753" s="13"/>
      <c r="F753" s="13"/>
      <c r="G753" s="8"/>
      <c r="H753" s="8"/>
      <c r="I753" s="8"/>
      <c r="J753" s="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3"/>
      <c r="E754" s="13"/>
      <c r="F754" s="13"/>
      <c r="G754" s="8"/>
      <c r="H754" s="8"/>
      <c r="I754" s="8"/>
      <c r="J754" s="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3"/>
      <c r="E755" s="13"/>
      <c r="F755" s="13"/>
      <c r="G755" s="8"/>
      <c r="H755" s="8"/>
      <c r="I755" s="8"/>
      <c r="J755" s="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3"/>
      <c r="E756" s="13"/>
      <c r="F756" s="13"/>
      <c r="G756" s="8"/>
      <c r="H756" s="8"/>
      <c r="I756" s="8"/>
      <c r="J756" s="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3"/>
      <c r="E757" s="13"/>
      <c r="F757" s="13"/>
      <c r="G757" s="8"/>
      <c r="H757" s="8"/>
      <c r="I757" s="8"/>
      <c r="J757" s="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3"/>
      <c r="E758" s="13"/>
      <c r="F758" s="13"/>
      <c r="G758" s="8"/>
      <c r="H758" s="8"/>
      <c r="I758" s="8"/>
      <c r="J758" s="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3"/>
      <c r="E759" s="13"/>
      <c r="F759" s="13"/>
      <c r="G759" s="8"/>
      <c r="H759" s="8"/>
      <c r="I759" s="8"/>
      <c r="J759" s="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3"/>
      <c r="E760" s="13"/>
      <c r="F760" s="13"/>
      <c r="G760" s="8"/>
      <c r="H760" s="8"/>
      <c r="I760" s="8"/>
      <c r="J760" s="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3"/>
      <c r="E761" s="13"/>
      <c r="F761" s="13"/>
      <c r="G761" s="8"/>
      <c r="H761" s="8"/>
      <c r="I761" s="8"/>
      <c r="J761" s="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3"/>
      <c r="E762" s="13"/>
      <c r="F762" s="13"/>
      <c r="G762" s="8"/>
      <c r="H762" s="8"/>
      <c r="I762" s="8"/>
      <c r="J762" s="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3"/>
      <c r="E763" s="13"/>
      <c r="F763" s="13"/>
      <c r="G763" s="8"/>
      <c r="H763" s="8"/>
      <c r="I763" s="8"/>
      <c r="J763" s="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3"/>
      <c r="E764" s="13"/>
      <c r="F764" s="13"/>
      <c r="G764" s="8"/>
      <c r="H764" s="8"/>
      <c r="I764" s="8"/>
      <c r="J764" s="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3"/>
      <c r="E765" s="13"/>
      <c r="F765" s="13"/>
      <c r="G765" s="8"/>
      <c r="H765" s="8"/>
      <c r="I765" s="8"/>
      <c r="J765" s="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3"/>
      <c r="E766" s="13"/>
      <c r="F766" s="13"/>
      <c r="G766" s="8"/>
      <c r="H766" s="8"/>
      <c r="I766" s="8"/>
      <c r="J766" s="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3"/>
      <c r="E767" s="13"/>
      <c r="F767" s="13"/>
      <c r="G767" s="8"/>
      <c r="H767" s="8"/>
      <c r="I767" s="8"/>
      <c r="J767" s="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3"/>
      <c r="E768" s="13"/>
      <c r="F768" s="13"/>
      <c r="G768" s="8"/>
      <c r="H768" s="8"/>
      <c r="I768" s="8"/>
      <c r="J768" s="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3"/>
      <c r="E769" s="13"/>
      <c r="F769" s="13"/>
      <c r="G769" s="8"/>
      <c r="H769" s="8"/>
      <c r="I769" s="8"/>
      <c r="J769" s="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3"/>
      <c r="E770" s="13"/>
      <c r="F770" s="13"/>
      <c r="G770" s="8"/>
      <c r="H770" s="8"/>
      <c r="I770" s="8"/>
      <c r="J770" s="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3"/>
      <c r="E771" s="13"/>
      <c r="F771" s="13"/>
      <c r="G771" s="8"/>
      <c r="H771" s="8"/>
      <c r="I771" s="8"/>
      <c r="J771" s="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3"/>
      <c r="E772" s="13"/>
      <c r="F772" s="13"/>
      <c r="G772" s="8"/>
      <c r="H772" s="8"/>
      <c r="I772" s="8"/>
      <c r="J772" s="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3"/>
      <c r="E773" s="13"/>
      <c r="F773" s="13"/>
      <c r="G773" s="8"/>
      <c r="H773" s="8"/>
      <c r="I773" s="8"/>
      <c r="J773" s="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3"/>
      <c r="E774" s="13"/>
      <c r="F774" s="13"/>
      <c r="G774" s="8"/>
      <c r="H774" s="8"/>
      <c r="I774" s="8"/>
      <c r="J774" s="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3"/>
      <c r="E775" s="13"/>
      <c r="F775" s="13"/>
      <c r="G775" s="8"/>
      <c r="H775" s="8"/>
      <c r="I775" s="8"/>
      <c r="J775" s="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3"/>
      <c r="E776" s="13"/>
      <c r="F776" s="13"/>
      <c r="G776" s="8"/>
      <c r="H776" s="8"/>
      <c r="I776" s="8"/>
      <c r="J776" s="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3"/>
      <c r="E777" s="13"/>
      <c r="F777" s="13"/>
      <c r="G777" s="8"/>
      <c r="H777" s="8"/>
      <c r="I777" s="8"/>
      <c r="J777" s="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3"/>
      <c r="E778" s="13"/>
      <c r="F778" s="13"/>
      <c r="G778" s="8"/>
      <c r="H778" s="8"/>
      <c r="I778" s="8"/>
      <c r="J778" s="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3"/>
      <c r="E779" s="13"/>
      <c r="F779" s="13"/>
      <c r="G779" s="8"/>
      <c r="H779" s="8"/>
      <c r="I779" s="8"/>
      <c r="J779" s="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3"/>
      <c r="E780" s="13"/>
      <c r="F780" s="13"/>
      <c r="G780" s="8"/>
      <c r="H780" s="8"/>
      <c r="I780" s="8"/>
      <c r="J780" s="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3"/>
      <c r="E781" s="13"/>
      <c r="F781" s="13"/>
      <c r="G781" s="8"/>
      <c r="H781" s="8"/>
      <c r="I781" s="8"/>
      <c r="J781" s="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3"/>
      <c r="E782" s="13"/>
      <c r="F782" s="13"/>
      <c r="G782" s="8"/>
      <c r="H782" s="8"/>
      <c r="I782" s="8"/>
      <c r="J782" s="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3"/>
      <c r="E783" s="13"/>
      <c r="F783" s="13"/>
      <c r="G783" s="8"/>
      <c r="H783" s="8"/>
      <c r="I783" s="8"/>
      <c r="J783" s="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3"/>
      <c r="E784" s="13"/>
      <c r="F784" s="13"/>
      <c r="G784" s="8"/>
      <c r="H784" s="8"/>
      <c r="I784" s="8"/>
      <c r="J784" s="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3"/>
      <c r="E785" s="13"/>
      <c r="F785" s="13"/>
      <c r="G785" s="8"/>
      <c r="H785" s="8"/>
      <c r="I785" s="8"/>
      <c r="J785" s="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3"/>
      <c r="E786" s="13"/>
      <c r="F786" s="13"/>
      <c r="G786" s="8"/>
      <c r="H786" s="8"/>
      <c r="I786" s="8"/>
      <c r="J786" s="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3"/>
      <c r="E787" s="13"/>
      <c r="F787" s="13"/>
      <c r="G787" s="8"/>
      <c r="H787" s="8"/>
      <c r="I787" s="8"/>
      <c r="J787" s="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3"/>
      <c r="E788" s="13"/>
      <c r="F788" s="13"/>
      <c r="G788" s="8"/>
      <c r="H788" s="8"/>
      <c r="I788" s="8"/>
      <c r="J788" s="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3"/>
      <c r="E789" s="13"/>
      <c r="F789" s="13"/>
      <c r="G789" s="8"/>
      <c r="H789" s="8"/>
      <c r="I789" s="8"/>
      <c r="J789" s="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3"/>
      <c r="E790" s="13"/>
      <c r="F790" s="13"/>
      <c r="G790" s="8"/>
      <c r="H790" s="8"/>
      <c r="I790" s="8"/>
      <c r="J790" s="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3"/>
      <c r="E791" s="13"/>
      <c r="F791" s="13"/>
      <c r="G791" s="8"/>
      <c r="H791" s="8"/>
      <c r="I791" s="8"/>
      <c r="J791" s="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3"/>
      <c r="E792" s="13"/>
      <c r="F792" s="13"/>
      <c r="G792" s="8"/>
      <c r="H792" s="8"/>
      <c r="I792" s="8"/>
      <c r="J792" s="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3"/>
      <c r="E793" s="13"/>
      <c r="F793" s="13"/>
      <c r="G793" s="8"/>
      <c r="H793" s="8"/>
      <c r="I793" s="8"/>
      <c r="J793" s="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3"/>
      <c r="E794" s="13"/>
      <c r="F794" s="13"/>
      <c r="G794" s="8"/>
      <c r="H794" s="8"/>
      <c r="I794" s="8"/>
      <c r="J794" s="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3"/>
      <c r="E795" s="13"/>
      <c r="F795" s="13"/>
      <c r="G795" s="8"/>
      <c r="H795" s="8"/>
      <c r="I795" s="8"/>
      <c r="J795" s="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3"/>
      <c r="E796" s="13"/>
      <c r="F796" s="13"/>
      <c r="G796" s="8"/>
      <c r="H796" s="8"/>
      <c r="I796" s="8"/>
      <c r="J796" s="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3"/>
      <c r="E797" s="13"/>
      <c r="F797" s="13"/>
      <c r="G797" s="8"/>
      <c r="H797" s="8"/>
      <c r="I797" s="8"/>
      <c r="J797" s="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3"/>
      <c r="E798" s="13"/>
      <c r="F798" s="13"/>
      <c r="G798" s="8"/>
      <c r="H798" s="8"/>
      <c r="I798" s="8"/>
      <c r="J798" s="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3"/>
      <c r="E799" s="13"/>
      <c r="F799" s="13"/>
      <c r="G799" s="8"/>
      <c r="H799" s="8"/>
      <c r="I799" s="8"/>
      <c r="J799" s="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3"/>
      <c r="E800" s="13"/>
      <c r="F800" s="13"/>
      <c r="G800" s="8"/>
      <c r="H800" s="8"/>
      <c r="I800" s="8"/>
      <c r="J800" s="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3"/>
      <c r="E801" s="13"/>
      <c r="F801" s="13"/>
      <c r="G801" s="8"/>
      <c r="H801" s="8"/>
      <c r="I801" s="8"/>
      <c r="J801" s="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3"/>
      <c r="E802" s="13"/>
      <c r="F802" s="13"/>
      <c r="G802" s="8"/>
      <c r="H802" s="8"/>
      <c r="I802" s="8"/>
      <c r="J802" s="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3"/>
      <c r="E803" s="13"/>
      <c r="F803" s="13"/>
      <c r="G803" s="8"/>
      <c r="H803" s="8"/>
      <c r="I803" s="8"/>
      <c r="J803" s="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3"/>
      <c r="E804" s="13"/>
      <c r="F804" s="13"/>
      <c r="G804" s="8"/>
      <c r="H804" s="8"/>
      <c r="I804" s="8"/>
      <c r="J804" s="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3"/>
      <c r="E805" s="13"/>
      <c r="F805" s="13"/>
      <c r="G805" s="8"/>
      <c r="H805" s="8"/>
      <c r="I805" s="8"/>
      <c r="J805" s="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3"/>
      <c r="E806" s="13"/>
      <c r="F806" s="13"/>
      <c r="G806" s="8"/>
      <c r="H806" s="8"/>
      <c r="I806" s="8"/>
      <c r="J806" s="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3"/>
      <c r="E807" s="13"/>
      <c r="F807" s="13"/>
      <c r="G807" s="8"/>
      <c r="H807" s="8"/>
      <c r="I807" s="8"/>
      <c r="J807" s="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3"/>
      <c r="E808" s="13"/>
      <c r="F808" s="13"/>
      <c r="G808" s="8"/>
      <c r="H808" s="8"/>
      <c r="I808" s="8"/>
      <c r="J808" s="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3"/>
      <c r="E809" s="13"/>
      <c r="F809" s="13"/>
      <c r="G809" s="8"/>
      <c r="H809" s="8"/>
      <c r="I809" s="8"/>
      <c r="J809" s="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3"/>
      <c r="E810" s="13"/>
      <c r="F810" s="13"/>
      <c r="G810" s="8"/>
      <c r="H810" s="8"/>
      <c r="I810" s="8"/>
      <c r="J810" s="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3"/>
      <c r="E811" s="13"/>
      <c r="F811" s="13"/>
      <c r="G811" s="8"/>
      <c r="H811" s="8"/>
      <c r="I811" s="8"/>
      <c r="J811" s="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3"/>
      <c r="E812" s="13"/>
      <c r="F812" s="13"/>
      <c r="G812" s="8"/>
      <c r="H812" s="8"/>
      <c r="I812" s="8"/>
      <c r="J812" s="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3"/>
      <c r="E813" s="13"/>
      <c r="F813" s="13"/>
      <c r="G813" s="8"/>
      <c r="H813" s="8"/>
      <c r="I813" s="8"/>
      <c r="J813" s="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3"/>
      <c r="E814" s="13"/>
      <c r="F814" s="13"/>
      <c r="G814" s="8"/>
      <c r="H814" s="8"/>
      <c r="I814" s="8"/>
      <c r="J814" s="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3"/>
      <c r="E815" s="13"/>
      <c r="F815" s="13"/>
      <c r="G815" s="8"/>
      <c r="H815" s="8"/>
      <c r="I815" s="8"/>
      <c r="J815" s="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3"/>
      <c r="E816" s="13"/>
      <c r="F816" s="13"/>
      <c r="G816" s="8"/>
      <c r="H816" s="8"/>
      <c r="I816" s="8"/>
      <c r="J816" s="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3"/>
      <c r="E817" s="13"/>
      <c r="F817" s="13"/>
      <c r="G817" s="8"/>
      <c r="H817" s="8"/>
      <c r="I817" s="8"/>
      <c r="J817" s="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3"/>
      <c r="E818" s="13"/>
      <c r="F818" s="13"/>
      <c r="G818" s="8"/>
      <c r="H818" s="8"/>
      <c r="I818" s="8"/>
      <c r="J818" s="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3"/>
      <c r="E819" s="13"/>
      <c r="F819" s="13"/>
      <c r="G819" s="8"/>
      <c r="H819" s="8"/>
      <c r="I819" s="8"/>
      <c r="J819" s="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3"/>
      <c r="E820" s="13"/>
      <c r="F820" s="13"/>
      <c r="G820" s="8"/>
      <c r="H820" s="8"/>
      <c r="I820" s="8"/>
      <c r="J820" s="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3"/>
      <c r="E821" s="13"/>
      <c r="F821" s="13"/>
      <c r="G821" s="8"/>
      <c r="H821" s="8"/>
      <c r="I821" s="8"/>
      <c r="J821" s="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3"/>
      <c r="E822" s="13"/>
      <c r="F822" s="13"/>
      <c r="G822" s="8"/>
      <c r="H822" s="8"/>
      <c r="I822" s="8"/>
      <c r="J822" s="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3"/>
      <c r="E823" s="13"/>
      <c r="F823" s="13"/>
      <c r="G823" s="8"/>
      <c r="H823" s="8"/>
      <c r="I823" s="8"/>
      <c r="J823" s="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3"/>
      <c r="E824" s="13"/>
      <c r="F824" s="13"/>
      <c r="G824" s="8"/>
      <c r="H824" s="8"/>
      <c r="I824" s="8"/>
      <c r="J824" s="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3"/>
      <c r="E825" s="13"/>
      <c r="F825" s="13"/>
      <c r="G825" s="8"/>
      <c r="H825" s="8"/>
      <c r="I825" s="8"/>
      <c r="J825" s="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3"/>
      <c r="E826" s="13"/>
      <c r="F826" s="13"/>
      <c r="G826" s="8"/>
      <c r="H826" s="8"/>
      <c r="I826" s="8"/>
      <c r="J826" s="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3"/>
      <c r="E827" s="13"/>
      <c r="F827" s="13"/>
      <c r="G827" s="8"/>
      <c r="H827" s="8"/>
      <c r="I827" s="8"/>
      <c r="J827" s="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3"/>
      <c r="E828" s="13"/>
      <c r="F828" s="13"/>
      <c r="G828" s="8"/>
      <c r="H828" s="8"/>
      <c r="I828" s="8"/>
      <c r="J828" s="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3"/>
      <c r="E829" s="13"/>
      <c r="F829" s="13"/>
      <c r="G829" s="8"/>
      <c r="H829" s="8"/>
      <c r="I829" s="8"/>
      <c r="J829" s="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3"/>
      <c r="E830" s="13"/>
      <c r="F830" s="13"/>
      <c r="G830" s="8"/>
      <c r="H830" s="8"/>
      <c r="I830" s="8"/>
      <c r="J830" s="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3"/>
      <c r="E831" s="13"/>
      <c r="F831" s="13"/>
      <c r="G831" s="8"/>
      <c r="H831" s="8"/>
      <c r="I831" s="8"/>
      <c r="J831" s="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3"/>
      <c r="E832" s="13"/>
      <c r="F832" s="13"/>
      <c r="G832" s="8"/>
      <c r="H832" s="8"/>
      <c r="I832" s="8"/>
      <c r="J832" s="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3"/>
      <c r="E833" s="13"/>
      <c r="F833" s="13"/>
      <c r="G833" s="8"/>
      <c r="H833" s="8"/>
      <c r="I833" s="8"/>
      <c r="J833" s="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3"/>
      <c r="E834" s="13"/>
      <c r="F834" s="13"/>
      <c r="G834" s="8"/>
      <c r="H834" s="8"/>
      <c r="I834" s="8"/>
      <c r="J834" s="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3"/>
      <c r="E835" s="13"/>
      <c r="F835" s="13"/>
      <c r="G835" s="8"/>
      <c r="H835" s="8"/>
      <c r="I835" s="8"/>
      <c r="J835" s="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3"/>
      <c r="E836" s="13"/>
      <c r="F836" s="13"/>
      <c r="G836" s="8"/>
      <c r="H836" s="8"/>
      <c r="I836" s="8"/>
      <c r="J836" s="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3"/>
      <c r="E837" s="13"/>
      <c r="F837" s="13"/>
      <c r="G837" s="8"/>
      <c r="H837" s="8"/>
      <c r="I837" s="8"/>
      <c r="J837" s="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3"/>
      <c r="E838" s="13"/>
      <c r="F838" s="13"/>
      <c r="G838" s="8"/>
      <c r="H838" s="8"/>
      <c r="I838" s="8"/>
      <c r="J838" s="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3"/>
      <c r="E839" s="13"/>
      <c r="F839" s="13"/>
      <c r="G839" s="8"/>
      <c r="H839" s="8"/>
      <c r="I839" s="8"/>
      <c r="J839" s="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3"/>
      <c r="E840" s="13"/>
      <c r="F840" s="13"/>
      <c r="G840" s="8"/>
      <c r="H840" s="8"/>
      <c r="I840" s="8"/>
      <c r="J840" s="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3"/>
      <c r="E841" s="13"/>
      <c r="F841" s="13"/>
      <c r="G841" s="8"/>
      <c r="H841" s="8"/>
      <c r="I841" s="8"/>
      <c r="J841" s="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3"/>
      <c r="E842" s="13"/>
      <c r="F842" s="13"/>
      <c r="G842" s="8"/>
      <c r="H842" s="8"/>
      <c r="I842" s="8"/>
      <c r="J842" s="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3"/>
      <c r="E843" s="13"/>
      <c r="F843" s="13"/>
      <c r="G843" s="8"/>
      <c r="H843" s="8"/>
      <c r="I843" s="8"/>
      <c r="J843" s="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3"/>
      <c r="E844" s="13"/>
      <c r="F844" s="13"/>
      <c r="G844" s="8"/>
      <c r="H844" s="8"/>
      <c r="I844" s="8"/>
      <c r="J844" s="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3"/>
      <c r="E845" s="13"/>
      <c r="F845" s="13"/>
      <c r="G845" s="8"/>
      <c r="H845" s="8"/>
      <c r="I845" s="8"/>
      <c r="J845" s="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3"/>
      <c r="E846" s="13"/>
      <c r="F846" s="13"/>
      <c r="G846" s="8"/>
      <c r="H846" s="8"/>
      <c r="I846" s="8"/>
      <c r="J846" s="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3"/>
      <c r="E847" s="13"/>
      <c r="F847" s="13"/>
      <c r="G847" s="8"/>
      <c r="H847" s="8"/>
      <c r="I847" s="8"/>
      <c r="J847" s="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3"/>
      <c r="E848" s="13"/>
      <c r="F848" s="13"/>
      <c r="G848" s="8"/>
      <c r="H848" s="8"/>
      <c r="I848" s="8"/>
      <c r="J848" s="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3"/>
      <c r="E849" s="13"/>
      <c r="F849" s="13"/>
      <c r="G849" s="8"/>
      <c r="H849" s="8"/>
      <c r="I849" s="8"/>
      <c r="J849" s="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3"/>
      <c r="E850" s="13"/>
      <c r="F850" s="13"/>
      <c r="G850" s="8"/>
      <c r="H850" s="8"/>
      <c r="I850" s="8"/>
      <c r="J850" s="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3"/>
      <c r="E851" s="13"/>
      <c r="F851" s="13"/>
      <c r="G851" s="8"/>
      <c r="H851" s="8"/>
      <c r="I851" s="8"/>
      <c r="J851" s="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3"/>
      <c r="E852" s="13"/>
      <c r="F852" s="13"/>
      <c r="G852" s="8"/>
      <c r="H852" s="8"/>
      <c r="I852" s="8"/>
      <c r="J852" s="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3"/>
      <c r="E853" s="13"/>
      <c r="F853" s="13"/>
      <c r="G853" s="8"/>
      <c r="H853" s="8"/>
      <c r="I853" s="8"/>
      <c r="J853" s="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3"/>
      <c r="E854" s="13"/>
      <c r="F854" s="13"/>
      <c r="G854" s="8"/>
      <c r="H854" s="8"/>
      <c r="I854" s="8"/>
      <c r="J854" s="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3"/>
      <c r="E855" s="13"/>
      <c r="F855" s="13"/>
      <c r="G855" s="8"/>
      <c r="H855" s="8"/>
      <c r="I855" s="8"/>
      <c r="J855" s="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3"/>
      <c r="E856" s="13"/>
      <c r="F856" s="13"/>
      <c r="G856" s="8"/>
      <c r="H856" s="8"/>
      <c r="I856" s="8"/>
      <c r="J856" s="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3"/>
      <c r="E857" s="13"/>
      <c r="F857" s="13"/>
      <c r="G857" s="8"/>
      <c r="H857" s="8"/>
      <c r="I857" s="8"/>
      <c r="J857" s="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3"/>
      <c r="E858" s="13"/>
      <c r="F858" s="13"/>
      <c r="G858" s="8"/>
      <c r="H858" s="8"/>
      <c r="I858" s="8"/>
      <c r="J858" s="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3"/>
      <c r="E859" s="13"/>
      <c r="F859" s="13"/>
      <c r="G859" s="8"/>
      <c r="H859" s="8"/>
      <c r="I859" s="8"/>
      <c r="J859" s="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3"/>
      <c r="E860" s="13"/>
      <c r="F860" s="13"/>
      <c r="G860" s="8"/>
      <c r="H860" s="8"/>
      <c r="I860" s="8"/>
      <c r="J860" s="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3"/>
      <c r="E861" s="13"/>
      <c r="F861" s="13"/>
      <c r="G861" s="8"/>
      <c r="H861" s="8"/>
      <c r="I861" s="8"/>
      <c r="J861" s="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3"/>
      <c r="E862" s="13"/>
      <c r="F862" s="13"/>
      <c r="G862" s="8"/>
      <c r="H862" s="8"/>
      <c r="I862" s="8"/>
      <c r="J862" s="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3"/>
      <c r="E863" s="13"/>
      <c r="F863" s="13"/>
      <c r="G863" s="8"/>
      <c r="H863" s="8"/>
      <c r="I863" s="8"/>
      <c r="J863" s="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3"/>
      <c r="E864" s="13"/>
      <c r="F864" s="13"/>
      <c r="G864" s="8"/>
      <c r="H864" s="8"/>
      <c r="I864" s="8"/>
      <c r="J864" s="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3"/>
      <c r="E865" s="13"/>
      <c r="F865" s="13"/>
      <c r="G865" s="8"/>
      <c r="H865" s="8"/>
      <c r="I865" s="8"/>
      <c r="J865" s="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3"/>
      <c r="E866" s="13"/>
      <c r="F866" s="13"/>
      <c r="G866" s="8"/>
      <c r="H866" s="8"/>
      <c r="I866" s="8"/>
      <c r="J866" s="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3"/>
      <c r="E867" s="13"/>
      <c r="F867" s="13"/>
      <c r="G867" s="8"/>
      <c r="H867" s="8"/>
      <c r="I867" s="8"/>
      <c r="J867" s="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3"/>
      <c r="E868" s="13"/>
      <c r="F868" s="13"/>
      <c r="G868" s="8"/>
      <c r="H868" s="8"/>
      <c r="I868" s="8"/>
      <c r="J868" s="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3"/>
      <c r="E869" s="13"/>
      <c r="F869" s="13"/>
      <c r="G869" s="8"/>
      <c r="H869" s="8"/>
      <c r="I869" s="8"/>
      <c r="J869" s="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3"/>
      <c r="E870" s="13"/>
      <c r="F870" s="13"/>
      <c r="G870" s="8"/>
      <c r="H870" s="8"/>
      <c r="I870" s="8"/>
      <c r="J870" s="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3"/>
      <c r="E871" s="13"/>
      <c r="F871" s="13"/>
      <c r="G871" s="8"/>
      <c r="H871" s="8"/>
      <c r="I871" s="8"/>
      <c r="J871" s="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3"/>
      <c r="E872" s="13"/>
      <c r="F872" s="13"/>
      <c r="G872" s="8"/>
      <c r="H872" s="8"/>
      <c r="I872" s="8"/>
      <c r="J872" s="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3"/>
      <c r="E873" s="13"/>
      <c r="F873" s="13"/>
      <c r="G873" s="8"/>
      <c r="H873" s="8"/>
      <c r="I873" s="8"/>
      <c r="J873" s="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3"/>
      <c r="E874" s="13"/>
      <c r="F874" s="13"/>
      <c r="G874" s="8"/>
      <c r="H874" s="8"/>
      <c r="I874" s="8"/>
      <c r="J874" s="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3"/>
      <c r="E875" s="13"/>
      <c r="F875" s="13"/>
      <c r="G875" s="8"/>
      <c r="H875" s="8"/>
      <c r="I875" s="8"/>
      <c r="J875" s="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3"/>
      <c r="E876" s="13"/>
      <c r="F876" s="13"/>
      <c r="G876" s="8"/>
      <c r="H876" s="8"/>
      <c r="I876" s="8"/>
      <c r="J876" s="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3"/>
      <c r="E877" s="13"/>
      <c r="F877" s="13"/>
      <c r="G877" s="8"/>
      <c r="H877" s="8"/>
      <c r="I877" s="8"/>
      <c r="J877" s="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3"/>
      <c r="E878" s="13"/>
      <c r="F878" s="13"/>
      <c r="G878" s="8"/>
      <c r="H878" s="8"/>
      <c r="I878" s="8"/>
      <c r="J878" s="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3"/>
      <c r="E879" s="13"/>
      <c r="F879" s="13"/>
      <c r="G879" s="8"/>
      <c r="H879" s="8"/>
      <c r="I879" s="8"/>
      <c r="J879" s="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3"/>
      <c r="E880" s="13"/>
      <c r="F880" s="13"/>
      <c r="G880" s="8"/>
      <c r="H880" s="8"/>
      <c r="I880" s="8"/>
      <c r="J880" s="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3"/>
      <c r="E881" s="13"/>
      <c r="F881" s="13"/>
      <c r="G881" s="8"/>
      <c r="H881" s="8"/>
      <c r="I881" s="8"/>
      <c r="J881" s="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3"/>
      <c r="E882" s="13"/>
      <c r="F882" s="13"/>
      <c r="G882" s="8"/>
      <c r="H882" s="8"/>
      <c r="I882" s="8"/>
      <c r="J882" s="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3"/>
      <c r="E883" s="13"/>
      <c r="F883" s="13"/>
      <c r="G883" s="8"/>
      <c r="H883" s="8"/>
      <c r="I883" s="8"/>
      <c r="J883" s="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3"/>
      <c r="E884" s="13"/>
      <c r="F884" s="13"/>
      <c r="G884" s="8"/>
      <c r="H884" s="8"/>
      <c r="I884" s="8"/>
      <c r="J884" s="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3"/>
      <c r="E885" s="13"/>
      <c r="F885" s="13"/>
      <c r="G885" s="8"/>
      <c r="H885" s="8"/>
      <c r="I885" s="8"/>
      <c r="J885" s="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3"/>
      <c r="E886" s="13"/>
      <c r="F886" s="13"/>
      <c r="G886" s="8"/>
      <c r="H886" s="8"/>
      <c r="I886" s="8"/>
      <c r="J886" s="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3"/>
      <c r="E887" s="13"/>
      <c r="F887" s="13"/>
      <c r="G887" s="8"/>
      <c r="H887" s="8"/>
      <c r="I887" s="8"/>
      <c r="J887" s="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3"/>
      <c r="E888" s="13"/>
      <c r="F888" s="13"/>
      <c r="G888" s="8"/>
      <c r="H888" s="8"/>
      <c r="I888" s="8"/>
      <c r="J888" s="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3"/>
      <c r="E889" s="13"/>
      <c r="F889" s="13"/>
      <c r="G889" s="8"/>
      <c r="H889" s="8"/>
      <c r="I889" s="8"/>
      <c r="J889" s="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3"/>
      <c r="E890" s="13"/>
      <c r="F890" s="13"/>
      <c r="G890" s="8"/>
      <c r="H890" s="8"/>
      <c r="I890" s="8"/>
      <c r="J890" s="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3"/>
      <c r="E891" s="13"/>
      <c r="F891" s="13"/>
      <c r="G891" s="8"/>
      <c r="H891" s="8"/>
      <c r="I891" s="8"/>
      <c r="J891" s="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3"/>
      <c r="E892" s="13"/>
      <c r="F892" s="13"/>
      <c r="G892" s="8"/>
      <c r="H892" s="8"/>
      <c r="I892" s="8"/>
      <c r="J892" s="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3"/>
      <c r="E893" s="13"/>
      <c r="F893" s="13"/>
      <c r="G893" s="8"/>
      <c r="H893" s="8"/>
      <c r="I893" s="8"/>
      <c r="J893" s="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3"/>
      <c r="E894" s="13"/>
      <c r="F894" s="13"/>
      <c r="G894" s="8"/>
      <c r="H894" s="8"/>
      <c r="I894" s="8"/>
      <c r="J894" s="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3"/>
      <c r="E895" s="13"/>
      <c r="F895" s="13"/>
      <c r="G895" s="8"/>
      <c r="H895" s="8"/>
      <c r="I895" s="8"/>
      <c r="J895" s="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3"/>
      <c r="E896" s="13"/>
      <c r="F896" s="13"/>
      <c r="G896" s="8"/>
      <c r="H896" s="8"/>
      <c r="I896" s="8"/>
      <c r="J896" s="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3"/>
      <c r="E897" s="13"/>
      <c r="F897" s="13"/>
      <c r="G897" s="8"/>
      <c r="H897" s="8"/>
      <c r="I897" s="8"/>
      <c r="J897" s="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3"/>
      <c r="E898" s="13"/>
      <c r="F898" s="13"/>
      <c r="G898" s="8"/>
      <c r="H898" s="8"/>
      <c r="I898" s="8"/>
      <c r="J898" s="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3"/>
      <c r="E899" s="13"/>
      <c r="F899" s="13"/>
      <c r="G899" s="8"/>
      <c r="H899" s="8"/>
      <c r="I899" s="8"/>
      <c r="J899" s="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3"/>
      <c r="E900" s="13"/>
      <c r="F900" s="13"/>
      <c r="G900" s="8"/>
      <c r="H900" s="8"/>
      <c r="I900" s="8"/>
      <c r="J900" s="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3"/>
      <c r="E901" s="13"/>
      <c r="F901" s="13"/>
      <c r="G901" s="8"/>
      <c r="H901" s="8"/>
      <c r="I901" s="8"/>
      <c r="J901" s="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3"/>
      <c r="E902" s="13"/>
      <c r="F902" s="13"/>
      <c r="G902" s="8"/>
      <c r="H902" s="8"/>
      <c r="I902" s="8"/>
      <c r="J902" s="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3"/>
      <c r="E903" s="13"/>
      <c r="F903" s="13"/>
      <c r="G903" s="8"/>
      <c r="H903" s="8"/>
      <c r="I903" s="8"/>
      <c r="J903" s="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3"/>
      <c r="E904" s="13"/>
      <c r="F904" s="13"/>
      <c r="G904" s="8"/>
      <c r="H904" s="8"/>
      <c r="I904" s="8"/>
      <c r="J904" s="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3"/>
      <c r="E905" s="13"/>
      <c r="F905" s="13"/>
      <c r="G905" s="8"/>
      <c r="H905" s="8"/>
      <c r="I905" s="8"/>
      <c r="J905" s="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3"/>
      <c r="E906" s="13"/>
      <c r="F906" s="13"/>
      <c r="G906" s="8"/>
      <c r="H906" s="8"/>
      <c r="I906" s="8"/>
      <c r="J906" s="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3"/>
      <c r="E907" s="13"/>
      <c r="F907" s="13"/>
      <c r="G907" s="8"/>
      <c r="H907" s="8"/>
      <c r="I907" s="8"/>
      <c r="J907" s="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3"/>
      <c r="E908" s="13"/>
      <c r="F908" s="13"/>
      <c r="G908" s="8"/>
      <c r="H908" s="8"/>
      <c r="I908" s="8"/>
      <c r="J908" s="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3"/>
      <c r="E909" s="13"/>
      <c r="F909" s="13"/>
      <c r="G909" s="8"/>
      <c r="H909" s="8"/>
      <c r="I909" s="8"/>
      <c r="J909" s="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3"/>
      <c r="E910" s="13"/>
      <c r="F910" s="13"/>
      <c r="G910" s="8"/>
      <c r="H910" s="8"/>
      <c r="I910" s="8"/>
      <c r="J910" s="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3"/>
      <c r="E911" s="13"/>
      <c r="F911" s="13"/>
      <c r="G911" s="8"/>
      <c r="H911" s="8"/>
      <c r="I911" s="8"/>
      <c r="J911" s="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3"/>
      <c r="E912" s="13"/>
      <c r="F912" s="13"/>
      <c r="G912" s="8"/>
      <c r="H912" s="8"/>
      <c r="I912" s="8"/>
      <c r="J912" s="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3"/>
      <c r="E913" s="13"/>
      <c r="F913" s="13"/>
      <c r="G913" s="8"/>
      <c r="H913" s="8"/>
      <c r="I913" s="8"/>
      <c r="J913" s="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3"/>
      <c r="E914" s="13"/>
      <c r="F914" s="13"/>
      <c r="G914" s="8"/>
      <c r="H914" s="8"/>
      <c r="I914" s="8"/>
      <c r="J914" s="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3"/>
      <c r="E915" s="13"/>
      <c r="F915" s="13"/>
      <c r="G915" s="8"/>
      <c r="H915" s="8"/>
      <c r="I915" s="8"/>
      <c r="J915" s="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3"/>
      <c r="E916" s="13"/>
      <c r="F916" s="13"/>
      <c r="G916" s="8"/>
      <c r="H916" s="8"/>
      <c r="I916" s="8"/>
      <c r="J916" s="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3"/>
      <c r="E917" s="13"/>
      <c r="F917" s="13"/>
      <c r="G917" s="8"/>
      <c r="H917" s="8"/>
      <c r="I917" s="8"/>
      <c r="J917" s="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3"/>
      <c r="E918" s="13"/>
      <c r="F918" s="13"/>
      <c r="G918" s="8"/>
      <c r="H918" s="8"/>
      <c r="I918" s="8"/>
      <c r="J918" s="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3"/>
      <c r="E919" s="13"/>
      <c r="F919" s="13"/>
      <c r="G919" s="8"/>
      <c r="H919" s="8"/>
      <c r="I919" s="8"/>
      <c r="J919" s="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3"/>
      <c r="E920" s="13"/>
      <c r="F920" s="13"/>
      <c r="G920" s="8"/>
      <c r="H920" s="8"/>
      <c r="I920" s="8"/>
      <c r="J920" s="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3"/>
      <c r="E921" s="13"/>
      <c r="F921" s="13"/>
      <c r="G921" s="8"/>
      <c r="H921" s="8"/>
      <c r="I921" s="8"/>
      <c r="J921" s="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3"/>
      <c r="E922" s="13"/>
      <c r="F922" s="13"/>
      <c r="G922" s="8"/>
      <c r="H922" s="8"/>
      <c r="I922" s="8"/>
      <c r="J922" s="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3"/>
      <c r="E923" s="13"/>
      <c r="F923" s="13"/>
      <c r="G923" s="8"/>
      <c r="H923" s="8"/>
      <c r="I923" s="8"/>
      <c r="J923" s="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3"/>
      <c r="E924" s="13"/>
      <c r="F924" s="13"/>
      <c r="G924" s="8"/>
      <c r="H924" s="8"/>
      <c r="I924" s="8"/>
      <c r="J924" s="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3"/>
      <c r="E925" s="13"/>
      <c r="F925" s="13"/>
      <c r="G925" s="8"/>
      <c r="H925" s="8"/>
      <c r="I925" s="8"/>
      <c r="J925" s="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3"/>
      <c r="E926" s="13"/>
      <c r="F926" s="13"/>
      <c r="G926" s="8"/>
      <c r="H926" s="8"/>
      <c r="I926" s="8"/>
      <c r="J926" s="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3"/>
      <c r="E927" s="13"/>
      <c r="F927" s="13"/>
      <c r="G927" s="8"/>
      <c r="H927" s="8"/>
      <c r="I927" s="8"/>
      <c r="J927" s="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3"/>
      <c r="E928" s="13"/>
      <c r="F928" s="13"/>
      <c r="G928" s="8"/>
      <c r="H928" s="8"/>
      <c r="I928" s="8"/>
      <c r="J928" s="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3"/>
      <c r="E929" s="13"/>
      <c r="F929" s="13"/>
      <c r="G929" s="8"/>
      <c r="H929" s="8"/>
      <c r="I929" s="8"/>
      <c r="J929" s="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3"/>
      <c r="E930" s="13"/>
      <c r="F930" s="13"/>
      <c r="G930" s="8"/>
      <c r="H930" s="8"/>
      <c r="I930" s="8"/>
      <c r="J930" s="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3"/>
      <c r="E931" s="13"/>
      <c r="F931" s="13"/>
      <c r="G931" s="8"/>
      <c r="H931" s="8"/>
      <c r="I931" s="8"/>
      <c r="J931" s="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3"/>
      <c r="E932" s="13"/>
      <c r="F932" s="13"/>
      <c r="G932" s="8"/>
      <c r="H932" s="8"/>
      <c r="I932" s="8"/>
      <c r="J932" s="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3"/>
      <c r="E933" s="13"/>
      <c r="F933" s="13"/>
      <c r="G933" s="8"/>
      <c r="H933" s="8"/>
      <c r="I933" s="8"/>
      <c r="J933" s="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3"/>
      <c r="E934" s="13"/>
      <c r="F934" s="13"/>
      <c r="G934" s="8"/>
      <c r="H934" s="8"/>
      <c r="I934" s="8"/>
      <c r="J934" s="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3"/>
      <c r="E935" s="13"/>
      <c r="F935" s="13"/>
      <c r="G935" s="8"/>
      <c r="H935" s="8"/>
      <c r="I935" s="8"/>
      <c r="J935" s="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3"/>
      <c r="E936" s="13"/>
      <c r="F936" s="13"/>
      <c r="G936" s="8"/>
      <c r="H936" s="8"/>
      <c r="I936" s="8"/>
      <c r="J936" s="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3"/>
      <c r="E937" s="13"/>
      <c r="F937" s="13"/>
      <c r="G937" s="8"/>
      <c r="H937" s="8"/>
      <c r="I937" s="8"/>
      <c r="J937" s="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3"/>
      <c r="E938" s="13"/>
      <c r="F938" s="13"/>
      <c r="G938" s="8"/>
      <c r="H938" s="8"/>
      <c r="I938" s="8"/>
      <c r="J938" s="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3"/>
      <c r="E939" s="13"/>
      <c r="F939" s="13"/>
      <c r="G939" s="8"/>
      <c r="H939" s="8"/>
      <c r="I939" s="8"/>
      <c r="J939" s="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3"/>
      <c r="E940" s="13"/>
      <c r="F940" s="13"/>
      <c r="G940" s="8"/>
      <c r="H940" s="8"/>
      <c r="I940" s="8"/>
      <c r="J940" s="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3"/>
      <c r="E941" s="13"/>
      <c r="F941" s="13"/>
      <c r="G941" s="8"/>
      <c r="H941" s="8"/>
      <c r="I941" s="8"/>
      <c r="J941" s="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3"/>
      <c r="E942" s="13"/>
      <c r="F942" s="13"/>
      <c r="G942" s="8"/>
      <c r="H942" s="8"/>
      <c r="I942" s="8"/>
      <c r="J942" s="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3"/>
      <c r="E943" s="13"/>
      <c r="F943" s="13"/>
      <c r="G943" s="8"/>
      <c r="H943" s="8"/>
      <c r="I943" s="8"/>
      <c r="J943" s="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3"/>
      <c r="E944" s="13"/>
      <c r="F944" s="13"/>
      <c r="G944" s="8"/>
      <c r="H944" s="8"/>
      <c r="I944" s="8"/>
      <c r="J944" s="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3"/>
      <c r="E945" s="13"/>
      <c r="F945" s="13"/>
      <c r="G945" s="8"/>
      <c r="H945" s="8"/>
      <c r="I945" s="8"/>
      <c r="J945" s="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3"/>
      <c r="E946" s="13"/>
      <c r="F946" s="13"/>
      <c r="G946" s="8"/>
      <c r="H946" s="8"/>
      <c r="I946" s="8"/>
      <c r="J946" s="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3"/>
      <c r="E947" s="13"/>
      <c r="F947" s="13"/>
      <c r="G947" s="8"/>
      <c r="H947" s="8"/>
      <c r="I947" s="8"/>
      <c r="J947" s="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3"/>
      <c r="E948" s="13"/>
      <c r="F948" s="13"/>
      <c r="G948" s="8"/>
      <c r="H948" s="8"/>
      <c r="I948" s="8"/>
      <c r="J948" s="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3"/>
      <c r="E949" s="13"/>
      <c r="F949" s="13"/>
      <c r="G949" s="8"/>
      <c r="H949" s="8"/>
      <c r="I949" s="8"/>
      <c r="J949" s="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3"/>
      <c r="E950" s="13"/>
      <c r="F950" s="13"/>
      <c r="G950" s="8"/>
      <c r="H950" s="8"/>
      <c r="I950" s="8"/>
      <c r="J950" s="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3"/>
      <c r="E951" s="13"/>
      <c r="F951" s="13"/>
      <c r="G951" s="8"/>
      <c r="H951" s="8"/>
      <c r="I951" s="8"/>
      <c r="J951" s="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3"/>
      <c r="E952" s="13"/>
      <c r="F952" s="13"/>
      <c r="G952" s="8"/>
      <c r="H952" s="8"/>
      <c r="I952" s="8"/>
      <c r="J952" s="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3"/>
      <c r="E953" s="13"/>
      <c r="F953" s="13"/>
      <c r="G953" s="8"/>
      <c r="H953" s="8"/>
      <c r="I953" s="8"/>
      <c r="J953" s="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3"/>
      <c r="E954" s="13"/>
      <c r="F954" s="13"/>
      <c r="G954" s="8"/>
      <c r="H954" s="8"/>
      <c r="I954" s="8"/>
      <c r="J954" s="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3"/>
      <c r="E955" s="13"/>
      <c r="F955" s="13"/>
      <c r="G955" s="8"/>
      <c r="H955" s="8"/>
      <c r="I955" s="8"/>
      <c r="J955" s="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3"/>
      <c r="E956" s="13"/>
      <c r="F956" s="13"/>
      <c r="G956" s="8"/>
      <c r="H956" s="8"/>
      <c r="I956" s="8"/>
      <c r="J956" s="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3"/>
      <c r="E957" s="13"/>
      <c r="F957" s="13"/>
      <c r="G957" s="8"/>
      <c r="H957" s="8"/>
      <c r="I957" s="8"/>
      <c r="J957" s="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3"/>
      <c r="E958" s="13"/>
      <c r="F958" s="13"/>
      <c r="G958" s="8"/>
      <c r="H958" s="8"/>
      <c r="I958" s="8"/>
      <c r="J958" s="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3"/>
      <c r="E959" s="13"/>
      <c r="F959" s="13"/>
      <c r="G959" s="8"/>
      <c r="H959" s="8"/>
      <c r="I959" s="8"/>
      <c r="J959" s="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3"/>
      <c r="E960" s="13"/>
      <c r="F960" s="13"/>
      <c r="G960" s="8"/>
      <c r="H960" s="8"/>
      <c r="I960" s="8"/>
      <c r="J960" s="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3"/>
      <c r="E961" s="13"/>
      <c r="F961" s="13"/>
      <c r="G961" s="8"/>
      <c r="H961" s="8"/>
      <c r="I961" s="8"/>
      <c r="J961" s="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3"/>
      <c r="E962" s="13"/>
      <c r="F962" s="13"/>
      <c r="G962" s="8"/>
      <c r="H962" s="8"/>
      <c r="I962" s="8"/>
      <c r="J962" s="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3"/>
      <c r="E963" s="13"/>
      <c r="F963" s="13"/>
      <c r="G963" s="8"/>
      <c r="H963" s="8"/>
      <c r="I963" s="8"/>
      <c r="J963" s="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3"/>
      <c r="E964" s="13"/>
      <c r="F964" s="13"/>
      <c r="G964" s="8"/>
      <c r="H964" s="8"/>
      <c r="I964" s="8"/>
      <c r="J964" s="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3"/>
      <c r="E965" s="13"/>
      <c r="F965" s="13"/>
      <c r="G965" s="8"/>
      <c r="H965" s="8"/>
      <c r="I965" s="8"/>
      <c r="J965" s="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3"/>
      <c r="E966" s="13"/>
      <c r="F966" s="13"/>
      <c r="G966" s="8"/>
      <c r="H966" s="8"/>
      <c r="I966" s="8"/>
      <c r="J966" s="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3"/>
      <c r="E967" s="13"/>
      <c r="F967" s="13"/>
      <c r="G967" s="8"/>
      <c r="H967" s="8"/>
      <c r="I967" s="8"/>
      <c r="J967" s="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3"/>
      <c r="E968" s="13"/>
      <c r="F968" s="13"/>
      <c r="G968" s="8"/>
      <c r="H968" s="8"/>
      <c r="I968" s="8"/>
      <c r="J968" s="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3"/>
      <c r="E969" s="13"/>
      <c r="F969" s="13"/>
      <c r="G969" s="8"/>
      <c r="H969" s="8"/>
      <c r="I969" s="8"/>
      <c r="J969" s="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3"/>
      <c r="E970" s="13"/>
      <c r="F970" s="13"/>
      <c r="G970" s="8"/>
      <c r="H970" s="8"/>
      <c r="I970" s="8"/>
      <c r="J970" s="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3"/>
      <c r="E971" s="13"/>
      <c r="F971" s="13"/>
      <c r="G971" s="8"/>
      <c r="H971" s="8"/>
      <c r="I971" s="8"/>
      <c r="J971" s="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3"/>
      <c r="E972" s="13"/>
      <c r="F972" s="13"/>
      <c r="G972" s="8"/>
      <c r="H972" s="8"/>
      <c r="I972" s="8"/>
      <c r="J972" s="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3"/>
      <c r="E973" s="13"/>
      <c r="F973" s="13"/>
      <c r="G973" s="8"/>
      <c r="H973" s="8"/>
      <c r="I973" s="8"/>
      <c r="J973" s="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3"/>
      <c r="E974" s="13"/>
      <c r="F974" s="13"/>
      <c r="G974" s="8"/>
      <c r="H974" s="8"/>
      <c r="I974" s="8"/>
      <c r="J974" s="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3"/>
      <c r="E975" s="13"/>
      <c r="F975" s="13"/>
      <c r="G975" s="8"/>
      <c r="H975" s="8"/>
      <c r="I975" s="8"/>
      <c r="J975" s="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3"/>
      <c r="E976" s="13"/>
      <c r="F976" s="13"/>
      <c r="G976" s="8"/>
      <c r="H976" s="8"/>
      <c r="I976" s="8"/>
      <c r="J976" s="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3"/>
      <c r="E977" s="13"/>
      <c r="F977" s="13"/>
      <c r="G977" s="8"/>
      <c r="H977" s="8"/>
      <c r="I977" s="8"/>
      <c r="J977" s="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3"/>
      <c r="E978" s="13"/>
      <c r="F978" s="13"/>
      <c r="G978" s="8"/>
      <c r="H978" s="8"/>
      <c r="I978" s="8"/>
      <c r="J978" s="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3"/>
      <c r="E979" s="13"/>
      <c r="F979" s="13"/>
      <c r="G979" s="8"/>
      <c r="H979" s="8"/>
      <c r="I979" s="8"/>
      <c r="J979" s="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3"/>
      <c r="E980" s="13"/>
      <c r="F980" s="13"/>
      <c r="G980" s="8"/>
      <c r="H980" s="8"/>
      <c r="I980" s="8"/>
      <c r="J980" s="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3"/>
      <c r="E981" s="13"/>
      <c r="F981" s="13"/>
      <c r="G981" s="8"/>
      <c r="H981" s="8"/>
      <c r="I981" s="8"/>
      <c r="J981" s="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3"/>
      <c r="E982" s="13"/>
      <c r="F982" s="13"/>
      <c r="G982" s="8"/>
      <c r="H982" s="8"/>
      <c r="I982" s="8"/>
      <c r="J982" s="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3"/>
      <c r="E983" s="13"/>
      <c r="F983" s="13"/>
      <c r="G983" s="8"/>
      <c r="H983" s="8"/>
      <c r="I983" s="8"/>
      <c r="J983" s="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3"/>
      <c r="E984" s="13"/>
      <c r="F984" s="13"/>
      <c r="G984" s="8"/>
      <c r="H984" s="8"/>
      <c r="I984" s="8"/>
      <c r="J984" s="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3"/>
      <c r="E985" s="13"/>
      <c r="F985" s="13"/>
      <c r="G985" s="8"/>
      <c r="H985" s="8"/>
      <c r="I985" s="8"/>
      <c r="J985" s="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3"/>
      <c r="E986" s="13"/>
      <c r="F986" s="13"/>
      <c r="G986" s="8"/>
      <c r="H986" s="8"/>
      <c r="I986" s="8"/>
      <c r="J986" s="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3"/>
      <c r="E987" s="13"/>
      <c r="F987" s="13"/>
      <c r="G987" s="8"/>
      <c r="H987" s="8"/>
      <c r="I987" s="8"/>
      <c r="J987" s="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3"/>
      <c r="E988" s="13"/>
      <c r="F988" s="13"/>
      <c r="G988" s="8"/>
      <c r="H988" s="8"/>
      <c r="I988" s="8"/>
      <c r="J988" s="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3"/>
      <c r="E989" s="13"/>
      <c r="F989" s="13"/>
      <c r="G989" s="8"/>
      <c r="H989" s="8"/>
      <c r="I989" s="8"/>
      <c r="J989" s="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3"/>
      <c r="E990" s="13"/>
      <c r="F990" s="13"/>
      <c r="G990" s="8"/>
      <c r="H990" s="8"/>
      <c r="I990" s="8"/>
      <c r="J990" s="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3"/>
      <c r="E991" s="13"/>
      <c r="F991" s="13"/>
      <c r="G991" s="8"/>
      <c r="H991" s="8"/>
      <c r="I991" s="8"/>
      <c r="J991" s="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3"/>
      <c r="E992" s="13"/>
      <c r="F992" s="13"/>
      <c r="G992" s="8"/>
      <c r="H992" s="8"/>
      <c r="I992" s="8"/>
      <c r="J992" s="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3"/>
      <c r="E993" s="13"/>
      <c r="F993" s="13"/>
      <c r="G993" s="8"/>
      <c r="H993" s="8"/>
      <c r="I993" s="8"/>
      <c r="J993" s="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3"/>
      <c r="E994" s="13"/>
      <c r="F994" s="13"/>
      <c r="G994" s="8"/>
      <c r="H994" s="8"/>
      <c r="I994" s="8"/>
      <c r="J994" s="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3"/>
      <c r="E995" s="13"/>
      <c r="F995" s="13"/>
      <c r="G995" s="8"/>
      <c r="H995" s="8"/>
      <c r="I995" s="8"/>
      <c r="J995" s="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3"/>
      <c r="E996" s="13"/>
      <c r="F996" s="13"/>
      <c r="G996" s="8"/>
      <c r="H996" s="8"/>
      <c r="I996" s="8"/>
      <c r="J996" s="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3"/>
      <c r="E997" s="13"/>
      <c r="F997" s="13"/>
      <c r="G997" s="8"/>
      <c r="H997" s="8"/>
      <c r="I997" s="8"/>
      <c r="J997" s="8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3"/>
      <c r="E998" s="13"/>
      <c r="F998" s="13"/>
      <c r="G998" s="8"/>
      <c r="H998" s="8"/>
      <c r="I998" s="8"/>
      <c r="J998" s="8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3"/>
      <c r="E999" s="13"/>
      <c r="F999" s="13"/>
      <c r="G999" s="8"/>
      <c r="H999" s="8"/>
      <c r="I999" s="8"/>
      <c r="J999" s="8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3"/>
      <c r="E1000" s="13"/>
      <c r="F1000" s="13"/>
      <c r="G1000" s="8"/>
      <c r="H1000" s="8"/>
      <c r="I1000" s="8"/>
      <c r="J1000" s="8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3:$J$228">
    <filterColumn colId="0">
      <filters>
        <filter val="TÔLERIE"/>
      </filters>
    </filterColumn>
  </autoFilter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0.14"/>
    <col customWidth="1" min="3" max="3" width="24.14"/>
    <col customWidth="1" min="4" max="4" width="34.14"/>
    <col customWidth="1" min="5" max="5" width="136.14"/>
    <col customWidth="1" min="6" max="6" width="39.14"/>
    <col customWidth="1" min="7" max="7" width="14.14"/>
    <col customWidth="1" min="8" max="8" width="16.0"/>
    <col customWidth="1" min="9" max="9" width="18.0"/>
    <col customWidth="1" min="10" max="10" width="14.14"/>
    <col customWidth="1" min="11" max="26" width="9.14"/>
  </cols>
  <sheetData>
    <row r="1" ht="13.5" customHeight="1">
      <c r="A1" s="1"/>
      <c r="B1" s="2" t="s">
        <v>0</v>
      </c>
      <c r="C1" s="3" t="s">
        <v>3906</v>
      </c>
      <c r="D1" s="13"/>
      <c r="E1" s="6"/>
      <c r="F1" s="13"/>
      <c r="G1" s="8"/>
      <c r="H1" s="8"/>
      <c r="I1" s="8"/>
      <c r="J1" s="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3</v>
      </c>
      <c r="C2" s="20">
        <v>78000.0</v>
      </c>
      <c r="D2" s="13"/>
      <c r="E2" s="6"/>
      <c r="F2" s="13"/>
      <c r="G2" s="8"/>
      <c r="H2" s="8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2" t="s">
        <v>5</v>
      </c>
      <c r="C3" s="25">
        <v>9325.7127</v>
      </c>
      <c r="D3" s="13"/>
      <c r="E3" s="6"/>
      <c r="F3" s="13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2" t="s">
        <v>7</v>
      </c>
      <c r="C4" s="30">
        <v>8961.0</v>
      </c>
      <c r="D4" s="13"/>
      <c r="E4" s="6"/>
      <c r="F4" s="13"/>
      <c r="G4" s="8"/>
      <c r="H4" s="8"/>
      <c r="I4" s="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2" t="s">
        <v>9</v>
      </c>
      <c r="C5" s="33">
        <v>7.2436</v>
      </c>
      <c r="D5" s="13"/>
      <c r="E5" s="6"/>
      <c r="F5" s="13"/>
      <c r="G5" s="8"/>
      <c r="H5" s="8"/>
      <c r="I5" s="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9" t="s">
        <v>11</v>
      </c>
      <c r="B6" s="2" t="s">
        <v>12</v>
      </c>
      <c r="C6" s="41">
        <v>1.0407</v>
      </c>
      <c r="D6" s="13"/>
      <c r="E6" s="13"/>
      <c r="F6" s="13"/>
      <c r="G6" s="8"/>
      <c r="H6" s="8"/>
      <c r="I6" s="8"/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9"/>
      <c r="B7" s="2" t="s">
        <v>16</v>
      </c>
      <c r="C7" s="546">
        <v>7.53841452</v>
      </c>
      <c r="D7" s="13"/>
      <c r="E7" s="13"/>
      <c r="F7" s="13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48" t="s">
        <v>3979</v>
      </c>
      <c r="B8" s="2" t="s">
        <v>3980</v>
      </c>
      <c r="C8" s="547">
        <v>3000.0</v>
      </c>
      <c r="D8" s="2"/>
      <c r="E8" s="53"/>
      <c r="F8" s="13"/>
      <c r="G8" s="8"/>
      <c r="H8" s="8"/>
      <c r="I8" s="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2" t="s">
        <v>3981</v>
      </c>
      <c r="C9" s="547">
        <v>4000.0</v>
      </c>
      <c r="D9" s="2"/>
      <c r="E9" s="53"/>
      <c r="F9" s="13"/>
      <c r="G9" s="8"/>
      <c r="H9" s="8"/>
      <c r="I9" s="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2" t="s">
        <v>3982</v>
      </c>
      <c r="C10" s="547">
        <v>3000.0</v>
      </c>
      <c r="D10" s="2"/>
      <c r="E10" s="53"/>
      <c r="F10" s="13"/>
      <c r="G10" s="8"/>
      <c r="H10" s="8"/>
      <c r="I10" s="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61"/>
      <c r="B11" s="2" t="s">
        <v>20</v>
      </c>
      <c r="C11" s="547">
        <v>350.0</v>
      </c>
      <c r="D11" s="61"/>
      <c r="E11" s="59"/>
      <c r="F11" s="548"/>
      <c r="G11" s="59"/>
      <c r="H11" s="59"/>
      <c r="I11" s="46"/>
      <c r="J11" s="59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3.5" customHeight="1">
      <c r="A12" s="1"/>
      <c r="B12" s="1"/>
      <c r="C12" s="1"/>
      <c r="D12" s="13"/>
      <c r="E12" s="13"/>
      <c r="F12" s="13"/>
      <c r="G12" s="8"/>
      <c r="H12" s="8"/>
      <c r="I12" s="8"/>
      <c r="J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549" t="s">
        <v>3911</v>
      </c>
      <c r="B13" s="550" t="s">
        <v>3912</v>
      </c>
      <c r="C13" s="550" t="s">
        <v>3913</v>
      </c>
      <c r="D13" s="550" t="s">
        <v>3914</v>
      </c>
      <c r="E13" s="550" t="s">
        <v>36</v>
      </c>
      <c r="F13" s="80" t="s">
        <v>3983</v>
      </c>
      <c r="G13" s="81" t="s">
        <v>41</v>
      </c>
      <c r="H13" s="82" t="s">
        <v>42</v>
      </c>
      <c r="I13" s="86" t="s">
        <v>3984</v>
      </c>
      <c r="J13" s="86" t="s">
        <v>61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03" t="s">
        <v>86</v>
      </c>
      <c r="B14" s="104" t="s">
        <v>87</v>
      </c>
      <c r="C14" s="105" t="s">
        <v>121</v>
      </c>
      <c r="D14" s="109" t="s">
        <v>164</v>
      </c>
      <c r="E14" s="105" t="s">
        <v>166</v>
      </c>
      <c r="F14" s="104" t="s">
        <v>96</v>
      </c>
      <c r="G14" s="110" t="s">
        <v>97</v>
      </c>
      <c r="H14" s="110">
        <v>9.0</v>
      </c>
      <c r="I14" s="570">
        <v>367.7974918319467</v>
      </c>
      <c r="J14" s="571" t="s">
        <v>10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03" t="s">
        <v>86</v>
      </c>
      <c r="B15" s="104" t="s">
        <v>87</v>
      </c>
      <c r="C15" s="105" t="s">
        <v>121</v>
      </c>
      <c r="D15" s="109" t="s">
        <v>169</v>
      </c>
      <c r="E15" s="105" t="s">
        <v>171</v>
      </c>
      <c r="F15" s="104" t="s">
        <v>96</v>
      </c>
      <c r="G15" s="110" t="s">
        <v>97</v>
      </c>
      <c r="H15" s="110">
        <v>4.0</v>
      </c>
      <c r="I15" s="570">
        <v>762.8861011738475</v>
      </c>
      <c r="J15" s="571" t="s">
        <v>10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03" t="s">
        <v>86</v>
      </c>
      <c r="B16" s="104" t="s">
        <v>87</v>
      </c>
      <c r="C16" s="105" t="s">
        <v>207</v>
      </c>
      <c r="D16" s="109" t="s">
        <v>301</v>
      </c>
      <c r="E16" s="105" t="s">
        <v>303</v>
      </c>
      <c r="F16" s="104" t="s">
        <v>96</v>
      </c>
      <c r="G16" s="110" t="s">
        <v>97</v>
      </c>
      <c r="H16" s="110">
        <v>9.0</v>
      </c>
      <c r="I16" s="570">
        <v>376.02850384689816</v>
      </c>
      <c r="J16" s="571" t="s">
        <v>10</v>
      </c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ht="13.5" customHeight="1">
      <c r="A17" s="103" t="s">
        <v>86</v>
      </c>
      <c r="B17" s="104" t="s">
        <v>87</v>
      </c>
      <c r="C17" s="105" t="s">
        <v>207</v>
      </c>
      <c r="D17" s="109" t="s">
        <v>306</v>
      </c>
      <c r="E17" s="105" t="s">
        <v>308</v>
      </c>
      <c r="F17" s="104" t="s">
        <v>96</v>
      </c>
      <c r="G17" s="110" t="s">
        <v>97</v>
      </c>
      <c r="H17" s="110">
        <v>4.0</v>
      </c>
      <c r="I17" s="570">
        <v>779.9903641522442</v>
      </c>
      <c r="J17" s="571" t="s">
        <v>10</v>
      </c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ht="13.5" customHeight="1">
      <c r="A18" s="103" t="s">
        <v>86</v>
      </c>
      <c r="B18" s="104" t="s">
        <v>87</v>
      </c>
      <c r="C18" s="105" t="s">
        <v>207</v>
      </c>
      <c r="D18" s="109" t="s">
        <v>319</v>
      </c>
      <c r="E18" s="105" t="s">
        <v>303</v>
      </c>
      <c r="F18" s="104" t="s">
        <v>177</v>
      </c>
      <c r="G18" s="110" t="s">
        <v>97</v>
      </c>
      <c r="H18" s="110">
        <v>5.49</v>
      </c>
      <c r="I18" s="570">
        <v>393.2009668679642</v>
      </c>
      <c r="J18" s="571" t="s">
        <v>10</v>
      </c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ht="13.5" customHeight="1">
      <c r="A19" s="103" t="s">
        <v>86</v>
      </c>
      <c r="B19" s="104" t="s">
        <v>87</v>
      </c>
      <c r="C19" s="105" t="s">
        <v>207</v>
      </c>
      <c r="D19" s="109" t="s">
        <v>324</v>
      </c>
      <c r="E19" s="105" t="s">
        <v>326</v>
      </c>
      <c r="F19" s="104" t="s">
        <v>96</v>
      </c>
      <c r="G19" s="110" t="s">
        <v>97</v>
      </c>
      <c r="H19" s="110">
        <v>9.0</v>
      </c>
      <c r="I19" s="570">
        <v>413.0978420831348</v>
      </c>
      <c r="J19" s="571" t="s">
        <v>10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03" t="s">
        <v>86</v>
      </c>
      <c r="B20" s="104" t="s">
        <v>87</v>
      </c>
      <c r="C20" s="105" t="s">
        <v>207</v>
      </c>
      <c r="D20" s="109" t="s">
        <v>362</v>
      </c>
      <c r="E20" s="105" t="s">
        <v>364</v>
      </c>
      <c r="F20" s="104" t="s">
        <v>96</v>
      </c>
      <c r="G20" s="110" t="s">
        <v>97</v>
      </c>
      <c r="H20" s="110">
        <v>9.0</v>
      </c>
      <c r="I20" s="570">
        <v>467.90600705874135</v>
      </c>
      <c r="J20" s="571" t="s">
        <v>10</v>
      </c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</row>
    <row r="21" ht="13.5" customHeight="1">
      <c r="A21" s="103" t="s">
        <v>86</v>
      </c>
      <c r="B21" s="104" t="s">
        <v>87</v>
      </c>
      <c r="C21" s="105" t="s">
        <v>386</v>
      </c>
      <c r="D21" s="109" t="s">
        <v>398</v>
      </c>
      <c r="E21" s="105" t="s">
        <v>400</v>
      </c>
      <c r="F21" s="104" t="s">
        <v>96</v>
      </c>
      <c r="G21" s="110" t="s">
        <v>97</v>
      </c>
      <c r="H21" s="110">
        <v>6.0</v>
      </c>
      <c r="I21" s="570">
        <v>480.61834393527096</v>
      </c>
      <c r="J21" s="571" t="s">
        <v>10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03" t="s">
        <v>86</v>
      </c>
      <c r="B22" s="104" t="s">
        <v>87</v>
      </c>
      <c r="C22" s="105" t="s">
        <v>386</v>
      </c>
      <c r="D22" s="109" t="s">
        <v>403</v>
      </c>
      <c r="E22" s="105" t="s">
        <v>405</v>
      </c>
      <c r="F22" s="104" t="s">
        <v>96</v>
      </c>
      <c r="G22" s="110" t="s">
        <v>97</v>
      </c>
      <c r="H22" s="110">
        <v>4.0</v>
      </c>
      <c r="I22" s="570">
        <v>1000.5818111671047</v>
      </c>
      <c r="J22" s="571" t="s">
        <v>10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03" t="s">
        <v>86</v>
      </c>
      <c r="B23" s="104" t="s">
        <v>501</v>
      </c>
      <c r="C23" s="105" t="s">
        <v>502</v>
      </c>
      <c r="D23" s="109" t="s">
        <v>503</v>
      </c>
      <c r="E23" s="105" t="s">
        <v>505</v>
      </c>
      <c r="F23" s="104" t="s">
        <v>506</v>
      </c>
      <c r="G23" s="110" t="s">
        <v>507</v>
      </c>
      <c r="H23" s="110">
        <v>8640.0</v>
      </c>
      <c r="I23" s="572">
        <v>0.4620353124290433</v>
      </c>
      <c r="J23" s="571" t="s">
        <v>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03" t="s">
        <v>86</v>
      </c>
      <c r="B24" s="104" t="s">
        <v>501</v>
      </c>
      <c r="C24" s="105" t="s">
        <v>502</v>
      </c>
      <c r="D24" s="109" t="s">
        <v>511</v>
      </c>
      <c r="E24" s="105" t="s">
        <v>513</v>
      </c>
      <c r="F24" s="104" t="s">
        <v>514</v>
      </c>
      <c r="G24" s="110" t="s">
        <v>507</v>
      </c>
      <c r="H24" s="110">
        <v>8640.0</v>
      </c>
      <c r="I24" s="572">
        <v>0.4977798138366222</v>
      </c>
      <c r="J24" s="571" t="s">
        <v>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03" t="s">
        <v>86</v>
      </c>
      <c r="B25" s="104" t="s">
        <v>501</v>
      </c>
      <c r="C25" s="105" t="s">
        <v>502</v>
      </c>
      <c r="D25" s="109" t="s">
        <v>516</v>
      </c>
      <c r="E25" s="105" t="s">
        <v>518</v>
      </c>
      <c r="F25" s="104" t="s">
        <v>506</v>
      </c>
      <c r="G25" s="110" t="s">
        <v>507</v>
      </c>
      <c r="H25" s="110">
        <v>11520.0</v>
      </c>
      <c r="I25" s="572">
        <v>0.42105332497753856</v>
      </c>
      <c r="J25" s="571" t="s">
        <v>6</v>
      </c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ht="13.5" customHeight="1">
      <c r="A26" s="103" t="s">
        <v>86</v>
      </c>
      <c r="B26" s="104" t="s">
        <v>501</v>
      </c>
      <c r="C26" s="105" t="s">
        <v>502</v>
      </c>
      <c r="D26" s="109" t="s">
        <v>520</v>
      </c>
      <c r="E26" s="105" t="s">
        <v>522</v>
      </c>
      <c r="F26" s="104" t="s">
        <v>514</v>
      </c>
      <c r="G26" s="110" t="s">
        <v>507</v>
      </c>
      <c r="H26" s="110">
        <v>11520.0</v>
      </c>
      <c r="I26" s="572">
        <v>0.4327492506713591</v>
      </c>
      <c r="J26" s="571" t="s">
        <v>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03" t="s">
        <v>86</v>
      </c>
      <c r="B27" s="104" t="s">
        <v>501</v>
      </c>
      <c r="C27" s="105" t="s">
        <v>502</v>
      </c>
      <c r="D27" s="109" t="s">
        <v>524</v>
      </c>
      <c r="E27" s="105" t="s">
        <v>526</v>
      </c>
      <c r="F27" s="104" t="s">
        <v>514</v>
      </c>
      <c r="G27" s="110" t="s">
        <v>507</v>
      </c>
      <c r="H27" s="110">
        <v>11520.0</v>
      </c>
      <c r="I27" s="572">
        <v>0.5741445450053194</v>
      </c>
      <c r="J27" s="571" t="s">
        <v>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03" t="s">
        <v>86</v>
      </c>
      <c r="B28" s="104" t="s">
        <v>501</v>
      </c>
      <c r="C28" s="105" t="s">
        <v>502</v>
      </c>
      <c r="D28" s="109" t="s">
        <v>528</v>
      </c>
      <c r="E28" s="105" t="s">
        <v>530</v>
      </c>
      <c r="F28" s="104" t="s">
        <v>514</v>
      </c>
      <c r="G28" s="110" t="s">
        <v>507</v>
      </c>
      <c r="H28" s="110">
        <v>11520.0</v>
      </c>
      <c r="I28" s="572">
        <v>0.594289967637085</v>
      </c>
      <c r="J28" s="571" t="s">
        <v>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03" t="s">
        <v>86</v>
      </c>
      <c r="B29" s="104" t="s">
        <v>566</v>
      </c>
      <c r="C29" s="105" t="s">
        <v>567</v>
      </c>
      <c r="D29" s="109" t="s">
        <v>3925</v>
      </c>
      <c r="E29" s="105" t="s">
        <v>3926</v>
      </c>
      <c r="F29" s="104" t="s">
        <v>514</v>
      </c>
      <c r="G29" s="110" t="s">
        <v>573</v>
      </c>
      <c r="H29" s="110">
        <v>8064.0</v>
      </c>
      <c r="I29" s="572">
        <v>1.5769570123183645</v>
      </c>
      <c r="J29" s="571" t="s">
        <v>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03" t="s">
        <v>86</v>
      </c>
      <c r="B30" s="104" t="s">
        <v>566</v>
      </c>
      <c r="C30" s="105" t="s">
        <v>567</v>
      </c>
      <c r="D30" s="109" t="s">
        <v>3927</v>
      </c>
      <c r="E30" s="105" t="s">
        <v>3928</v>
      </c>
      <c r="F30" s="104" t="s">
        <v>514</v>
      </c>
      <c r="G30" s="110" t="s">
        <v>573</v>
      </c>
      <c r="H30" s="110">
        <v>8064.0</v>
      </c>
      <c r="I30" s="572">
        <v>1.7913680347587055</v>
      </c>
      <c r="J30" s="571" t="s">
        <v>10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03" t="s">
        <v>86</v>
      </c>
      <c r="B31" s="104" t="s">
        <v>566</v>
      </c>
      <c r="C31" s="105" t="s">
        <v>619</v>
      </c>
      <c r="D31" s="109" t="s">
        <v>638</v>
      </c>
      <c r="E31" s="105" t="s">
        <v>640</v>
      </c>
      <c r="F31" s="104" t="s">
        <v>641</v>
      </c>
      <c r="G31" s="110" t="s">
        <v>573</v>
      </c>
      <c r="H31" s="110">
        <v>6912.0</v>
      </c>
      <c r="I31" s="572">
        <v>1.4421294978105663</v>
      </c>
      <c r="J31" s="571" t="s">
        <v>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03" t="s">
        <v>86</v>
      </c>
      <c r="B32" s="104" t="s">
        <v>566</v>
      </c>
      <c r="C32" s="105" t="s">
        <v>619</v>
      </c>
      <c r="D32" s="109" t="s">
        <v>643</v>
      </c>
      <c r="E32" s="105" t="s">
        <v>645</v>
      </c>
      <c r="F32" s="104" t="s">
        <v>506</v>
      </c>
      <c r="G32" s="110" t="s">
        <v>573</v>
      </c>
      <c r="H32" s="110">
        <v>8064.0</v>
      </c>
      <c r="I32" s="572">
        <v>1.4209276496635126</v>
      </c>
      <c r="J32" s="571" t="s">
        <v>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03" t="s">
        <v>86</v>
      </c>
      <c r="B33" s="104" t="s">
        <v>566</v>
      </c>
      <c r="C33" s="105" t="s">
        <v>619</v>
      </c>
      <c r="D33" s="109" t="s">
        <v>647</v>
      </c>
      <c r="E33" s="105" t="s">
        <v>649</v>
      </c>
      <c r="F33" s="104" t="s">
        <v>614</v>
      </c>
      <c r="G33" s="110" t="s">
        <v>573</v>
      </c>
      <c r="H33" s="110">
        <v>10368.0</v>
      </c>
      <c r="I33" s="572">
        <v>1.394142989897482</v>
      </c>
      <c r="J33" s="571" t="s">
        <v>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03" t="s">
        <v>86</v>
      </c>
      <c r="B34" s="104" t="s">
        <v>566</v>
      </c>
      <c r="C34" s="105" t="s">
        <v>659</v>
      </c>
      <c r="D34" s="109" t="s">
        <v>672</v>
      </c>
      <c r="E34" s="105" t="s">
        <v>674</v>
      </c>
      <c r="F34" s="104" t="s">
        <v>641</v>
      </c>
      <c r="G34" s="110" t="s">
        <v>573</v>
      </c>
      <c r="H34" s="110">
        <v>6912.0</v>
      </c>
      <c r="I34" s="572">
        <v>1.5577480673918274</v>
      </c>
      <c r="J34" s="571" t="s">
        <v>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03" t="s">
        <v>86</v>
      </c>
      <c r="B35" s="104" t="s">
        <v>566</v>
      </c>
      <c r="C35" s="105" t="s">
        <v>659</v>
      </c>
      <c r="D35" s="109" t="s">
        <v>680</v>
      </c>
      <c r="E35" s="105" t="s">
        <v>682</v>
      </c>
      <c r="F35" s="104" t="s">
        <v>609</v>
      </c>
      <c r="G35" s="110" t="s">
        <v>573</v>
      </c>
      <c r="H35" s="110">
        <v>10368.0</v>
      </c>
      <c r="I35" s="572">
        <v>1.5137303684038852</v>
      </c>
      <c r="J35" s="571" t="s">
        <v>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03" t="s">
        <v>86</v>
      </c>
      <c r="B36" s="104" t="s">
        <v>566</v>
      </c>
      <c r="C36" s="105" t="s">
        <v>659</v>
      </c>
      <c r="D36" s="109" t="s">
        <v>692</v>
      </c>
      <c r="E36" s="105" t="s">
        <v>694</v>
      </c>
      <c r="F36" s="104" t="s">
        <v>614</v>
      </c>
      <c r="G36" s="110" t="s">
        <v>573</v>
      </c>
      <c r="H36" s="110">
        <v>10368.0</v>
      </c>
      <c r="I36" s="572">
        <v>1.7232849712161702</v>
      </c>
      <c r="J36" s="571" t="s">
        <v>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03" t="s">
        <v>86</v>
      </c>
      <c r="B37" s="104" t="s">
        <v>566</v>
      </c>
      <c r="C37" s="105" t="s">
        <v>709</v>
      </c>
      <c r="D37" s="109" t="s">
        <v>710</v>
      </c>
      <c r="E37" s="105" t="s">
        <v>712</v>
      </c>
      <c r="F37" s="104" t="s">
        <v>713</v>
      </c>
      <c r="G37" s="110" t="s">
        <v>714</v>
      </c>
      <c r="H37" s="110">
        <v>86400.0</v>
      </c>
      <c r="I37" s="572">
        <v>0.04913439314095786</v>
      </c>
      <c r="J37" s="571" t="s">
        <v>10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03" t="s">
        <v>86</v>
      </c>
      <c r="B38" s="104" t="s">
        <v>566</v>
      </c>
      <c r="C38" s="105" t="s">
        <v>709</v>
      </c>
      <c r="D38" s="109" t="s">
        <v>716</v>
      </c>
      <c r="E38" s="105" t="s">
        <v>718</v>
      </c>
      <c r="F38" s="104" t="s">
        <v>713</v>
      </c>
      <c r="G38" s="110" t="s">
        <v>714</v>
      </c>
      <c r="H38" s="110">
        <v>86400.0</v>
      </c>
      <c r="I38" s="572">
        <v>0.04913439314095786</v>
      </c>
      <c r="J38" s="571" t="s">
        <v>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03" t="s">
        <v>86</v>
      </c>
      <c r="B39" s="104" t="s">
        <v>566</v>
      </c>
      <c r="C39" s="105" t="s">
        <v>709</v>
      </c>
      <c r="D39" s="109" t="s">
        <v>720</v>
      </c>
      <c r="E39" s="105" t="s">
        <v>722</v>
      </c>
      <c r="F39" s="104" t="s">
        <v>713</v>
      </c>
      <c r="G39" s="110" t="s">
        <v>714</v>
      </c>
      <c r="H39" s="110">
        <v>86400.0</v>
      </c>
      <c r="I39" s="572">
        <v>0.04913439314095786</v>
      </c>
      <c r="J39" s="571" t="s">
        <v>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03" t="s">
        <v>86</v>
      </c>
      <c r="B40" s="104" t="s">
        <v>566</v>
      </c>
      <c r="C40" s="105" t="s">
        <v>709</v>
      </c>
      <c r="D40" s="109" t="s">
        <v>724</v>
      </c>
      <c r="E40" s="105" t="s">
        <v>726</v>
      </c>
      <c r="F40" s="104" t="s">
        <v>713</v>
      </c>
      <c r="G40" s="110" t="s">
        <v>714</v>
      </c>
      <c r="H40" s="110">
        <v>86400.0</v>
      </c>
      <c r="I40" s="572">
        <v>0.04913439314095786</v>
      </c>
      <c r="J40" s="571" t="s">
        <v>10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03" t="s">
        <v>86</v>
      </c>
      <c r="B41" s="104" t="s">
        <v>788</v>
      </c>
      <c r="C41" s="105" t="s">
        <v>840</v>
      </c>
      <c r="D41" s="109" t="s">
        <v>841</v>
      </c>
      <c r="E41" s="105" t="s">
        <v>843</v>
      </c>
      <c r="F41" s="104" t="s">
        <v>794</v>
      </c>
      <c r="G41" s="250" t="s">
        <v>795</v>
      </c>
      <c r="H41" s="110">
        <v>4800.0</v>
      </c>
      <c r="I41" s="572">
        <v>0.49967092425095755</v>
      </c>
      <c r="J41" s="571" t="s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03" t="s">
        <v>86</v>
      </c>
      <c r="B42" s="104" t="s">
        <v>788</v>
      </c>
      <c r="C42" s="105" t="s">
        <v>840</v>
      </c>
      <c r="D42" s="109" t="s">
        <v>845</v>
      </c>
      <c r="E42" s="105" t="s">
        <v>847</v>
      </c>
      <c r="F42" s="104" t="s">
        <v>794</v>
      </c>
      <c r="G42" s="407"/>
      <c r="H42" s="110">
        <v>4800.0</v>
      </c>
      <c r="I42" s="572">
        <v>0.5532062435811326</v>
      </c>
      <c r="J42" s="571" t="s">
        <v>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03" t="s">
        <v>86</v>
      </c>
      <c r="B43" s="104" t="s">
        <v>788</v>
      </c>
      <c r="C43" s="105" t="s">
        <v>840</v>
      </c>
      <c r="D43" s="109" t="s">
        <v>849</v>
      </c>
      <c r="E43" s="105" t="s">
        <v>851</v>
      </c>
      <c r="F43" s="104" t="s">
        <v>794</v>
      </c>
      <c r="G43" s="407"/>
      <c r="H43" s="110">
        <v>3200.0</v>
      </c>
      <c r="I43" s="572">
        <v>0.7072624397073451</v>
      </c>
      <c r="J43" s="571" t="s">
        <v>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03" t="s">
        <v>86</v>
      </c>
      <c r="B44" s="104" t="s">
        <v>788</v>
      </c>
      <c r="C44" s="105" t="s">
        <v>840</v>
      </c>
      <c r="D44" s="109" t="s">
        <v>853</v>
      </c>
      <c r="E44" s="105" t="s">
        <v>855</v>
      </c>
      <c r="F44" s="104" t="s">
        <v>794</v>
      </c>
      <c r="G44" s="407"/>
      <c r="H44" s="110">
        <v>2240.0</v>
      </c>
      <c r="I44" s="572">
        <v>0.9981472935233653</v>
      </c>
      <c r="J44" s="571" t="s">
        <v>10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03" t="s">
        <v>86</v>
      </c>
      <c r="B45" s="104" t="s">
        <v>788</v>
      </c>
      <c r="C45" s="105" t="s">
        <v>840</v>
      </c>
      <c r="D45" s="109" t="s">
        <v>857</v>
      </c>
      <c r="E45" s="105" t="s">
        <v>859</v>
      </c>
      <c r="F45" s="104" t="s">
        <v>794</v>
      </c>
      <c r="G45" s="407"/>
      <c r="H45" s="110">
        <v>1600.0</v>
      </c>
      <c r="I45" s="572">
        <v>1.300505703732135</v>
      </c>
      <c r="J45" s="571" t="s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03" t="s">
        <v>86</v>
      </c>
      <c r="B46" s="104" t="s">
        <v>788</v>
      </c>
      <c r="C46" s="105" t="s">
        <v>840</v>
      </c>
      <c r="D46" s="109" t="s">
        <v>861</v>
      </c>
      <c r="E46" s="105" t="s">
        <v>863</v>
      </c>
      <c r="F46" s="104" t="s">
        <v>794</v>
      </c>
      <c r="G46" s="407"/>
      <c r="H46" s="110">
        <v>960.0</v>
      </c>
      <c r="I46" s="572">
        <v>1.9263636872904981</v>
      </c>
      <c r="J46" s="571" t="s">
        <v>10</v>
      </c>
      <c r="K46" s="563"/>
      <c r="L46" s="563"/>
      <c r="M46" s="563"/>
      <c r="N46" s="563"/>
      <c r="O46" s="563"/>
      <c r="P46" s="563"/>
      <c r="Q46" s="563"/>
      <c r="R46" s="563"/>
      <c r="S46" s="563"/>
      <c r="T46" s="563"/>
      <c r="U46" s="563"/>
      <c r="V46" s="563"/>
      <c r="W46" s="563"/>
      <c r="X46" s="563"/>
      <c r="Y46" s="563"/>
      <c r="Z46" s="563"/>
    </row>
    <row r="47" ht="13.5" customHeight="1">
      <c r="A47" s="103" t="s">
        <v>86</v>
      </c>
      <c r="B47" s="104" t="s">
        <v>788</v>
      </c>
      <c r="C47" s="105" t="s">
        <v>840</v>
      </c>
      <c r="D47" s="109" t="s">
        <v>865</v>
      </c>
      <c r="E47" s="105" t="s">
        <v>867</v>
      </c>
      <c r="F47" s="104" t="s">
        <v>794</v>
      </c>
      <c r="G47" s="408"/>
      <c r="H47" s="110">
        <v>640.0</v>
      </c>
      <c r="I47" s="572">
        <v>3.3408056341392145</v>
      </c>
      <c r="J47" s="571" t="s">
        <v>10</v>
      </c>
      <c r="K47" s="563"/>
      <c r="L47" s="563"/>
      <c r="M47" s="563"/>
      <c r="N47" s="563"/>
      <c r="O47" s="563"/>
      <c r="P47" s="563"/>
      <c r="Q47" s="563"/>
      <c r="R47" s="563"/>
      <c r="S47" s="563"/>
      <c r="T47" s="563"/>
      <c r="U47" s="563"/>
      <c r="V47" s="563"/>
      <c r="W47" s="563"/>
      <c r="X47" s="563"/>
      <c r="Y47" s="563"/>
      <c r="Z47" s="563"/>
    </row>
    <row r="48" ht="13.5" customHeight="1">
      <c r="A48" s="103" t="s">
        <v>86</v>
      </c>
      <c r="B48" s="104" t="s">
        <v>788</v>
      </c>
      <c r="C48" s="105" t="s">
        <v>840</v>
      </c>
      <c r="D48" s="109" t="s">
        <v>869</v>
      </c>
      <c r="E48" s="105" t="s">
        <v>871</v>
      </c>
      <c r="F48" s="104" t="s">
        <v>794</v>
      </c>
      <c r="G48" s="250" t="s">
        <v>795</v>
      </c>
      <c r="H48" s="110">
        <v>4800.0</v>
      </c>
      <c r="I48" s="572">
        <v>0.5141228424527863</v>
      </c>
      <c r="J48" s="571" t="s">
        <v>10</v>
      </c>
      <c r="K48" s="563"/>
      <c r="L48" s="563"/>
      <c r="M48" s="563"/>
      <c r="N48" s="563"/>
      <c r="O48" s="563"/>
      <c r="P48" s="563"/>
      <c r="Q48" s="563"/>
      <c r="R48" s="563"/>
      <c r="S48" s="563"/>
      <c r="T48" s="563"/>
      <c r="U48" s="563"/>
      <c r="V48" s="563"/>
      <c r="W48" s="563"/>
      <c r="X48" s="563"/>
      <c r="Y48" s="563"/>
      <c r="Z48" s="563"/>
    </row>
    <row r="49" ht="13.5" customHeight="1">
      <c r="A49" s="103" t="s">
        <v>86</v>
      </c>
      <c r="B49" s="104" t="s">
        <v>788</v>
      </c>
      <c r="C49" s="105" t="s">
        <v>840</v>
      </c>
      <c r="D49" s="109" t="s">
        <v>872</v>
      </c>
      <c r="E49" s="105" t="s">
        <v>874</v>
      </c>
      <c r="F49" s="104" t="s">
        <v>794</v>
      </c>
      <c r="G49" s="407"/>
      <c r="H49" s="110">
        <v>4800.0</v>
      </c>
      <c r="I49" s="572">
        <v>0.5704198585927848</v>
      </c>
      <c r="J49" s="571" t="s">
        <v>10</v>
      </c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</row>
    <row r="50" ht="13.5" customHeight="1">
      <c r="A50" s="103" t="s">
        <v>86</v>
      </c>
      <c r="B50" s="104" t="s">
        <v>788</v>
      </c>
      <c r="C50" s="105" t="s">
        <v>840</v>
      </c>
      <c r="D50" s="109" t="s">
        <v>875</v>
      </c>
      <c r="E50" s="105" t="s">
        <v>877</v>
      </c>
      <c r="F50" s="104" t="s">
        <v>794</v>
      </c>
      <c r="G50" s="407"/>
      <c r="H50" s="110">
        <v>3200.0</v>
      </c>
      <c r="I50" s="572">
        <v>0.7317925296846688</v>
      </c>
      <c r="J50" s="571" t="s">
        <v>10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03" t="s">
        <v>86</v>
      </c>
      <c r="B51" s="104" t="s">
        <v>788</v>
      </c>
      <c r="C51" s="105" t="s">
        <v>840</v>
      </c>
      <c r="D51" s="109" t="s">
        <v>878</v>
      </c>
      <c r="E51" s="105" t="s">
        <v>880</v>
      </c>
      <c r="F51" s="104" t="s">
        <v>794</v>
      </c>
      <c r="G51" s="407"/>
      <c r="H51" s="110">
        <v>2240.0</v>
      </c>
      <c r="I51" s="572">
        <v>1.036890149567729</v>
      </c>
      <c r="J51" s="571" t="s">
        <v>10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03" t="s">
        <v>86</v>
      </c>
      <c r="B52" s="104" t="s">
        <v>788</v>
      </c>
      <c r="C52" s="105" t="s">
        <v>840</v>
      </c>
      <c r="D52" s="109" t="s">
        <v>881</v>
      </c>
      <c r="E52" s="105" t="s">
        <v>883</v>
      </c>
      <c r="F52" s="104" t="s">
        <v>794</v>
      </c>
      <c r="G52" s="407"/>
      <c r="H52" s="110">
        <v>1600.0</v>
      </c>
      <c r="I52" s="572">
        <v>1.3539029417172719</v>
      </c>
      <c r="J52" s="571" t="s">
        <v>10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03" t="s">
        <v>86</v>
      </c>
      <c r="B53" s="104" t="s">
        <v>788</v>
      </c>
      <c r="C53" s="105" t="s">
        <v>840</v>
      </c>
      <c r="D53" s="109" t="s">
        <v>884</v>
      </c>
      <c r="E53" s="105" t="s">
        <v>886</v>
      </c>
      <c r="F53" s="104" t="s">
        <v>794</v>
      </c>
      <c r="G53" s="407"/>
      <c r="H53" s="110">
        <v>960.0</v>
      </c>
      <c r="I53" s="572">
        <v>2.009585327282567</v>
      </c>
      <c r="J53" s="571" t="s">
        <v>10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03" t="s">
        <v>86</v>
      </c>
      <c r="B54" s="104" t="s">
        <v>788</v>
      </c>
      <c r="C54" s="105" t="s">
        <v>840</v>
      </c>
      <c r="D54" s="109" t="s">
        <v>887</v>
      </c>
      <c r="E54" s="105" t="s">
        <v>889</v>
      </c>
      <c r="F54" s="104" t="s">
        <v>794</v>
      </c>
      <c r="G54" s="408"/>
      <c r="H54" s="110">
        <v>640.0</v>
      </c>
      <c r="I54" s="572">
        <v>3.494439471945246</v>
      </c>
      <c r="J54" s="571" t="s">
        <v>10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03" t="s">
        <v>86</v>
      </c>
      <c r="B55" s="104" t="s">
        <v>788</v>
      </c>
      <c r="C55" s="105" t="s">
        <v>973</v>
      </c>
      <c r="D55" s="109" t="s">
        <v>1003</v>
      </c>
      <c r="E55" s="105" t="s">
        <v>977</v>
      </c>
      <c r="F55" s="104" t="s">
        <v>794</v>
      </c>
      <c r="G55" s="250" t="s">
        <v>795</v>
      </c>
      <c r="H55" s="110">
        <v>4800.0</v>
      </c>
      <c r="I55" s="572">
        <v>0.5259637594479504</v>
      </c>
      <c r="J55" s="571" t="s">
        <v>10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03" t="s">
        <v>86</v>
      </c>
      <c r="B56" s="104" t="s">
        <v>788</v>
      </c>
      <c r="C56" s="105" t="s">
        <v>973</v>
      </c>
      <c r="D56" s="109" t="s">
        <v>1005</v>
      </c>
      <c r="E56" s="105" t="s">
        <v>982</v>
      </c>
      <c r="F56" s="104" t="s">
        <v>794</v>
      </c>
      <c r="G56" s="407"/>
      <c r="H56" s="110">
        <v>4800.0</v>
      </c>
      <c r="I56" s="572">
        <v>0.5948003719136336</v>
      </c>
      <c r="J56" s="571" t="s">
        <v>10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03" t="s">
        <v>86</v>
      </c>
      <c r="B57" s="104" t="s">
        <v>788</v>
      </c>
      <c r="C57" s="105" t="s">
        <v>973</v>
      </c>
      <c r="D57" s="109" t="s">
        <v>1006</v>
      </c>
      <c r="E57" s="105" t="s">
        <v>986</v>
      </c>
      <c r="F57" s="104" t="s">
        <v>794</v>
      </c>
      <c r="G57" s="407"/>
      <c r="H57" s="110">
        <v>3200.0</v>
      </c>
      <c r="I57" s="572">
        <v>0.7358886837033914</v>
      </c>
      <c r="J57" s="571" t="s">
        <v>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03" t="s">
        <v>86</v>
      </c>
      <c r="B58" s="104" t="s">
        <v>788</v>
      </c>
      <c r="C58" s="105" t="s">
        <v>973</v>
      </c>
      <c r="D58" s="109" t="s">
        <v>1007</v>
      </c>
      <c r="E58" s="105" t="s">
        <v>990</v>
      </c>
      <c r="F58" s="104" t="s">
        <v>794</v>
      </c>
      <c r="G58" s="407"/>
      <c r="H58" s="110">
        <v>2240.0</v>
      </c>
      <c r="I58" s="572">
        <v>1.0445231503843242</v>
      </c>
      <c r="J58" s="571" t="s">
        <v>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03" t="s">
        <v>86</v>
      </c>
      <c r="B59" s="104" t="s">
        <v>788</v>
      </c>
      <c r="C59" s="105" t="s">
        <v>973</v>
      </c>
      <c r="D59" s="109" t="s">
        <v>1008</v>
      </c>
      <c r="E59" s="105" t="s">
        <v>994</v>
      </c>
      <c r="F59" s="104" t="s">
        <v>794</v>
      </c>
      <c r="G59" s="407"/>
      <c r="H59" s="110">
        <v>1600.0</v>
      </c>
      <c r="I59" s="572">
        <v>1.358048766908792</v>
      </c>
      <c r="J59" s="571" t="s">
        <v>10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03" t="s">
        <v>86</v>
      </c>
      <c r="B60" s="104" t="s">
        <v>788</v>
      </c>
      <c r="C60" s="105" t="s">
        <v>973</v>
      </c>
      <c r="D60" s="109" t="s">
        <v>1009</v>
      </c>
      <c r="E60" s="105" t="s">
        <v>998</v>
      </c>
      <c r="F60" s="104" t="s">
        <v>794</v>
      </c>
      <c r="G60" s="407"/>
      <c r="H60" s="110">
        <v>960.0</v>
      </c>
      <c r="I60" s="572">
        <v>2.0508736033263397</v>
      </c>
      <c r="J60" s="571" t="s">
        <v>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03" t="s">
        <v>86</v>
      </c>
      <c r="B61" s="104" t="s">
        <v>788</v>
      </c>
      <c r="C61" s="105" t="s">
        <v>973</v>
      </c>
      <c r="D61" s="109" t="s">
        <v>1010</v>
      </c>
      <c r="E61" s="105" t="s">
        <v>1002</v>
      </c>
      <c r="F61" s="104" t="s">
        <v>794</v>
      </c>
      <c r="G61" s="407"/>
      <c r="H61" s="110">
        <v>640.0</v>
      </c>
      <c r="I61" s="572">
        <v>3.65232085795791</v>
      </c>
      <c r="J61" s="571" t="s">
        <v>10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03" t="s">
        <v>86</v>
      </c>
      <c r="B62" s="104" t="s">
        <v>788</v>
      </c>
      <c r="C62" s="105" t="s">
        <v>973</v>
      </c>
      <c r="D62" s="109" t="s">
        <v>1012</v>
      </c>
      <c r="E62" s="105" t="s">
        <v>1014</v>
      </c>
      <c r="F62" s="104" t="s">
        <v>1015</v>
      </c>
      <c r="G62" s="407"/>
      <c r="H62" s="110">
        <v>416.0</v>
      </c>
      <c r="I62" s="572">
        <v>5.5641435298403215</v>
      </c>
      <c r="J62" s="571" t="s">
        <v>10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03" t="s">
        <v>86</v>
      </c>
      <c r="B63" s="104" t="s">
        <v>788</v>
      </c>
      <c r="C63" s="105" t="s">
        <v>973</v>
      </c>
      <c r="D63" s="109" t="s">
        <v>1017</v>
      </c>
      <c r="E63" s="105" t="s">
        <v>1019</v>
      </c>
      <c r="F63" s="104" t="s">
        <v>1015</v>
      </c>
      <c r="G63" s="407"/>
      <c r="H63" s="110">
        <v>288.0</v>
      </c>
      <c r="I63" s="572">
        <v>7.434415471295904</v>
      </c>
      <c r="J63" s="571" t="s">
        <v>10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03" t="s">
        <v>86</v>
      </c>
      <c r="B64" s="104" t="s">
        <v>788</v>
      </c>
      <c r="C64" s="105" t="s">
        <v>973</v>
      </c>
      <c r="D64" s="109" t="s">
        <v>1021</v>
      </c>
      <c r="E64" s="105" t="s">
        <v>1023</v>
      </c>
      <c r="F64" s="104" t="s">
        <v>1015</v>
      </c>
      <c r="G64" s="407"/>
      <c r="H64" s="110">
        <v>224.0</v>
      </c>
      <c r="I64" s="572">
        <v>9.252547604974204</v>
      </c>
      <c r="J64" s="571" t="s">
        <v>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03" t="s">
        <v>86</v>
      </c>
      <c r="B65" s="104" t="s">
        <v>788</v>
      </c>
      <c r="C65" s="105" t="s">
        <v>973</v>
      </c>
      <c r="D65" s="109" t="s">
        <v>1024</v>
      </c>
      <c r="E65" s="105" t="s">
        <v>1026</v>
      </c>
      <c r="F65" s="104" t="s">
        <v>1015</v>
      </c>
      <c r="G65" s="408"/>
      <c r="H65" s="110">
        <v>160.0</v>
      </c>
      <c r="I65" s="572">
        <v>11.17787259714674</v>
      </c>
      <c r="J65" s="571" t="s">
        <v>10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03" t="s">
        <v>86</v>
      </c>
      <c r="B66" s="104" t="s">
        <v>1158</v>
      </c>
      <c r="C66" s="105" t="s">
        <v>1158</v>
      </c>
      <c r="D66" s="109" t="s">
        <v>1173</v>
      </c>
      <c r="E66" s="105" t="s">
        <v>3933</v>
      </c>
      <c r="F66" s="104" t="s">
        <v>554</v>
      </c>
      <c r="G66" s="110" t="s">
        <v>1176</v>
      </c>
      <c r="H66" s="110">
        <v>240.0</v>
      </c>
      <c r="I66" s="572">
        <v>5.999581280008351</v>
      </c>
      <c r="J66" s="571" t="s">
        <v>10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3" t="s">
        <v>86</v>
      </c>
      <c r="B67" s="104" t="s">
        <v>1158</v>
      </c>
      <c r="C67" s="105" t="s">
        <v>1158</v>
      </c>
      <c r="D67" s="109" t="s">
        <v>1179</v>
      </c>
      <c r="E67" s="105" t="s">
        <v>3934</v>
      </c>
      <c r="F67" s="104" t="s">
        <v>554</v>
      </c>
      <c r="G67" s="110" t="s">
        <v>1176</v>
      </c>
      <c r="H67" s="110">
        <v>240.0</v>
      </c>
      <c r="I67" s="572">
        <v>13.059757622148707</v>
      </c>
      <c r="J67" s="571" t="s">
        <v>10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3" t="s">
        <v>86</v>
      </c>
      <c r="B68" s="104" t="s">
        <v>1158</v>
      </c>
      <c r="C68" s="105" t="s">
        <v>1158</v>
      </c>
      <c r="D68" s="109" t="s">
        <v>1189</v>
      </c>
      <c r="E68" s="105" t="s">
        <v>1167</v>
      </c>
      <c r="F68" s="104" t="s">
        <v>554</v>
      </c>
      <c r="G68" s="110" t="s">
        <v>1176</v>
      </c>
      <c r="H68" s="110">
        <v>240.0</v>
      </c>
      <c r="I68" s="572">
        <v>6.117028116459749</v>
      </c>
      <c r="J68" s="571" t="s">
        <v>10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3" t="s">
        <v>86</v>
      </c>
      <c r="B69" s="104" t="s">
        <v>1158</v>
      </c>
      <c r="C69" s="105" t="s">
        <v>1158</v>
      </c>
      <c r="D69" s="109" t="s">
        <v>1208</v>
      </c>
      <c r="E69" s="105" t="s">
        <v>1206</v>
      </c>
      <c r="F69" s="104" t="s">
        <v>554</v>
      </c>
      <c r="G69" s="110" t="s">
        <v>1176</v>
      </c>
      <c r="H69" s="110">
        <v>120.0</v>
      </c>
      <c r="I69" s="572">
        <v>26.1384571842303</v>
      </c>
      <c r="J69" s="571" t="s">
        <v>10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03" t="s">
        <v>1266</v>
      </c>
      <c r="B70" s="104" t="s">
        <v>1267</v>
      </c>
      <c r="C70" s="105" t="s">
        <v>1267</v>
      </c>
      <c r="D70" s="109" t="s">
        <v>1301</v>
      </c>
      <c r="E70" s="105" t="s">
        <v>3985</v>
      </c>
      <c r="F70" s="104"/>
      <c r="G70" s="110"/>
      <c r="H70" s="110"/>
      <c r="I70" s="572">
        <v>0.26</v>
      </c>
      <c r="J70" s="571" t="s">
        <v>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03" t="s">
        <v>1266</v>
      </c>
      <c r="B71" s="104" t="s">
        <v>1267</v>
      </c>
      <c r="C71" s="105" t="s">
        <v>1267</v>
      </c>
      <c r="D71" s="109" t="s">
        <v>1269</v>
      </c>
      <c r="E71" s="105" t="s">
        <v>3938</v>
      </c>
      <c r="F71" s="104" t="s">
        <v>1272</v>
      </c>
      <c r="G71" s="110" t="s">
        <v>555</v>
      </c>
      <c r="H71" s="110">
        <v>36000.0</v>
      </c>
      <c r="I71" s="572">
        <v>0.3942434632195073</v>
      </c>
      <c r="J71" s="571" t="s">
        <v>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 t="s">
        <v>1266</v>
      </c>
      <c r="B72" s="104" t="s">
        <v>1267</v>
      </c>
      <c r="C72" s="105" t="s">
        <v>1267</v>
      </c>
      <c r="D72" s="109" t="s">
        <v>1276</v>
      </c>
      <c r="E72" s="105" t="s">
        <v>3939</v>
      </c>
      <c r="F72" s="104" t="s">
        <v>1272</v>
      </c>
      <c r="G72" s="110" t="s">
        <v>555</v>
      </c>
      <c r="H72" s="110">
        <v>36000.0</v>
      </c>
      <c r="I72" s="572">
        <v>0.3942434632195073</v>
      </c>
      <c r="J72" s="571" t="s">
        <v>10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 t="s">
        <v>1266</v>
      </c>
      <c r="B73" s="104" t="s">
        <v>1267</v>
      </c>
      <c r="C73" s="105" t="s">
        <v>1267</v>
      </c>
      <c r="D73" s="109" t="s">
        <v>1289</v>
      </c>
      <c r="E73" s="105" t="s">
        <v>3940</v>
      </c>
      <c r="F73" s="104" t="s">
        <v>1287</v>
      </c>
      <c r="G73" s="110" t="s">
        <v>555</v>
      </c>
      <c r="H73" s="110">
        <v>18000.0</v>
      </c>
      <c r="I73" s="572">
        <v>0.30078880656495727</v>
      </c>
      <c r="J73" s="571" t="s">
        <v>10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3" t="s">
        <v>1266</v>
      </c>
      <c r="B74" s="104" t="s">
        <v>1267</v>
      </c>
      <c r="C74" s="105" t="s">
        <v>1267</v>
      </c>
      <c r="D74" s="109" t="s">
        <v>1293</v>
      </c>
      <c r="E74" s="105" t="s">
        <v>1295</v>
      </c>
      <c r="F74" s="104" t="s">
        <v>1287</v>
      </c>
      <c r="G74" s="110" t="s">
        <v>555</v>
      </c>
      <c r="H74" s="110">
        <v>18000.0</v>
      </c>
      <c r="I74" s="572">
        <v>0.30078880656495727</v>
      </c>
      <c r="J74" s="571" t="s">
        <v>10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3" t="s">
        <v>1266</v>
      </c>
      <c r="B75" s="104" t="s">
        <v>1306</v>
      </c>
      <c r="C75" s="105" t="s">
        <v>1307</v>
      </c>
      <c r="D75" s="109" t="s">
        <v>1308</v>
      </c>
      <c r="E75" s="105" t="s">
        <v>1310</v>
      </c>
      <c r="F75" s="104" t="s">
        <v>554</v>
      </c>
      <c r="G75" s="110" t="s">
        <v>1176</v>
      </c>
      <c r="H75" s="110">
        <v>1800.0</v>
      </c>
      <c r="I75" s="572">
        <v>1.103168332999441</v>
      </c>
      <c r="J75" s="571" t="s">
        <v>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3" t="s">
        <v>1266</v>
      </c>
      <c r="B76" s="104" t="s">
        <v>1306</v>
      </c>
      <c r="C76" s="105" t="s">
        <v>1307</v>
      </c>
      <c r="D76" s="109" t="s">
        <v>1313</v>
      </c>
      <c r="E76" s="105" t="s">
        <v>1315</v>
      </c>
      <c r="F76" s="104" t="s">
        <v>554</v>
      </c>
      <c r="G76" s="110" t="s">
        <v>1176</v>
      </c>
      <c r="H76" s="110">
        <v>1800.0</v>
      </c>
      <c r="I76" s="572">
        <v>0.11959275018010611</v>
      </c>
      <c r="J76" s="571" t="s">
        <v>10</v>
      </c>
      <c r="K76" s="564"/>
      <c r="L76" s="564"/>
      <c r="M76" s="564"/>
      <c r="N76" s="564"/>
      <c r="O76" s="564"/>
      <c r="P76" s="564"/>
      <c r="Q76" s="564"/>
      <c r="R76" s="564"/>
      <c r="S76" s="564"/>
      <c r="T76" s="564"/>
      <c r="U76" s="564"/>
      <c r="V76" s="564"/>
      <c r="W76" s="564"/>
      <c r="X76" s="564"/>
      <c r="Y76" s="564"/>
      <c r="Z76" s="564"/>
    </row>
    <row r="77" ht="13.5" customHeight="1">
      <c r="A77" s="103" t="s">
        <v>1266</v>
      </c>
      <c r="B77" s="104" t="s">
        <v>1317</v>
      </c>
      <c r="C77" s="105" t="s">
        <v>1319</v>
      </c>
      <c r="D77" s="109" t="s">
        <v>1320</v>
      </c>
      <c r="E77" s="105" t="s">
        <v>1322</v>
      </c>
      <c r="F77" s="104" t="s">
        <v>1323</v>
      </c>
      <c r="G77" s="110" t="s">
        <v>1324</v>
      </c>
      <c r="H77" s="110">
        <v>1440.0</v>
      </c>
      <c r="I77" s="572">
        <v>1.9865897181998935</v>
      </c>
      <c r="J77" s="571" t="s">
        <v>10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03" t="s">
        <v>1266</v>
      </c>
      <c r="B78" s="104" t="s">
        <v>1317</v>
      </c>
      <c r="C78" s="105" t="s">
        <v>1319</v>
      </c>
      <c r="D78" s="109" t="s">
        <v>1325</v>
      </c>
      <c r="E78" s="105" t="s">
        <v>1327</v>
      </c>
      <c r="F78" s="104" t="s">
        <v>1323</v>
      </c>
      <c r="G78" s="110" t="s">
        <v>1324</v>
      </c>
      <c r="H78" s="110">
        <v>1120.0</v>
      </c>
      <c r="I78" s="572">
        <v>2.2049949267128954</v>
      </c>
      <c r="J78" s="571" t="s">
        <v>10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03" t="s">
        <v>1266</v>
      </c>
      <c r="B79" s="104" t="s">
        <v>1317</v>
      </c>
      <c r="C79" s="105" t="s">
        <v>1319</v>
      </c>
      <c r="D79" s="109" t="s">
        <v>1328</v>
      </c>
      <c r="E79" s="105" t="s">
        <v>1330</v>
      </c>
      <c r="F79" s="104" t="s">
        <v>1323</v>
      </c>
      <c r="G79" s="110" t="s">
        <v>1324</v>
      </c>
      <c r="H79" s="110">
        <v>1040.0</v>
      </c>
      <c r="I79" s="572">
        <v>2.402371198668257</v>
      </c>
      <c r="J79" s="571" t="s">
        <v>10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03" t="s">
        <v>1266</v>
      </c>
      <c r="B80" s="104" t="s">
        <v>1317</v>
      </c>
      <c r="C80" s="105" t="s">
        <v>1319</v>
      </c>
      <c r="D80" s="109" t="s">
        <v>1331</v>
      </c>
      <c r="E80" s="105" t="s">
        <v>1333</v>
      </c>
      <c r="F80" s="104" t="s">
        <v>1323</v>
      </c>
      <c r="G80" s="110" t="s">
        <v>1324</v>
      </c>
      <c r="H80" s="110">
        <v>800.0</v>
      </c>
      <c r="I80" s="572">
        <v>2.8095902068136898</v>
      </c>
      <c r="J80" s="571" t="s">
        <v>10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3" t="s">
        <v>1266</v>
      </c>
      <c r="B81" s="104" t="s">
        <v>1317</v>
      </c>
      <c r="C81" s="105" t="s">
        <v>1319</v>
      </c>
      <c r="D81" s="109" t="s">
        <v>1341</v>
      </c>
      <c r="E81" s="105" t="s">
        <v>1343</v>
      </c>
      <c r="F81" s="104" t="s">
        <v>1323</v>
      </c>
      <c r="G81" s="110" t="s">
        <v>1324</v>
      </c>
      <c r="H81" s="110">
        <v>1600.0</v>
      </c>
      <c r="I81" s="572">
        <v>1.97637729989924</v>
      </c>
      <c r="J81" s="571" t="s">
        <v>10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3" t="s">
        <v>1266</v>
      </c>
      <c r="B82" s="104" t="s">
        <v>1317</v>
      </c>
      <c r="C82" s="105" t="s">
        <v>1319</v>
      </c>
      <c r="D82" s="109" t="s">
        <v>1345</v>
      </c>
      <c r="E82" s="105" t="s">
        <v>1347</v>
      </c>
      <c r="F82" s="104" t="s">
        <v>1323</v>
      </c>
      <c r="G82" s="110" t="s">
        <v>1324</v>
      </c>
      <c r="H82" s="110">
        <v>1200.0</v>
      </c>
      <c r="I82" s="572">
        <v>2.1962414253123352</v>
      </c>
      <c r="J82" s="571" t="s">
        <v>10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3" t="s">
        <v>1266</v>
      </c>
      <c r="B83" s="104" t="s">
        <v>1317</v>
      </c>
      <c r="C83" s="105" t="s">
        <v>1319</v>
      </c>
      <c r="D83" s="109" t="s">
        <v>1348</v>
      </c>
      <c r="E83" s="105" t="s">
        <v>1350</v>
      </c>
      <c r="F83" s="104" t="s">
        <v>1323</v>
      </c>
      <c r="G83" s="110" t="s">
        <v>1324</v>
      </c>
      <c r="H83" s="110">
        <v>1120.0</v>
      </c>
      <c r="I83" s="572">
        <v>2.3922710047445332</v>
      </c>
      <c r="J83" s="571" t="s">
        <v>10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3" t="s">
        <v>1266</v>
      </c>
      <c r="B84" s="104" t="s">
        <v>1317</v>
      </c>
      <c r="C84" s="105" t="s">
        <v>1319</v>
      </c>
      <c r="D84" s="109" t="s">
        <v>1352</v>
      </c>
      <c r="E84" s="105" t="s">
        <v>1354</v>
      </c>
      <c r="F84" s="104" t="s">
        <v>1323</v>
      </c>
      <c r="G84" s="110" t="s">
        <v>1324</v>
      </c>
      <c r="H84" s="110">
        <v>800.0</v>
      </c>
      <c r="I84" s="572">
        <v>2.8095902068136898</v>
      </c>
      <c r="J84" s="571" t="s">
        <v>10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03" t="s">
        <v>1266</v>
      </c>
      <c r="B85" s="104" t="s">
        <v>1317</v>
      </c>
      <c r="C85" s="105" t="s">
        <v>1319</v>
      </c>
      <c r="D85" s="109" t="s">
        <v>1368</v>
      </c>
      <c r="E85" s="105" t="s">
        <v>1370</v>
      </c>
      <c r="F85" s="104" t="s">
        <v>1323</v>
      </c>
      <c r="G85" s="110" t="s">
        <v>1324</v>
      </c>
      <c r="H85" s="110">
        <v>1760.0</v>
      </c>
      <c r="I85" s="572">
        <v>1.9680216849259782</v>
      </c>
      <c r="J85" s="571" t="s">
        <v>10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03" t="s">
        <v>1266</v>
      </c>
      <c r="B86" s="104" t="s">
        <v>1317</v>
      </c>
      <c r="C86" s="105" t="s">
        <v>1319</v>
      </c>
      <c r="D86" s="109" t="s">
        <v>1372</v>
      </c>
      <c r="E86" s="105" t="s">
        <v>1374</v>
      </c>
      <c r="F86" s="104" t="s">
        <v>1323</v>
      </c>
      <c r="G86" s="110" t="s">
        <v>1324</v>
      </c>
      <c r="H86" s="110">
        <v>1280.0</v>
      </c>
      <c r="I86" s="572">
        <v>2.1885821115868453</v>
      </c>
      <c r="J86" s="571" t="s">
        <v>10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03" t="s">
        <v>1266</v>
      </c>
      <c r="B87" s="104" t="s">
        <v>1317</v>
      </c>
      <c r="C87" s="105" t="s">
        <v>1319</v>
      </c>
      <c r="D87" s="109" t="s">
        <v>1375</v>
      </c>
      <c r="E87" s="105" t="s">
        <v>1377</v>
      </c>
      <c r="F87" s="104" t="s">
        <v>1323</v>
      </c>
      <c r="G87" s="110" t="s">
        <v>1324</v>
      </c>
      <c r="H87" s="110">
        <v>1120.0</v>
      </c>
      <c r="I87" s="572">
        <v>2.3922710047445332</v>
      </c>
      <c r="J87" s="571" t="s">
        <v>10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03" t="s">
        <v>1266</v>
      </c>
      <c r="B88" s="104" t="s">
        <v>1317</v>
      </c>
      <c r="C88" s="105" t="s">
        <v>1319</v>
      </c>
      <c r="D88" s="109" t="s">
        <v>1379</v>
      </c>
      <c r="E88" s="105" t="s">
        <v>1381</v>
      </c>
      <c r="F88" s="104" t="s">
        <v>1323</v>
      </c>
      <c r="G88" s="110" t="s">
        <v>1324</v>
      </c>
      <c r="H88" s="110">
        <v>800.0</v>
      </c>
      <c r="I88" s="572">
        <v>2.8095902068136898</v>
      </c>
      <c r="J88" s="571" t="s">
        <v>10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03" t="s">
        <v>1266</v>
      </c>
      <c r="B89" s="104" t="s">
        <v>1317</v>
      </c>
      <c r="C89" s="105" t="s">
        <v>1395</v>
      </c>
      <c r="D89" s="109" t="s">
        <v>1396</v>
      </c>
      <c r="E89" s="105" t="s">
        <v>1398</v>
      </c>
      <c r="F89" s="104" t="s">
        <v>1323</v>
      </c>
      <c r="G89" s="110" t="s">
        <v>1324</v>
      </c>
      <c r="H89" s="110">
        <v>1440.0</v>
      </c>
      <c r="I89" s="572">
        <v>2.1211943992851334</v>
      </c>
      <c r="J89" s="571" t="s">
        <v>10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03" t="s">
        <v>1266</v>
      </c>
      <c r="B90" s="104" t="s">
        <v>1317</v>
      </c>
      <c r="C90" s="105" t="s">
        <v>1395</v>
      </c>
      <c r="D90" s="109" t="s">
        <v>1399</v>
      </c>
      <c r="E90" s="105" t="s">
        <v>1401</v>
      </c>
      <c r="F90" s="104" t="s">
        <v>1323</v>
      </c>
      <c r="G90" s="110" t="s">
        <v>1324</v>
      </c>
      <c r="H90" s="110">
        <v>1120.0</v>
      </c>
      <c r="I90" s="572">
        <v>2.4605487415269014</v>
      </c>
      <c r="J90" s="571" t="s">
        <v>10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03" t="s">
        <v>1266</v>
      </c>
      <c r="B91" s="104" t="s">
        <v>1317</v>
      </c>
      <c r="C91" s="105" t="s">
        <v>1395</v>
      </c>
      <c r="D91" s="109" t="s">
        <v>1402</v>
      </c>
      <c r="E91" s="105" t="s">
        <v>1404</v>
      </c>
      <c r="F91" s="104" t="s">
        <v>1323</v>
      </c>
      <c r="G91" s="110" t="s">
        <v>1324</v>
      </c>
      <c r="H91" s="110">
        <v>1040.0</v>
      </c>
      <c r="I91" s="572">
        <v>2.7925296945675027</v>
      </c>
      <c r="J91" s="571" t="s">
        <v>10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03" t="s">
        <v>1266</v>
      </c>
      <c r="B92" s="104" t="s">
        <v>1317</v>
      </c>
      <c r="C92" s="105" t="s">
        <v>1395</v>
      </c>
      <c r="D92" s="109" t="s">
        <v>1405</v>
      </c>
      <c r="E92" s="105" t="s">
        <v>1407</v>
      </c>
      <c r="F92" s="104" t="s">
        <v>1323</v>
      </c>
      <c r="G92" s="110" t="s">
        <v>1324</v>
      </c>
      <c r="H92" s="110">
        <v>800.0</v>
      </c>
      <c r="I92" s="572">
        <v>3.468958064883415</v>
      </c>
      <c r="J92" s="571" t="s">
        <v>10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03" t="s">
        <v>1266</v>
      </c>
      <c r="B93" s="104" t="s">
        <v>1317</v>
      </c>
      <c r="C93" s="105" t="s">
        <v>1395</v>
      </c>
      <c r="D93" s="109" t="s">
        <v>1414</v>
      </c>
      <c r="E93" s="105" t="s">
        <v>1416</v>
      </c>
      <c r="F93" s="104" t="s">
        <v>1323</v>
      </c>
      <c r="G93" s="110" t="s">
        <v>1324</v>
      </c>
      <c r="H93" s="110">
        <v>1600.0</v>
      </c>
      <c r="I93" s="572">
        <v>2.1109819809844796</v>
      </c>
      <c r="J93" s="571" t="s">
        <v>10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03" t="s">
        <v>1266</v>
      </c>
      <c r="B94" s="104" t="s">
        <v>1317</v>
      </c>
      <c r="C94" s="105" t="s">
        <v>1395</v>
      </c>
      <c r="D94" s="109" t="s">
        <v>1417</v>
      </c>
      <c r="E94" s="105" t="s">
        <v>1419</v>
      </c>
      <c r="F94" s="104" t="s">
        <v>1323</v>
      </c>
      <c r="G94" s="110" t="s">
        <v>1324</v>
      </c>
      <c r="H94" s="110">
        <v>1200.0</v>
      </c>
      <c r="I94" s="572">
        <v>2.451795240126341</v>
      </c>
      <c r="J94" s="571" t="s">
        <v>10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03" t="s">
        <v>1266</v>
      </c>
      <c r="B95" s="104" t="s">
        <v>1317</v>
      </c>
      <c r="C95" s="105" t="s">
        <v>1395</v>
      </c>
      <c r="D95" s="109" t="s">
        <v>1420</v>
      </c>
      <c r="E95" s="105" t="s">
        <v>1422</v>
      </c>
      <c r="F95" s="104" t="s">
        <v>1323</v>
      </c>
      <c r="G95" s="110" t="s">
        <v>1324</v>
      </c>
      <c r="H95" s="110">
        <v>1120.0</v>
      </c>
      <c r="I95" s="572">
        <v>2.782429500643779</v>
      </c>
      <c r="J95" s="571" t="s">
        <v>10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03" t="s">
        <v>1266</v>
      </c>
      <c r="B96" s="104" t="s">
        <v>1317</v>
      </c>
      <c r="C96" s="105" t="s">
        <v>1395</v>
      </c>
      <c r="D96" s="109" t="s">
        <v>1423</v>
      </c>
      <c r="E96" s="105" t="s">
        <v>1425</v>
      </c>
      <c r="F96" s="104" t="s">
        <v>1323</v>
      </c>
      <c r="G96" s="110" t="s">
        <v>1324</v>
      </c>
      <c r="H96" s="110">
        <v>800.0</v>
      </c>
      <c r="I96" s="572">
        <v>3.468958064883415</v>
      </c>
      <c r="J96" s="571" t="s">
        <v>10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03" t="s">
        <v>1266</v>
      </c>
      <c r="B97" s="104" t="s">
        <v>1317</v>
      </c>
      <c r="C97" s="105" t="s">
        <v>1395</v>
      </c>
      <c r="D97" s="109" t="s">
        <v>1438</v>
      </c>
      <c r="E97" s="105" t="s">
        <v>1440</v>
      </c>
      <c r="F97" s="104" t="s">
        <v>1323</v>
      </c>
      <c r="G97" s="110" t="s">
        <v>1324</v>
      </c>
      <c r="H97" s="110">
        <v>1760.0</v>
      </c>
      <c r="I97" s="572">
        <v>2.1026263660112177</v>
      </c>
      <c r="J97" s="571" t="s">
        <v>10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03" t="s">
        <v>1266</v>
      </c>
      <c r="B98" s="104" t="s">
        <v>1317</v>
      </c>
      <c r="C98" s="105" t="s">
        <v>1395</v>
      </c>
      <c r="D98" s="109" t="s">
        <v>1442</v>
      </c>
      <c r="E98" s="105" t="s">
        <v>1444</v>
      </c>
      <c r="F98" s="104" t="s">
        <v>1323</v>
      </c>
      <c r="G98" s="110" t="s">
        <v>1324</v>
      </c>
      <c r="H98" s="110">
        <v>1280.0</v>
      </c>
      <c r="I98" s="572">
        <v>2.444135926400851</v>
      </c>
      <c r="J98" s="571" t="s">
        <v>10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03" t="s">
        <v>1266</v>
      </c>
      <c r="B99" s="104" t="s">
        <v>1317</v>
      </c>
      <c r="C99" s="105" t="s">
        <v>1395</v>
      </c>
      <c r="D99" s="109" t="s">
        <v>1446</v>
      </c>
      <c r="E99" s="105" t="s">
        <v>1448</v>
      </c>
      <c r="F99" s="104" t="s">
        <v>1323</v>
      </c>
      <c r="G99" s="110" t="s">
        <v>1324</v>
      </c>
      <c r="H99" s="110">
        <v>1120.0</v>
      </c>
      <c r="I99" s="572">
        <v>2.782429500643779</v>
      </c>
      <c r="J99" s="571" t="s">
        <v>10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03" t="s">
        <v>1266</v>
      </c>
      <c r="B100" s="104" t="s">
        <v>1317</v>
      </c>
      <c r="C100" s="105" t="s">
        <v>1395</v>
      </c>
      <c r="D100" s="109" t="s">
        <v>1450</v>
      </c>
      <c r="E100" s="105" t="s">
        <v>1452</v>
      </c>
      <c r="F100" s="104" t="s">
        <v>1323</v>
      </c>
      <c r="G100" s="110" t="s">
        <v>1324</v>
      </c>
      <c r="H100" s="110">
        <v>800.0</v>
      </c>
      <c r="I100" s="572">
        <v>3.468958064883415</v>
      </c>
      <c r="J100" s="571" t="s">
        <v>10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03" t="s">
        <v>1266</v>
      </c>
      <c r="B101" s="104" t="s">
        <v>1317</v>
      </c>
      <c r="C101" s="105" t="s">
        <v>1465</v>
      </c>
      <c r="D101" s="109" t="s">
        <v>1466</v>
      </c>
      <c r="E101" s="105" t="s">
        <v>1468</v>
      </c>
      <c r="F101" s="104" t="s">
        <v>1323</v>
      </c>
      <c r="G101" s="110" t="s">
        <v>1324</v>
      </c>
      <c r="H101" s="110">
        <v>1440.0</v>
      </c>
      <c r="I101" s="572">
        <v>2.1621610413545547</v>
      </c>
      <c r="J101" s="571" t="s">
        <v>10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03" t="s">
        <v>1266</v>
      </c>
      <c r="B102" s="104" t="s">
        <v>1317</v>
      </c>
      <c r="C102" s="105" t="s">
        <v>1465</v>
      </c>
      <c r="D102" s="109" t="s">
        <v>1469</v>
      </c>
      <c r="E102" s="105" t="s">
        <v>1471</v>
      </c>
      <c r="F102" s="104" t="s">
        <v>1323</v>
      </c>
      <c r="G102" s="110" t="s">
        <v>1324</v>
      </c>
      <c r="H102" s="110">
        <v>1120.0</v>
      </c>
      <c r="I102" s="572">
        <v>2.7434136510538547</v>
      </c>
      <c r="J102" s="571" t="s">
        <v>10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03" t="s">
        <v>1266</v>
      </c>
      <c r="B103" s="104" t="s">
        <v>1317</v>
      </c>
      <c r="C103" s="105" t="s">
        <v>1465</v>
      </c>
      <c r="D103" s="109" t="s">
        <v>1472</v>
      </c>
      <c r="E103" s="105" t="s">
        <v>1474</v>
      </c>
      <c r="F103" s="104" t="s">
        <v>1323</v>
      </c>
      <c r="G103" s="110" t="s">
        <v>1324</v>
      </c>
      <c r="H103" s="110">
        <v>1040.0</v>
      </c>
      <c r="I103" s="572">
        <v>3.305588116675011</v>
      </c>
      <c r="J103" s="571" t="s">
        <v>10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03" t="s">
        <v>1266</v>
      </c>
      <c r="B104" s="104" t="s">
        <v>1317</v>
      </c>
      <c r="C104" s="105" t="s">
        <v>1465</v>
      </c>
      <c r="D104" s="109" t="s">
        <v>1475</v>
      </c>
      <c r="E104" s="105" t="s">
        <v>1477</v>
      </c>
      <c r="F104" s="104" t="s">
        <v>1323</v>
      </c>
      <c r="G104" s="110" t="s">
        <v>1324</v>
      </c>
      <c r="H104" s="110">
        <v>800.0</v>
      </c>
      <c r="I104" s="572">
        <v>4.450206682070019</v>
      </c>
      <c r="J104" s="571" t="s">
        <v>10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03" t="s">
        <v>1266</v>
      </c>
      <c r="B105" s="104" t="s">
        <v>1317</v>
      </c>
      <c r="C105" s="105" t="s">
        <v>1465</v>
      </c>
      <c r="D105" s="109" t="s">
        <v>1484</v>
      </c>
      <c r="E105" s="105" t="s">
        <v>1486</v>
      </c>
      <c r="F105" s="104" t="s">
        <v>1323</v>
      </c>
      <c r="G105" s="110" t="s">
        <v>1324</v>
      </c>
      <c r="H105" s="110">
        <v>1600.0</v>
      </c>
      <c r="I105" s="572">
        <v>2.151948623053901</v>
      </c>
      <c r="J105" s="571" t="s">
        <v>10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03" t="s">
        <v>1266</v>
      </c>
      <c r="B106" s="104" t="s">
        <v>1317</v>
      </c>
      <c r="C106" s="105" t="s">
        <v>1465</v>
      </c>
      <c r="D106" s="109" t="s">
        <v>1487</v>
      </c>
      <c r="E106" s="105" t="s">
        <v>1489</v>
      </c>
      <c r="F106" s="104" t="s">
        <v>1323</v>
      </c>
      <c r="G106" s="110" t="s">
        <v>1324</v>
      </c>
      <c r="H106" s="110">
        <v>1200.0</v>
      </c>
      <c r="I106" s="572">
        <v>2.7346601496532945</v>
      </c>
      <c r="J106" s="571" t="s">
        <v>10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03" t="s">
        <v>1266</v>
      </c>
      <c r="B107" s="104" t="s">
        <v>1317</v>
      </c>
      <c r="C107" s="105" t="s">
        <v>1465</v>
      </c>
      <c r="D107" s="109" t="s">
        <v>1490</v>
      </c>
      <c r="E107" s="105" t="s">
        <v>1492</v>
      </c>
      <c r="F107" s="104" t="s">
        <v>1323</v>
      </c>
      <c r="G107" s="110" t="s">
        <v>1324</v>
      </c>
      <c r="H107" s="110">
        <v>1120.0</v>
      </c>
      <c r="I107" s="572">
        <v>3.295487922751288</v>
      </c>
      <c r="J107" s="571" t="s">
        <v>10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03" t="s">
        <v>1266</v>
      </c>
      <c r="B108" s="104" t="s">
        <v>1317</v>
      </c>
      <c r="C108" s="105" t="s">
        <v>1465</v>
      </c>
      <c r="D108" s="109" t="s">
        <v>1493</v>
      </c>
      <c r="E108" s="105" t="s">
        <v>1495</v>
      </c>
      <c r="F108" s="104" t="s">
        <v>1323</v>
      </c>
      <c r="G108" s="110" t="s">
        <v>1324</v>
      </c>
      <c r="H108" s="110">
        <v>800.0</v>
      </c>
      <c r="I108" s="572">
        <v>4.450206682070019</v>
      </c>
      <c r="J108" s="571" t="s">
        <v>10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03" t="s">
        <v>1266</v>
      </c>
      <c r="B109" s="104" t="s">
        <v>1317</v>
      </c>
      <c r="C109" s="105" t="s">
        <v>1465</v>
      </c>
      <c r="D109" s="109" t="s">
        <v>1502</v>
      </c>
      <c r="E109" s="105" t="s">
        <v>1504</v>
      </c>
      <c r="F109" s="104" t="s">
        <v>1323</v>
      </c>
      <c r="G109" s="110" t="s">
        <v>1324</v>
      </c>
      <c r="H109" s="110">
        <v>1760.0</v>
      </c>
      <c r="I109" s="572">
        <v>2.1435930080806394</v>
      </c>
      <c r="J109" s="571" t="s">
        <v>10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03" t="s">
        <v>1266</v>
      </c>
      <c r="B110" s="104" t="s">
        <v>1317</v>
      </c>
      <c r="C110" s="105" t="s">
        <v>1465</v>
      </c>
      <c r="D110" s="109" t="s">
        <v>1505</v>
      </c>
      <c r="E110" s="105" t="s">
        <v>1507</v>
      </c>
      <c r="F110" s="104" t="s">
        <v>1323</v>
      </c>
      <c r="G110" s="110" t="s">
        <v>1324</v>
      </c>
      <c r="H110" s="110">
        <v>1280.0</v>
      </c>
      <c r="I110" s="572">
        <v>2.727000835927804</v>
      </c>
      <c r="J110" s="571" t="s">
        <v>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03" t="s">
        <v>1266</v>
      </c>
      <c r="B111" s="104" t="s">
        <v>1317</v>
      </c>
      <c r="C111" s="105" t="s">
        <v>1465</v>
      </c>
      <c r="D111" s="109" t="s">
        <v>1508</v>
      </c>
      <c r="E111" s="105" t="s">
        <v>1510</v>
      </c>
      <c r="F111" s="104" t="s">
        <v>1323</v>
      </c>
      <c r="G111" s="110" t="s">
        <v>1324</v>
      </c>
      <c r="H111" s="110">
        <v>1120.0</v>
      </c>
      <c r="I111" s="572">
        <v>3.295487922751288</v>
      </c>
      <c r="J111" s="571" t="s">
        <v>10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03" t="s">
        <v>1266</v>
      </c>
      <c r="B112" s="104" t="s">
        <v>1317</v>
      </c>
      <c r="C112" s="105" t="s">
        <v>1465</v>
      </c>
      <c r="D112" s="109" t="s">
        <v>1511</v>
      </c>
      <c r="E112" s="105" t="s">
        <v>1513</v>
      </c>
      <c r="F112" s="104" t="s">
        <v>1323</v>
      </c>
      <c r="G112" s="110" t="s">
        <v>1324</v>
      </c>
      <c r="H112" s="110">
        <v>800.0</v>
      </c>
      <c r="I112" s="572">
        <v>4.450206682070019</v>
      </c>
      <c r="J112" s="571" t="s">
        <v>10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03" t="s">
        <v>1266</v>
      </c>
      <c r="B113" s="104" t="s">
        <v>1317</v>
      </c>
      <c r="C113" s="105" t="s">
        <v>2150</v>
      </c>
      <c r="D113" s="109" t="s">
        <v>1521</v>
      </c>
      <c r="E113" s="105" t="s">
        <v>1523</v>
      </c>
      <c r="F113" s="104" t="s">
        <v>1323</v>
      </c>
      <c r="G113" s="110" t="s">
        <v>1324</v>
      </c>
      <c r="H113" s="110">
        <v>1440.0</v>
      </c>
      <c r="I113" s="572">
        <v>2.013900812912841</v>
      </c>
      <c r="J113" s="571" t="s">
        <v>10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03" t="s">
        <v>1266</v>
      </c>
      <c r="B114" s="104" t="s">
        <v>1317</v>
      </c>
      <c r="C114" s="105" t="s">
        <v>2150</v>
      </c>
      <c r="D114" s="109" t="s">
        <v>1524</v>
      </c>
      <c r="E114" s="105" t="s">
        <v>1526</v>
      </c>
      <c r="F114" s="104" t="s">
        <v>1323</v>
      </c>
      <c r="G114" s="110" t="s">
        <v>1324</v>
      </c>
      <c r="H114" s="110">
        <v>1120.0</v>
      </c>
      <c r="I114" s="572">
        <v>2.1503727372870007</v>
      </c>
      <c r="J114" s="571" t="s">
        <v>10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03" t="s">
        <v>1266</v>
      </c>
      <c r="B115" s="104" t="s">
        <v>1317</v>
      </c>
      <c r="C115" s="105" t="s">
        <v>2150</v>
      </c>
      <c r="D115" s="109" t="s">
        <v>1527</v>
      </c>
      <c r="E115" s="105" t="s">
        <v>1529</v>
      </c>
      <c r="F115" s="104" t="s">
        <v>1323</v>
      </c>
      <c r="G115" s="110" t="s">
        <v>1324</v>
      </c>
      <c r="H115" s="110">
        <v>1040.0</v>
      </c>
      <c r="I115" s="572">
        <v>2.267766517583017</v>
      </c>
      <c r="J115" s="571" t="s">
        <v>10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03" t="s">
        <v>1266</v>
      </c>
      <c r="B116" s="104" t="s">
        <v>1317</v>
      </c>
      <c r="C116" s="105" t="s">
        <v>2150</v>
      </c>
      <c r="D116" s="109" t="s">
        <v>1530</v>
      </c>
      <c r="E116" s="105" t="s">
        <v>1532</v>
      </c>
      <c r="F116" s="104" t="s">
        <v>1323</v>
      </c>
      <c r="G116" s="110" t="s">
        <v>1324</v>
      </c>
      <c r="H116" s="110">
        <v>800.0</v>
      </c>
      <c r="I116" s="572">
        <v>2.5130697499302626</v>
      </c>
      <c r="J116" s="571" t="s">
        <v>10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03" t="s">
        <v>1266</v>
      </c>
      <c r="B117" s="104" t="s">
        <v>1317</v>
      </c>
      <c r="C117" s="105" t="s">
        <v>2150</v>
      </c>
      <c r="D117" s="109" t="s">
        <v>1539</v>
      </c>
      <c r="E117" s="105" t="s">
        <v>1541</v>
      </c>
      <c r="F117" s="104" t="s">
        <v>1323</v>
      </c>
      <c r="G117" s="110" t="s">
        <v>1324</v>
      </c>
      <c r="H117" s="110">
        <v>1600.0</v>
      </c>
      <c r="I117" s="572">
        <v>2.0036883946121873</v>
      </c>
      <c r="J117" s="571" t="s">
        <v>10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03" t="s">
        <v>1266</v>
      </c>
      <c r="B118" s="104" t="s">
        <v>1317</v>
      </c>
      <c r="C118" s="105" t="s">
        <v>2150</v>
      </c>
      <c r="D118" s="109" t="s">
        <v>1543</v>
      </c>
      <c r="E118" s="105" t="s">
        <v>1545</v>
      </c>
      <c r="F118" s="104" t="s">
        <v>1323</v>
      </c>
      <c r="G118" s="110" t="s">
        <v>1324</v>
      </c>
      <c r="H118" s="110">
        <v>1200.0</v>
      </c>
      <c r="I118" s="572">
        <v>2.1416192358864405</v>
      </c>
      <c r="J118" s="571" t="s">
        <v>10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03" t="s">
        <v>1266</v>
      </c>
      <c r="B119" s="104" t="s">
        <v>1317</v>
      </c>
      <c r="C119" s="105" t="s">
        <v>2150</v>
      </c>
      <c r="D119" s="109" t="s">
        <v>1546</v>
      </c>
      <c r="E119" s="105" t="s">
        <v>1548</v>
      </c>
      <c r="F119" s="104" t="s">
        <v>1323</v>
      </c>
      <c r="G119" s="110" t="s">
        <v>1324</v>
      </c>
      <c r="H119" s="110">
        <v>1120.0</v>
      </c>
      <c r="I119" s="572">
        <v>2.2576663236592935</v>
      </c>
      <c r="J119" s="571" t="s">
        <v>10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03" t="s">
        <v>1266</v>
      </c>
      <c r="B120" s="104" t="s">
        <v>1317</v>
      </c>
      <c r="C120" s="105" t="s">
        <v>2150</v>
      </c>
      <c r="D120" s="109" t="s">
        <v>1549</v>
      </c>
      <c r="E120" s="105" t="s">
        <v>1551</v>
      </c>
      <c r="F120" s="104" t="s">
        <v>1323</v>
      </c>
      <c r="G120" s="110" t="s">
        <v>1324</v>
      </c>
      <c r="H120" s="110">
        <v>800.0</v>
      </c>
      <c r="I120" s="572">
        <v>2.5130697499302626</v>
      </c>
      <c r="J120" s="571" t="s">
        <v>10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03" t="s">
        <v>1266</v>
      </c>
      <c r="B121" s="104" t="s">
        <v>1317</v>
      </c>
      <c r="C121" s="105" t="s">
        <v>2150</v>
      </c>
      <c r="D121" s="109" t="s">
        <v>1564</v>
      </c>
      <c r="E121" s="105" t="s">
        <v>1566</v>
      </c>
      <c r="F121" s="104" t="s">
        <v>1323</v>
      </c>
      <c r="G121" s="110" t="s">
        <v>1324</v>
      </c>
      <c r="H121" s="110">
        <v>1760.0</v>
      </c>
      <c r="I121" s="572">
        <v>1.9953327796389255</v>
      </c>
      <c r="J121" s="571" t="s">
        <v>10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03" t="s">
        <v>1266</v>
      </c>
      <c r="B122" s="104" t="s">
        <v>1317</v>
      </c>
      <c r="C122" s="105" t="s">
        <v>2150</v>
      </c>
      <c r="D122" s="109" t="s">
        <v>1568</v>
      </c>
      <c r="E122" s="105" t="s">
        <v>1570</v>
      </c>
      <c r="F122" s="104" t="s">
        <v>1323</v>
      </c>
      <c r="G122" s="110" t="s">
        <v>1324</v>
      </c>
      <c r="H122" s="110">
        <v>1280.0</v>
      </c>
      <c r="I122" s="572">
        <v>2.13395992216095</v>
      </c>
      <c r="J122" s="571" t="s">
        <v>10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03" t="s">
        <v>1266</v>
      </c>
      <c r="B123" s="104" t="s">
        <v>1317</v>
      </c>
      <c r="C123" s="105" t="s">
        <v>2150</v>
      </c>
      <c r="D123" s="109" t="s">
        <v>1571</v>
      </c>
      <c r="E123" s="105" t="s">
        <v>1573</v>
      </c>
      <c r="F123" s="104" t="s">
        <v>1323</v>
      </c>
      <c r="G123" s="110" t="s">
        <v>1324</v>
      </c>
      <c r="H123" s="110">
        <v>1120.0</v>
      </c>
      <c r="I123" s="572">
        <v>2.2576663236592935</v>
      </c>
      <c r="J123" s="571" t="s">
        <v>10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03" t="s">
        <v>1266</v>
      </c>
      <c r="B124" s="104" t="s">
        <v>1317</v>
      </c>
      <c r="C124" s="105" t="s">
        <v>2150</v>
      </c>
      <c r="D124" s="109" t="s">
        <v>1575</v>
      </c>
      <c r="E124" s="105" t="s">
        <v>1577</v>
      </c>
      <c r="F124" s="104" t="s">
        <v>1323</v>
      </c>
      <c r="G124" s="110" t="s">
        <v>1324</v>
      </c>
      <c r="H124" s="110">
        <v>800.0</v>
      </c>
      <c r="I124" s="572">
        <v>2.5130697499302626</v>
      </c>
      <c r="J124" s="571" t="s">
        <v>10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03" t="s">
        <v>1266</v>
      </c>
      <c r="B125" s="104" t="s">
        <v>1633</v>
      </c>
      <c r="C125" s="105" t="s">
        <v>1633</v>
      </c>
      <c r="D125" s="109" t="s">
        <v>1634</v>
      </c>
      <c r="E125" s="105" t="s">
        <v>3949</v>
      </c>
      <c r="F125" s="104" t="s">
        <v>554</v>
      </c>
      <c r="G125" s="110" t="s">
        <v>1637</v>
      </c>
      <c r="H125" s="110">
        <v>120.0</v>
      </c>
      <c r="I125" s="572">
        <v>15.09367035566396</v>
      </c>
      <c r="J125" s="571" t="s">
        <v>6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03" t="s">
        <v>1266</v>
      </c>
      <c r="B126" s="104" t="s">
        <v>1633</v>
      </c>
      <c r="C126" s="105" t="s">
        <v>1633</v>
      </c>
      <c r="D126" s="109" t="s">
        <v>1639</v>
      </c>
      <c r="E126" s="105" t="s">
        <v>2964</v>
      </c>
      <c r="F126" s="104" t="s">
        <v>554</v>
      </c>
      <c r="G126" s="110" t="s">
        <v>1637</v>
      </c>
      <c r="H126" s="110">
        <v>120.0</v>
      </c>
      <c r="I126" s="572">
        <v>13.639815716336312</v>
      </c>
      <c r="J126" s="571" t="s">
        <v>6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03" t="s">
        <v>1266</v>
      </c>
      <c r="B127" s="104" t="s">
        <v>1633</v>
      </c>
      <c r="C127" s="105" t="s">
        <v>1633</v>
      </c>
      <c r="D127" s="109" t="s">
        <v>1758</v>
      </c>
      <c r="E127" s="105" t="s">
        <v>1760</v>
      </c>
      <c r="F127" s="104" t="s">
        <v>554</v>
      </c>
      <c r="G127" s="110" t="s">
        <v>1176</v>
      </c>
      <c r="H127" s="110">
        <v>500.0</v>
      </c>
      <c r="I127" s="572">
        <v>2.1678431879380073</v>
      </c>
      <c r="J127" s="571" t="s">
        <v>6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03" t="s">
        <v>1266</v>
      </c>
      <c r="B128" s="104" t="s">
        <v>1633</v>
      </c>
      <c r="C128" s="105" t="s">
        <v>1633</v>
      </c>
      <c r="D128" s="109" t="s">
        <v>1762</v>
      </c>
      <c r="E128" s="105" t="s">
        <v>1764</v>
      </c>
      <c r="F128" s="104" t="s">
        <v>554</v>
      </c>
      <c r="G128" s="110" t="s">
        <v>1176</v>
      </c>
      <c r="H128" s="110">
        <v>500.0</v>
      </c>
      <c r="I128" s="572">
        <v>2.1678431879380073</v>
      </c>
      <c r="J128" s="571" t="s">
        <v>6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03" t="s">
        <v>1266</v>
      </c>
      <c r="B129" s="104" t="s">
        <v>1633</v>
      </c>
      <c r="C129" s="105" t="s">
        <v>1633</v>
      </c>
      <c r="D129" s="109" t="s">
        <v>1766</v>
      </c>
      <c r="E129" s="105" t="s">
        <v>1768</v>
      </c>
      <c r="F129" s="104" t="s">
        <v>554</v>
      </c>
      <c r="G129" s="110" t="s">
        <v>1176</v>
      </c>
      <c r="H129" s="110">
        <v>500.0</v>
      </c>
      <c r="I129" s="572">
        <v>2.1678431879380073</v>
      </c>
      <c r="J129" s="571" t="s">
        <v>6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03" t="s">
        <v>1266</v>
      </c>
      <c r="B130" s="104" t="s">
        <v>1633</v>
      </c>
      <c r="C130" s="105" t="s">
        <v>1633</v>
      </c>
      <c r="D130" s="109" t="s">
        <v>1770</v>
      </c>
      <c r="E130" s="105" t="s">
        <v>1772</v>
      </c>
      <c r="F130" s="104" t="s">
        <v>554</v>
      </c>
      <c r="G130" s="110" t="s">
        <v>1176</v>
      </c>
      <c r="H130" s="110">
        <v>500.0</v>
      </c>
      <c r="I130" s="572">
        <v>2.1678431879380073</v>
      </c>
      <c r="J130" s="571" t="s">
        <v>6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03" t="s">
        <v>1266</v>
      </c>
      <c r="B131" s="104" t="s">
        <v>1633</v>
      </c>
      <c r="C131" s="105" t="s">
        <v>1633</v>
      </c>
      <c r="D131" s="109" t="s">
        <v>1774</v>
      </c>
      <c r="E131" s="105" t="s">
        <v>1776</v>
      </c>
      <c r="F131" s="104" t="s">
        <v>554</v>
      </c>
      <c r="G131" s="110" t="s">
        <v>1176</v>
      </c>
      <c r="H131" s="110">
        <v>500.0</v>
      </c>
      <c r="I131" s="572">
        <v>2.1678431879380073</v>
      </c>
      <c r="J131" s="571" t="s">
        <v>6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03" t="s">
        <v>1266</v>
      </c>
      <c r="B132" s="104" t="s">
        <v>1633</v>
      </c>
      <c r="C132" s="105" t="s">
        <v>1633</v>
      </c>
      <c r="D132" s="109" t="s">
        <v>1793</v>
      </c>
      <c r="E132" s="105" t="s">
        <v>1795</v>
      </c>
      <c r="F132" s="104" t="s">
        <v>554</v>
      </c>
      <c r="G132" s="110" t="s">
        <v>1176</v>
      </c>
      <c r="H132" s="110">
        <v>540.0</v>
      </c>
      <c r="I132" s="572">
        <v>8.944365636801807</v>
      </c>
      <c r="J132" s="571" t="s">
        <v>6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03" t="s">
        <v>1266</v>
      </c>
      <c r="B133" s="104" t="s">
        <v>1633</v>
      </c>
      <c r="C133" s="105" t="s">
        <v>1633</v>
      </c>
      <c r="D133" s="109" t="s">
        <v>1798</v>
      </c>
      <c r="E133" s="105" t="s">
        <v>1800</v>
      </c>
      <c r="F133" s="104" t="s">
        <v>554</v>
      </c>
      <c r="G133" s="110" t="s">
        <v>1176</v>
      </c>
      <c r="H133" s="110">
        <v>540.0</v>
      </c>
      <c r="I133" s="572">
        <v>5.5457444020098965</v>
      </c>
      <c r="J133" s="571" t="s">
        <v>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03" t="s">
        <v>1266</v>
      </c>
      <c r="B134" s="104" t="s">
        <v>1633</v>
      </c>
      <c r="C134" s="105" t="s">
        <v>1633</v>
      </c>
      <c r="D134" s="109" t="s">
        <v>1802</v>
      </c>
      <c r="E134" s="105" t="s">
        <v>1804</v>
      </c>
      <c r="F134" s="104" t="s">
        <v>554</v>
      </c>
      <c r="G134" s="110" t="s">
        <v>1176</v>
      </c>
      <c r="H134" s="110">
        <v>540.0</v>
      </c>
      <c r="I134" s="572">
        <v>11.21011312666308</v>
      </c>
      <c r="J134" s="571" t="s">
        <v>6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03" t="s">
        <v>1266</v>
      </c>
      <c r="B135" s="104" t="s">
        <v>1633</v>
      </c>
      <c r="C135" s="105" t="s">
        <v>1633</v>
      </c>
      <c r="D135" s="109" t="s">
        <v>1806</v>
      </c>
      <c r="E135" s="105" t="s">
        <v>1808</v>
      </c>
      <c r="F135" s="104" t="s">
        <v>554</v>
      </c>
      <c r="G135" s="110" t="s">
        <v>1176</v>
      </c>
      <c r="H135" s="110">
        <v>540.0</v>
      </c>
      <c r="I135" s="572">
        <v>6.678618146940534</v>
      </c>
      <c r="J135" s="571" t="s">
        <v>6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03" t="s">
        <v>1266</v>
      </c>
      <c r="B136" s="104" t="s">
        <v>1633</v>
      </c>
      <c r="C136" s="105" t="s">
        <v>1633</v>
      </c>
      <c r="D136" s="109" t="s">
        <v>1810</v>
      </c>
      <c r="E136" s="105" t="s">
        <v>1812</v>
      </c>
      <c r="F136" s="104" t="s">
        <v>554</v>
      </c>
      <c r="G136" s="110" t="s">
        <v>1176</v>
      </c>
      <c r="H136" s="110">
        <v>540.0</v>
      </c>
      <c r="I136" s="572">
        <v>8.944365636801807</v>
      </c>
      <c r="J136" s="571" t="s">
        <v>6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03" t="s">
        <v>1266</v>
      </c>
      <c r="B137" s="104" t="s">
        <v>1633</v>
      </c>
      <c r="C137" s="105" t="s">
        <v>1633</v>
      </c>
      <c r="D137" s="109" t="s">
        <v>1814</v>
      </c>
      <c r="E137" s="105" t="s">
        <v>1816</v>
      </c>
      <c r="F137" s="104" t="s">
        <v>554</v>
      </c>
      <c r="G137" s="110" t="s">
        <v>1176</v>
      </c>
      <c r="H137" s="110">
        <v>540.0</v>
      </c>
      <c r="I137" s="572">
        <v>5.5457444020098965</v>
      </c>
      <c r="J137" s="571" t="s">
        <v>6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03" t="s">
        <v>1266</v>
      </c>
      <c r="B138" s="104" t="s">
        <v>1633</v>
      </c>
      <c r="C138" s="105" t="s">
        <v>1633</v>
      </c>
      <c r="D138" s="109" t="s">
        <v>1818</v>
      </c>
      <c r="E138" s="105" t="s">
        <v>1820</v>
      </c>
      <c r="F138" s="104" t="s">
        <v>554</v>
      </c>
      <c r="G138" s="110" t="s">
        <v>1176</v>
      </c>
      <c r="H138" s="110">
        <v>540.0</v>
      </c>
      <c r="I138" s="572">
        <v>11.21011312666308</v>
      </c>
      <c r="J138" s="571" t="s">
        <v>6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03" t="s">
        <v>1266</v>
      </c>
      <c r="B139" s="104" t="s">
        <v>1633</v>
      </c>
      <c r="C139" s="105" t="s">
        <v>1633</v>
      </c>
      <c r="D139" s="109" t="s">
        <v>1822</v>
      </c>
      <c r="E139" s="105" t="s">
        <v>1824</v>
      </c>
      <c r="F139" s="104" t="s">
        <v>554</v>
      </c>
      <c r="G139" s="110" t="s">
        <v>1176</v>
      </c>
      <c r="H139" s="110">
        <v>540.0</v>
      </c>
      <c r="I139" s="572">
        <v>6.678618146940534</v>
      </c>
      <c r="J139" s="571" t="s">
        <v>6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03" t="s">
        <v>1266</v>
      </c>
      <c r="B140" s="104" t="s">
        <v>1633</v>
      </c>
      <c r="C140" s="105" t="s">
        <v>1633</v>
      </c>
      <c r="D140" s="109" t="s">
        <v>1827</v>
      </c>
      <c r="E140" s="105" t="s">
        <v>1829</v>
      </c>
      <c r="F140" s="104" t="s">
        <v>1323</v>
      </c>
      <c r="G140" s="110" t="s">
        <v>1176</v>
      </c>
      <c r="H140" s="110">
        <v>4800.0</v>
      </c>
      <c r="I140" s="572">
        <v>0.48369758235648197</v>
      </c>
      <c r="J140" s="571" t="s">
        <v>10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03" t="s">
        <v>1266</v>
      </c>
      <c r="B141" s="104" t="s">
        <v>1826</v>
      </c>
      <c r="C141" s="105" t="s">
        <v>1633</v>
      </c>
      <c r="D141" s="109" t="s">
        <v>1830</v>
      </c>
      <c r="E141" s="105" t="s">
        <v>1832</v>
      </c>
      <c r="F141" s="104" t="s">
        <v>1323</v>
      </c>
      <c r="G141" s="110" t="s">
        <v>1176</v>
      </c>
      <c r="H141" s="110">
        <v>7200.0</v>
      </c>
      <c r="I141" s="572">
        <v>0.47501702680092645</v>
      </c>
      <c r="J141" s="571" t="s">
        <v>10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03" t="s">
        <v>1266</v>
      </c>
      <c r="B142" s="104" t="s">
        <v>1826</v>
      </c>
      <c r="C142" s="105" t="s">
        <v>1633</v>
      </c>
      <c r="D142" s="109" t="s">
        <v>1833</v>
      </c>
      <c r="E142" s="105" t="s">
        <v>1835</v>
      </c>
      <c r="F142" s="104" t="s">
        <v>1323</v>
      </c>
      <c r="G142" s="110" t="s">
        <v>1176</v>
      </c>
      <c r="H142" s="110">
        <v>4800.0</v>
      </c>
      <c r="I142" s="572">
        <v>0.6097187765319384</v>
      </c>
      <c r="J142" s="571" t="s">
        <v>10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03" t="s">
        <v>1266</v>
      </c>
      <c r="B143" s="104" t="s">
        <v>1826</v>
      </c>
      <c r="C143" s="105" t="s">
        <v>1395</v>
      </c>
      <c r="D143" s="109" t="s">
        <v>1836</v>
      </c>
      <c r="E143" s="105" t="s">
        <v>1838</v>
      </c>
      <c r="F143" s="104" t="s">
        <v>1323</v>
      </c>
      <c r="G143" s="110" t="s">
        <v>1176</v>
      </c>
      <c r="H143" s="110">
        <v>7200.0</v>
      </c>
      <c r="I143" s="572">
        <v>0.6010382209763828</v>
      </c>
      <c r="J143" s="571" t="s">
        <v>10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03" t="s">
        <v>1266</v>
      </c>
      <c r="B144" s="104" t="s">
        <v>1826</v>
      </c>
      <c r="C144" s="105" t="s">
        <v>2150</v>
      </c>
      <c r="D144" s="109" t="s">
        <v>1845</v>
      </c>
      <c r="E144" s="105" t="s">
        <v>1847</v>
      </c>
      <c r="F144" s="104" t="s">
        <v>1323</v>
      </c>
      <c r="G144" s="110" t="s">
        <v>1176</v>
      </c>
      <c r="H144" s="110">
        <v>4800.0</v>
      </c>
      <c r="I144" s="572">
        <v>0.4389268949520436</v>
      </c>
      <c r="J144" s="571" t="s">
        <v>10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03" t="s">
        <v>1266</v>
      </c>
      <c r="B145" s="104" t="s">
        <v>1826</v>
      </c>
      <c r="C145" s="105" t="s">
        <v>2150</v>
      </c>
      <c r="D145" s="109" t="s">
        <v>1849</v>
      </c>
      <c r="E145" s="105" t="s">
        <v>1851</v>
      </c>
      <c r="F145" s="104" t="s">
        <v>1323</v>
      </c>
      <c r="G145" s="110" t="s">
        <v>1176</v>
      </c>
      <c r="H145" s="110">
        <v>7200.0</v>
      </c>
      <c r="I145" s="572">
        <v>0.4302463393964881</v>
      </c>
      <c r="J145" s="571" t="s">
        <v>10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03" t="s">
        <v>1886</v>
      </c>
      <c r="B146" s="104" t="s">
        <v>1887</v>
      </c>
      <c r="C146" s="105" t="s">
        <v>1887</v>
      </c>
      <c r="D146" s="109" t="s">
        <v>1891</v>
      </c>
      <c r="E146" s="105" t="s">
        <v>1893</v>
      </c>
      <c r="F146" s="104" t="s">
        <v>554</v>
      </c>
      <c r="G146" s="110" t="s">
        <v>1176</v>
      </c>
      <c r="H146" s="110">
        <v>400.0</v>
      </c>
      <c r="I146" s="572">
        <v>2.726985692028477</v>
      </c>
      <c r="J146" s="571" t="s">
        <v>10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03" t="s">
        <v>1886</v>
      </c>
      <c r="B147" s="104" t="s">
        <v>1887</v>
      </c>
      <c r="C147" s="105" t="s">
        <v>1887</v>
      </c>
      <c r="D147" s="109" t="s">
        <v>1894</v>
      </c>
      <c r="E147" s="105" t="s">
        <v>1896</v>
      </c>
      <c r="F147" s="104" t="s">
        <v>554</v>
      </c>
      <c r="G147" s="110" t="s">
        <v>1176</v>
      </c>
      <c r="H147" s="110">
        <v>400.0</v>
      </c>
      <c r="I147" s="572">
        <v>3.4190177104120956</v>
      </c>
      <c r="J147" s="571" t="s">
        <v>10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03" t="s">
        <v>1886</v>
      </c>
      <c r="B148" s="104" t="s">
        <v>1887</v>
      </c>
      <c r="C148" s="105" t="s">
        <v>1887</v>
      </c>
      <c r="D148" s="109" t="s">
        <v>1898</v>
      </c>
      <c r="E148" s="105" t="s">
        <v>1900</v>
      </c>
      <c r="F148" s="104" t="s">
        <v>554</v>
      </c>
      <c r="G148" s="110" t="s">
        <v>555</v>
      </c>
      <c r="H148" s="110">
        <v>360.0</v>
      </c>
      <c r="I148" s="572">
        <v>3.542753225909678</v>
      </c>
      <c r="J148" s="571" t="s">
        <v>10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03" t="s">
        <v>1886</v>
      </c>
      <c r="B149" s="104" t="s">
        <v>1887</v>
      </c>
      <c r="C149" s="105" t="s">
        <v>1887</v>
      </c>
      <c r="D149" s="109" t="s">
        <v>1907</v>
      </c>
      <c r="E149" s="105" t="s">
        <v>1909</v>
      </c>
      <c r="F149" s="104" t="s">
        <v>554</v>
      </c>
      <c r="G149" s="110" t="s">
        <v>555</v>
      </c>
      <c r="H149" s="110">
        <v>360.0</v>
      </c>
      <c r="I149" s="572">
        <v>11.414337630269385</v>
      </c>
      <c r="J149" s="571" t="s">
        <v>10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03" t="s">
        <v>1886</v>
      </c>
      <c r="B150" s="104" t="s">
        <v>1887</v>
      </c>
      <c r="C150" s="105" t="s">
        <v>1887</v>
      </c>
      <c r="D150" s="109" t="s">
        <v>1913</v>
      </c>
      <c r="E150" s="105" t="s">
        <v>1915</v>
      </c>
      <c r="F150" s="104" t="s">
        <v>554</v>
      </c>
      <c r="G150" s="110" t="s">
        <v>1176</v>
      </c>
      <c r="H150" s="110">
        <v>1200.0</v>
      </c>
      <c r="I150" s="572">
        <v>3.1337705238820455</v>
      </c>
      <c r="J150" s="571" t="s">
        <v>10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03" t="s">
        <v>1886</v>
      </c>
      <c r="B151" s="104" t="s">
        <v>1887</v>
      </c>
      <c r="C151" s="105" t="s">
        <v>1887</v>
      </c>
      <c r="D151" s="109" t="s">
        <v>1917</v>
      </c>
      <c r="E151" s="105" t="s">
        <v>1919</v>
      </c>
      <c r="F151" s="104" t="s">
        <v>554</v>
      </c>
      <c r="G151" s="110" t="s">
        <v>741</v>
      </c>
      <c r="H151" s="110">
        <v>200.0</v>
      </c>
      <c r="I151" s="572">
        <v>6.784846032598015</v>
      </c>
      <c r="J151" s="571" t="s">
        <v>10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03" t="s">
        <v>1886</v>
      </c>
      <c r="B152" s="104" t="s">
        <v>1887</v>
      </c>
      <c r="C152" s="105" t="s">
        <v>1887</v>
      </c>
      <c r="D152" s="109" t="s">
        <v>1921</v>
      </c>
      <c r="E152" s="105" t="s">
        <v>1923</v>
      </c>
      <c r="F152" s="104" t="s">
        <v>554</v>
      </c>
      <c r="G152" s="110" t="s">
        <v>741</v>
      </c>
      <c r="H152" s="110">
        <v>200.0</v>
      </c>
      <c r="I152" s="572">
        <v>7.63928139929148</v>
      </c>
      <c r="J152" s="571" t="s">
        <v>10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03" t="s">
        <v>1886</v>
      </c>
      <c r="B153" s="104" t="s">
        <v>1887</v>
      </c>
      <c r="C153" s="105" t="s">
        <v>1887</v>
      </c>
      <c r="D153" s="109" t="s">
        <v>1924</v>
      </c>
      <c r="E153" s="105" t="s">
        <v>1926</v>
      </c>
      <c r="F153" s="104" t="s">
        <v>554</v>
      </c>
      <c r="G153" s="110" t="s">
        <v>1176</v>
      </c>
      <c r="H153" s="110">
        <v>900.0</v>
      </c>
      <c r="I153" s="572">
        <v>1.6007566263563753</v>
      </c>
      <c r="J153" s="571" t="s">
        <v>10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03" t="s">
        <v>1886</v>
      </c>
      <c r="B154" s="104" t="s">
        <v>1887</v>
      </c>
      <c r="C154" s="105" t="s">
        <v>1887</v>
      </c>
      <c r="D154" s="109" t="s">
        <v>1928</v>
      </c>
      <c r="E154" s="105" t="s">
        <v>1930</v>
      </c>
      <c r="F154" s="104" t="s">
        <v>554</v>
      </c>
      <c r="G154" s="110" t="s">
        <v>1176</v>
      </c>
      <c r="H154" s="110">
        <v>400.0</v>
      </c>
      <c r="I154" s="572">
        <v>3.3519509516173436</v>
      </c>
      <c r="J154" s="571" t="s">
        <v>10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03" t="s">
        <v>1886</v>
      </c>
      <c r="B155" s="104" t="s">
        <v>1932</v>
      </c>
      <c r="C155" s="105" t="s">
        <v>1932</v>
      </c>
      <c r="D155" s="109" t="s">
        <v>1933</v>
      </c>
      <c r="E155" s="105" t="s">
        <v>1935</v>
      </c>
      <c r="F155" s="104" t="s">
        <v>554</v>
      </c>
      <c r="G155" s="110" t="s">
        <v>1637</v>
      </c>
      <c r="H155" s="110">
        <v>240.0</v>
      </c>
      <c r="I155" s="572">
        <v>9.369380791925883</v>
      </c>
      <c r="J155" s="571" t="s">
        <v>10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03" t="s">
        <v>1886</v>
      </c>
      <c r="B156" s="104" t="s">
        <v>1932</v>
      </c>
      <c r="C156" s="105" t="s">
        <v>1932</v>
      </c>
      <c r="D156" s="109" t="s">
        <v>1941</v>
      </c>
      <c r="E156" s="105" t="s">
        <v>1943</v>
      </c>
      <c r="F156" s="104" t="s">
        <v>554</v>
      </c>
      <c r="G156" s="110" t="s">
        <v>1637</v>
      </c>
      <c r="H156" s="110">
        <v>240.0</v>
      </c>
      <c r="I156" s="572">
        <v>9.369380791925881</v>
      </c>
      <c r="J156" s="571" t="s">
        <v>10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03" t="s">
        <v>1886</v>
      </c>
      <c r="B157" s="104" t="s">
        <v>1932</v>
      </c>
      <c r="C157" s="105" t="s">
        <v>1932</v>
      </c>
      <c r="D157" s="109" t="s">
        <v>1945</v>
      </c>
      <c r="E157" s="105" t="s">
        <v>1947</v>
      </c>
      <c r="F157" s="104" t="s">
        <v>554</v>
      </c>
      <c r="G157" s="110" t="s">
        <v>1637</v>
      </c>
      <c r="H157" s="110">
        <v>240.0</v>
      </c>
      <c r="I157" s="572">
        <v>27.97870541115086</v>
      </c>
      <c r="J157" s="571" t="s">
        <v>10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03" t="s">
        <v>1266</v>
      </c>
      <c r="B158" s="104" t="s">
        <v>1948</v>
      </c>
      <c r="C158" s="105" t="s">
        <v>1319</v>
      </c>
      <c r="D158" s="109" t="s">
        <v>1952</v>
      </c>
      <c r="E158" s="105" t="s">
        <v>1954</v>
      </c>
      <c r="F158" s="104" t="s">
        <v>480</v>
      </c>
      <c r="G158" s="110" t="s">
        <v>1955</v>
      </c>
      <c r="H158" s="110">
        <v>4.0</v>
      </c>
      <c r="I158" s="570">
        <v>472.8571428571429</v>
      </c>
      <c r="J158" s="571" t="s">
        <v>10</v>
      </c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</row>
    <row r="159" ht="13.5" customHeight="1">
      <c r="A159" s="103" t="s">
        <v>1266</v>
      </c>
      <c r="B159" s="104" t="s">
        <v>1948</v>
      </c>
      <c r="C159" s="105" t="s">
        <v>1319</v>
      </c>
      <c r="D159" s="109" t="s">
        <v>1959</v>
      </c>
      <c r="E159" s="105" t="s">
        <v>1961</v>
      </c>
      <c r="F159" s="104" t="s">
        <v>480</v>
      </c>
      <c r="G159" s="110" t="s">
        <v>1955</v>
      </c>
      <c r="H159" s="110">
        <v>4.0</v>
      </c>
      <c r="I159" s="570">
        <v>544.2857142857143</v>
      </c>
      <c r="J159" s="571" t="s">
        <v>10</v>
      </c>
      <c r="K159" s="564"/>
      <c r="L159" s="564"/>
      <c r="M159" s="564"/>
      <c r="N159" s="564"/>
      <c r="O159" s="564"/>
      <c r="P159" s="564"/>
      <c r="Q159" s="564"/>
      <c r="R159" s="564"/>
      <c r="S159" s="564"/>
      <c r="T159" s="564"/>
      <c r="U159" s="564"/>
      <c r="V159" s="564"/>
      <c r="W159" s="564"/>
      <c r="X159" s="564"/>
      <c r="Y159" s="564"/>
      <c r="Z159" s="564"/>
    </row>
    <row r="160" ht="13.5" customHeight="1">
      <c r="A160" s="103" t="s">
        <v>1266</v>
      </c>
      <c r="B160" s="104" t="s">
        <v>1948</v>
      </c>
      <c r="C160" s="105" t="s">
        <v>1319</v>
      </c>
      <c r="D160" s="109" t="s">
        <v>2245</v>
      </c>
      <c r="E160" s="105" t="s">
        <v>1966</v>
      </c>
      <c r="F160" s="104" t="s">
        <v>480</v>
      </c>
      <c r="G160" s="110" t="s">
        <v>1955</v>
      </c>
      <c r="H160" s="110">
        <v>4.0</v>
      </c>
      <c r="I160" s="570">
        <v>688.5714285714287</v>
      </c>
      <c r="J160" s="571" t="s">
        <v>10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03" t="s">
        <v>1266</v>
      </c>
      <c r="B161" s="104" t="s">
        <v>1948</v>
      </c>
      <c r="C161" s="105" t="s">
        <v>1319</v>
      </c>
      <c r="D161" s="109" t="s">
        <v>1969</v>
      </c>
      <c r="E161" s="105" t="s">
        <v>1971</v>
      </c>
      <c r="F161" s="104" t="s">
        <v>480</v>
      </c>
      <c r="G161" s="110" t="s">
        <v>1955</v>
      </c>
      <c r="H161" s="110">
        <v>4.0</v>
      </c>
      <c r="I161" s="570">
        <v>1132.857142857143</v>
      </c>
      <c r="J161" s="571" t="s">
        <v>10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03" t="s">
        <v>1266</v>
      </c>
      <c r="B162" s="104" t="s">
        <v>1948</v>
      </c>
      <c r="C162" s="105" t="s">
        <v>1319</v>
      </c>
      <c r="D162" s="109" t="s">
        <v>1974</v>
      </c>
      <c r="E162" s="105" t="s">
        <v>1976</v>
      </c>
      <c r="F162" s="104" t="s">
        <v>480</v>
      </c>
      <c r="G162" s="110" t="s">
        <v>1955</v>
      </c>
      <c r="H162" s="110">
        <v>4.0</v>
      </c>
      <c r="I162" s="570">
        <v>482.8571428571429</v>
      </c>
      <c r="J162" s="571" t="s">
        <v>10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03" t="s">
        <v>1266</v>
      </c>
      <c r="B163" s="104" t="s">
        <v>1948</v>
      </c>
      <c r="C163" s="105" t="s">
        <v>1319</v>
      </c>
      <c r="D163" s="109" t="s">
        <v>1978</v>
      </c>
      <c r="E163" s="105" t="s">
        <v>1980</v>
      </c>
      <c r="F163" s="104" t="s">
        <v>480</v>
      </c>
      <c r="G163" s="110" t="s">
        <v>1955</v>
      </c>
      <c r="H163" s="110">
        <v>4.0</v>
      </c>
      <c r="I163" s="570">
        <v>571.4285714285714</v>
      </c>
      <c r="J163" s="571" t="s">
        <v>10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03" t="s">
        <v>1266</v>
      </c>
      <c r="B164" s="104" t="s">
        <v>1948</v>
      </c>
      <c r="C164" s="105" t="s">
        <v>1319</v>
      </c>
      <c r="D164" s="109" t="s">
        <v>1982</v>
      </c>
      <c r="E164" s="105" t="s">
        <v>1984</v>
      </c>
      <c r="F164" s="104" t="s">
        <v>480</v>
      </c>
      <c r="G164" s="110" t="s">
        <v>1955</v>
      </c>
      <c r="H164" s="110">
        <v>4.0</v>
      </c>
      <c r="I164" s="570">
        <v>742.8571428571429</v>
      </c>
      <c r="J164" s="571" t="s">
        <v>10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03" t="s">
        <v>1266</v>
      </c>
      <c r="B165" s="104" t="s">
        <v>1948</v>
      </c>
      <c r="C165" s="105" t="s">
        <v>1319</v>
      </c>
      <c r="D165" s="109" t="s">
        <v>1986</v>
      </c>
      <c r="E165" s="105" t="s">
        <v>1988</v>
      </c>
      <c r="F165" s="104" t="s">
        <v>1989</v>
      </c>
      <c r="G165" s="110" t="s">
        <v>1990</v>
      </c>
      <c r="H165" s="110">
        <v>2.0</v>
      </c>
      <c r="I165" s="570">
        <v>1300.0</v>
      </c>
      <c r="J165" s="571" t="s">
        <v>10</v>
      </c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</row>
    <row r="166" ht="13.5" customHeight="1">
      <c r="A166" s="103" t="s">
        <v>1266</v>
      </c>
      <c r="B166" s="104" t="s">
        <v>1948</v>
      </c>
      <c r="C166" s="105" t="s">
        <v>1319</v>
      </c>
      <c r="D166" s="109" t="s">
        <v>1993</v>
      </c>
      <c r="E166" s="105" t="s">
        <v>1995</v>
      </c>
      <c r="F166" s="104" t="s">
        <v>480</v>
      </c>
      <c r="G166" s="110" t="s">
        <v>1955</v>
      </c>
      <c r="H166" s="110">
        <v>4.0</v>
      </c>
      <c r="I166" s="570">
        <v>418.5714285714286</v>
      </c>
      <c r="J166" s="571" t="s">
        <v>10</v>
      </c>
      <c r="K166" s="564"/>
      <c r="L166" s="564"/>
      <c r="M166" s="564"/>
      <c r="N166" s="564"/>
      <c r="O166" s="564"/>
      <c r="P166" s="564"/>
      <c r="Q166" s="564"/>
      <c r="R166" s="564"/>
      <c r="S166" s="564"/>
      <c r="T166" s="564"/>
      <c r="U166" s="564"/>
      <c r="V166" s="564"/>
      <c r="W166" s="564"/>
      <c r="X166" s="564"/>
      <c r="Y166" s="564"/>
      <c r="Z166" s="564"/>
    </row>
    <row r="167" ht="13.5" customHeight="1">
      <c r="A167" s="103" t="s">
        <v>1266</v>
      </c>
      <c r="B167" s="104" t="s">
        <v>1948</v>
      </c>
      <c r="C167" s="105" t="s">
        <v>1319</v>
      </c>
      <c r="D167" s="109" t="s">
        <v>1997</v>
      </c>
      <c r="E167" s="105" t="s">
        <v>1999</v>
      </c>
      <c r="F167" s="104" t="s">
        <v>480</v>
      </c>
      <c r="G167" s="110" t="s">
        <v>1955</v>
      </c>
      <c r="H167" s="110">
        <v>4.0</v>
      </c>
      <c r="I167" s="570">
        <v>487.14285714285717</v>
      </c>
      <c r="J167" s="571" t="s">
        <v>10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03" t="s">
        <v>1266</v>
      </c>
      <c r="B168" s="104" t="s">
        <v>1948</v>
      </c>
      <c r="C168" s="105" t="s">
        <v>1319</v>
      </c>
      <c r="D168" s="109" t="s">
        <v>2001</v>
      </c>
      <c r="E168" s="105" t="s">
        <v>2003</v>
      </c>
      <c r="F168" s="104" t="s">
        <v>480</v>
      </c>
      <c r="G168" s="110" t="s">
        <v>1955</v>
      </c>
      <c r="H168" s="110">
        <v>4.0</v>
      </c>
      <c r="I168" s="570">
        <v>625.7142857142858</v>
      </c>
      <c r="J168" s="571" t="s">
        <v>10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03" t="s">
        <v>1266</v>
      </c>
      <c r="B169" s="104" t="s">
        <v>1948</v>
      </c>
      <c r="C169" s="105" t="s">
        <v>1319</v>
      </c>
      <c r="D169" s="109" t="s">
        <v>2005</v>
      </c>
      <c r="E169" s="105" t="s">
        <v>2007</v>
      </c>
      <c r="F169" s="104" t="s">
        <v>480</v>
      </c>
      <c r="G169" s="110" t="s">
        <v>1955</v>
      </c>
      <c r="H169" s="110">
        <v>4.0</v>
      </c>
      <c r="I169" s="570">
        <v>1050.0</v>
      </c>
      <c r="J169" s="571" t="s">
        <v>10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03" t="s">
        <v>1266</v>
      </c>
      <c r="B170" s="104" t="s">
        <v>1948</v>
      </c>
      <c r="C170" s="105" t="s">
        <v>1319</v>
      </c>
      <c r="D170" s="109" t="s">
        <v>2010</v>
      </c>
      <c r="E170" s="105" t="s">
        <v>2012</v>
      </c>
      <c r="F170" s="104" t="s">
        <v>480</v>
      </c>
      <c r="G170" s="110" t="s">
        <v>1955</v>
      </c>
      <c r="H170" s="110">
        <v>4.0</v>
      </c>
      <c r="I170" s="570">
        <v>507.14285714285717</v>
      </c>
      <c r="J170" s="571" t="s">
        <v>10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03" t="s">
        <v>1266</v>
      </c>
      <c r="B171" s="104" t="s">
        <v>1948</v>
      </c>
      <c r="C171" s="105" t="s">
        <v>1319</v>
      </c>
      <c r="D171" s="109" t="s">
        <v>2014</v>
      </c>
      <c r="E171" s="105" t="s">
        <v>2016</v>
      </c>
      <c r="F171" s="104" t="s">
        <v>480</v>
      </c>
      <c r="G171" s="110" t="s">
        <v>1955</v>
      </c>
      <c r="H171" s="110">
        <v>4.0</v>
      </c>
      <c r="I171" s="570">
        <v>578.5714285714286</v>
      </c>
      <c r="J171" s="571" t="s">
        <v>10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03" t="s">
        <v>1266</v>
      </c>
      <c r="B172" s="104" t="s">
        <v>1948</v>
      </c>
      <c r="C172" s="105" t="s">
        <v>1319</v>
      </c>
      <c r="D172" s="109" t="s">
        <v>2018</v>
      </c>
      <c r="E172" s="105" t="s">
        <v>2020</v>
      </c>
      <c r="F172" s="104" t="s">
        <v>480</v>
      </c>
      <c r="G172" s="110" t="s">
        <v>1955</v>
      </c>
      <c r="H172" s="110">
        <v>4.0</v>
      </c>
      <c r="I172" s="570">
        <v>714.2857142857143</v>
      </c>
      <c r="J172" s="571" t="s">
        <v>10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03" t="s">
        <v>1266</v>
      </c>
      <c r="B173" s="104" t="s">
        <v>1948</v>
      </c>
      <c r="C173" s="105" t="s">
        <v>1319</v>
      </c>
      <c r="D173" s="109" t="s">
        <v>2022</v>
      </c>
      <c r="E173" s="105" t="s">
        <v>2024</v>
      </c>
      <c r="F173" s="104" t="s">
        <v>480</v>
      </c>
      <c r="G173" s="110" t="s">
        <v>1955</v>
      </c>
      <c r="H173" s="110">
        <v>4.0</v>
      </c>
      <c r="I173" s="570">
        <v>1150.0</v>
      </c>
      <c r="J173" s="571" t="s">
        <v>10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03" t="s">
        <v>1266</v>
      </c>
      <c r="B174" s="104" t="s">
        <v>1948</v>
      </c>
      <c r="C174" s="105" t="s">
        <v>1319</v>
      </c>
      <c r="D174" s="109" t="s">
        <v>2028</v>
      </c>
      <c r="E174" s="105" t="s">
        <v>2030</v>
      </c>
      <c r="F174" s="104" t="s">
        <v>480</v>
      </c>
      <c r="G174" s="110" t="s">
        <v>1955</v>
      </c>
      <c r="H174" s="110">
        <v>4.0</v>
      </c>
      <c r="I174" s="570">
        <v>2307.1428571428573</v>
      </c>
      <c r="J174" s="571" t="s">
        <v>10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03" t="s">
        <v>1266</v>
      </c>
      <c r="B175" s="104" t="s">
        <v>1948</v>
      </c>
      <c r="C175" s="105" t="s">
        <v>1319</v>
      </c>
      <c r="D175" s="109" t="s">
        <v>2033</v>
      </c>
      <c r="E175" s="105" t="s">
        <v>2035</v>
      </c>
      <c r="F175" s="104" t="s">
        <v>480</v>
      </c>
      <c r="G175" s="110" t="s">
        <v>1955</v>
      </c>
      <c r="H175" s="110">
        <v>4.0</v>
      </c>
      <c r="I175" s="570">
        <v>3992.857142857143</v>
      </c>
      <c r="J175" s="571" t="s">
        <v>10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03" t="s">
        <v>1266</v>
      </c>
      <c r="B176" s="104" t="s">
        <v>1948</v>
      </c>
      <c r="C176" s="105" t="s">
        <v>1319</v>
      </c>
      <c r="D176" s="109" t="s">
        <v>2038</v>
      </c>
      <c r="E176" s="105" t="s">
        <v>2040</v>
      </c>
      <c r="F176" s="104" t="s">
        <v>480</v>
      </c>
      <c r="G176" s="110" t="s">
        <v>1955</v>
      </c>
      <c r="H176" s="110">
        <v>4.0</v>
      </c>
      <c r="I176" s="570">
        <v>2214.285714285714</v>
      </c>
      <c r="J176" s="571" t="s">
        <v>10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03" t="s">
        <v>1266</v>
      </c>
      <c r="B177" s="104" t="s">
        <v>1948</v>
      </c>
      <c r="C177" s="105" t="s">
        <v>1319</v>
      </c>
      <c r="D177" s="109" t="s">
        <v>2042</v>
      </c>
      <c r="E177" s="105" t="s">
        <v>2044</v>
      </c>
      <c r="F177" s="104" t="s">
        <v>480</v>
      </c>
      <c r="G177" s="110" t="s">
        <v>1955</v>
      </c>
      <c r="H177" s="110">
        <v>4.0</v>
      </c>
      <c r="I177" s="570">
        <v>3864.2857142857147</v>
      </c>
      <c r="J177" s="571" t="s">
        <v>10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03" t="s">
        <v>1266</v>
      </c>
      <c r="B178" s="104" t="s">
        <v>1948</v>
      </c>
      <c r="C178" s="105" t="s">
        <v>1319</v>
      </c>
      <c r="D178" s="109" t="s">
        <v>2047</v>
      </c>
      <c r="E178" s="105" t="s">
        <v>2049</v>
      </c>
      <c r="F178" s="104" t="s">
        <v>480</v>
      </c>
      <c r="G178" s="110" t="s">
        <v>1955</v>
      </c>
      <c r="H178" s="110">
        <v>4.0</v>
      </c>
      <c r="I178" s="570">
        <v>2350.0</v>
      </c>
      <c r="J178" s="571" t="s">
        <v>10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03" t="s">
        <v>1266</v>
      </c>
      <c r="B179" s="104" t="s">
        <v>1948</v>
      </c>
      <c r="C179" s="105" t="s">
        <v>1319</v>
      </c>
      <c r="D179" s="109" t="s">
        <v>2051</v>
      </c>
      <c r="E179" s="105" t="s">
        <v>2053</v>
      </c>
      <c r="F179" s="104" t="s">
        <v>480</v>
      </c>
      <c r="G179" s="110" t="s">
        <v>1955</v>
      </c>
      <c r="H179" s="110">
        <v>4.0</v>
      </c>
      <c r="I179" s="570">
        <v>4028.571428571429</v>
      </c>
      <c r="J179" s="571" t="s">
        <v>10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03" t="s">
        <v>1266</v>
      </c>
      <c r="B180" s="104" t="s">
        <v>1948</v>
      </c>
      <c r="C180" s="105" t="s">
        <v>1395</v>
      </c>
      <c r="D180" s="109" t="s">
        <v>2055</v>
      </c>
      <c r="E180" s="105" t="s">
        <v>2057</v>
      </c>
      <c r="F180" s="104" t="s">
        <v>480</v>
      </c>
      <c r="G180" s="110" t="s">
        <v>1955</v>
      </c>
      <c r="H180" s="110">
        <v>4.0</v>
      </c>
      <c r="I180" s="570">
        <v>820.5882352941177</v>
      </c>
      <c r="J180" s="571" t="s">
        <v>10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03" t="s">
        <v>1266</v>
      </c>
      <c r="B181" s="104" t="s">
        <v>1948</v>
      </c>
      <c r="C181" s="105" t="s">
        <v>1395</v>
      </c>
      <c r="D181" s="109" t="s">
        <v>2445</v>
      </c>
      <c r="E181" s="105" t="s">
        <v>2061</v>
      </c>
      <c r="F181" s="104" t="s">
        <v>480</v>
      </c>
      <c r="G181" s="110" t="s">
        <v>1955</v>
      </c>
      <c r="H181" s="110">
        <v>4.0</v>
      </c>
      <c r="I181" s="570">
        <v>1005.8823529411766</v>
      </c>
      <c r="J181" s="571" t="s">
        <v>10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03" t="s">
        <v>1266</v>
      </c>
      <c r="B182" s="104" t="s">
        <v>1948</v>
      </c>
      <c r="C182" s="105" t="s">
        <v>1395</v>
      </c>
      <c r="D182" s="109" t="s">
        <v>2447</v>
      </c>
      <c r="E182" s="105" t="s">
        <v>2065</v>
      </c>
      <c r="F182" s="104" t="s">
        <v>480</v>
      </c>
      <c r="G182" s="110" t="s">
        <v>1955</v>
      </c>
      <c r="H182" s="110">
        <v>4.0</v>
      </c>
      <c r="I182" s="570">
        <v>1376.4705882352941</v>
      </c>
      <c r="J182" s="571" t="s">
        <v>10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03" t="s">
        <v>1266</v>
      </c>
      <c r="B183" s="104" t="s">
        <v>1948</v>
      </c>
      <c r="C183" s="105" t="s">
        <v>1395</v>
      </c>
      <c r="D183" s="109" t="s">
        <v>2449</v>
      </c>
      <c r="E183" s="105" t="s">
        <v>2069</v>
      </c>
      <c r="F183" s="104" t="s">
        <v>480</v>
      </c>
      <c r="G183" s="110" t="s">
        <v>1955</v>
      </c>
      <c r="H183" s="110">
        <v>4.0</v>
      </c>
      <c r="I183" s="570">
        <v>2500.0000000000005</v>
      </c>
      <c r="J183" s="571" t="s">
        <v>10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03" t="s">
        <v>1266</v>
      </c>
      <c r="B184" s="104" t="s">
        <v>1948</v>
      </c>
      <c r="C184" s="105" t="s">
        <v>1395</v>
      </c>
      <c r="D184" s="109" t="s">
        <v>2071</v>
      </c>
      <c r="E184" s="105" t="s">
        <v>2073</v>
      </c>
      <c r="F184" s="104" t="s">
        <v>480</v>
      </c>
      <c r="G184" s="110" t="s">
        <v>1955</v>
      </c>
      <c r="H184" s="110">
        <v>4.0</v>
      </c>
      <c r="I184" s="570">
        <v>4992.64705882353</v>
      </c>
      <c r="J184" s="571" t="s">
        <v>10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03" t="s">
        <v>1266</v>
      </c>
      <c r="B185" s="104" t="s">
        <v>1948</v>
      </c>
      <c r="C185" s="105" t="s">
        <v>1395</v>
      </c>
      <c r="D185" s="109" t="s">
        <v>2075</v>
      </c>
      <c r="E185" s="105" t="s">
        <v>2077</v>
      </c>
      <c r="F185" s="104" t="s">
        <v>480</v>
      </c>
      <c r="G185" s="110" t="s">
        <v>1955</v>
      </c>
      <c r="H185" s="110">
        <v>4.0</v>
      </c>
      <c r="I185" s="570">
        <v>9117.64705882353</v>
      </c>
      <c r="J185" s="571" t="s">
        <v>10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03" t="s">
        <v>1266</v>
      </c>
      <c r="B186" s="104" t="s">
        <v>1948</v>
      </c>
      <c r="C186" s="105" t="s">
        <v>1395</v>
      </c>
      <c r="D186" s="109" t="s">
        <v>2079</v>
      </c>
      <c r="E186" s="105" t="s">
        <v>2081</v>
      </c>
      <c r="F186" s="104" t="s">
        <v>480</v>
      </c>
      <c r="G186" s="110" t="s">
        <v>1955</v>
      </c>
      <c r="H186" s="110">
        <v>4.0</v>
      </c>
      <c r="I186" s="570">
        <v>841.1764705882354</v>
      </c>
      <c r="J186" s="571" t="s">
        <v>10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03" t="s">
        <v>1266</v>
      </c>
      <c r="B187" s="104" t="s">
        <v>1948</v>
      </c>
      <c r="C187" s="105" t="s">
        <v>1395</v>
      </c>
      <c r="D187" s="109" t="s">
        <v>2083</v>
      </c>
      <c r="E187" s="105" t="s">
        <v>2085</v>
      </c>
      <c r="F187" s="104" t="s">
        <v>480</v>
      </c>
      <c r="G187" s="110" t="s">
        <v>1955</v>
      </c>
      <c r="H187" s="110">
        <v>4.0</v>
      </c>
      <c r="I187" s="570">
        <v>1047.058823529412</v>
      </c>
      <c r="J187" s="571" t="s">
        <v>10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03" t="s">
        <v>1266</v>
      </c>
      <c r="B188" s="104" t="s">
        <v>1948</v>
      </c>
      <c r="C188" s="105" t="s">
        <v>1395</v>
      </c>
      <c r="D188" s="109" t="s">
        <v>2087</v>
      </c>
      <c r="E188" s="105" t="s">
        <v>2089</v>
      </c>
      <c r="F188" s="104" t="s">
        <v>480</v>
      </c>
      <c r="G188" s="110" t="s">
        <v>1955</v>
      </c>
      <c r="H188" s="110">
        <v>4.0</v>
      </c>
      <c r="I188" s="570">
        <v>1448.529411764706</v>
      </c>
      <c r="J188" s="571" t="s">
        <v>10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03" t="s">
        <v>1266</v>
      </c>
      <c r="B189" s="104" t="s">
        <v>1948</v>
      </c>
      <c r="C189" s="105" t="s">
        <v>1395</v>
      </c>
      <c r="D189" s="109" t="s">
        <v>2091</v>
      </c>
      <c r="E189" s="105" t="s">
        <v>2093</v>
      </c>
      <c r="F189" s="104" t="s">
        <v>1989</v>
      </c>
      <c r="G189" s="110" t="s">
        <v>1990</v>
      </c>
      <c r="H189" s="110">
        <v>2.0</v>
      </c>
      <c r="I189" s="570">
        <v>2720.588235294118</v>
      </c>
      <c r="J189" s="571" t="s">
        <v>10</v>
      </c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</row>
    <row r="190" ht="13.5" customHeight="1">
      <c r="A190" s="103" t="s">
        <v>1266</v>
      </c>
      <c r="B190" s="104" t="s">
        <v>1948</v>
      </c>
      <c r="C190" s="105" t="s">
        <v>1395</v>
      </c>
      <c r="D190" s="109" t="s">
        <v>2095</v>
      </c>
      <c r="E190" s="105" t="s">
        <v>2097</v>
      </c>
      <c r="F190" s="104" t="s">
        <v>480</v>
      </c>
      <c r="G190" s="110" t="s">
        <v>1955</v>
      </c>
      <c r="H190" s="110">
        <v>4.0</v>
      </c>
      <c r="I190" s="570">
        <v>1529.4117647058824</v>
      </c>
      <c r="J190" s="571" t="s">
        <v>10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03" t="s">
        <v>1266</v>
      </c>
      <c r="B191" s="104" t="s">
        <v>1948</v>
      </c>
      <c r="C191" s="105" t="s">
        <v>1395</v>
      </c>
      <c r="D191" s="109" t="s">
        <v>2099</v>
      </c>
      <c r="E191" s="105" t="s">
        <v>2101</v>
      </c>
      <c r="F191" s="104" t="s">
        <v>480</v>
      </c>
      <c r="G191" s="110" t="s">
        <v>1955</v>
      </c>
      <c r="H191" s="110">
        <v>4.0</v>
      </c>
      <c r="I191" s="570">
        <v>1963.2352941176473</v>
      </c>
      <c r="J191" s="571" t="s">
        <v>10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03" t="s">
        <v>1266</v>
      </c>
      <c r="B192" s="104" t="s">
        <v>1948</v>
      </c>
      <c r="C192" s="105" t="s">
        <v>1395</v>
      </c>
      <c r="D192" s="109" t="s">
        <v>2103</v>
      </c>
      <c r="E192" s="105" t="s">
        <v>2105</v>
      </c>
      <c r="F192" s="104" t="s">
        <v>480</v>
      </c>
      <c r="G192" s="110" t="s">
        <v>1955</v>
      </c>
      <c r="H192" s="110">
        <v>4.0</v>
      </c>
      <c r="I192" s="570">
        <v>2830.8823529411766</v>
      </c>
      <c r="J192" s="571" t="s">
        <v>10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03" t="s">
        <v>1266</v>
      </c>
      <c r="B193" s="104" t="s">
        <v>1948</v>
      </c>
      <c r="C193" s="105" t="s">
        <v>1395</v>
      </c>
      <c r="D193" s="109" t="s">
        <v>2107</v>
      </c>
      <c r="E193" s="105" t="s">
        <v>2109</v>
      </c>
      <c r="F193" s="104" t="s">
        <v>1989</v>
      </c>
      <c r="G193" s="110" t="s">
        <v>1990</v>
      </c>
      <c r="H193" s="110">
        <v>2.0</v>
      </c>
      <c r="I193" s="570">
        <v>5455.882352941177</v>
      </c>
      <c r="J193" s="571" t="s">
        <v>10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03" t="s">
        <v>1266</v>
      </c>
      <c r="B194" s="104" t="s">
        <v>1948</v>
      </c>
      <c r="C194" s="105" t="s">
        <v>1395</v>
      </c>
      <c r="D194" s="109" t="s">
        <v>2111</v>
      </c>
      <c r="E194" s="105" t="s">
        <v>2113</v>
      </c>
      <c r="F194" s="104" t="s">
        <v>480</v>
      </c>
      <c r="G194" s="110" t="s">
        <v>1955</v>
      </c>
      <c r="H194" s="110">
        <v>4.0</v>
      </c>
      <c r="I194" s="570">
        <v>4889.705882352941</v>
      </c>
      <c r="J194" s="571" t="s">
        <v>10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03" t="s">
        <v>1266</v>
      </c>
      <c r="B195" s="104" t="s">
        <v>1948</v>
      </c>
      <c r="C195" s="105" t="s">
        <v>1395</v>
      </c>
      <c r="D195" s="109" t="s">
        <v>2115</v>
      </c>
      <c r="E195" s="105" t="s">
        <v>2117</v>
      </c>
      <c r="F195" s="104" t="s">
        <v>480</v>
      </c>
      <c r="G195" s="110" t="s">
        <v>1955</v>
      </c>
      <c r="H195" s="110">
        <v>4.0</v>
      </c>
      <c r="I195" s="570">
        <v>9022.058823529413</v>
      </c>
      <c r="J195" s="571" t="s">
        <v>10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03" t="s">
        <v>1266</v>
      </c>
      <c r="B196" s="104" t="s">
        <v>1948</v>
      </c>
      <c r="C196" s="105" t="s">
        <v>1395</v>
      </c>
      <c r="D196" s="109" t="s">
        <v>2119</v>
      </c>
      <c r="E196" s="105" t="s">
        <v>2121</v>
      </c>
      <c r="F196" s="104" t="s">
        <v>480</v>
      </c>
      <c r="G196" s="110" t="s">
        <v>1955</v>
      </c>
      <c r="H196" s="110">
        <v>4.0</v>
      </c>
      <c r="I196" s="570">
        <v>5036.764705882353</v>
      </c>
      <c r="J196" s="571" t="s">
        <v>10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03" t="s">
        <v>1266</v>
      </c>
      <c r="B197" s="104" t="s">
        <v>1948</v>
      </c>
      <c r="C197" s="105" t="s">
        <v>1395</v>
      </c>
      <c r="D197" s="109" t="s">
        <v>2123</v>
      </c>
      <c r="E197" s="105" t="s">
        <v>2125</v>
      </c>
      <c r="F197" s="104" t="s">
        <v>480</v>
      </c>
      <c r="G197" s="110" t="s">
        <v>1955</v>
      </c>
      <c r="H197" s="110">
        <v>4.0</v>
      </c>
      <c r="I197" s="570">
        <v>9154.411764705883</v>
      </c>
      <c r="J197" s="571" t="s">
        <v>10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03" t="s">
        <v>1266</v>
      </c>
      <c r="B198" s="104" t="s">
        <v>1948</v>
      </c>
      <c r="C198" s="105" t="s">
        <v>1465</v>
      </c>
      <c r="D198" s="109" t="s">
        <v>2127</v>
      </c>
      <c r="E198" s="105" t="s">
        <v>2129</v>
      </c>
      <c r="F198" s="104" t="s">
        <v>480</v>
      </c>
      <c r="G198" s="110" t="s">
        <v>1955</v>
      </c>
      <c r="H198" s="110">
        <v>4.0</v>
      </c>
      <c r="I198" s="570">
        <v>1531.818181818182</v>
      </c>
      <c r="J198" s="571" t="s">
        <v>10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03" t="s">
        <v>1266</v>
      </c>
      <c r="B199" s="104" t="s">
        <v>1948</v>
      </c>
      <c r="C199" s="105" t="s">
        <v>1465</v>
      </c>
      <c r="D199" s="109" t="s">
        <v>2131</v>
      </c>
      <c r="E199" s="105" t="s">
        <v>2133</v>
      </c>
      <c r="F199" s="104" t="s">
        <v>480</v>
      </c>
      <c r="G199" s="110" t="s">
        <v>1955</v>
      </c>
      <c r="H199" s="110">
        <v>4.0</v>
      </c>
      <c r="I199" s="570">
        <v>1953.0303030303032</v>
      </c>
      <c r="J199" s="571" t="s">
        <v>10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03" t="s">
        <v>1266</v>
      </c>
      <c r="B200" s="104" t="s">
        <v>1948</v>
      </c>
      <c r="C200" s="105" t="s">
        <v>1465</v>
      </c>
      <c r="D200" s="109" t="s">
        <v>2135</v>
      </c>
      <c r="E200" s="105" t="s">
        <v>2137</v>
      </c>
      <c r="F200" s="104" t="s">
        <v>480</v>
      </c>
      <c r="G200" s="110" t="s">
        <v>1955</v>
      </c>
      <c r="H200" s="110">
        <v>4.0</v>
      </c>
      <c r="I200" s="570">
        <v>2792.424242424243</v>
      </c>
      <c r="J200" s="571" t="s">
        <v>10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03" t="s">
        <v>1266</v>
      </c>
      <c r="B201" s="104" t="s">
        <v>1948</v>
      </c>
      <c r="C201" s="105" t="s">
        <v>1465</v>
      </c>
      <c r="D201" s="109" t="s">
        <v>2139</v>
      </c>
      <c r="E201" s="105" t="s">
        <v>2141</v>
      </c>
      <c r="F201" s="104" t="s">
        <v>480</v>
      </c>
      <c r="G201" s="110" t="s">
        <v>1955</v>
      </c>
      <c r="H201" s="110">
        <v>4.0</v>
      </c>
      <c r="I201" s="570">
        <v>5325.757575757576</v>
      </c>
      <c r="J201" s="571" t="s">
        <v>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03" t="s">
        <v>1266</v>
      </c>
      <c r="B202" s="104" t="s">
        <v>1948</v>
      </c>
      <c r="C202" s="105" t="s">
        <v>1465</v>
      </c>
      <c r="D202" s="109" t="s">
        <v>2143</v>
      </c>
      <c r="E202" s="105" t="s">
        <v>2145</v>
      </c>
      <c r="F202" s="104" t="s">
        <v>480</v>
      </c>
      <c r="G202" s="110" t="s">
        <v>1955</v>
      </c>
      <c r="H202" s="110">
        <v>4.0</v>
      </c>
      <c r="I202" s="570">
        <v>9280.303030303032</v>
      </c>
      <c r="J202" s="571" t="s">
        <v>10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03" t="s">
        <v>1266</v>
      </c>
      <c r="B203" s="104" t="s">
        <v>1948</v>
      </c>
      <c r="C203" s="105" t="s">
        <v>1465</v>
      </c>
      <c r="D203" s="109" t="s">
        <v>2147</v>
      </c>
      <c r="E203" s="105" t="s">
        <v>2149</v>
      </c>
      <c r="F203" s="104" t="s">
        <v>480</v>
      </c>
      <c r="G203" s="110" t="s">
        <v>1955</v>
      </c>
      <c r="H203" s="110">
        <v>4.0</v>
      </c>
      <c r="I203" s="570">
        <v>18068.18181818182</v>
      </c>
      <c r="J203" s="571" t="s">
        <v>10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03" t="s">
        <v>1266</v>
      </c>
      <c r="B204" s="104" t="s">
        <v>1948</v>
      </c>
      <c r="C204" s="105" t="s">
        <v>2150</v>
      </c>
      <c r="D204" s="109" t="s">
        <v>2657</v>
      </c>
      <c r="E204" s="105" t="s">
        <v>2154</v>
      </c>
      <c r="F204" s="104" t="s">
        <v>480</v>
      </c>
      <c r="G204" s="110" t="s">
        <v>1955</v>
      </c>
      <c r="H204" s="110">
        <v>4.0</v>
      </c>
      <c r="I204" s="570">
        <v>278.0821917808219</v>
      </c>
      <c r="J204" s="571" t="s">
        <v>10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03" t="s">
        <v>1266</v>
      </c>
      <c r="B205" s="104" t="s">
        <v>1948</v>
      </c>
      <c r="C205" s="105" t="s">
        <v>2150</v>
      </c>
      <c r="D205" s="109" t="s">
        <v>2659</v>
      </c>
      <c r="E205" s="105" t="s">
        <v>2160</v>
      </c>
      <c r="F205" s="104" t="s">
        <v>480</v>
      </c>
      <c r="G205" s="110" t="s">
        <v>1955</v>
      </c>
      <c r="H205" s="110">
        <v>4.0</v>
      </c>
      <c r="I205" s="570">
        <v>287.67123287671234</v>
      </c>
      <c r="J205" s="571" t="s">
        <v>10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03" t="s">
        <v>1266</v>
      </c>
      <c r="B206" s="104" t="s">
        <v>1948</v>
      </c>
      <c r="C206" s="105" t="s">
        <v>2150</v>
      </c>
      <c r="D206" s="109" t="s">
        <v>2661</v>
      </c>
      <c r="E206" s="105" t="s">
        <v>2164</v>
      </c>
      <c r="F206" s="104" t="s">
        <v>480</v>
      </c>
      <c r="G206" s="110" t="s">
        <v>1955</v>
      </c>
      <c r="H206" s="110">
        <v>4.0</v>
      </c>
      <c r="I206" s="570">
        <v>308.2191780821918</v>
      </c>
      <c r="J206" s="571" t="s">
        <v>10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03" t="s">
        <v>1266</v>
      </c>
      <c r="B207" s="104" t="s">
        <v>1948</v>
      </c>
      <c r="C207" s="105" t="s">
        <v>2150</v>
      </c>
      <c r="D207" s="109" t="s">
        <v>2663</v>
      </c>
      <c r="E207" s="105" t="s">
        <v>2168</v>
      </c>
      <c r="F207" s="104" t="s">
        <v>480</v>
      </c>
      <c r="G207" s="110" t="s">
        <v>1955</v>
      </c>
      <c r="H207" s="110">
        <v>4.0</v>
      </c>
      <c r="I207" s="570">
        <v>382.1917808219178</v>
      </c>
      <c r="J207" s="571" t="s">
        <v>10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03" t="s">
        <v>1266</v>
      </c>
      <c r="B208" s="104" t="s">
        <v>1948</v>
      </c>
      <c r="C208" s="105" t="s">
        <v>2150</v>
      </c>
      <c r="D208" s="109" t="s">
        <v>2170</v>
      </c>
      <c r="E208" s="105" t="s">
        <v>2172</v>
      </c>
      <c r="F208" s="104" t="s">
        <v>480</v>
      </c>
      <c r="G208" s="110" t="s">
        <v>1955</v>
      </c>
      <c r="H208" s="110">
        <v>4.0</v>
      </c>
      <c r="I208" s="570">
        <v>278.0821917808219</v>
      </c>
      <c r="J208" s="571" t="s">
        <v>10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03" t="s">
        <v>1266</v>
      </c>
      <c r="B209" s="104" t="s">
        <v>1948</v>
      </c>
      <c r="C209" s="105" t="s">
        <v>2150</v>
      </c>
      <c r="D209" s="109" t="s">
        <v>2174</v>
      </c>
      <c r="E209" s="105" t="s">
        <v>2176</v>
      </c>
      <c r="F209" s="104" t="s">
        <v>480</v>
      </c>
      <c r="G209" s="110" t="s">
        <v>1955</v>
      </c>
      <c r="H209" s="110">
        <v>4.0</v>
      </c>
      <c r="I209" s="570">
        <v>301.36986301369865</v>
      </c>
      <c r="J209" s="571" t="s">
        <v>10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03" t="s">
        <v>1266</v>
      </c>
      <c r="B210" s="104" t="s">
        <v>1948</v>
      </c>
      <c r="C210" s="105" t="s">
        <v>2150</v>
      </c>
      <c r="D210" s="109" t="s">
        <v>2178</v>
      </c>
      <c r="E210" s="105" t="s">
        <v>2180</v>
      </c>
      <c r="F210" s="104" t="s">
        <v>480</v>
      </c>
      <c r="G210" s="110" t="s">
        <v>1955</v>
      </c>
      <c r="H210" s="110">
        <v>4.0</v>
      </c>
      <c r="I210" s="570">
        <v>342.4657534246575</v>
      </c>
      <c r="J210" s="571" t="s">
        <v>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03" t="s">
        <v>1266</v>
      </c>
      <c r="B211" s="104" t="s">
        <v>1948</v>
      </c>
      <c r="C211" s="105" t="s">
        <v>2150</v>
      </c>
      <c r="D211" s="109" t="s">
        <v>2182</v>
      </c>
      <c r="E211" s="105" t="s">
        <v>2184</v>
      </c>
      <c r="F211" s="104" t="s">
        <v>1989</v>
      </c>
      <c r="G211" s="110" t="s">
        <v>1955</v>
      </c>
      <c r="H211" s="110">
        <v>4.0</v>
      </c>
      <c r="I211" s="570">
        <v>472.60273972602744</v>
      </c>
      <c r="J211" s="571" t="s">
        <v>10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03" t="s">
        <v>1266</v>
      </c>
      <c r="B212" s="104" t="s">
        <v>1948</v>
      </c>
      <c r="C212" s="105" t="s">
        <v>2150</v>
      </c>
      <c r="D212" s="109" t="s">
        <v>2186</v>
      </c>
      <c r="E212" s="105" t="s">
        <v>2188</v>
      </c>
      <c r="F212" s="104" t="s">
        <v>480</v>
      </c>
      <c r="G212" s="110" t="s">
        <v>1955</v>
      </c>
      <c r="H212" s="110">
        <v>4.0</v>
      </c>
      <c r="I212" s="570">
        <v>239.72602739726028</v>
      </c>
      <c r="J212" s="571" t="s">
        <v>10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03" t="s">
        <v>1266</v>
      </c>
      <c r="B213" s="104" t="s">
        <v>1948</v>
      </c>
      <c r="C213" s="105" t="s">
        <v>2150</v>
      </c>
      <c r="D213" s="109" t="s">
        <v>2190</v>
      </c>
      <c r="E213" s="105" t="s">
        <v>2192</v>
      </c>
      <c r="F213" s="104" t="s">
        <v>480</v>
      </c>
      <c r="G213" s="110" t="s">
        <v>1955</v>
      </c>
      <c r="H213" s="110">
        <v>4.0</v>
      </c>
      <c r="I213" s="570">
        <v>250.68493150684932</v>
      </c>
      <c r="J213" s="571" t="s">
        <v>10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03" t="s">
        <v>1266</v>
      </c>
      <c r="B214" s="104" t="s">
        <v>1948</v>
      </c>
      <c r="C214" s="105" t="s">
        <v>2150</v>
      </c>
      <c r="D214" s="109" t="s">
        <v>2194</v>
      </c>
      <c r="E214" s="105" t="s">
        <v>2196</v>
      </c>
      <c r="F214" s="104" t="s">
        <v>480</v>
      </c>
      <c r="G214" s="110" t="s">
        <v>1955</v>
      </c>
      <c r="H214" s="110">
        <v>4.0</v>
      </c>
      <c r="I214" s="570">
        <v>273.972602739726</v>
      </c>
      <c r="J214" s="571" t="s">
        <v>10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03" t="s">
        <v>1266</v>
      </c>
      <c r="B215" s="104" t="s">
        <v>1948</v>
      </c>
      <c r="C215" s="105" t="s">
        <v>2150</v>
      </c>
      <c r="D215" s="109" t="s">
        <v>2198</v>
      </c>
      <c r="E215" s="105" t="s">
        <v>2200</v>
      </c>
      <c r="F215" s="104" t="s">
        <v>480</v>
      </c>
      <c r="G215" s="110" t="s">
        <v>1955</v>
      </c>
      <c r="H215" s="110">
        <v>4.0</v>
      </c>
      <c r="I215" s="570">
        <v>342.4657534246575</v>
      </c>
      <c r="J215" s="571" t="s">
        <v>10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03" t="s">
        <v>1266</v>
      </c>
      <c r="B216" s="104" t="s">
        <v>1948</v>
      </c>
      <c r="C216" s="105" t="s">
        <v>2150</v>
      </c>
      <c r="D216" s="109" t="s">
        <v>2202</v>
      </c>
      <c r="E216" s="105" t="s">
        <v>2204</v>
      </c>
      <c r="F216" s="104" t="s">
        <v>480</v>
      </c>
      <c r="G216" s="110" t="s">
        <v>1955</v>
      </c>
      <c r="H216" s="110">
        <v>4.0</v>
      </c>
      <c r="I216" s="570">
        <v>319.17808219178085</v>
      </c>
      <c r="J216" s="571" t="s">
        <v>10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03" t="s">
        <v>1266</v>
      </c>
      <c r="B217" s="104" t="s">
        <v>1948</v>
      </c>
      <c r="C217" s="105" t="s">
        <v>2150</v>
      </c>
      <c r="D217" s="109" t="s">
        <v>2206</v>
      </c>
      <c r="E217" s="105" t="s">
        <v>2208</v>
      </c>
      <c r="F217" s="104" t="s">
        <v>480</v>
      </c>
      <c r="G217" s="110" t="s">
        <v>1955</v>
      </c>
      <c r="H217" s="110">
        <v>4.0</v>
      </c>
      <c r="I217" s="570">
        <v>328.76712328767127</v>
      </c>
      <c r="J217" s="571" t="s">
        <v>10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03" t="s">
        <v>1266</v>
      </c>
      <c r="B218" s="104" t="s">
        <v>1948</v>
      </c>
      <c r="C218" s="105" t="s">
        <v>2150</v>
      </c>
      <c r="D218" s="109" t="s">
        <v>2703</v>
      </c>
      <c r="E218" s="105" t="s">
        <v>2212</v>
      </c>
      <c r="F218" s="104" t="s">
        <v>480</v>
      </c>
      <c r="G218" s="110" t="s">
        <v>1955</v>
      </c>
      <c r="H218" s="110">
        <v>4.0</v>
      </c>
      <c r="I218" s="570">
        <v>349.3150684931507</v>
      </c>
      <c r="J218" s="571" t="s">
        <v>10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03" t="s">
        <v>1266</v>
      </c>
      <c r="B219" s="104" t="s">
        <v>1948</v>
      </c>
      <c r="C219" s="105" t="s">
        <v>2150</v>
      </c>
      <c r="D219" s="109" t="s">
        <v>2713</v>
      </c>
      <c r="E219" s="105" t="s">
        <v>2216</v>
      </c>
      <c r="F219" s="104" t="s">
        <v>480</v>
      </c>
      <c r="G219" s="110" t="s">
        <v>1955</v>
      </c>
      <c r="H219" s="110">
        <v>4.0</v>
      </c>
      <c r="I219" s="570">
        <v>426.027397260274</v>
      </c>
      <c r="J219" s="571" t="s">
        <v>10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03" t="s">
        <v>1266</v>
      </c>
      <c r="B220" s="104" t="s">
        <v>1948</v>
      </c>
      <c r="C220" s="105" t="s">
        <v>2150</v>
      </c>
      <c r="D220" s="109" t="s">
        <v>2218</v>
      </c>
      <c r="E220" s="105" t="s">
        <v>2220</v>
      </c>
      <c r="F220" s="104" t="s">
        <v>480</v>
      </c>
      <c r="G220" s="110" t="s">
        <v>1955</v>
      </c>
      <c r="H220" s="110">
        <v>4.0</v>
      </c>
      <c r="I220" s="570">
        <v>808.2191780821918</v>
      </c>
      <c r="J220" s="571" t="s">
        <v>10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03" t="s">
        <v>1266</v>
      </c>
      <c r="B221" s="104" t="s">
        <v>1948</v>
      </c>
      <c r="C221" s="105" t="s">
        <v>2150</v>
      </c>
      <c r="D221" s="109" t="s">
        <v>2222</v>
      </c>
      <c r="E221" s="105" t="s">
        <v>2224</v>
      </c>
      <c r="F221" s="104" t="s">
        <v>480</v>
      </c>
      <c r="G221" s="110" t="s">
        <v>1955</v>
      </c>
      <c r="H221" s="110">
        <v>4.0</v>
      </c>
      <c r="I221" s="570">
        <v>1130.13698630137</v>
      </c>
      <c r="J221" s="571" t="s">
        <v>10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03" t="s">
        <v>1266</v>
      </c>
      <c r="B222" s="104" t="s">
        <v>1948</v>
      </c>
      <c r="C222" s="105" t="s">
        <v>2150</v>
      </c>
      <c r="D222" s="109" t="s">
        <v>2226</v>
      </c>
      <c r="E222" s="105" t="s">
        <v>2228</v>
      </c>
      <c r="F222" s="104" t="s">
        <v>480</v>
      </c>
      <c r="G222" s="110" t="s">
        <v>1955</v>
      </c>
      <c r="H222" s="110">
        <v>4.0</v>
      </c>
      <c r="I222" s="570">
        <v>719.1780821917808</v>
      </c>
      <c r="J222" s="571" t="s">
        <v>10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03" t="s">
        <v>1266</v>
      </c>
      <c r="B223" s="104" t="s">
        <v>1948</v>
      </c>
      <c r="C223" s="105" t="s">
        <v>2150</v>
      </c>
      <c r="D223" s="109" t="s">
        <v>2230</v>
      </c>
      <c r="E223" s="105" t="s">
        <v>2232</v>
      </c>
      <c r="F223" s="104" t="s">
        <v>480</v>
      </c>
      <c r="G223" s="110" t="s">
        <v>1955</v>
      </c>
      <c r="H223" s="110">
        <v>4.0</v>
      </c>
      <c r="I223" s="570">
        <v>1009.5890410958905</v>
      </c>
      <c r="J223" s="571" t="s">
        <v>10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03" t="s">
        <v>1266</v>
      </c>
      <c r="B224" s="104" t="s">
        <v>1948</v>
      </c>
      <c r="C224" s="105" t="s">
        <v>2150</v>
      </c>
      <c r="D224" s="109" t="s">
        <v>2234</v>
      </c>
      <c r="E224" s="105" t="s">
        <v>2236</v>
      </c>
      <c r="F224" s="104" t="s">
        <v>480</v>
      </c>
      <c r="G224" s="110" t="s">
        <v>1955</v>
      </c>
      <c r="H224" s="110">
        <v>4.0</v>
      </c>
      <c r="I224" s="570">
        <v>849.3150684931508</v>
      </c>
      <c r="J224" s="571" t="s">
        <v>10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03" t="s">
        <v>1266</v>
      </c>
      <c r="B225" s="104" t="s">
        <v>1948</v>
      </c>
      <c r="C225" s="105" t="s">
        <v>2150</v>
      </c>
      <c r="D225" s="109" t="s">
        <v>2238</v>
      </c>
      <c r="E225" s="105" t="s">
        <v>2240</v>
      </c>
      <c r="F225" s="104" t="s">
        <v>480</v>
      </c>
      <c r="G225" s="110" t="s">
        <v>1955</v>
      </c>
      <c r="H225" s="110">
        <v>4.0</v>
      </c>
      <c r="I225" s="570">
        <v>1168.4931506849316</v>
      </c>
      <c r="J225" s="571" t="s">
        <v>10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3"/>
      <c r="E226" s="13"/>
      <c r="F226" s="13"/>
      <c r="G226" s="8"/>
      <c r="H226" s="8"/>
      <c r="I226" s="8"/>
      <c r="J226" s="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3"/>
      <c r="E227" s="13"/>
      <c r="F227" s="13"/>
      <c r="G227" s="8"/>
      <c r="H227" s="8"/>
      <c r="I227" s="8"/>
      <c r="J227" s="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3"/>
      <c r="E228" s="13"/>
      <c r="F228" s="13"/>
      <c r="G228" s="8"/>
      <c r="H228" s="8"/>
      <c r="I228" s="8"/>
      <c r="J228" s="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3"/>
      <c r="E229" s="13"/>
      <c r="F229" s="13"/>
      <c r="G229" s="8"/>
      <c r="H229" s="8"/>
      <c r="I229" s="8"/>
      <c r="J229" s="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3"/>
      <c r="E230" s="13"/>
      <c r="F230" s="13"/>
      <c r="G230" s="8"/>
      <c r="H230" s="8"/>
      <c r="I230" s="8"/>
      <c r="J230" s="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3"/>
      <c r="E231" s="13"/>
      <c r="F231" s="13"/>
      <c r="G231" s="8"/>
      <c r="H231" s="8"/>
      <c r="I231" s="8"/>
      <c r="J231" s="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3"/>
      <c r="E232" s="13"/>
      <c r="F232" s="13"/>
      <c r="G232" s="8"/>
      <c r="H232" s="8"/>
      <c r="I232" s="8"/>
      <c r="J232" s="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3"/>
      <c r="E233" s="13"/>
      <c r="F233" s="13"/>
      <c r="G233" s="8"/>
      <c r="H233" s="8"/>
      <c r="I233" s="8"/>
      <c r="J233" s="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3"/>
      <c r="E234" s="13"/>
      <c r="F234" s="13"/>
      <c r="G234" s="8"/>
      <c r="H234" s="8"/>
      <c r="I234" s="8"/>
      <c r="J234" s="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3"/>
      <c r="E235" s="13"/>
      <c r="F235" s="13"/>
      <c r="G235" s="8"/>
      <c r="H235" s="8"/>
      <c r="I235" s="8"/>
      <c r="J235" s="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3"/>
      <c r="E236" s="13"/>
      <c r="F236" s="13"/>
      <c r="G236" s="8"/>
      <c r="H236" s="8"/>
      <c r="I236" s="8"/>
      <c r="J236" s="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3"/>
      <c r="E237" s="13"/>
      <c r="F237" s="13"/>
      <c r="G237" s="8"/>
      <c r="H237" s="8"/>
      <c r="I237" s="8"/>
      <c r="J237" s="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3"/>
      <c r="E238" s="13"/>
      <c r="F238" s="13"/>
      <c r="G238" s="8"/>
      <c r="H238" s="8"/>
      <c r="I238" s="8"/>
      <c r="J238" s="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3"/>
      <c r="E239" s="13"/>
      <c r="F239" s="13"/>
      <c r="G239" s="8"/>
      <c r="H239" s="8"/>
      <c r="I239" s="8"/>
      <c r="J239" s="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3"/>
      <c r="E240" s="13"/>
      <c r="F240" s="13"/>
      <c r="G240" s="8"/>
      <c r="H240" s="8"/>
      <c r="I240" s="8"/>
      <c r="J240" s="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3"/>
      <c r="E241" s="13"/>
      <c r="F241" s="13"/>
      <c r="G241" s="8"/>
      <c r="H241" s="8"/>
      <c r="I241" s="8"/>
      <c r="J241" s="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3"/>
      <c r="E242" s="13"/>
      <c r="F242" s="13"/>
      <c r="G242" s="8"/>
      <c r="H242" s="8"/>
      <c r="I242" s="8"/>
      <c r="J242" s="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3"/>
      <c r="E243" s="13"/>
      <c r="F243" s="13"/>
      <c r="G243" s="8"/>
      <c r="H243" s="8"/>
      <c r="I243" s="8"/>
      <c r="J243" s="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3"/>
      <c r="E244" s="13"/>
      <c r="F244" s="13"/>
      <c r="G244" s="8"/>
      <c r="H244" s="8"/>
      <c r="I244" s="8"/>
      <c r="J244" s="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3"/>
      <c r="E245" s="13"/>
      <c r="F245" s="13"/>
      <c r="G245" s="8"/>
      <c r="H245" s="8"/>
      <c r="I245" s="8"/>
      <c r="J245" s="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3"/>
      <c r="E246" s="13"/>
      <c r="F246" s="13"/>
      <c r="G246" s="8"/>
      <c r="H246" s="8"/>
      <c r="I246" s="8"/>
      <c r="J246" s="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3"/>
      <c r="E247" s="13"/>
      <c r="F247" s="13"/>
      <c r="G247" s="8"/>
      <c r="H247" s="8"/>
      <c r="I247" s="8"/>
      <c r="J247" s="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3"/>
      <c r="E248" s="13"/>
      <c r="F248" s="13"/>
      <c r="G248" s="8"/>
      <c r="H248" s="8"/>
      <c r="I248" s="8"/>
      <c r="J248" s="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3"/>
      <c r="E249" s="13"/>
      <c r="F249" s="13"/>
      <c r="G249" s="8"/>
      <c r="H249" s="8"/>
      <c r="I249" s="8"/>
      <c r="J249" s="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3"/>
      <c r="E250" s="13"/>
      <c r="F250" s="13"/>
      <c r="G250" s="8"/>
      <c r="H250" s="8"/>
      <c r="I250" s="8"/>
      <c r="J250" s="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3"/>
      <c r="E251" s="13"/>
      <c r="F251" s="13"/>
      <c r="G251" s="8"/>
      <c r="H251" s="8"/>
      <c r="I251" s="8"/>
      <c r="J251" s="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3"/>
      <c r="E252" s="13"/>
      <c r="F252" s="13"/>
      <c r="G252" s="8"/>
      <c r="H252" s="8"/>
      <c r="I252" s="8"/>
      <c r="J252" s="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3"/>
      <c r="E253" s="13"/>
      <c r="F253" s="13"/>
      <c r="G253" s="8"/>
      <c r="H253" s="8"/>
      <c r="I253" s="8"/>
      <c r="J253" s="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3"/>
      <c r="E254" s="13"/>
      <c r="F254" s="13"/>
      <c r="G254" s="8"/>
      <c r="H254" s="8"/>
      <c r="I254" s="8"/>
      <c r="J254" s="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3"/>
      <c r="E255" s="13"/>
      <c r="F255" s="13"/>
      <c r="G255" s="8"/>
      <c r="H255" s="8"/>
      <c r="I255" s="8"/>
      <c r="J255" s="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3"/>
      <c r="E256" s="13"/>
      <c r="F256" s="13"/>
      <c r="G256" s="8"/>
      <c r="H256" s="8"/>
      <c r="I256" s="8"/>
      <c r="J256" s="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3"/>
      <c r="E257" s="13"/>
      <c r="F257" s="13"/>
      <c r="G257" s="8"/>
      <c r="H257" s="8"/>
      <c r="I257" s="8"/>
      <c r="J257" s="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3"/>
      <c r="E258" s="13"/>
      <c r="F258" s="13"/>
      <c r="G258" s="8"/>
      <c r="H258" s="8"/>
      <c r="I258" s="8"/>
      <c r="J258" s="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3"/>
      <c r="E259" s="13"/>
      <c r="F259" s="13"/>
      <c r="G259" s="8"/>
      <c r="H259" s="8"/>
      <c r="I259" s="8"/>
      <c r="J259" s="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3"/>
      <c r="E260" s="13"/>
      <c r="F260" s="13"/>
      <c r="G260" s="8"/>
      <c r="H260" s="8"/>
      <c r="I260" s="8"/>
      <c r="J260" s="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3"/>
      <c r="E261" s="13"/>
      <c r="F261" s="13"/>
      <c r="G261" s="8"/>
      <c r="H261" s="8"/>
      <c r="I261" s="8"/>
      <c r="J261" s="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3"/>
      <c r="E262" s="13"/>
      <c r="F262" s="13"/>
      <c r="G262" s="8"/>
      <c r="H262" s="8"/>
      <c r="I262" s="8"/>
      <c r="J262" s="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3"/>
      <c r="E263" s="13"/>
      <c r="F263" s="13"/>
      <c r="G263" s="8"/>
      <c r="H263" s="8"/>
      <c r="I263" s="8"/>
      <c r="J263" s="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3"/>
      <c r="E264" s="13"/>
      <c r="F264" s="13"/>
      <c r="G264" s="8"/>
      <c r="H264" s="8"/>
      <c r="I264" s="8"/>
      <c r="J264" s="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3"/>
      <c r="E265" s="13"/>
      <c r="F265" s="13"/>
      <c r="G265" s="8"/>
      <c r="H265" s="8"/>
      <c r="I265" s="8"/>
      <c r="J265" s="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3"/>
      <c r="E266" s="13"/>
      <c r="F266" s="13"/>
      <c r="G266" s="8"/>
      <c r="H266" s="8"/>
      <c r="I266" s="8"/>
      <c r="J266" s="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3"/>
      <c r="E267" s="13"/>
      <c r="F267" s="13"/>
      <c r="G267" s="8"/>
      <c r="H267" s="8"/>
      <c r="I267" s="8"/>
      <c r="J267" s="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3"/>
      <c r="E268" s="13"/>
      <c r="F268" s="13"/>
      <c r="G268" s="8"/>
      <c r="H268" s="8"/>
      <c r="I268" s="8"/>
      <c r="J268" s="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3"/>
      <c r="E269" s="13"/>
      <c r="F269" s="13"/>
      <c r="G269" s="8"/>
      <c r="H269" s="8"/>
      <c r="I269" s="8"/>
      <c r="J269" s="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3"/>
      <c r="E270" s="13"/>
      <c r="F270" s="13"/>
      <c r="G270" s="8"/>
      <c r="H270" s="8"/>
      <c r="I270" s="8"/>
      <c r="J270" s="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3"/>
      <c r="E271" s="13"/>
      <c r="F271" s="13"/>
      <c r="G271" s="8"/>
      <c r="H271" s="8"/>
      <c r="I271" s="8"/>
      <c r="J271" s="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3"/>
      <c r="E272" s="13"/>
      <c r="F272" s="13"/>
      <c r="G272" s="8"/>
      <c r="H272" s="8"/>
      <c r="I272" s="8"/>
      <c r="J272" s="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3"/>
      <c r="E273" s="13"/>
      <c r="F273" s="13"/>
      <c r="G273" s="8"/>
      <c r="H273" s="8"/>
      <c r="I273" s="8"/>
      <c r="J273" s="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3"/>
      <c r="E274" s="13"/>
      <c r="F274" s="13"/>
      <c r="G274" s="8"/>
      <c r="H274" s="8"/>
      <c r="I274" s="8"/>
      <c r="J274" s="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3"/>
      <c r="E275" s="13"/>
      <c r="F275" s="13"/>
      <c r="G275" s="8"/>
      <c r="H275" s="8"/>
      <c r="I275" s="8"/>
      <c r="J275" s="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3"/>
      <c r="E276" s="13"/>
      <c r="F276" s="13"/>
      <c r="G276" s="8"/>
      <c r="H276" s="8"/>
      <c r="I276" s="8"/>
      <c r="J276" s="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3"/>
      <c r="E277" s="13"/>
      <c r="F277" s="13"/>
      <c r="G277" s="8"/>
      <c r="H277" s="8"/>
      <c r="I277" s="8"/>
      <c r="J277" s="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3"/>
      <c r="E278" s="13"/>
      <c r="F278" s="13"/>
      <c r="G278" s="8"/>
      <c r="H278" s="8"/>
      <c r="I278" s="8"/>
      <c r="J278" s="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3"/>
      <c r="E279" s="13"/>
      <c r="F279" s="13"/>
      <c r="G279" s="8"/>
      <c r="H279" s="8"/>
      <c r="I279" s="8"/>
      <c r="J279" s="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3"/>
      <c r="E280" s="13"/>
      <c r="F280" s="13"/>
      <c r="G280" s="8"/>
      <c r="H280" s="8"/>
      <c r="I280" s="8"/>
      <c r="J280" s="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3"/>
      <c r="E281" s="13"/>
      <c r="F281" s="13"/>
      <c r="G281" s="8"/>
      <c r="H281" s="8"/>
      <c r="I281" s="8"/>
      <c r="J281" s="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3"/>
      <c r="E282" s="13"/>
      <c r="F282" s="13"/>
      <c r="G282" s="8"/>
      <c r="H282" s="8"/>
      <c r="I282" s="8"/>
      <c r="J282" s="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3"/>
      <c r="E283" s="13"/>
      <c r="F283" s="13"/>
      <c r="G283" s="8"/>
      <c r="H283" s="8"/>
      <c r="I283" s="8"/>
      <c r="J283" s="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3"/>
      <c r="E284" s="13"/>
      <c r="F284" s="13"/>
      <c r="G284" s="8"/>
      <c r="H284" s="8"/>
      <c r="I284" s="8"/>
      <c r="J284" s="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3"/>
      <c r="E285" s="13"/>
      <c r="F285" s="13"/>
      <c r="G285" s="8"/>
      <c r="H285" s="8"/>
      <c r="I285" s="8"/>
      <c r="J285" s="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3"/>
      <c r="E286" s="13"/>
      <c r="F286" s="13"/>
      <c r="G286" s="8"/>
      <c r="H286" s="8"/>
      <c r="I286" s="8"/>
      <c r="J286" s="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3"/>
      <c r="E287" s="13"/>
      <c r="F287" s="13"/>
      <c r="G287" s="8"/>
      <c r="H287" s="8"/>
      <c r="I287" s="8"/>
      <c r="J287" s="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3"/>
      <c r="E288" s="13"/>
      <c r="F288" s="13"/>
      <c r="G288" s="8"/>
      <c r="H288" s="8"/>
      <c r="I288" s="8"/>
      <c r="J288" s="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3"/>
      <c r="E289" s="13"/>
      <c r="F289" s="13"/>
      <c r="G289" s="8"/>
      <c r="H289" s="8"/>
      <c r="I289" s="8"/>
      <c r="J289" s="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3"/>
      <c r="E290" s="13"/>
      <c r="F290" s="13"/>
      <c r="G290" s="8"/>
      <c r="H290" s="8"/>
      <c r="I290" s="8"/>
      <c r="J290" s="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3"/>
      <c r="E291" s="13"/>
      <c r="F291" s="13"/>
      <c r="G291" s="8"/>
      <c r="H291" s="8"/>
      <c r="I291" s="8"/>
      <c r="J291" s="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3"/>
      <c r="E292" s="13"/>
      <c r="F292" s="13"/>
      <c r="G292" s="8"/>
      <c r="H292" s="8"/>
      <c r="I292" s="8"/>
      <c r="J292" s="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3"/>
      <c r="E293" s="13"/>
      <c r="F293" s="13"/>
      <c r="G293" s="8"/>
      <c r="H293" s="8"/>
      <c r="I293" s="8"/>
      <c r="J293" s="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3"/>
      <c r="E294" s="13"/>
      <c r="F294" s="13"/>
      <c r="G294" s="8"/>
      <c r="H294" s="8"/>
      <c r="I294" s="8"/>
      <c r="J294" s="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3"/>
      <c r="E295" s="13"/>
      <c r="F295" s="13"/>
      <c r="G295" s="8"/>
      <c r="H295" s="8"/>
      <c r="I295" s="8"/>
      <c r="J295" s="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3"/>
      <c r="E296" s="13"/>
      <c r="F296" s="13"/>
      <c r="G296" s="8"/>
      <c r="H296" s="8"/>
      <c r="I296" s="8"/>
      <c r="J296" s="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3"/>
      <c r="E297" s="13"/>
      <c r="F297" s="13"/>
      <c r="G297" s="8"/>
      <c r="H297" s="8"/>
      <c r="I297" s="8"/>
      <c r="J297" s="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3"/>
      <c r="E298" s="13"/>
      <c r="F298" s="13"/>
      <c r="G298" s="8"/>
      <c r="H298" s="8"/>
      <c r="I298" s="8"/>
      <c r="J298" s="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3"/>
      <c r="E299" s="13"/>
      <c r="F299" s="13"/>
      <c r="G299" s="8"/>
      <c r="H299" s="8"/>
      <c r="I299" s="8"/>
      <c r="J299" s="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3"/>
      <c r="E300" s="13"/>
      <c r="F300" s="13"/>
      <c r="G300" s="8"/>
      <c r="H300" s="8"/>
      <c r="I300" s="8"/>
      <c r="J300" s="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3"/>
      <c r="E301" s="13"/>
      <c r="F301" s="13"/>
      <c r="G301" s="8"/>
      <c r="H301" s="8"/>
      <c r="I301" s="8"/>
      <c r="J301" s="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3"/>
      <c r="E302" s="13"/>
      <c r="F302" s="13"/>
      <c r="G302" s="8"/>
      <c r="H302" s="8"/>
      <c r="I302" s="8"/>
      <c r="J302" s="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3"/>
      <c r="E303" s="13"/>
      <c r="F303" s="13"/>
      <c r="G303" s="8"/>
      <c r="H303" s="8"/>
      <c r="I303" s="8"/>
      <c r="J303" s="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3"/>
      <c r="E304" s="13"/>
      <c r="F304" s="13"/>
      <c r="G304" s="8"/>
      <c r="H304" s="8"/>
      <c r="I304" s="8"/>
      <c r="J304" s="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3"/>
      <c r="E305" s="13"/>
      <c r="F305" s="13"/>
      <c r="G305" s="8"/>
      <c r="H305" s="8"/>
      <c r="I305" s="8"/>
      <c r="J305" s="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3"/>
      <c r="E306" s="13"/>
      <c r="F306" s="13"/>
      <c r="G306" s="8"/>
      <c r="H306" s="8"/>
      <c r="I306" s="8"/>
      <c r="J306" s="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3"/>
      <c r="E307" s="13"/>
      <c r="F307" s="13"/>
      <c r="G307" s="8"/>
      <c r="H307" s="8"/>
      <c r="I307" s="8"/>
      <c r="J307" s="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3"/>
      <c r="E308" s="13"/>
      <c r="F308" s="13"/>
      <c r="G308" s="8"/>
      <c r="H308" s="8"/>
      <c r="I308" s="8"/>
      <c r="J308" s="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3"/>
      <c r="E309" s="13"/>
      <c r="F309" s="13"/>
      <c r="G309" s="8"/>
      <c r="H309" s="8"/>
      <c r="I309" s="8"/>
      <c r="J309" s="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3"/>
      <c r="E310" s="13"/>
      <c r="F310" s="13"/>
      <c r="G310" s="8"/>
      <c r="H310" s="8"/>
      <c r="I310" s="8"/>
      <c r="J310" s="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3"/>
      <c r="E311" s="13"/>
      <c r="F311" s="13"/>
      <c r="G311" s="8"/>
      <c r="H311" s="8"/>
      <c r="I311" s="8"/>
      <c r="J311" s="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3"/>
      <c r="E312" s="13"/>
      <c r="F312" s="13"/>
      <c r="G312" s="8"/>
      <c r="H312" s="8"/>
      <c r="I312" s="8"/>
      <c r="J312" s="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3"/>
      <c r="E313" s="13"/>
      <c r="F313" s="13"/>
      <c r="G313" s="8"/>
      <c r="H313" s="8"/>
      <c r="I313" s="8"/>
      <c r="J313" s="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3"/>
      <c r="E314" s="13"/>
      <c r="F314" s="13"/>
      <c r="G314" s="8"/>
      <c r="H314" s="8"/>
      <c r="I314" s="8"/>
      <c r="J314" s="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3"/>
      <c r="E315" s="13"/>
      <c r="F315" s="13"/>
      <c r="G315" s="8"/>
      <c r="H315" s="8"/>
      <c r="I315" s="8"/>
      <c r="J315" s="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3"/>
      <c r="E316" s="13"/>
      <c r="F316" s="13"/>
      <c r="G316" s="8"/>
      <c r="H316" s="8"/>
      <c r="I316" s="8"/>
      <c r="J316" s="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3"/>
      <c r="E317" s="13"/>
      <c r="F317" s="13"/>
      <c r="G317" s="8"/>
      <c r="H317" s="8"/>
      <c r="I317" s="8"/>
      <c r="J317" s="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3"/>
      <c r="E318" s="13"/>
      <c r="F318" s="13"/>
      <c r="G318" s="8"/>
      <c r="H318" s="8"/>
      <c r="I318" s="8"/>
      <c r="J318" s="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3"/>
      <c r="E319" s="13"/>
      <c r="F319" s="13"/>
      <c r="G319" s="8"/>
      <c r="H319" s="8"/>
      <c r="I319" s="8"/>
      <c r="J319" s="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3"/>
      <c r="E320" s="13"/>
      <c r="F320" s="13"/>
      <c r="G320" s="8"/>
      <c r="H320" s="8"/>
      <c r="I320" s="8"/>
      <c r="J320" s="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3"/>
      <c r="E321" s="13"/>
      <c r="F321" s="13"/>
      <c r="G321" s="8"/>
      <c r="H321" s="8"/>
      <c r="I321" s="8"/>
      <c r="J321" s="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3"/>
      <c r="E322" s="13"/>
      <c r="F322" s="13"/>
      <c r="G322" s="8"/>
      <c r="H322" s="8"/>
      <c r="I322" s="8"/>
      <c r="J322" s="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3"/>
      <c r="E323" s="13"/>
      <c r="F323" s="13"/>
      <c r="G323" s="8"/>
      <c r="H323" s="8"/>
      <c r="I323" s="8"/>
      <c r="J323" s="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3"/>
      <c r="E324" s="13"/>
      <c r="F324" s="13"/>
      <c r="G324" s="8"/>
      <c r="H324" s="8"/>
      <c r="I324" s="8"/>
      <c r="J324" s="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3"/>
      <c r="E325" s="13"/>
      <c r="F325" s="13"/>
      <c r="G325" s="8"/>
      <c r="H325" s="8"/>
      <c r="I325" s="8"/>
      <c r="J325" s="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3"/>
      <c r="E326" s="13"/>
      <c r="F326" s="13"/>
      <c r="G326" s="8"/>
      <c r="H326" s="8"/>
      <c r="I326" s="8"/>
      <c r="J326" s="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3"/>
      <c r="E327" s="13"/>
      <c r="F327" s="13"/>
      <c r="G327" s="8"/>
      <c r="H327" s="8"/>
      <c r="I327" s="8"/>
      <c r="J327" s="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3"/>
      <c r="E328" s="13"/>
      <c r="F328" s="13"/>
      <c r="G328" s="8"/>
      <c r="H328" s="8"/>
      <c r="I328" s="8"/>
      <c r="J328" s="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3"/>
      <c r="E329" s="13"/>
      <c r="F329" s="13"/>
      <c r="G329" s="8"/>
      <c r="H329" s="8"/>
      <c r="I329" s="8"/>
      <c r="J329" s="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3"/>
      <c r="E330" s="13"/>
      <c r="F330" s="13"/>
      <c r="G330" s="8"/>
      <c r="H330" s="8"/>
      <c r="I330" s="8"/>
      <c r="J330" s="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3"/>
      <c r="E331" s="13"/>
      <c r="F331" s="13"/>
      <c r="G331" s="8"/>
      <c r="H331" s="8"/>
      <c r="I331" s="8"/>
      <c r="J331" s="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3"/>
      <c r="E332" s="13"/>
      <c r="F332" s="13"/>
      <c r="G332" s="8"/>
      <c r="H332" s="8"/>
      <c r="I332" s="8"/>
      <c r="J332" s="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3"/>
      <c r="E333" s="13"/>
      <c r="F333" s="13"/>
      <c r="G333" s="8"/>
      <c r="H333" s="8"/>
      <c r="I333" s="8"/>
      <c r="J333" s="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3"/>
      <c r="E334" s="13"/>
      <c r="F334" s="13"/>
      <c r="G334" s="8"/>
      <c r="H334" s="8"/>
      <c r="I334" s="8"/>
      <c r="J334" s="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3"/>
      <c r="E335" s="13"/>
      <c r="F335" s="13"/>
      <c r="G335" s="8"/>
      <c r="H335" s="8"/>
      <c r="I335" s="8"/>
      <c r="J335" s="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3"/>
      <c r="E336" s="13"/>
      <c r="F336" s="13"/>
      <c r="G336" s="8"/>
      <c r="H336" s="8"/>
      <c r="I336" s="8"/>
      <c r="J336" s="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3"/>
      <c r="E337" s="13"/>
      <c r="F337" s="13"/>
      <c r="G337" s="8"/>
      <c r="H337" s="8"/>
      <c r="I337" s="8"/>
      <c r="J337" s="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3"/>
      <c r="E338" s="13"/>
      <c r="F338" s="13"/>
      <c r="G338" s="8"/>
      <c r="H338" s="8"/>
      <c r="I338" s="8"/>
      <c r="J338" s="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3"/>
      <c r="E339" s="13"/>
      <c r="F339" s="13"/>
      <c r="G339" s="8"/>
      <c r="H339" s="8"/>
      <c r="I339" s="8"/>
      <c r="J339" s="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3"/>
      <c r="E340" s="13"/>
      <c r="F340" s="13"/>
      <c r="G340" s="8"/>
      <c r="H340" s="8"/>
      <c r="I340" s="8"/>
      <c r="J340" s="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3"/>
      <c r="E341" s="13"/>
      <c r="F341" s="13"/>
      <c r="G341" s="8"/>
      <c r="H341" s="8"/>
      <c r="I341" s="8"/>
      <c r="J341" s="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3"/>
      <c r="E342" s="13"/>
      <c r="F342" s="13"/>
      <c r="G342" s="8"/>
      <c r="H342" s="8"/>
      <c r="I342" s="8"/>
      <c r="J342" s="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3"/>
      <c r="E343" s="13"/>
      <c r="F343" s="13"/>
      <c r="G343" s="8"/>
      <c r="H343" s="8"/>
      <c r="I343" s="8"/>
      <c r="J343" s="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3"/>
      <c r="E344" s="13"/>
      <c r="F344" s="13"/>
      <c r="G344" s="8"/>
      <c r="H344" s="8"/>
      <c r="I344" s="8"/>
      <c r="J344" s="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3"/>
      <c r="E345" s="13"/>
      <c r="F345" s="13"/>
      <c r="G345" s="8"/>
      <c r="H345" s="8"/>
      <c r="I345" s="8"/>
      <c r="J345" s="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3"/>
      <c r="E346" s="13"/>
      <c r="F346" s="13"/>
      <c r="G346" s="8"/>
      <c r="H346" s="8"/>
      <c r="I346" s="8"/>
      <c r="J346" s="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3"/>
      <c r="E347" s="13"/>
      <c r="F347" s="13"/>
      <c r="G347" s="8"/>
      <c r="H347" s="8"/>
      <c r="I347" s="8"/>
      <c r="J347" s="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3"/>
      <c r="E348" s="13"/>
      <c r="F348" s="13"/>
      <c r="G348" s="8"/>
      <c r="H348" s="8"/>
      <c r="I348" s="8"/>
      <c r="J348" s="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3"/>
      <c r="E349" s="13"/>
      <c r="F349" s="13"/>
      <c r="G349" s="8"/>
      <c r="H349" s="8"/>
      <c r="I349" s="8"/>
      <c r="J349" s="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3"/>
      <c r="E350" s="13"/>
      <c r="F350" s="13"/>
      <c r="G350" s="8"/>
      <c r="H350" s="8"/>
      <c r="I350" s="8"/>
      <c r="J350" s="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3"/>
      <c r="E351" s="13"/>
      <c r="F351" s="13"/>
      <c r="G351" s="8"/>
      <c r="H351" s="8"/>
      <c r="I351" s="8"/>
      <c r="J351" s="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3"/>
      <c r="E352" s="13"/>
      <c r="F352" s="13"/>
      <c r="G352" s="8"/>
      <c r="H352" s="8"/>
      <c r="I352" s="8"/>
      <c r="J352" s="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3"/>
      <c r="E353" s="13"/>
      <c r="F353" s="13"/>
      <c r="G353" s="8"/>
      <c r="H353" s="8"/>
      <c r="I353" s="8"/>
      <c r="J353" s="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3"/>
      <c r="E354" s="13"/>
      <c r="F354" s="13"/>
      <c r="G354" s="8"/>
      <c r="H354" s="8"/>
      <c r="I354" s="8"/>
      <c r="J354" s="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3"/>
      <c r="E355" s="13"/>
      <c r="F355" s="13"/>
      <c r="G355" s="8"/>
      <c r="H355" s="8"/>
      <c r="I355" s="8"/>
      <c r="J355" s="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3"/>
      <c r="E356" s="13"/>
      <c r="F356" s="13"/>
      <c r="G356" s="8"/>
      <c r="H356" s="8"/>
      <c r="I356" s="8"/>
      <c r="J356" s="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3"/>
      <c r="E357" s="13"/>
      <c r="F357" s="13"/>
      <c r="G357" s="8"/>
      <c r="H357" s="8"/>
      <c r="I357" s="8"/>
      <c r="J357" s="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3"/>
      <c r="E358" s="13"/>
      <c r="F358" s="13"/>
      <c r="G358" s="8"/>
      <c r="H358" s="8"/>
      <c r="I358" s="8"/>
      <c r="J358" s="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3"/>
      <c r="E359" s="13"/>
      <c r="F359" s="13"/>
      <c r="G359" s="8"/>
      <c r="H359" s="8"/>
      <c r="I359" s="8"/>
      <c r="J359" s="8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3"/>
      <c r="E360" s="13"/>
      <c r="F360" s="13"/>
      <c r="G360" s="8"/>
      <c r="H360" s="8"/>
      <c r="I360" s="8"/>
      <c r="J360" s="8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3"/>
      <c r="E361" s="13"/>
      <c r="F361" s="13"/>
      <c r="G361" s="8"/>
      <c r="H361" s="8"/>
      <c r="I361" s="8"/>
      <c r="J361" s="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3"/>
      <c r="E362" s="13"/>
      <c r="F362" s="13"/>
      <c r="G362" s="8"/>
      <c r="H362" s="8"/>
      <c r="I362" s="8"/>
      <c r="J362" s="8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3"/>
      <c r="E363" s="13"/>
      <c r="F363" s="13"/>
      <c r="G363" s="8"/>
      <c r="H363" s="8"/>
      <c r="I363" s="8"/>
      <c r="J363" s="8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3"/>
      <c r="E364" s="13"/>
      <c r="F364" s="13"/>
      <c r="G364" s="8"/>
      <c r="H364" s="8"/>
      <c r="I364" s="8"/>
      <c r="J364" s="8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3"/>
      <c r="E365" s="13"/>
      <c r="F365" s="13"/>
      <c r="G365" s="8"/>
      <c r="H365" s="8"/>
      <c r="I365" s="8"/>
      <c r="J365" s="8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3"/>
      <c r="E366" s="13"/>
      <c r="F366" s="13"/>
      <c r="G366" s="8"/>
      <c r="H366" s="8"/>
      <c r="I366" s="8"/>
      <c r="J366" s="8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3"/>
      <c r="E367" s="13"/>
      <c r="F367" s="13"/>
      <c r="G367" s="8"/>
      <c r="H367" s="8"/>
      <c r="I367" s="8"/>
      <c r="J367" s="8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3"/>
      <c r="E368" s="13"/>
      <c r="F368" s="13"/>
      <c r="G368" s="8"/>
      <c r="H368" s="8"/>
      <c r="I368" s="8"/>
      <c r="J368" s="8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3"/>
      <c r="E369" s="13"/>
      <c r="F369" s="13"/>
      <c r="G369" s="8"/>
      <c r="H369" s="8"/>
      <c r="I369" s="8"/>
      <c r="J369" s="8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3"/>
      <c r="E370" s="13"/>
      <c r="F370" s="13"/>
      <c r="G370" s="8"/>
      <c r="H370" s="8"/>
      <c r="I370" s="8"/>
      <c r="J370" s="8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3"/>
      <c r="E371" s="13"/>
      <c r="F371" s="13"/>
      <c r="G371" s="8"/>
      <c r="H371" s="8"/>
      <c r="I371" s="8"/>
      <c r="J371" s="8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3"/>
      <c r="E372" s="13"/>
      <c r="F372" s="13"/>
      <c r="G372" s="8"/>
      <c r="H372" s="8"/>
      <c r="I372" s="8"/>
      <c r="J372" s="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3"/>
      <c r="E373" s="13"/>
      <c r="F373" s="13"/>
      <c r="G373" s="8"/>
      <c r="H373" s="8"/>
      <c r="I373" s="8"/>
      <c r="J373" s="8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3"/>
      <c r="E374" s="13"/>
      <c r="F374" s="13"/>
      <c r="G374" s="8"/>
      <c r="H374" s="8"/>
      <c r="I374" s="8"/>
      <c r="J374" s="8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3"/>
      <c r="E375" s="13"/>
      <c r="F375" s="13"/>
      <c r="G375" s="8"/>
      <c r="H375" s="8"/>
      <c r="I375" s="8"/>
      <c r="J375" s="8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3"/>
      <c r="E376" s="13"/>
      <c r="F376" s="13"/>
      <c r="G376" s="8"/>
      <c r="H376" s="8"/>
      <c r="I376" s="8"/>
      <c r="J376" s="8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3"/>
      <c r="E377" s="13"/>
      <c r="F377" s="13"/>
      <c r="G377" s="8"/>
      <c r="H377" s="8"/>
      <c r="I377" s="8"/>
      <c r="J377" s="8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3"/>
      <c r="E378" s="13"/>
      <c r="F378" s="13"/>
      <c r="G378" s="8"/>
      <c r="H378" s="8"/>
      <c r="I378" s="8"/>
      <c r="J378" s="8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3"/>
      <c r="E379" s="13"/>
      <c r="F379" s="13"/>
      <c r="G379" s="8"/>
      <c r="H379" s="8"/>
      <c r="I379" s="8"/>
      <c r="J379" s="8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3"/>
      <c r="E380" s="13"/>
      <c r="F380" s="13"/>
      <c r="G380" s="8"/>
      <c r="H380" s="8"/>
      <c r="I380" s="8"/>
      <c r="J380" s="8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3"/>
      <c r="E381" s="13"/>
      <c r="F381" s="13"/>
      <c r="G381" s="8"/>
      <c r="H381" s="8"/>
      <c r="I381" s="8"/>
      <c r="J381" s="8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3"/>
      <c r="E382" s="13"/>
      <c r="F382" s="13"/>
      <c r="G382" s="8"/>
      <c r="H382" s="8"/>
      <c r="I382" s="8"/>
      <c r="J382" s="8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3"/>
      <c r="E383" s="13"/>
      <c r="F383" s="13"/>
      <c r="G383" s="8"/>
      <c r="H383" s="8"/>
      <c r="I383" s="8"/>
      <c r="J383" s="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3"/>
      <c r="E384" s="13"/>
      <c r="F384" s="13"/>
      <c r="G384" s="8"/>
      <c r="H384" s="8"/>
      <c r="I384" s="8"/>
      <c r="J384" s="8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3"/>
      <c r="E385" s="13"/>
      <c r="F385" s="13"/>
      <c r="G385" s="8"/>
      <c r="H385" s="8"/>
      <c r="I385" s="8"/>
      <c r="J385" s="8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3"/>
      <c r="E386" s="13"/>
      <c r="F386" s="13"/>
      <c r="G386" s="8"/>
      <c r="H386" s="8"/>
      <c r="I386" s="8"/>
      <c r="J386" s="8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3"/>
      <c r="E387" s="13"/>
      <c r="F387" s="13"/>
      <c r="G387" s="8"/>
      <c r="H387" s="8"/>
      <c r="I387" s="8"/>
      <c r="J387" s="8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3"/>
      <c r="E388" s="13"/>
      <c r="F388" s="13"/>
      <c r="G388" s="8"/>
      <c r="H388" s="8"/>
      <c r="I388" s="8"/>
      <c r="J388" s="8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3"/>
      <c r="E389" s="13"/>
      <c r="F389" s="13"/>
      <c r="G389" s="8"/>
      <c r="H389" s="8"/>
      <c r="I389" s="8"/>
      <c r="J389" s="8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3"/>
      <c r="E390" s="13"/>
      <c r="F390" s="13"/>
      <c r="G390" s="8"/>
      <c r="H390" s="8"/>
      <c r="I390" s="8"/>
      <c r="J390" s="8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3"/>
      <c r="E391" s="13"/>
      <c r="F391" s="13"/>
      <c r="G391" s="8"/>
      <c r="H391" s="8"/>
      <c r="I391" s="8"/>
      <c r="J391" s="8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3"/>
      <c r="E392" s="13"/>
      <c r="F392" s="13"/>
      <c r="G392" s="8"/>
      <c r="H392" s="8"/>
      <c r="I392" s="8"/>
      <c r="J392" s="8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3"/>
      <c r="E393" s="13"/>
      <c r="F393" s="13"/>
      <c r="G393" s="8"/>
      <c r="H393" s="8"/>
      <c r="I393" s="8"/>
      <c r="J393" s="8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3"/>
      <c r="E394" s="13"/>
      <c r="F394" s="13"/>
      <c r="G394" s="8"/>
      <c r="H394" s="8"/>
      <c r="I394" s="8"/>
      <c r="J394" s="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3"/>
      <c r="E395" s="13"/>
      <c r="F395" s="13"/>
      <c r="G395" s="8"/>
      <c r="H395" s="8"/>
      <c r="I395" s="8"/>
      <c r="J395" s="8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3"/>
      <c r="E396" s="13"/>
      <c r="F396" s="13"/>
      <c r="G396" s="8"/>
      <c r="H396" s="8"/>
      <c r="I396" s="8"/>
      <c r="J396" s="8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3"/>
      <c r="E397" s="13"/>
      <c r="F397" s="13"/>
      <c r="G397" s="8"/>
      <c r="H397" s="8"/>
      <c r="I397" s="8"/>
      <c r="J397" s="8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3"/>
      <c r="E398" s="13"/>
      <c r="F398" s="13"/>
      <c r="G398" s="8"/>
      <c r="H398" s="8"/>
      <c r="I398" s="8"/>
      <c r="J398" s="8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3"/>
      <c r="E399" s="13"/>
      <c r="F399" s="13"/>
      <c r="G399" s="8"/>
      <c r="H399" s="8"/>
      <c r="I399" s="8"/>
      <c r="J399" s="8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3"/>
      <c r="E400" s="13"/>
      <c r="F400" s="13"/>
      <c r="G400" s="8"/>
      <c r="H400" s="8"/>
      <c r="I400" s="8"/>
      <c r="J400" s="8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3"/>
      <c r="E401" s="13"/>
      <c r="F401" s="13"/>
      <c r="G401" s="8"/>
      <c r="H401" s="8"/>
      <c r="I401" s="8"/>
      <c r="J401" s="8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3"/>
      <c r="E402" s="13"/>
      <c r="F402" s="13"/>
      <c r="G402" s="8"/>
      <c r="H402" s="8"/>
      <c r="I402" s="8"/>
      <c r="J402" s="8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3"/>
      <c r="E403" s="13"/>
      <c r="F403" s="13"/>
      <c r="G403" s="8"/>
      <c r="H403" s="8"/>
      <c r="I403" s="8"/>
      <c r="J403" s="8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3"/>
      <c r="E404" s="13"/>
      <c r="F404" s="13"/>
      <c r="G404" s="8"/>
      <c r="H404" s="8"/>
      <c r="I404" s="8"/>
      <c r="J404" s="8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3"/>
      <c r="E405" s="13"/>
      <c r="F405" s="13"/>
      <c r="G405" s="8"/>
      <c r="H405" s="8"/>
      <c r="I405" s="8"/>
      <c r="J405" s="8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3"/>
      <c r="E406" s="13"/>
      <c r="F406" s="13"/>
      <c r="G406" s="8"/>
      <c r="H406" s="8"/>
      <c r="I406" s="8"/>
      <c r="J406" s="8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3"/>
      <c r="E407" s="13"/>
      <c r="F407" s="13"/>
      <c r="G407" s="8"/>
      <c r="H407" s="8"/>
      <c r="I407" s="8"/>
      <c r="J407" s="8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3"/>
      <c r="E408" s="13"/>
      <c r="F408" s="13"/>
      <c r="G408" s="8"/>
      <c r="H408" s="8"/>
      <c r="I408" s="8"/>
      <c r="J408" s="8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3"/>
      <c r="E409" s="13"/>
      <c r="F409" s="13"/>
      <c r="G409" s="8"/>
      <c r="H409" s="8"/>
      <c r="I409" s="8"/>
      <c r="J409" s="8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3"/>
      <c r="E410" s="13"/>
      <c r="F410" s="13"/>
      <c r="G410" s="8"/>
      <c r="H410" s="8"/>
      <c r="I410" s="8"/>
      <c r="J410" s="8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3"/>
      <c r="E411" s="13"/>
      <c r="F411" s="13"/>
      <c r="G411" s="8"/>
      <c r="H411" s="8"/>
      <c r="I411" s="8"/>
      <c r="J411" s="8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3"/>
      <c r="E412" s="13"/>
      <c r="F412" s="13"/>
      <c r="G412" s="8"/>
      <c r="H412" s="8"/>
      <c r="I412" s="8"/>
      <c r="J412" s="8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3"/>
      <c r="E413" s="13"/>
      <c r="F413" s="13"/>
      <c r="G413" s="8"/>
      <c r="H413" s="8"/>
      <c r="I413" s="8"/>
      <c r="J413" s="8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3"/>
      <c r="E414" s="13"/>
      <c r="F414" s="13"/>
      <c r="G414" s="8"/>
      <c r="H414" s="8"/>
      <c r="I414" s="8"/>
      <c r="J414" s="8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3"/>
      <c r="E415" s="13"/>
      <c r="F415" s="13"/>
      <c r="G415" s="8"/>
      <c r="H415" s="8"/>
      <c r="I415" s="8"/>
      <c r="J415" s="8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3"/>
      <c r="E416" s="13"/>
      <c r="F416" s="13"/>
      <c r="G416" s="8"/>
      <c r="H416" s="8"/>
      <c r="I416" s="8"/>
      <c r="J416" s="8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3"/>
      <c r="E417" s="13"/>
      <c r="F417" s="13"/>
      <c r="G417" s="8"/>
      <c r="H417" s="8"/>
      <c r="I417" s="8"/>
      <c r="J417" s="8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3"/>
      <c r="E418" s="13"/>
      <c r="F418" s="13"/>
      <c r="G418" s="8"/>
      <c r="H418" s="8"/>
      <c r="I418" s="8"/>
      <c r="J418" s="8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3"/>
      <c r="E419" s="13"/>
      <c r="F419" s="13"/>
      <c r="G419" s="8"/>
      <c r="H419" s="8"/>
      <c r="I419" s="8"/>
      <c r="J419" s="8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3"/>
      <c r="E420" s="13"/>
      <c r="F420" s="13"/>
      <c r="G420" s="8"/>
      <c r="H420" s="8"/>
      <c r="I420" s="8"/>
      <c r="J420" s="8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3"/>
      <c r="E421" s="13"/>
      <c r="F421" s="13"/>
      <c r="G421" s="8"/>
      <c r="H421" s="8"/>
      <c r="I421" s="8"/>
      <c r="J421" s="8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3"/>
      <c r="E422" s="13"/>
      <c r="F422" s="13"/>
      <c r="G422" s="8"/>
      <c r="H422" s="8"/>
      <c r="I422" s="8"/>
      <c r="J422" s="8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3"/>
      <c r="E423" s="13"/>
      <c r="F423" s="13"/>
      <c r="G423" s="8"/>
      <c r="H423" s="8"/>
      <c r="I423" s="8"/>
      <c r="J423" s="8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3"/>
      <c r="E424" s="13"/>
      <c r="F424" s="13"/>
      <c r="G424" s="8"/>
      <c r="H424" s="8"/>
      <c r="I424" s="8"/>
      <c r="J424" s="8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3"/>
      <c r="E425" s="13"/>
      <c r="F425" s="13"/>
      <c r="G425" s="8"/>
      <c r="H425" s="8"/>
      <c r="I425" s="8"/>
      <c r="J425" s="8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3"/>
      <c r="E426" s="13"/>
      <c r="F426" s="13"/>
      <c r="G426" s="8"/>
      <c r="H426" s="8"/>
      <c r="I426" s="8"/>
      <c r="J426" s="8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3"/>
      <c r="E427" s="13"/>
      <c r="F427" s="13"/>
      <c r="G427" s="8"/>
      <c r="H427" s="8"/>
      <c r="I427" s="8"/>
      <c r="J427" s="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3"/>
      <c r="E428" s="13"/>
      <c r="F428" s="13"/>
      <c r="G428" s="8"/>
      <c r="H428" s="8"/>
      <c r="I428" s="8"/>
      <c r="J428" s="8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3"/>
      <c r="E429" s="13"/>
      <c r="F429" s="13"/>
      <c r="G429" s="8"/>
      <c r="H429" s="8"/>
      <c r="I429" s="8"/>
      <c r="J429" s="8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3"/>
      <c r="E430" s="13"/>
      <c r="F430" s="13"/>
      <c r="G430" s="8"/>
      <c r="H430" s="8"/>
      <c r="I430" s="8"/>
      <c r="J430" s="8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3"/>
      <c r="E431" s="13"/>
      <c r="F431" s="13"/>
      <c r="G431" s="8"/>
      <c r="H431" s="8"/>
      <c r="I431" s="8"/>
      <c r="J431" s="8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3"/>
      <c r="E432" s="13"/>
      <c r="F432" s="13"/>
      <c r="G432" s="8"/>
      <c r="H432" s="8"/>
      <c r="I432" s="8"/>
      <c r="J432" s="8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3"/>
      <c r="E433" s="13"/>
      <c r="F433" s="13"/>
      <c r="G433" s="8"/>
      <c r="H433" s="8"/>
      <c r="I433" s="8"/>
      <c r="J433" s="8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3"/>
      <c r="E434" s="13"/>
      <c r="F434" s="13"/>
      <c r="G434" s="8"/>
      <c r="H434" s="8"/>
      <c r="I434" s="8"/>
      <c r="J434" s="8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3"/>
      <c r="E435" s="13"/>
      <c r="F435" s="13"/>
      <c r="G435" s="8"/>
      <c r="H435" s="8"/>
      <c r="I435" s="8"/>
      <c r="J435" s="8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3"/>
      <c r="E436" s="13"/>
      <c r="F436" s="13"/>
      <c r="G436" s="8"/>
      <c r="H436" s="8"/>
      <c r="I436" s="8"/>
      <c r="J436" s="8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3"/>
      <c r="E437" s="13"/>
      <c r="F437" s="13"/>
      <c r="G437" s="8"/>
      <c r="H437" s="8"/>
      <c r="I437" s="8"/>
      <c r="J437" s="8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3"/>
      <c r="E438" s="13"/>
      <c r="F438" s="13"/>
      <c r="G438" s="8"/>
      <c r="H438" s="8"/>
      <c r="I438" s="8"/>
      <c r="J438" s="8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3"/>
      <c r="E439" s="13"/>
      <c r="F439" s="13"/>
      <c r="G439" s="8"/>
      <c r="H439" s="8"/>
      <c r="I439" s="8"/>
      <c r="J439" s="8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3"/>
      <c r="E440" s="13"/>
      <c r="F440" s="13"/>
      <c r="G440" s="8"/>
      <c r="H440" s="8"/>
      <c r="I440" s="8"/>
      <c r="J440" s="8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3"/>
      <c r="E441" s="13"/>
      <c r="F441" s="13"/>
      <c r="G441" s="8"/>
      <c r="H441" s="8"/>
      <c r="I441" s="8"/>
      <c r="J441" s="8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3"/>
      <c r="E442" s="13"/>
      <c r="F442" s="13"/>
      <c r="G442" s="8"/>
      <c r="H442" s="8"/>
      <c r="I442" s="8"/>
      <c r="J442" s="8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3"/>
      <c r="E443" s="13"/>
      <c r="F443" s="13"/>
      <c r="G443" s="8"/>
      <c r="H443" s="8"/>
      <c r="I443" s="8"/>
      <c r="J443" s="8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3"/>
      <c r="E444" s="13"/>
      <c r="F444" s="13"/>
      <c r="G444" s="8"/>
      <c r="H444" s="8"/>
      <c r="I444" s="8"/>
      <c r="J444" s="8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3"/>
      <c r="E445" s="13"/>
      <c r="F445" s="13"/>
      <c r="G445" s="8"/>
      <c r="H445" s="8"/>
      <c r="I445" s="8"/>
      <c r="J445" s="8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3"/>
      <c r="E446" s="13"/>
      <c r="F446" s="13"/>
      <c r="G446" s="8"/>
      <c r="H446" s="8"/>
      <c r="I446" s="8"/>
      <c r="J446" s="8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3"/>
      <c r="E447" s="13"/>
      <c r="F447" s="13"/>
      <c r="G447" s="8"/>
      <c r="H447" s="8"/>
      <c r="I447" s="8"/>
      <c r="J447" s="8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3"/>
      <c r="E448" s="13"/>
      <c r="F448" s="13"/>
      <c r="G448" s="8"/>
      <c r="H448" s="8"/>
      <c r="I448" s="8"/>
      <c r="J448" s="8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3"/>
      <c r="E449" s="13"/>
      <c r="F449" s="13"/>
      <c r="G449" s="8"/>
      <c r="H449" s="8"/>
      <c r="I449" s="8"/>
      <c r="J449" s="8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3"/>
      <c r="E450" s="13"/>
      <c r="F450" s="13"/>
      <c r="G450" s="8"/>
      <c r="H450" s="8"/>
      <c r="I450" s="8"/>
      <c r="J450" s="8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3"/>
      <c r="E451" s="13"/>
      <c r="F451" s="13"/>
      <c r="G451" s="8"/>
      <c r="H451" s="8"/>
      <c r="I451" s="8"/>
      <c r="J451" s="8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3"/>
      <c r="E452" s="13"/>
      <c r="F452" s="13"/>
      <c r="G452" s="8"/>
      <c r="H452" s="8"/>
      <c r="I452" s="8"/>
      <c r="J452" s="8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3"/>
      <c r="E453" s="13"/>
      <c r="F453" s="13"/>
      <c r="G453" s="8"/>
      <c r="H453" s="8"/>
      <c r="I453" s="8"/>
      <c r="J453" s="8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3"/>
      <c r="E454" s="13"/>
      <c r="F454" s="13"/>
      <c r="G454" s="8"/>
      <c r="H454" s="8"/>
      <c r="I454" s="8"/>
      <c r="J454" s="8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3"/>
      <c r="E455" s="13"/>
      <c r="F455" s="13"/>
      <c r="G455" s="8"/>
      <c r="H455" s="8"/>
      <c r="I455" s="8"/>
      <c r="J455" s="8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3"/>
      <c r="E456" s="13"/>
      <c r="F456" s="13"/>
      <c r="G456" s="8"/>
      <c r="H456" s="8"/>
      <c r="I456" s="8"/>
      <c r="J456" s="8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3"/>
      <c r="E457" s="13"/>
      <c r="F457" s="13"/>
      <c r="G457" s="8"/>
      <c r="H457" s="8"/>
      <c r="I457" s="8"/>
      <c r="J457" s="8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3"/>
      <c r="E458" s="13"/>
      <c r="F458" s="13"/>
      <c r="G458" s="8"/>
      <c r="H458" s="8"/>
      <c r="I458" s="8"/>
      <c r="J458" s="8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3"/>
      <c r="E459" s="13"/>
      <c r="F459" s="13"/>
      <c r="G459" s="8"/>
      <c r="H459" s="8"/>
      <c r="I459" s="8"/>
      <c r="J459" s="8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3"/>
      <c r="E460" s="13"/>
      <c r="F460" s="13"/>
      <c r="G460" s="8"/>
      <c r="H460" s="8"/>
      <c r="I460" s="8"/>
      <c r="J460" s="8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3"/>
      <c r="E461" s="13"/>
      <c r="F461" s="13"/>
      <c r="G461" s="8"/>
      <c r="H461" s="8"/>
      <c r="I461" s="8"/>
      <c r="J461" s="8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3"/>
      <c r="E462" s="13"/>
      <c r="F462" s="13"/>
      <c r="G462" s="8"/>
      <c r="H462" s="8"/>
      <c r="I462" s="8"/>
      <c r="J462" s="8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3"/>
      <c r="E463" s="13"/>
      <c r="F463" s="13"/>
      <c r="G463" s="8"/>
      <c r="H463" s="8"/>
      <c r="I463" s="8"/>
      <c r="J463" s="8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3"/>
      <c r="E464" s="13"/>
      <c r="F464" s="13"/>
      <c r="G464" s="8"/>
      <c r="H464" s="8"/>
      <c r="I464" s="8"/>
      <c r="J464" s="8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3"/>
      <c r="E465" s="13"/>
      <c r="F465" s="13"/>
      <c r="G465" s="8"/>
      <c r="H465" s="8"/>
      <c r="I465" s="8"/>
      <c r="J465" s="8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3"/>
      <c r="E466" s="13"/>
      <c r="F466" s="13"/>
      <c r="G466" s="8"/>
      <c r="H466" s="8"/>
      <c r="I466" s="8"/>
      <c r="J466" s="8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3"/>
      <c r="E467" s="13"/>
      <c r="F467" s="13"/>
      <c r="G467" s="8"/>
      <c r="H467" s="8"/>
      <c r="I467" s="8"/>
      <c r="J467" s="8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3"/>
      <c r="E468" s="13"/>
      <c r="F468" s="13"/>
      <c r="G468" s="8"/>
      <c r="H468" s="8"/>
      <c r="I468" s="8"/>
      <c r="J468" s="8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3"/>
      <c r="E469" s="13"/>
      <c r="F469" s="13"/>
      <c r="G469" s="8"/>
      <c r="H469" s="8"/>
      <c r="I469" s="8"/>
      <c r="J469" s="8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3"/>
      <c r="E470" s="13"/>
      <c r="F470" s="13"/>
      <c r="G470" s="8"/>
      <c r="H470" s="8"/>
      <c r="I470" s="8"/>
      <c r="J470" s="8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3"/>
      <c r="E471" s="13"/>
      <c r="F471" s="13"/>
      <c r="G471" s="8"/>
      <c r="H471" s="8"/>
      <c r="I471" s="8"/>
      <c r="J471" s="8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3"/>
      <c r="E472" s="13"/>
      <c r="F472" s="13"/>
      <c r="G472" s="8"/>
      <c r="H472" s="8"/>
      <c r="I472" s="8"/>
      <c r="J472" s="8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3"/>
      <c r="E473" s="13"/>
      <c r="F473" s="13"/>
      <c r="G473" s="8"/>
      <c r="H473" s="8"/>
      <c r="I473" s="8"/>
      <c r="J473" s="8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3"/>
      <c r="E474" s="13"/>
      <c r="F474" s="13"/>
      <c r="G474" s="8"/>
      <c r="H474" s="8"/>
      <c r="I474" s="8"/>
      <c r="J474" s="8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3"/>
      <c r="E475" s="13"/>
      <c r="F475" s="13"/>
      <c r="G475" s="8"/>
      <c r="H475" s="8"/>
      <c r="I475" s="8"/>
      <c r="J475" s="8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3"/>
      <c r="E476" s="13"/>
      <c r="F476" s="13"/>
      <c r="G476" s="8"/>
      <c r="H476" s="8"/>
      <c r="I476" s="8"/>
      <c r="J476" s="8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3"/>
      <c r="E477" s="13"/>
      <c r="F477" s="13"/>
      <c r="G477" s="8"/>
      <c r="H477" s="8"/>
      <c r="I477" s="8"/>
      <c r="J477" s="8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3"/>
      <c r="E478" s="13"/>
      <c r="F478" s="13"/>
      <c r="G478" s="8"/>
      <c r="H478" s="8"/>
      <c r="I478" s="8"/>
      <c r="J478" s="8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3"/>
      <c r="E479" s="13"/>
      <c r="F479" s="13"/>
      <c r="G479" s="8"/>
      <c r="H479" s="8"/>
      <c r="I479" s="8"/>
      <c r="J479" s="8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3"/>
      <c r="E480" s="13"/>
      <c r="F480" s="13"/>
      <c r="G480" s="8"/>
      <c r="H480" s="8"/>
      <c r="I480" s="8"/>
      <c r="J480" s="8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3"/>
      <c r="E481" s="13"/>
      <c r="F481" s="13"/>
      <c r="G481" s="8"/>
      <c r="H481" s="8"/>
      <c r="I481" s="8"/>
      <c r="J481" s="8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3"/>
      <c r="E482" s="13"/>
      <c r="F482" s="13"/>
      <c r="G482" s="8"/>
      <c r="H482" s="8"/>
      <c r="I482" s="8"/>
      <c r="J482" s="8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3"/>
      <c r="E483" s="13"/>
      <c r="F483" s="13"/>
      <c r="G483" s="8"/>
      <c r="H483" s="8"/>
      <c r="I483" s="8"/>
      <c r="J483" s="8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3"/>
      <c r="E484" s="13"/>
      <c r="F484" s="13"/>
      <c r="G484" s="8"/>
      <c r="H484" s="8"/>
      <c r="I484" s="8"/>
      <c r="J484" s="8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3"/>
      <c r="E485" s="13"/>
      <c r="F485" s="13"/>
      <c r="G485" s="8"/>
      <c r="H485" s="8"/>
      <c r="I485" s="8"/>
      <c r="J485" s="8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3"/>
      <c r="E486" s="13"/>
      <c r="F486" s="13"/>
      <c r="G486" s="8"/>
      <c r="H486" s="8"/>
      <c r="I486" s="8"/>
      <c r="J486" s="8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3"/>
      <c r="E487" s="13"/>
      <c r="F487" s="13"/>
      <c r="G487" s="8"/>
      <c r="H487" s="8"/>
      <c r="I487" s="8"/>
      <c r="J487" s="8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3"/>
      <c r="E488" s="13"/>
      <c r="F488" s="13"/>
      <c r="G488" s="8"/>
      <c r="H488" s="8"/>
      <c r="I488" s="8"/>
      <c r="J488" s="8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3"/>
      <c r="E489" s="13"/>
      <c r="F489" s="13"/>
      <c r="G489" s="8"/>
      <c r="H489" s="8"/>
      <c r="I489" s="8"/>
      <c r="J489" s="8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3"/>
      <c r="E490" s="13"/>
      <c r="F490" s="13"/>
      <c r="G490" s="8"/>
      <c r="H490" s="8"/>
      <c r="I490" s="8"/>
      <c r="J490" s="8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3"/>
      <c r="E491" s="13"/>
      <c r="F491" s="13"/>
      <c r="G491" s="8"/>
      <c r="H491" s="8"/>
      <c r="I491" s="8"/>
      <c r="J491" s="8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3"/>
      <c r="E492" s="13"/>
      <c r="F492" s="13"/>
      <c r="G492" s="8"/>
      <c r="H492" s="8"/>
      <c r="I492" s="8"/>
      <c r="J492" s="8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3"/>
      <c r="E493" s="13"/>
      <c r="F493" s="13"/>
      <c r="G493" s="8"/>
      <c r="H493" s="8"/>
      <c r="I493" s="8"/>
      <c r="J493" s="8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3"/>
      <c r="E494" s="13"/>
      <c r="F494" s="13"/>
      <c r="G494" s="8"/>
      <c r="H494" s="8"/>
      <c r="I494" s="8"/>
      <c r="J494" s="8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3"/>
      <c r="E495" s="13"/>
      <c r="F495" s="13"/>
      <c r="G495" s="8"/>
      <c r="H495" s="8"/>
      <c r="I495" s="8"/>
      <c r="J495" s="8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3"/>
      <c r="E496" s="13"/>
      <c r="F496" s="13"/>
      <c r="G496" s="8"/>
      <c r="H496" s="8"/>
      <c r="I496" s="8"/>
      <c r="J496" s="8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3"/>
      <c r="E497" s="13"/>
      <c r="F497" s="13"/>
      <c r="G497" s="8"/>
      <c r="H497" s="8"/>
      <c r="I497" s="8"/>
      <c r="J497" s="8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3"/>
      <c r="E498" s="13"/>
      <c r="F498" s="13"/>
      <c r="G498" s="8"/>
      <c r="H498" s="8"/>
      <c r="I498" s="8"/>
      <c r="J498" s="8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3"/>
      <c r="E499" s="13"/>
      <c r="F499" s="13"/>
      <c r="G499" s="8"/>
      <c r="H499" s="8"/>
      <c r="I499" s="8"/>
      <c r="J499" s="8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3"/>
      <c r="E500" s="13"/>
      <c r="F500" s="13"/>
      <c r="G500" s="8"/>
      <c r="H500" s="8"/>
      <c r="I500" s="8"/>
      <c r="J500" s="8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3"/>
      <c r="E501" s="13"/>
      <c r="F501" s="13"/>
      <c r="G501" s="8"/>
      <c r="H501" s="8"/>
      <c r="I501" s="8"/>
      <c r="J501" s="8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3"/>
      <c r="E502" s="13"/>
      <c r="F502" s="13"/>
      <c r="G502" s="8"/>
      <c r="H502" s="8"/>
      <c r="I502" s="8"/>
      <c r="J502" s="8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3"/>
      <c r="E503" s="13"/>
      <c r="F503" s="13"/>
      <c r="G503" s="8"/>
      <c r="H503" s="8"/>
      <c r="I503" s="8"/>
      <c r="J503" s="8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3"/>
      <c r="E504" s="13"/>
      <c r="F504" s="13"/>
      <c r="G504" s="8"/>
      <c r="H504" s="8"/>
      <c r="I504" s="8"/>
      <c r="J504" s="8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3"/>
      <c r="E505" s="13"/>
      <c r="F505" s="13"/>
      <c r="G505" s="8"/>
      <c r="H505" s="8"/>
      <c r="I505" s="8"/>
      <c r="J505" s="8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3"/>
      <c r="E506" s="13"/>
      <c r="F506" s="13"/>
      <c r="G506" s="8"/>
      <c r="H506" s="8"/>
      <c r="I506" s="8"/>
      <c r="J506" s="8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3"/>
      <c r="E507" s="13"/>
      <c r="F507" s="13"/>
      <c r="G507" s="8"/>
      <c r="H507" s="8"/>
      <c r="I507" s="8"/>
      <c r="J507" s="8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3"/>
      <c r="E508" s="13"/>
      <c r="F508" s="13"/>
      <c r="G508" s="8"/>
      <c r="H508" s="8"/>
      <c r="I508" s="8"/>
      <c r="J508" s="8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3"/>
      <c r="E509" s="13"/>
      <c r="F509" s="13"/>
      <c r="G509" s="8"/>
      <c r="H509" s="8"/>
      <c r="I509" s="8"/>
      <c r="J509" s="8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3"/>
      <c r="E510" s="13"/>
      <c r="F510" s="13"/>
      <c r="G510" s="8"/>
      <c r="H510" s="8"/>
      <c r="I510" s="8"/>
      <c r="J510" s="8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3"/>
      <c r="E511" s="13"/>
      <c r="F511" s="13"/>
      <c r="G511" s="8"/>
      <c r="H511" s="8"/>
      <c r="I511" s="8"/>
      <c r="J511" s="8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3"/>
      <c r="E512" s="13"/>
      <c r="F512" s="13"/>
      <c r="G512" s="8"/>
      <c r="H512" s="8"/>
      <c r="I512" s="8"/>
      <c r="J512" s="8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3"/>
      <c r="E513" s="13"/>
      <c r="F513" s="13"/>
      <c r="G513" s="8"/>
      <c r="H513" s="8"/>
      <c r="I513" s="8"/>
      <c r="J513" s="8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3"/>
      <c r="E514" s="13"/>
      <c r="F514" s="13"/>
      <c r="G514" s="8"/>
      <c r="H514" s="8"/>
      <c r="I514" s="8"/>
      <c r="J514" s="8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3"/>
      <c r="E515" s="13"/>
      <c r="F515" s="13"/>
      <c r="G515" s="8"/>
      <c r="H515" s="8"/>
      <c r="I515" s="8"/>
      <c r="J515" s="8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3"/>
      <c r="E516" s="13"/>
      <c r="F516" s="13"/>
      <c r="G516" s="8"/>
      <c r="H516" s="8"/>
      <c r="I516" s="8"/>
      <c r="J516" s="8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3"/>
      <c r="E517" s="13"/>
      <c r="F517" s="13"/>
      <c r="G517" s="8"/>
      <c r="H517" s="8"/>
      <c r="I517" s="8"/>
      <c r="J517" s="8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3"/>
      <c r="E518" s="13"/>
      <c r="F518" s="13"/>
      <c r="G518" s="8"/>
      <c r="H518" s="8"/>
      <c r="I518" s="8"/>
      <c r="J518" s="8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3"/>
      <c r="E519" s="13"/>
      <c r="F519" s="13"/>
      <c r="G519" s="8"/>
      <c r="H519" s="8"/>
      <c r="I519" s="8"/>
      <c r="J519" s="8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3"/>
      <c r="E520" s="13"/>
      <c r="F520" s="13"/>
      <c r="G520" s="8"/>
      <c r="H520" s="8"/>
      <c r="I520" s="8"/>
      <c r="J520" s="8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3"/>
      <c r="E521" s="13"/>
      <c r="F521" s="13"/>
      <c r="G521" s="8"/>
      <c r="H521" s="8"/>
      <c r="I521" s="8"/>
      <c r="J521" s="8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3"/>
      <c r="E522" s="13"/>
      <c r="F522" s="13"/>
      <c r="G522" s="8"/>
      <c r="H522" s="8"/>
      <c r="I522" s="8"/>
      <c r="J522" s="8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3"/>
      <c r="E523" s="13"/>
      <c r="F523" s="13"/>
      <c r="G523" s="8"/>
      <c r="H523" s="8"/>
      <c r="I523" s="8"/>
      <c r="J523" s="8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3"/>
      <c r="E524" s="13"/>
      <c r="F524" s="13"/>
      <c r="G524" s="8"/>
      <c r="H524" s="8"/>
      <c r="I524" s="8"/>
      <c r="J524" s="8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3"/>
      <c r="E525" s="13"/>
      <c r="F525" s="13"/>
      <c r="G525" s="8"/>
      <c r="H525" s="8"/>
      <c r="I525" s="8"/>
      <c r="J525" s="8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3"/>
      <c r="E526" s="13"/>
      <c r="F526" s="13"/>
      <c r="G526" s="8"/>
      <c r="H526" s="8"/>
      <c r="I526" s="8"/>
      <c r="J526" s="8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3"/>
      <c r="E527" s="13"/>
      <c r="F527" s="13"/>
      <c r="G527" s="8"/>
      <c r="H527" s="8"/>
      <c r="I527" s="8"/>
      <c r="J527" s="8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3"/>
      <c r="E528" s="13"/>
      <c r="F528" s="13"/>
      <c r="G528" s="8"/>
      <c r="H528" s="8"/>
      <c r="I528" s="8"/>
      <c r="J528" s="8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3"/>
      <c r="E529" s="13"/>
      <c r="F529" s="13"/>
      <c r="G529" s="8"/>
      <c r="H529" s="8"/>
      <c r="I529" s="8"/>
      <c r="J529" s="8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3"/>
      <c r="E530" s="13"/>
      <c r="F530" s="13"/>
      <c r="G530" s="8"/>
      <c r="H530" s="8"/>
      <c r="I530" s="8"/>
      <c r="J530" s="8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3"/>
      <c r="E531" s="13"/>
      <c r="F531" s="13"/>
      <c r="G531" s="8"/>
      <c r="H531" s="8"/>
      <c r="I531" s="8"/>
      <c r="J531" s="8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3"/>
      <c r="E532" s="13"/>
      <c r="F532" s="13"/>
      <c r="G532" s="8"/>
      <c r="H532" s="8"/>
      <c r="I532" s="8"/>
      <c r="J532" s="8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3"/>
      <c r="E533" s="13"/>
      <c r="F533" s="13"/>
      <c r="G533" s="8"/>
      <c r="H533" s="8"/>
      <c r="I533" s="8"/>
      <c r="J533" s="8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3"/>
      <c r="E534" s="13"/>
      <c r="F534" s="13"/>
      <c r="G534" s="8"/>
      <c r="H534" s="8"/>
      <c r="I534" s="8"/>
      <c r="J534" s="8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3"/>
      <c r="E535" s="13"/>
      <c r="F535" s="13"/>
      <c r="G535" s="8"/>
      <c r="H535" s="8"/>
      <c r="I535" s="8"/>
      <c r="J535" s="8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3"/>
      <c r="E536" s="13"/>
      <c r="F536" s="13"/>
      <c r="G536" s="8"/>
      <c r="H536" s="8"/>
      <c r="I536" s="8"/>
      <c r="J536" s="8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3"/>
      <c r="E537" s="13"/>
      <c r="F537" s="13"/>
      <c r="G537" s="8"/>
      <c r="H537" s="8"/>
      <c r="I537" s="8"/>
      <c r="J537" s="8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3"/>
      <c r="E538" s="13"/>
      <c r="F538" s="13"/>
      <c r="G538" s="8"/>
      <c r="H538" s="8"/>
      <c r="I538" s="8"/>
      <c r="J538" s="8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3"/>
      <c r="E539" s="13"/>
      <c r="F539" s="13"/>
      <c r="G539" s="8"/>
      <c r="H539" s="8"/>
      <c r="I539" s="8"/>
      <c r="J539" s="8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3"/>
      <c r="E540" s="13"/>
      <c r="F540" s="13"/>
      <c r="G540" s="8"/>
      <c r="H540" s="8"/>
      <c r="I540" s="8"/>
      <c r="J540" s="8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3"/>
      <c r="E541" s="13"/>
      <c r="F541" s="13"/>
      <c r="G541" s="8"/>
      <c r="H541" s="8"/>
      <c r="I541" s="8"/>
      <c r="J541" s="8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3"/>
      <c r="E542" s="13"/>
      <c r="F542" s="13"/>
      <c r="G542" s="8"/>
      <c r="H542" s="8"/>
      <c r="I542" s="8"/>
      <c r="J542" s="8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3"/>
      <c r="E543" s="13"/>
      <c r="F543" s="13"/>
      <c r="G543" s="8"/>
      <c r="H543" s="8"/>
      <c r="I543" s="8"/>
      <c r="J543" s="8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3"/>
      <c r="E544" s="13"/>
      <c r="F544" s="13"/>
      <c r="G544" s="8"/>
      <c r="H544" s="8"/>
      <c r="I544" s="8"/>
      <c r="J544" s="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3"/>
      <c r="E545" s="13"/>
      <c r="F545" s="13"/>
      <c r="G545" s="8"/>
      <c r="H545" s="8"/>
      <c r="I545" s="8"/>
      <c r="J545" s="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3"/>
      <c r="E546" s="13"/>
      <c r="F546" s="13"/>
      <c r="G546" s="8"/>
      <c r="H546" s="8"/>
      <c r="I546" s="8"/>
      <c r="J546" s="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3"/>
      <c r="E547" s="13"/>
      <c r="F547" s="13"/>
      <c r="G547" s="8"/>
      <c r="H547" s="8"/>
      <c r="I547" s="8"/>
      <c r="J547" s="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3"/>
      <c r="E548" s="13"/>
      <c r="F548" s="13"/>
      <c r="G548" s="8"/>
      <c r="H548" s="8"/>
      <c r="I548" s="8"/>
      <c r="J548" s="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3"/>
      <c r="E549" s="13"/>
      <c r="F549" s="13"/>
      <c r="G549" s="8"/>
      <c r="H549" s="8"/>
      <c r="I549" s="8"/>
      <c r="J549" s="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3"/>
      <c r="E550" s="13"/>
      <c r="F550" s="13"/>
      <c r="G550" s="8"/>
      <c r="H550" s="8"/>
      <c r="I550" s="8"/>
      <c r="J550" s="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3"/>
      <c r="E551" s="13"/>
      <c r="F551" s="13"/>
      <c r="G551" s="8"/>
      <c r="H551" s="8"/>
      <c r="I551" s="8"/>
      <c r="J551" s="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3"/>
      <c r="E552" s="13"/>
      <c r="F552" s="13"/>
      <c r="G552" s="8"/>
      <c r="H552" s="8"/>
      <c r="I552" s="8"/>
      <c r="J552" s="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3"/>
      <c r="E553" s="13"/>
      <c r="F553" s="13"/>
      <c r="G553" s="8"/>
      <c r="H553" s="8"/>
      <c r="I553" s="8"/>
      <c r="J553" s="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3"/>
      <c r="E554" s="13"/>
      <c r="F554" s="13"/>
      <c r="G554" s="8"/>
      <c r="H554" s="8"/>
      <c r="I554" s="8"/>
      <c r="J554" s="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3"/>
      <c r="E555" s="13"/>
      <c r="F555" s="13"/>
      <c r="G555" s="8"/>
      <c r="H555" s="8"/>
      <c r="I555" s="8"/>
      <c r="J555" s="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3"/>
      <c r="E556" s="13"/>
      <c r="F556" s="13"/>
      <c r="G556" s="8"/>
      <c r="H556" s="8"/>
      <c r="I556" s="8"/>
      <c r="J556" s="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3"/>
      <c r="E557" s="13"/>
      <c r="F557" s="13"/>
      <c r="G557" s="8"/>
      <c r="H557" s="8"/>
      <c r="I557" s="8"/>
      <c r="J557" s="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3"/>
      <c r="E558" s="13"/>
      <c r="F558" s="13"/>
      <c r="G558" s="8"/>
      <c r="H558" s="8"/>
      <c r="I558" s="8"/>
      <c r="J558" s="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3"/>
      <c r="E559" s="13"/>
      <c r="F559" s="13"/>
      <c r="G559" s="8"/>
      <c r="H559" s="8"/>
      <c r="I559" s="8"/>
      <c r="J559" s="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3"/>
      <c r="E560" s="13"/>
      <c r="F560" s="13"/>
      <c r="G560" s="8"/>
      <c r="H560" s="8"/>
      <c r="I560" s="8"/>
      <c r="J560" s="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3"/>
      <c r="E561" s="13"/>
      <c r="F561" s="13"/>
      <c r="G561" s="8"/>
      <c r="H561" s="8"/>
      <c r="I561" s="8"/>
      <c r="J561" s="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3"/>
      <c r="E562" s="13"/>
      <c r="F562" s="13"/>
      <c r="G562" s="8"/>
      <c r="H562" s="8"/>
      <c r="I562" s="8"/>
      <c r="J562" s="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3"/>
      <c r="E563" s="13"/>
      <c r="F563" s="13"/>
      <c r="G563" s="8"/>
      <c r="H563" s="8"/>
      <c r="I563" s="8"/>
      <c r="J563" s="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3"/>
      <c r="E564" s="13"/>
      <c r="F564" s="13"/>
      <c r="G564" s="8"/>
      <c r="H564" s="8"/>
      <c r="I564" s="8"/>
      <c r="J564" s="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3"/>
      <c r="E565" s="13"/>
      <c r="F565" s="13"/>
      <c r="G565" s="8"/>
      <c r="H565" s="8"/>
      <c r="I565" s="8"/>
      <c r="J565" s="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3"/>
      <c r="E566" s="13"/>
      <c r="F566" s="13"/>
      <c r="G566" s="8"/>
      <c r="H566" s="8"/>
      <c r="I566" s="8"/>
      <c r="J566" s="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3"/>
      <c r="E567" s="13"/>
      <c r="F567" s="13"/>
      <c r="G567" s="8"/>
      <c r="H567" s="8"/>
      <c r="I567" s="8"/>
      <c r="J567" s="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3"/>
      <c r="E568" s="13"/>
      <c r="F568" s="13"/>
      <c r="G568" s="8"/>
      <c r="H568" s="8"/>
      <c r="I568" s="8"/>
      <c r="J568" s="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3"/>
      <c r="E569" s="13"/>
      <c r="F569" s="13"/>
      <c r="G569" s="8"/>
      <c r="H569" s="8"/>
      <c r="I569" s="8"/>
      <c r="J569" s="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3"/>
      <c r="E570" s="13"/>
      <c r="F570" s="13"/>
      <c r="G570" s="8"/>
      <c r="H570" s="8"/>
      <c r="I570" s="8"/>
      <c r="J570" s="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3"/>
      <c r="E571" s="13"/>
      <c r="F571" s="13"/>
      <c r="G571" s="8"/>
      <c r="H571" s="8"/>
      <c r="I571" s="8"/>
      <c r="J571" s="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3"/>
      <c r="E572" s="13"/>
      <c r="F572" s="13"/>
      <c r="G572" s="8"/>
      <c r="H572" s="8"/>
      <c r="I572" s="8"/>
      <c r="J572" s="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3"/>
      <c r="E573" s="13"/>
      <c r="F573" s="13"/>
      <c r="G573" s="8"/>
      <c r="H573" s="8"/>
      <c r="I573" s="8"/>
      <c r="J573" s="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3"/>
      <c r="E574" s="13"/>
      <c r="F574" s="13"/>
      <c r="G574" s="8"/>
      <c r="H574" s="8"/>
      <c r="I574" s="8"/>
      <c r="J574" s="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3"/>
      <c r="E575" s="13"/>
      <c r="F575" s="13"/>
      <c r="G575" s="8"/>
      <c r="H575" s="8"/>
      <c r="I575" s="8"/>
      <c r="J575" s="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3"/>
      <c r="E576" s="13"/>
      <c r="F576" s="13"/>
      <c r="G576" s="8"/>
      <c r="H576" s="8"/>
      <c r="I576" s="8"/>
      <c r="J576" s="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3"/>
      <c r="E577" s="13"/>
      <c r="F577" s="13"/>
      <c r="G577" s="8"/>
      <c r="H577" s="8"/>
      <c r="I577" s="8"/>
      <c r="J577" s="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3"/>
      <c r="E578" s="13"/>
      <c r="F578" s="13"/>
      <c r="G578" s="8"/>
      <c r="H578" s="8"/>
      <c r="I578" s="8"/>
      <c r="J578" s="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3"/>
      <c r="E579" s="13"/>
      <c r="F579" s="13"/>
      <c r="G579" s="8"/>
      <c r="H579" s="8"/>
      <c r="I579" s="8"/>
      <c r="J579" s="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3"/>
      <c r="E580" s="13"/>
      <c r="F580" s="13"/>
      <c r="G580" s="8"/>
      <c r="H580" s="8"/>
      <c r="I580" s="8"/>
      <c r="J580" s="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3"/>
      <c r="E581" s="13"/>
      <c r="F581" s="13"/>
      <c r="G581" s="8"/>
      <c r="H581" s="8"/>
      <c r="I581" s="8"/>
      <c r="J581" s="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3"/>
      <c r="E582" s="13"/>
      <c r="F582" s="13"/>
      <c r="G582" s="8"/>
      <c r="H582" s="8"/>
      <c r="I582" s="8"/>
      <c r="J582" s="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3"/>
      <c r="E583" s="13"/>
      <c r="F583" s="13"/>
      <c r="G583" s="8"/>
      <c r="H583" s="8"/>
      <c r="I583" s="8"/>
      <c r="J583" s="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3"/>
      <c r="E584" s="13"/>
      <c r="F584" s="13"/>
      <c r="G584" s="8"/>
      <c r="H584" s="8"/>
      <c r="I584" s="8"/>
      <c r="J584" s="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3"/>
      <c r="E585" s="13"/>
      <c r="F585" s="13"/>
      <c r="G585" s="8"/>
      <c r="H585" s="8"/>
      <c r="I585" s="8"/>
      <c r="J585" s="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3"/>
      <c r="E586" s="13"/>
      <c r="F586" s="13"/>
      <c r="G586" s="8"/>
      <c r="H586" s="8"/>
      <c r="I586" s="8"/>
      <c r="J586" s="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3"/>
      <c r="E587" s="13"/>
      <c r="F587" s="13"/>
      <c r="G587" s="8"/>
      <c r="H587" s="8"/>
      <c r="I587" s="8"/>
      <c r="J587" s="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3"/>
      <c r="E588" s="13"/>
      <c r="F588" s="13"/>
      <c r="G588" s="8"/>
      <c r="H588" s="8"/>
      <c r="I588" s="8"/>
      <c r="J588" s="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3"/>
      <c r="E589" s="13"/>
      <c r="F589" s="13"/>
      <c r="G589" s="8"/>
      <c r="H589" s="8"/>
      <c r="I589" s="8"/>
      <c r="J589" s="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3"/>
      <c r="E590" s="13"/>
      <c r="F590" s="13"/>
      <c r="G590" s="8"/>
      <c r="H590" s="8"/>
      <c r="I590" s="8"/>
      <c r="J590" s="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3"/>
      <c r="E591" s="13"/>
      <c r="F591" s="13"/>
      <c r="G591" s="8"/>
      <c r="H591" s="8"/>
      <c r="I591" s="8"/>
      <c r="J591" s="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3"/>
      <c r="E592" s="13"/>
      <c r="F592" s="13"/>
      <c r="G592" s="8"/>
      <c r="H592" s="8"/>
      <c r="I592" s="8"/>
      <c r="J592" s="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3"/>
      <c r="E593" s="13"/>
      <c r="F593" s="13"/>
      <c r="G593" s="8"/>
      <c r="H593" s="8"/>
      <c r="I593" s="8"/>
      <c r="J593" s="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3"/>
      <c r="E594" s="13"/>
      <c r="F594" s="13"/>
      <c r="G594" s="8"/>
      <c r="H594" s="8"/>
      <c r="I594" s="8"/>
      <c r="J594" s="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3"/>
      <c r="E595" s="13"/>
      <c r="F595" s="13"/>
      <c r="G595" s="8"/>
      <c r="H595" s="8"/>
      <c r="I595" s="8"/>
      <c r="J595" s="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3"/>
      <c r="E596" s="13"/>
      <c r="F596" s="13"/>
      <c r="G596" s="8"/>
      <c r="H596" s="8"/>
      <c r="I596" s="8"/>
      <c r="J596" s="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3"/>
      <c r="E597" s="13"/>
      <c r="F597" s="13"/>
      <c r="G597" s="8"/>
      <c r="H597" s="8"/>
      <c r="I597" s="8"/>
      <c r="J597" s="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3"/>
      <c r="E598" s="13"/>
      <c r="F598" s="13"/>
      <c r="G598" s="8"/>
      <c r="H598" s="8"/>
      <c r="I598" s="8"/>
      <c r="J598" s="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3"/>
      <c r="E599" s="13"/>
      <c r="F599" s="13"/>
      <c r="G599" s="8"/>
      <c r="H599" s="8"/>
      <c r="I599" s="8"/>
      <c r="J599" s="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3"/>
      <c r="E600" s="13"/>
      <c r="F600" s="13"/>
      <c r="G600" s="8"/>
      <c r="H600" s="8"/>
      <c r="I600" s="8"/>
      <c r="J600" s="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3"/>
      <c r="E601" s="13"/>
      <c r="F601" s="13"/>
      <c r="G601" s="8"/>
      <c r="H601" s="8"/>
      <c r="I601" s="8"/>
      <c r="J601" s="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3"/>
      <c r="E602" s="13"/>
      <c r="F602" s="13"/>
      <c r="G602" s="8"/>
      <c r="H602" s="8"/>
      <c r="I602" s="8"/>
      <c r="J602" s="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3"/>
      <c r="E603" s="13"/>
      <c r="F603" s="13"/>
      <c r="G603" s="8"/>
      <c r="H603" s="8"/>
      <c r="I603" s="8"/>
      <c r="J603" s="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3"/>
      <c r="E604" s="13"/>
      <c r="F604" s="13"/>
      <c r="G604" s="8"/>
      <c r="H604" s="8"/>
      <c r="I604" s="8"/>
      <c r="J604" s="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3"/>
      <c r="E605" s="13"/>
      <c r="F605" s="13"/>
      <c r="G605" s="8"/>
      <c r="H605" s="8"/>
      <c r="I605" s="8"/>
      <c r="J605" s="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3"/>
      <c r="E606" s="13"/>
      <c r="F606" s="13"/>
      <c r="G606" s="8"/>
      <c r="H606" s="8"/>
      <c r="I606" s="8"/>
      <c r="J606" s="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3"/>
      <c r="E607" s="13"/>
      <c r="F607" s="13"/>
      <c r="G607" s="8"/>
      <c r="H607" s="8"/>
      <c r="I607" s="8"/>
      <c r="J607" s="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3"/>
      <c r="E608" s="13"/>
      <c r="F608" s="13"/>
      <c r="G608" s="8"/>
      <c r="H608" s="8"/>
      <c r="I608" s="8"/>
      <c r="J608" s="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3"/>
      <c r="E609" s="13"/>
      <c r="F609" s="13"/>
      <c r="G609" s="8"/>
      <c r="H609" s="8"/>
      <c r="I609" s="8"/>
      <c r="J609" s="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3"/>
      <c r="E610" s="13"/>
      <c r="F610" s="13"/>
      <c r="G610" s="8"/>
      <c r="H610" s="8"/>
      <c r="I610" s="8"/>
      <c r="J610" s="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3"/>
      <c r="E611" s="13"/>
      <c r="F611" s="13"/>
      <c r="G611" s="8"/>
      <c r="H611" s="8"/>
      <c r="I611" s="8"/>
      <c r="J611" s="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3"/>
      <c r="E612" s="13"/>
      <c r="F612" s="13"/>
      <c r="G612" s="8"/>
      <c r="H612" s="8"/>
      <c r="I612" s="8"/>
      <c r="J612" s="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3"/>
      <c r="E613" s="13"/>
      <c r="F613" s="13"/>
      <c r="G613" s="8"/>
      <c r="H613" s="8"/>
      <c r="I613" s="8"/>
      <c r="J613" s="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3"/>
      <c r="E614" s="13"/>
      <c r="F614" s="13"/>
      <c r="G614" s="8"/>
      <c r="H614" s="8"/>
      <c r="I614" s="8"/>
      <c r="J614" s="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3"/>
      <c r="E615" s="13"/>
      <c r="F615" s="13"/>
      <c r="G615" s="8"/>
      <c r="H615" s="8"/>
      <c r="I615" s="8"/>
      <c r="J615" s="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3"/>
      <c r="E616" s="13"/>
      <c r="F616" s="13"/>
      <c r="G616" s="8"/>
      <c r="H616" s="8"/>
      <c r="I616" s="8"/>
      <c r="J616" s="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3"/>
      <c r="E617" s="13"/>
      <c r="F617" s="13"/>
      <c r="G617" s="8"/>
      <c r="H617" s="8"/>
      <c r="I617" s="8"/>
      <c r="J617" s="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3"/>
      <c r="E618" s="13"/>
      <c r="F618" s="13"/>
      <c r="G618" s="8"/>
      <c r="H618" s="8"/>
      <c r="I618" s="8"/>
      <c r="J618" s="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3"/>
      <c r="E619" s="13"/>
      <c r="F619" s="13"/>
      <c r="G619" s="8"/>
      <c r="H619" s="8"/>
      <c r="I619" s="8"/>
      <c r="J619" s="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3"/>
      <c r="E620" s="13"/>
      <c r="F620" s="13"/>
      <c r="G620" s="8"/>
      <c r="H620" s="8"/>
      <c r="I620" s="8"/>
      <c r="J620" s="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3"/>
      <c r="E621" s="13"/>
      <c r="F621" s="13"/>
      <c r="G621" s="8"/>
      <c r="H621" s="8"/>
      <c r="I621" s="8"/>
      <c r="J621" s="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3"/>
      <c r="E622" s="13"/>
      <c r="F622" s="13"/>
      <c r="G622" s="8"/>
      <c r="H622" s="8"/>
      <c r="I622" s="8"/>
      <c r="J622" s="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3"/>
      <c r="E623" s="13"/>
      <c r="F623" s="13"/>
      <c r="G623" s="8"/>
      <c r="H623" s="8"/>
      <c r="I623" s="8"/>
      <c r="J623" s="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3"/>
      <c r="E624" s="13"/>
      <c r="F624" s="13"/>
      <c r="G624" s="8"/>
      <c r="H624" s="8"/>
      <c r="I624" s="8"/>
      <c r="J624" s="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3"/>
      <c r="E625" s="13"/>
      <c r="F625" s="13"/>
      <c r="G625" s="8"/>
      <c r="H625" s="8"/>
      <c r="I625" s="8"/>
      <c r="J625" s="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3"/>
      <c r="E626" s="13"/>
      <c r="F626" s="13"/>
      <c r="G626" s="8"/>
      <c r="H626" s="8"/>
      <c r="I626" s="8"/>
      <c r="J626" s="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3"/>
      <c r="E627" s="13"/>
      <c r="F627" s="13"/>
      <c r="G627" s="8"/>
      <c r="H627" s="8"/>
      <c r="I627" s="8"/>
      <c r="J627" s="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3"/>
      <c r="E628" s="13"/>
      <c r="F628" s="13"/>
      <c r="G628" s="8"/>
      <c r="H628" s="8"/>
      <c r="I628" s="8"/>
      <c r="J628" s="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3"/>
      <c r="E629" s="13"/>
      <c r="F629" s="13"/>
      <c r="G629" s="8"/>
      <c r="H629" s="8"/>
      <c r="I629" s="8"/>
      <c r="J629" s="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3"/>
      <c r="E630" s="13"/>
      <c r="F630" s="13"/>
      <c r="G630" s="8"/>
      <c r="H630" s="8"/>
      <c r="I630" s="8"/>
      <c r="J630" s="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3"/>
      <c r="E631" s="13"/>
      <c r="F631" s="13"/>
      <c r="G631" s="8"/>
      <c r="H631" s="8"/>
      <c r="I631" s="8"/>
      <c r="J631" s="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3"/>
      <c r="E632" s="13"/>
      <c r="F632" s="13"/>
      <c r="G632" s="8"/>
      <c r="H632" s="8"/>
      <c r="I632" s="8"/>
      <c r="J632" s="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3"/>
      <c r="E633" s="13"/>
      <c r="F633" s="13"/>
      <c r="G633" s="8"/>
      <c r="H633" s="8"/>
      <c r="I633" s="8"/>
      <c r="J633" s="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3"/>
      <c r="E634" s="13"/>
      <c r="F634" s="13"/>
      <c r="G634" s="8"/>
      <c r="H634" s="8"/>
      <c r="I634" s="8"/>
      <c r="J634" s="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3"/>
      <c r="E635" s="13"/>
      <c r="F635" s="13"/>
      <c r="G635" s="8"/>
      <c r="H635" s="8"/>
      <c r="I635" s="8"/>
      <c r="J635" s="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3"/>
      <c r="E636" s="13"/>
      <c r="F636" s="13"/>
      <c r="G636" s="8"/>
      <c r="H636" s="8"/>
      <c r="I636" s="8"/>
      <c r="J636" s="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3"/>
      <c r="E637" s="13"/>
      <c r="F637" s="13"/>
      <c r="G637" s="8"/>
      <c r="H637" s="8"/>
      <c r="I637" s="8"/>
      <c r="J637" s="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3"/>
      <c r="E638" s="13"/>
      <c r="F638" s="13"/>
      <c r="G638" s="8"/>
      <c r="H638" s="8"/>
      <c r="I638" s="8"/>
      <c r="J638" s="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3"/>
      <c r="E639" s="13"/>
      <c r="F639" s="13"/>
      <c r="G639" s="8"/>
      <c r="H639" s="8"/>
      <c r="I639" s="8"/>
      <c r="J639" s="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3"/>
      <c r="E640" s="13"/>
      <c r="F640" s="13"/>
      <c r="G640" s="8"/>
      <c r="H640" s="8"/>
      <c r="I640" s="8"/>
      <c r="J640" s="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3"/>
      <c r="E641" s="13"/>
      <c r="F641" s="13"/>
      <c r="G641" s="8"/>
      <c r="H641" s="8"/>
      <c r="I641" s="8"/>
      <c r="J641" s="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3"/>
      <c r="E642" s="13"/>
      <c r="F642" s="13"/>
      <c r="G642" s="8"/>
      <c r="H642" s="8"/>
      <c r="I642" s="8"/>
      <c r="J642" s="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3"/>
      <c r="E643" s="13"/>
      <c r="F643" s="13"/>
      <c r="G643" s="8"/>
      <c r="H643" s="8"/>
      <c r="I643" s="8"/>
      <c r="J643" s="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3"/>
      <c r="E644" s="13"/>
      <c r="F644" s="13"/>
      <c r="G644" s="8"/>
      <c r="H644" s="8"/>
      <c r="I644" s="8"/>
      <c r="J644" s="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3"/>
      <c r="E645" s="13"/>
      <c r="F645" s="13"/>
      <c r="G645" s="8"/>
      <c r="H645" s="8"/>
      <c r="I645" s="8"/>
      <c r="J645" s="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3"/>
      <c r="E646" s="13"/>
      <c r="F646" s="13"/>
      <c r="G646" s="8"/>
      <c r="H646" s="8"/>
      <c r="I646" s="8"/>
      <c r="J646" s="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3"/>
      <c r="E647" s="13"/>
      <c r="F647" s="13"/>
      <c r="G647" s="8"/>
      <c r="H647" s="8"/>
      <c r="I647" s="8"/>
      <c r="J647" s="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3"/>
      <c r="E648" s="13"/>
      <c r="F648" s="13"/>
      <c r="G648" s="8"/>
      <c r="H648" s="8"/>
      <c r="I648" s="8"/>
      <c r="J648" s="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3"/>
      <c r="E649" s="13"/>
      <c r="F649" s="13"/>
      <c r="G649" s="8"/>
      <c r="H649" s="8"/>
      <c r="I649" s="8"/>
      <c r="J649" s="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3"/>
      <c r="E650" s="13"/>
      <c r="F650" s="13"/>
      <c r="G650" s="8"/>
      <c r="H650" s="8"/>
      <c r="I650" s="8"/>
      <c r="J650" s="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3"/>
      <c r="E651" s="13"/>
      <c r="F651" s="13"/>
      <c r="G651" s="8"/>
      <c r="H651" s="8"/>
      <c r="I651" s="8"/>
      <c r="J651" s="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3"/>
      <c r="E652" s="13"/>
      <c r="F652" s="13"/>
      <c r="G652" s="8"/>
      <c r="H652" s="8"/>
      <c r="I652" s="8"/>
      <c r="J652" s="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3"/>
      <c r="E653" s="13"/>
      <c r="F653" s="13"/>
      <c r="G653" s="8"/>
      <c r="H653" s="8"/>
      <c r="I653" s="8"/>
      <c r="J653" s="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3"/>
      <c r="E654" s="13"/>
      <c r="F654" s="13"/>
      <c r="G654" s="8"/>
      <c r="H654" s="8"/>
      <c r="I654" s="8"/>
      <c r="J654" s="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3"/>
      <c r="E655" s="13"/>
      <c r="F655" s="13"/>
      <c r="G655" s="8"/>
      <c r="H655" s="8"/>
      <c r="I655" s="8"/>
      <c r="J655" s="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3"/>
      <c r="E656" s="13"/>
      <c r="F656" s="13"/>
      <c r="G656" s="8"/>
      <c r="H656" s="8"/>
      <c r="I656" s="8"/>
      <c r="J656" s="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3"/>
      <c r="E657" s="13"/>
      <c r="F657" s="13"/>
      <c r="G657" s="8"/>
      <c r="H657" s="8"/>
      <c r="I657" s="8"/>
      <c r="J657" s="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3"/>
      <c r="E658" s="13"/>
      <c r="F658" s="13"/>
      <c r="G658" s="8"/>
      <c r="H658" s="8"/>
      <c r="I658" s="8"/>
      <c r="J658" s="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3"/>
      <c r="E659" s="13"/>
      <c r="F659" s="13"/>
      <c r="G659" s="8"/>
      <c r="H659" s="8"/>
      <c r="I659" s="8"/>
      <c r="J659" s="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3"/>
      <c r="E660" s="13"/>
      <c r="F660" s="13"/>
      <c r="G660" s="8"/>
      <c r="H660" s="8"/>
      <c r="I660" s="8"/>
      <c r="J660" s="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3"/>
      <c r="E661" s="13"/>
      <c r="F661" s="13"/>
      <c r="G661" s="8"/>
      <c r="H661" s="8"/>
      <c r="I661" s="8"/>
      <c r="J661" s="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3"/>
      <c r="E662" s="13"/>
      <c r="F662" s="13"/>
      <c r="G662" s="8"/>
      <c r="H662" s="8"/>
      <c r="I662" s="8"/>
      <c r="J662" s="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3"/>
      <c r="E663" s="13"/>
      <c r="F663" s="13"/>
      <c r="G663" s="8"/>
      <c r="H663" s="8"/>
      <c r="I663" s="8"/>
      <c r="J663" s="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3"/>
      <c r="E664" s="13"/>
      <c r="F664" s="13"/>
      <c r="G664" s="8"/>
      <c r="H664" s="8"/>
      <c r="I664" s="8"/>
      <c r="J664" s="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3"/>
      <c r="E665" s="13"/>
      <c r="F665" s="13"/>
      <c r="G665" s="8"/>
      <c r="H665" s="8"/>
      <c r="I665" s="8"/>
      <c r="J665" s="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3"/>
      <c r="E666" s="13"/>
      <c r="F666" s="13"/>
      <c r="G666" s="8"/>
      <c r="H666" s="8"/>
      <c r="I666" s="8"/>
      <c r="J666" s="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3"/>
      <c r="E667" s="13"/>
      <c r="F667" s="13"/>
      <c r="G667" s="8"/>
      <c r="H667" s="8"/>
      <c r="I667" s="8"/>
      <c r="J667" s="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3"/>
      <c r="E668" s="13"/>
      <c r="F668" s="13"/>
      <c r="G668" s="8"/>
      <c r="H668" s="8"/>
      <c r="I668" s="8"/>
      <c r="J668" s="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3"/>
      <c r="E669" s="13"/>
      <c r="F669" s="13"/>
      <c r="G669" s="8"/>
      <c r="H669" s="8"/>
      <c r="I669" s="8"/>
      <c r="J669" s="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3"/>
      <c r="E670" s="13"/>
      <c r="F670" s="13"/>
      <c r="G670" s="8"/>
      <c r="H670" s="8"/>
      <c r="I670" s="8"/>
      <c r="J670" s="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3"/>
      <c r="E671" s="13"/>
      <c r="F671" s="13"/>
      <c r="G671" s="8"/>
      <c r="H671" s="8"/>
      <c r="I671" s="8"/>
      <c r="J671" s="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3"/>
      <c r="E672" s="13"/>
      <c r="F672" s="13"/>
      <c r="G672" s="8"/>
      <c r="H672" s="8"/>
      <c r="I672" s="8"/>
      <c r="J672" s="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3"/>
      <c r="E673" s="13"/>
      <c r="F673" s="13"/>
      <c r="G673" s="8"/>
      <c r="H673" s="8"/>
      <c r="I673" s="8"/>
      <c r="J673" s="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3"/>
      <c r="E674" s="13"/>
      <c r="F674" s="13"/>
      <c r="G674" s="8"/>
      <c r="H674" s="8"/>
      <c r="I674" s="8"/>
      <c r="J674" s="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3"/>
      <c r="E675" s="13"/>
      <c r="F675" s="13"/>
      <c r="G675" s="8"/>
      <c r="H675" s="8"/>
      <c r="I675" s="8"/>
      <c r="J675" s="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3"/>
      <c r="E676" s="13"/>
      <c r="F676" s="13"/>
      <c r="G676" s="8"/>
      <c r="H676" s="8"/>
      <c r="I676" s="8"/>
      <c r="J676" s="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3"/>
      <c r="E677" s="13"/>
      <c r="F677" s="13"/>
      <c r="G677" s="8"/>
      <c r="H677" s="8"/>
      <c r="I677" s="8"/>
      <c r="J677" s="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3"/>
      <c r="E678" s="13"/>
      <c r="F678" s="13"/>
      <c r="G678" s="8"/>
      <c r="H678" s="8"/>
      <c r="I678" s="8"/>
      <c r="J678" s="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3"/>
      <c r="E679" s="13"/>
      <c r="F679" s="13"/>
      <c r="G679" s="8"/>
      <c r="H679" s="8"/>
      <c r="I679" s="8"/>
      <c r="J679" s="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3"/>
      <c r="E680" s="13"/>
      <c r="F680" s="13"/>
      <c r="G680" s="8"/>
      <c r="H680" s="8"/>
      <c r="I680" s="8"/>
      <c r="J680" s="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3"/>
      <c r="E681" s="13"/>
      <c r="F681" s="13"/>
      <c r="G681" s="8"/>
      <c r="H681" s="8"/>
      <c r="I681" s="8"/>
      <c r="J681" s="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3"/>
      <c r="E682" s="13"/>
      <c r="F682" s="13"/>
      <c r="G682" s="8"/>
      <c r="H682" s="8"/>
      <c r="I682" s="8"/>
      <c r="J682" s="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3"/>
      <c r="E683" s="13"/>
      <c r="F683" s="13"/>
      <c r="G683" s="8"/>
      <c r="H683" s="8"/>
      <c r="I683" s="8"/>
      <c r="J683" s="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3"/>
      <c r="E684" s="13"/>
      <c r="F684" s="13"/>
      <c r="G684" s="8"/>
      <c r="H684" s="8"/>
      <c r="I684" s="8"/>
      <c r="J684" s="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3"/>
      <c r="E685" s="13"/>
      <c r="F685" s="13"/>
      <c r="G685" s="8"/>
      <c r="H685" s="8"/>
      <c r="I685" s="8"/>
      <c r="J685" s="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3"/>
      <c r="E686" s="13"/>
      <c r="F686" s="13"/>
      <c r="G686" s="8"/>
      <c r="H686" s="8"/>
      <c r="I686" s="8"/>
      <c r="J686" s="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3"/>
      <c r="E687" s="13"/>
      <c r="F687" s="13"/>
      <c r="G687" s="8"/>
      <c r="H687" s="8"/>
      <c r="I687" s="8"/>
      <c r="J687" s="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3"/>
      <c r="E688" s="13"/>
      <c r="F688" s="13"/>
      <c r="G688" s="8"/>
      <c r="H688" s="8"/>
      <c r="I688" s="8"/>
      <c r="J688" s="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3"/>
      <c r="E689" s="13"/>
      <c r="F689" s="13"/>
      <c r="G689" s="8"/>
      <c r="H689" s="8"/>
      <c r="I689" s="8"/>
      <c r="J689" s="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3"/>
      <c r="E690" s="13"/>
      <c r="F690" s="13"/>
      <c r="G690" s="8"/>
      <c r="H690" s="8"/>
      <c r="I690" s="8"/>
      <c r="J690" s="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3"/>
      <c r="E691" s="13"/>
      <c r="F691" s="13"/>
      <c r="G691" s="8"/>
      <c r="H691" s="8"/>
      <c r="I691" s="8"/>
      <c r="J691" s="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3"/>
      <c r="E692" s="13"/>
      <c r="F692" s="13"/>
      <c r="G692" s="8"/>
      <c r="H692" s="8"/>
      <c r="I692" s="8"/>
      <c r="J692" s="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3"/>
      <c r="E693" s="13"/>
      <c r="F693" s="13"/>
      <c r="G693" s="8"/>
      <c r="H693" s="8"/>
      <c r="I693" s="8"/>
      <c r="J693" s="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3"/>
      <c r="E694" s="13"/>
      <c r="F694" s="13"/>
      <c r="G694" s="8"/>
      <c r="H694" s="8"/>
      <c r="I694" s="8"/>
      <c r="J694" s="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3"/>
      <c r="E695" s="13"/>
      <c r="F695" s="13"/>
      <c r="G695" s="8"/>
      <c r="H695" s="8"/>
      <c r="I695" s="8"/>
      <c r="J695" s="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3"/>
      <c r="E696" s="13"/>
      <c r="F696" s="13"/>
      <c r="G696" s="8"/>
      <c r="H696" s="8"/>
      <c r="I696" s="8"/>
      <c r="J696" s="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3"/>
      <c r="E697" s="13"/>
      <c r="F697" s="13"/>
      <c r="G697" s="8"/>
      <c r="H697" s="8"/>
      <c r="I697" s="8"/>
      <c r="J697" s="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3"/>
      <c r="E698" s="13"/>
      <c r="F698" s="13"/>
      <c r="G698" s="8"/>
      <c r="H698" s="8"/>
      <c r="I698" s="8"/>
      <c r="J698" s="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3"/>
      <c r="E699" s="13"/>
      <c r="F699" s="13"/>
      <c r="G699" s="8"/>
      <c r="H699" s="8"/>
      <c r="I699" s="8"/>
      <c r="J699" s="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3"/>
      <c r="E700" s="13"/>
      <c r="F700" s="13"/>
      <c r="G700" s="8"/>
      <c r="H700" s="8"/>
      <c r="I700" s="8"/>
      <c r="J700" s="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3"/>
      <c r="E701" s="13"/>
      <c r="F701" s="13"/>
      <c r="G701" s="8"/>
      <c r="H701" s="8"/>
      <c r="I701" s="8"/>
      <c r="J701" s="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3"/>
      <c r="E702" s="13"/>
      <c r="F702" s="13"/>
      <c r="G702" s="8"/>
      <c r="H702" s="8"/>
      <c r="I702" s="8"/>
      <c r="J702" s="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3"/>
      <c r="E703" s="13"/>
      <c r="F703" s="13"/>
      <c r="G703" s="8"/>
      <c r="H703" s="8"/>
      <c r="I703" s="8"/>
      <c r="J703" s="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3"/>
      <c r="E704" s="13"/>
      <c r="F704" s="13"/>
      <c r="G704" s="8"/>
      <c r="H704" s="8"/>
      <c r="I704" s="8"/>
      <c r="J704" s="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3"/>
      <c r="E705" s="13"/>
      <c r="F705" s="13"/>
      <c r="G705" s="8"/>
      <c r="H705" s="8"/>
      <c r="I705" s="8"/>
      <c r="J705" s="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3"/>
      <c r="E706" s="13"/>
      <c r="F706" s="13"/>
      <c r="G706" s="8"/>
      <c r="H706" s="8"/>
      <c r="I706" s="8"/>
      <c r="J706" s="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3"/>
      <c r="E707" s="13"/>
      <c r="F707" s="13"/>
      <c r="G707" s="8"/>
      <c r="H707" s="8"/>
      <c r="I707" s="8"/>
      <c r="J707" s="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3"/>
      <c r="E708" s="13"/>
      <c r="F708" s="13"/>
      <c r="G708" s="8"/>
      <c r="H708" s="8"/>
      <c r="I708" s="8"/>
      <c r="J708" s="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3"/>
      <c r="E709" s="13"/>
      <c r="F709" s="13"/>
      <c r="G709" s="8"/>
      <c r="H709" s="8"/>
      <c r="I709" s="8"/>
      <c r="J709" s="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3"/>
      <c r="E710" s="13"/>
      <c r="F710" s="13"/>
      <c r="G710" s="8"/>
      <c r="H710" s="8"/>
      <c r="I710" s="8"/>
      <c r="J710" s="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3"/>
      <c r="E711" s="13"/>
      <c r="F711" s="13"/>
      <c r="G711" s="8"/>
      <c r="H711" s="8"/>
      <c r="I711" s="8"/>
      <c r="J711" s="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3"/>
      <c r="E712" s="13"/>
      <c r="F712" s="13"/>
      <c r="G712" s="8"/>
      <c r="H712" s="8"/>
      <c r="I712" s="8"/>
      <c r="J712" s="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3"/>
      <c r="E713" s="13"/>
      <c r="F713" s="13"/>
      <c r="G713" s="8"/>
      <c r="H713" s="8"/>
      <c r="I713" s="8"/>
      <c r="J713" s="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3"/>
      <c r="E714" s="13"/>
      <c r="F714" s="13"/>
      <c r="G714" s="8"/>
      <c r="H714" s="8"/>
      <c r="I714" s="8"/>
      <c r="J714" s="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3"/>
      <c r="E715" s="13"/>
      <c r="F715" s="13"/>
      <c r="G715" s="8"/>
      <c r="H715" s="8"/>
      <c r="I715" s="8"/>
      <c r="J715" s="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3"/>
      <c r="E716" s="13"/>
      <c r="F716" s="13"/>
      <c r="G716" s="8"/>
      <c r="H716" s="8"/>
      <c r="I716" s="8"/>
      <c r="J716" s="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3"/>
      <c r="E717" s="13"/>
      <c r="F717" s="13"/>
      <c r="G717" s="8"/>
      <c r="H717" s="8"/>
      <c r="I717" s="8"/>
      <c r="J717" s="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3"/>
      <c r="E718" s="13"/>
      <c r="F718" s="13"/>
      <c r="G718" s="8"/>
      <c r="H718" s="8"/>
      <c r="I718" s="8"/>
      <c r="J718" s="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3"/>
      <c r="E719" s="13"/>
      <c r="F719" s="13"/>
      <c r="G719" s="8"/>
      <c r="H719" s="8"/>
      <c r="I719" s="8"/>
      <c r="J719" s="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3"/>
      <c r="E720" s="13"/>
      <c r="F720" s="13"/>
      <c r="G720" s="8"/>
      <c r="H720" s="8"/>
      <c r="I720" s="8"/>
      <c r="J720" s="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3"/>
      <c r="E721" s="13"/>
      <c r="F721" s="13"/>
      <c r="G721" s="8"/>
      <c r="H721" s="8"/>
      <c r="I721" s="8"/>
      <c r="J721" s="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3"/>
      <c r="E722" s="13"/>
      <c r="F722" s="13"/>
      <c r="G722" s="8"/>
      <c r="H722" s="8"/>
      <c r="I722" s="8"/>
      <c r="J722" s="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3"/>
      <c r="E723" s="13"/>
      <c r="F723" s="13"/>
      <c r="G723" s="8"/>
      <c r="H723" s="8"/>
      <c r="I723" s="8"/>
      <c r="J723" s="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3"/>
      <c r="E724" s="13"/>
      <c r="F724" s="13"/>
      <c r="G724" s="8"/>
      <c r="H724" s="8"/>
      <c r="I724" s="8"/>
      <c r="J724" s="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3"/>
      <c r="E725" s="13"/>
      <c r="F725" s="13"/>
      <c r="G725" s="8"/>
      <c r="H725" s="8"/>
      <c r="I725" s="8"/>
      <c r="J725" s="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3"/>
      <c r="E726" s="13"/>
      <c r="F726" s="13"/>
      <c r="G726" s="8"/>
      <c r="H726" s="8"/>
      <c r="I726" s="8"/>
      <c r="J726" s="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3"/>
      <c r="E727" s="13"/>
      <c r="F727" s="13"/>
      <c r="G727" s="8"/>
      <c r="H727" s="8"/>
      <c r="I727" s="8"/>
      <c r="J727" s="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3"/>
      <c r="E728" s="13"/>
      <c r="F728" s="13"/>
      <c r="G728" s="8"/>
      <c r="H728" s="8"/>
      <c r="I728" s="8"/>
      <c r="J728" s="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3"/>
      <c r="E729" s="13"/>
      <c r="F729" s="13"/>
      <c r="G729" s="8"/>
      <c r="H729" s="8"/>
      <c r="I729" s="8"/>
      <c r="J729" s="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3"/>
      <c r="E730" s="13"/>
      <c r="F730" s="13"/>
      <c r="G730" s="8"/>
      <c r="H730" s="8"/>
      <c r="I730" s="8"/>
      <c r="J730" s="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3"/>
      <c r="E731" s="13"/>
      <c r="F731" s="13"/>
      <c r="G731" s="8"/>
      <c r="H731" s="8"/>
      <c r="I731" s="8"/>
      <c r="J731" s="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3"/>
      <c r="E732" s="13"/>
      <c r="F732" s="13"/>
      <c r="G732" s="8"/>
      <c r="H732" s="8"/>
      <c r="I732" s="8"/>
      <c r="J732" s="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3"/>
      <c r="E733" s="13"/>
      <c r="F733" s="13"/>
      <c r="G733" s="8"/>
      <c r="H733" s="8"/>
      <c r="I733" s="8"/>
      <c r="J733" s="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3"/>
      <c r="E734" s="13"/>
      <c r="F734" s="13"/>
      <c r="G734" s="8"/>
      <c r="H734" s="8"/>
      <c r="I734" s="8"/>
      <c r="J734" s="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3"/>
      <c r="E735" s="13"/>
      <c r="F735" s="13"/>
      <c r="G735" s="8"/>
      <c r="H735" s="8"/>
      <c r="I735" s="8"/>
      <c r="J735" s="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3"/>
      <c r="E736" s="13"/>
      <c r="F736" s="13"/>
      <c r="G736" s="8"/>
      <c r="H736" s="8"/>
      <c r="I736" s="8"/>
      <c r="J736" s="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3"/>
      <c r="E737" s="13"/>
      <c r="F737" s="13"/>
      <c r="G737" s="8"/>
      <c r="H737" s="8"/>
      <c r="I737" s="8"/>
      <c r="J737" s="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3"/>
      <c r="E738" s="13"/>
      <c r="F738" s="13"/>
      <c r="G738" s="8"/>
      <c r="H738" s="8"/>
      <c r="I738" s="8"/>
      <c r="J738" s="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3"/>
      <c r="E739" s="13"/>
      <c r="F739" s="13"/>
      <c r="G739" s="8"/>
      <c r="H739" s="8"/>
      <c r="I739" s="8"/>
      <c r="J739" s="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3"/>
      <c r="E740" s="13"/>
      <c r="F740" s="13"/>
      <c r="G740" s="8"/>
      <c r="H740" s="8"/>
      <c r="I740" s="8"/>
      <c r="J740" s="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3"/>
      <c r="E741" s="13"/>
      <c r="F741" s="13"/>
      <c r="G741" s="8"/>
      <c r="H741" s="8"/>
      <c r="I741" s="8"/>
      <c r="J741" s="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3"/>
      <c r="E742" s="13"/>
      <c r="F742" s="13"/>
      <c r="G742" s="8"/>
      <c r="H742" s="8"/>
      <c r="I742" s="8"/>
      <c r="J742" s="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3"/>
      <c r="E743" s="13"/>
      <c r="F743" s="13"/>
      <c r="G743" s="8"/>
      <c r="H743" s="8"/>
      <c r="I743" s="8"/>
      <c r="J743" s="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3"/>
      <c r="E744" s="13"/>
      <c r="F744" s="13"/>
      <c r="G744" s="8"/>
      <c r="H744" s="8"/>
      <c r="I744" s="8"/>
      <c r="J744" s="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3"/>
      <c r="E745" s="13"/>
      <c r="F745" s="13"/>
      <c r="G745" s="8"/>
      <c r="H745" s="8"/>
      <c r="I745" s="8"/>
      <c r="J745" s="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3"/>
      <c r="E746" s="13"/>
      <c r="F746" s="13"/>
      <c r="G746" s="8"/>
      <c r="H746" s="8"/>
      <c r="I746" s="8"/>
      <c r="J746" s="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3"/>
      <c r="E747" s="13"/>
      <c r="F747" s="13"/>
      <c r="G747" s="8"/>
      <c r="H747" s="8"/>
      <c r="I747" s="8"/>
      <c r="J747" s="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3"/>
      <c r="E748" s="13"/>
      <c r="F748" s="13"/>
      <c r="G748" s="8"/>
      <c r="H748" s="8"/>
      <c r="I748" s="8"/>
      <c r="J748" s="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3"/>
      <c r="E749" s="13"/>
      <c r="F749" s="13"/>
      <c r="G749" s="8"/>
      <c r="H749" s="8"/>
      <c r="I749" s="8"/>
      <c r="J749" s="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3"/>
      <c r="E750" s="13"/>
      <c r="F750" s="13"/>
      <c r="G750" s="8"/>
      <c r="H750" s="8"/>
      <c r="I750" s="8"/>
      <c r="J750" s="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3"/>
      <c r="E751" s="13"/>
      <c r="F751" s="13"/>
      <c r="G751" s="8"/>
      <c r="H751" s="8"/>
      <c r="I751" s="8"/>
      <c r="J751" s="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3"/>
      <c r="E752" s="13"/>
      <c r="F752" s="13"/>
      <c r="G752" s="8"/>
      <c r="H752" s="8"/>
      <c r="I752" s="8"/>
      <c r="J752" s="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3"/>
      <c r="E753" s="13"/>
      <c r="F753" s="13"/>
      <c r="G753" s="8"/>
      <c r="H753" s="8"/>
      <c r="I753" s="8"/>
      <c r="J753" s="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3"/>
      <c r="E754" s="13"/>
      <c r="F754" s="13"/>
      <c r="G754" s="8"/>
      <c r="H754" s="8"/>
      <c r="I754" s="8"/>
      <c r="J754" s="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3"/>
      <c r="E755" s="13"/>
      <c r="F755" s="13"/>
      <c r="G755" s="8"/>
      <c r="H755" s="8"/>
      <c r="I755" s="8"/>
      <c r="J755" s="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3"/>
      <c r="E756" s="13"/>
      <c r="F756" s="13"/>
      <c r="G756" s="8"/>
      <c r="H756" s="8"/>
      <c r="I756" s="8"/>
      <c r="J756" s="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3"/>
      <c r="E757" s="13"/>
      <c r="F757" s="13"/>
      <c r="G757" s="8"/>
      <c r="H757" s="8"/>
      <c r="I757" s="8"/>
      <c r="J757" s="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3"/>
      <c r="E758" s="13"/>
      <c r="F758" s="13"/>
      <c r="G758" s="8"/>
      <c r="H758" s="8"/>
      <c r="I758" s="8"/>
      <c r="J758" s="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3"/>
      <c r="E759" s="13"/>
      <c r="F759" s="13"/>
      <c r="G759" s="8"/>
      <c r="H759" s="8"/>
      <c r="I759" s="8"/>
      <c r="J759" s="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3"/>
      <c r="E760" s="13"/>
      <c r="F760" s="13"/>
      <c r="G760" s="8"/>
      <c r="H760" s="8"/>
      <c r="I760" s="8"/>
      <c r="J760" s="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3"/>
      <c r="E761" s="13"/>
      <c r="F761" s="13"/>
      <c r="G761" s="8"/>
      <c r="H761" s="8"/>
      <c r="I761" s="8"/>
      <c r="J761" s="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3"/>
      <c r="E762" s="13"/>
      <c r="F762" s="13"/>
      <c r="G762" s="8"/>
      <c r="H762" s="8"/>
      <c r="I762" s="8"/>
      <c r="J762" s="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3"/>
      <c r="E763" s="13"/>
      <c r="F763" s="13"/>
      <c r="G763" s="8"/>
      <c r="H763" s="8"/>
      <c r="I763" s="8"/>
      <c r="J763" s="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3"/>
      <c r="E764" s="13"/>
      <c r="F764" s="13"/>
      <c r="G764" s="8"/>
      <c r="H764" s="8"/>
      <c r="I764" s="8"/>
      <c r="J764" s="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3"/>
      <c r="E765" s="13"/>
      <c r="F765" s="13"/>
      <c r="G765" s="8"/>
      <c r="H765" s="8"/>
      <c r="I765" s="8"/>
      <c r="J765" s="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3"/>
      <c r="E766" s="13"/>
      <c r="F766" s="13"/>
      <c r="G766" s="8"/>
      <c r="H766" s="8"/>
      <c r="I766" s="8"/>
      <c r="J766" s="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3"/>
      <c r="E767" s="13"/>
      <c r="F767" s="13"/>
      <c r="G767" s="8"/>
      <c r="H767" s="8"/>
      <c r="I767" s="8"/>
      <c r="J767" s="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3"/>
      <c r="E768" s="13"/>
      <c r="F768" s="13"/>
      <c r="G768" s="8"/>
      <c r="H768" s="8"/>
      <c r="I768" s="8"/>
      <c r="J768" s="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3"/>
      <c r="E769" s="13"/>
      <c r="F769" s="13"/>
      <c r="G769" s="8"/>
      <c r="H769" s="8"/>
      <c r="I769" s="8"/>
      <c r="J769" s="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3"/>
      <c r="E770" s="13"/>
      <c r="F770" s="13"/>
      <c r="G770" s="8"/>
      <c r="H770" s="8"/>
      <c r="I770" s="8"/>
      <c r="J770" s="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3"/>
      <c r="E771" s="13"/>
      <c r="F771" s="13"/>
      <c r="G771" s="8"/>
      <c r="H771" s="8"/>
      <c r="I771" s="8"/>
      <c r="J771" s="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3"/>
      <c r="E772" s="13"/>
      <c r="F772" s="13"/>
      <c r="G772" s="8"/>
      <c r="H772" s="8"/>
      <c r="I772" s="8"/>
      <c r="J772" s="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3"/>
      <c r="E773" s="13"/>
      <c r="F773" s="13"/>
      <c r="G773" s="8"/>
      <c r="H773" s="8"/>
      <c r="I773" s="8"/>
      <c r="J773" s="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3"/>
      <c r="E774" s="13"/>
      <c r="F774" s="13"/>
      <c r="G774" s="8"/>
      <c r="H774" s="8"/>
      <c r="I774" s="8"/>
      <c r="J774" s="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3"/>
      <c r="E775" s="13"/>
      <c r="F775" s="13"/>
      <c r="G775" s="8"/>
      <c r="H775" s="8"/>
      <c r="I775" s="8"/>
      <c r="J775" s="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3"/>
      <c r="E776" s="13"/>
      <c r="F776" s="13"/>
      <c r="G776" s="8"/>
      <c r="H776" s="8"/>
      <c r="I776" s="8"/>
      <c r="J776" s="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3"/>
      <c r="E777" s="13"/>
      <c r="F777" s="13"/>
      <c r="G777" s="8"/>
      <c r="H777" s="8"/>
      <c r="I777" s="8"/>
      <c r="J777" s="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3"/>
      <c r="E778" s="13"/>
      <c r="F778" s="13"/>
      <c r="G778" s="8"/>
      <c r="H778" s="8"/>
      <c r="I778" s="8"/>
      <c r="J778" s="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3"/>
      <c r="E779" s="13"/>
      <c r="F779" s="13"/>
      <c r="G779" s="8"/>
      <c r="H779" s="8"/>
      <c r="I779" s="8"/>
      <c r="J779" s="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3"/>
      <c r="E780" s="13"/>
      <c r="F780" s="13"/>
      <c r="G780" s="8"/>
      <c r="H780" s="8"/>
      <c r="I780" s="8"/>
      <c r="J780" s="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3"/>
      <c r="E781" s="13"/>
      <c r="F781" s="13"/>
      <c r="G781" s="8"/>
      <c r="H781" s="8"/>
      <c r="I781" s="8"/>
      <c r="J781" s="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3"/>
      <c r="E782" s="13"/>
      <c r="F782" s="13"/>
      <c r="G782" s="8"/>
      <c r="H782" s="8"/>
      <c r="I782" s="8"/>
      <c r="J782" s="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3"/>
      <c r="E783" s="13"/>
      <c r="F783" s="13"/>
      <c r="G783" s="8"/>
      <c r="H783" s="8"/>
      <c r="I783" s="8"/>
      <c r="J783" s="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3"/>
      <c r="E784" s="13"/>
      <c r="F784" s="13"/>
      <c r="G784" s="8"/>
      <c r="H784" s="8"/>
      <c r="I784" s="8"/>
      <c r="J784" s="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3"/>
      <c r="E785" s="13"/>
      <c r="F785" s="13"/>
      <c r="G785" s="8"/>
      <c r="H785" s="8"/>
      <c r="I785" s="8"/>
      <c r="J785" s="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3"/>
      <c r="E786" s="13"/>
      <c r="F786" s="13"/>
      <c r="G786" s="8"/>
      <c r="H786" s="8"/>
      <c r="I786" s="8"/>
      <c r="J786" s="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3"/>
      <c r="E787" s="13"/>
      <c r="F787" s="13"/>
      <c r="G787" s="8"/>
      <c r="H787" s="8"/>
      <c r="I787" s="8"/>
      <c r="J787" s="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3"/>
      <c r="E788" s="13"/>
      <c r="F788" s="13"/>
      <c r="G788" s="8"/>
      <c r="H788" s="8"/>
      <c r="I788" s="8"/>
      <c r="J788" s="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3"/>
      <c r="E789" s="13"/>
      <c r="F789" s="13"/>
      <c r="G789" s="8"/>
      <c r="H789" s="8"/>
      <c r="I789" s="8"/>
      <c r="J789" s="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3"/>
      <c r="E790" s="13"/>
      <c r="F790" s="13"/>
      <c r="G790" s="8"/>
      <c r="H790" s="8"/>
      <c r="I790" s="8"/>
      <c r="J790" s="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3"/>
      <c r="E791" s="13"/>
      <c r="F791" s="13"/>
      <c r="G791" s="8"/>
      <c r="H791" s="8"/>
      <c r="I791" s="8"/>
      <c r="J791" s="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3"/>
      <c r="E792" s="13"/>
      <c r="F792" s="13"/>
      <c r="G792" s="8"/>
      <c r="H792" s="8"/>
      <c r="I792" s="8"/>
      <c r="J792" s="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3"/>
      <c r="E793" s="13"/>
      <c r="F793" s="13"/>
      <c r="G793" s="8"/>
      <c r="H793" s="8"/>
      <c r="I793" s="8"/>
      <c r="J793" s="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3"/>
      <c r="E794" s="13"/>
      <c r="F794" s="13"/>
      <c r="G794" s="8"/>
      <c r="H794" s="8"/>
      <c r="I794" s="8"/>
      <c r="J794" s="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3"/>
      <c r="E795" s="13"/>
      <c r="F795" s="13"/>
      <c r="G795" s="8"/>
      <c r="H795" s="8"/>
      <c r="I795" s="8"/>
      <c r="J795" s="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3"/>
      <c r="E796" s="13"/>
      <c r="F796" s="13"/>
      <c r="G796" s="8"/>
      <c r="H796" s="8"/>
      <c r="I796" s="8"/>
      <c r="J796" s="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3"/>
      <c r="E797" s="13"/>
      <c r="F797" s="13"/>
      <c r="G797" s="8"/>
      <c r="H797" s="8"/>
      <c r="I797" s="8"/>
      <c r="J797" s="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3"/>
      <c r="E798" s="13"/>
      <c r="F798" s="13"/>
      <c r="G798" s="8"/>
      <c r="H798" s="8"/>
      <c r="I798" s="8"/>
      <c r="J798" s="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3"/>
      <c r="E799" s="13"/>
      <c r="F799" s="13"/>
      <c r="G799" s="8"/>
      <c r="H799" s="8"/>
      <c r="I799" s="8"/>
      <c r="J799" s="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3"/>
      <c r="E800" s="13"/>
      <c r="F800" s="13"/>
      <c r="G800" s="8"/>
      <c r="H800" s="8"/>
      <c r="I800" s="8"/>
      <c r="J800" s="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3"/>
      <c r="E801" s="13"/>
      <c r="F801" s="13"/>
      <c r="G801" s="8"/>
      <c r="H801" s="8"/>
      <c r="I801" s="8"/>
      <c r="J801" s="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3"/>
      <c r="E802" s="13"/>
      <c r="F802" s="13"/>
      <c r="G802" s="8"/>
      <c r="H802" s="8"/>
      <c r="I802" s="8"/>
      <c r="J802" s="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3"/>
      <c r="E803" s="13"/>
      <c r="F803" s="13"/>
      <c r="G803" s="8"/>
      <c r="H803" s="8"/>
      <c r="I803" s="8"/>
      <c r="J803" s="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3"/>
      <c r="E804" s="13"/>
      <c r="F804" s="13"/>
      <c r="G804" s="8"/>
      <c r="H804" s="8"/>
      <c r="I804" s="8"/>
      <c r="J804" s="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3"/>
      <c r="E805" s="13"/>
      <c r="F805" s="13"/>
      <c r="G805" s="8"/>
      <c r="H805" s="8"/>
      <c r="I805" s="8"/>
      <c r="J805" s="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3"/>
      <c r="E806" s="13"/>
      <c r="F806" s="13"/>
      <c r="G806" s="8"/>
      <c r="H806" s="8"/>
      <c r="I806" s="8"/>
      <c r="J806" s="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3"/>
      <c r="E807" s="13"/>
      <c r="F807" s="13"/>
      <c r="G807" s="8"/>
      <c r="H807" s="8"/>
      <c r="I807" s="8"/>
      <c r="J807" s="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3"/>
      <c r="E808" s="13"/>
      <c r="F808" s="13"/>
      <c r="G808" s="8"/>
      <c r="H808" s="8"/>
      <c r="I808" s="8"/>
      <c r="J808" s="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3"/>
      <c r="E809" s="13"/>
      <c r="F809" s="13"/>
      <c r="G809" s="8"/>
      <c r="H809" s="8"/>
      <c r="I809" s="8"/>
      <c r="J809" s="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3"/>
      <c r="E810" s="13"/>
      <c r="F810" s="13"/>
      <c r="G810" s="8"/>
      <c r="H810" s="8"/>
      <c r="I810" s="8"/>
      <c r="J810" s="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3"/>
      <c r="E811" s="13"/>
      <c r="F811" s="13"/>
      <c r="G811" s="8"/>
      <c r="H811" s="8"/>
      <c r="I811" s="8"/>
      <c r="J811" s="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3"/>
      <c r="E812" s="13"/>
      <c r="F812" s="13"/>
      <c r="G812" s="8"/>
      <c r="H812" s="8"/>
      <c r="I812" s="8"/>
      <c r="J812" s="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3"/>
      <c r="E813" s="13"/>
      <c r="F813" s="13"/>
      <c r="G813" s="8"/>
      <c r="H813" s="8"/>
      <c r="I813" s="8"/>
      <c r="J813" s="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3"/>
      <c r="E814" s="13"/>
      <c r="F814" s="13"/>
      <c r="G814" s="8"/>
      <c r="H814" s="8"/>
      <c r="I814" s="8"/>
      <c r="J814" s="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3"/>
      <c r="E815" s="13"/>
      <c r="F815" s="13"/>
      <c r="G815" s="8"/>
      <c r="H815" s="8"/>
      <c r="I815" s="8"/>
      <c r="J815" s="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3"/>
      <c r="E816" s="13"/>
      <c r="F816" s="13"/>
      <c r="G816" s="8"/>
      <c r="H816" s="8"/>
      <c r="I816" s="8"/>
      <c r="J816" s="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3"/>
      <c r="E817" s="13"/>
      <c r="F817" s="13"/>
      <c r="G817" s="8"/>
      <c r="H817" s="8"/>
      <c r="I817" s="8"/>
      <c r="J817" s="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3"/>
      <c r="E818" s="13"/>
      <c r="F818" s="13"/>
      <c r="G818" s="8"/>
      <c r="H818" s="8"/>
      <c r="I818" s="8"/>
      <c r="J818" s="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3"/>
      <c r="E819" s="13"/>
      <c r="F819" s="13"/>
      <c r="G819" s="8"/>
      <c r="H819" s="8"/>
      <c r="I819" s="8"/>
      <c r="J819" s="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3"/>
      <c r="E820" s="13"/>
      <c r="F820" s="13"/>
      <c r="G820" s="8"/>
      <c r="H820" s="8"/>
      <c r="I820" s="8"/>
      <c r="J820" s="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3"/>
      <c r="E821" s="13"/>
      <c r="F821" s="13"/>
      <c r="G821" s="8"/>
      <c r="H821" s="8"/>
      <c r="I821" s="8"/>
      <c r="J821" s="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3"/>
      <c r="E822" s="13"/>
      <c r="F822" s="13"/>
      <c r="G822" s="8"/>
      <c r="H822" s="8"/>
      <c r="I822" s="8"/>
      <c r="J822" s="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3"/>
      <c r="E823" s="13"/>
      <c r="F823" s="13"/>
      <c r="G823" s="8"/>
      <c r="H823" s="8"/>
      <c r="I823" s="8"/>
      <c r="J823" s="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3"/>
      <c r="E824" s="13"/>
      <c r="F824" s="13"/>
      <c r="G824" s="8"/>
      <c r="H824" s="8"/>
      <c r="I824" s="8"/>
      <c r="J824" s="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3"/>
      <c r="E825" s="13"/>
      <c r="F825" s="13"/>
      <c r="G825" s="8"/>
      <c r="H825" s="8"/>
      <c r="I825" s="8"/>
      <c r="J825" s="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3"/>
      <c r="E826" s="13"/>
      <c r="F826" s="13"/>
      <c r="G826" s="8"/>
      <c r="H826" s="8"/>
      <c r="I826" s="8"/>
      <c r="J826" s="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3"/>
      <c r="E827" s="13"/>
      <c r="F827" s="13"/>
      <c r="G827" s="8"/>
      <c r="H827" s="8"/>
      <c r="I827" s="8"/>
      <c r="J827" s="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3"/>
      <c r="E828" s="13"/>
      <c r="F828" s="13"/>
      <c r="G828" s="8"/>
      <c r="H828" s="8"/>
      <c r="I828" s="8"/>
      <c r="J828" s="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3"/>
      <c r="E829" s="13"/>
      <c r="F829" s="13"/>
      <c r="G829" s="8"/>
      <c r="H829" s="8"/>
      <c r="I829" s="8"/>
      <c r="J829" s="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3"/>
      <c r="E830" s="13"/>
      <c r="F830" s="13"/>
      <c r="G830" s="8"/>
      <c r="H830" s="8"/>
      <c r="I830" s="8"/>
      <c r="J830" s="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3"/>
      <c r="E831" s="13"/>
      <c r="F831" s="13"/>
      <c r="G831" s="8"/>
      <c r="H831" s="8"/>
      <c r="I831" s="8"/>
      <c r="J831" s="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3"/>
      <c r="E832" s="13"/>
      <c r="F832" s="13"/>
      <c r="G832" s="8"/>
      <c r="H832" s="8"/>
      <c r="I832" s="8"/>
      <c r="J832" s="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3"/>
      <c r="E833" s="13"/>
      <c r="F833" s="13"/>
      <c r="G833" s="8"/>
      <c r="H833" s="8"/>
      <c r="I833" s="8"/>
      <c r="J833" s="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3"/>
      <c r="E834" s="13"/>
      <c r="F834" s="13"/>
      <c r="G834" s="8"/>
      <c r="H834" s="8"/>
      <c r="I834" s="8"/>
      <c r="J834" s="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3"/>
      <c r="E835" s="13"/>
      <c r="F835" s="13"/>
      <c r="G835" s="8"/>
      <c r="H835" s="8"/>
      <c r="I835" s="8"/>
      <c r="J835" s="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3"/>
      <c r="E836" s="13"/>
      <c r="F836" s="13"/>
      <c r="G836" s="8"/>
      <c r="H836" s="8"/>
      <c r="I836" s="8"/>
      <c r="J836" s="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3"/>
      <c r="E837" s="13"/>
      <c r="F837" s="13"/>
      <c r="G837" s="8"/>
      <c r="H837" s="8"/>
      <c r="I837" s="8"/>
      <c r="J837" s="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3"/>
      <c r="E838" s="13"/>
      <c r="F838" s="13"/>
      <c r="G838" s="8"/>
      <c r="H838" s="8"/>
      <c r="I838" s="8"/>
      <c r="J838" s="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3"/>
      <c r="E839" s="13"/>
      <c r="F839" s="13"/>
      <c r="G839" s="8"/>
      <c r="H839" s="8"/>
      <c r="I839" s="8"/>
      <c r="J839" s="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3"/>
      <c r="E840" s="13"/>
      <c r="F840" s="13"/>
      <c r="G840" s="8"/>
      <c r="H840" s="8"/>
      <c r="I840" s="8"/>
      <c r="J840" s="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3"/>
      <c r="E841" s="13"/>
      <c r="F841" s="13"/>
      <c r="G841" s="8"/>
      <c r="H841" s="8"/>
      <c r="I841" s="8"/>
      <c r="J841" s="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3"/>
      <c r="E842" s="13"/>
      <c r="F842" s="13"/>
      <c r="G842" s="8"/>
      <c r="H842" s="8"/>
      <c r="I842" s="8"/>
      <c r="J842" s="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3"/>
      <c r="E843" s="13"/>
      <c r="F843" s="13"/>
      <c r="G843" s="8"/>
      <c r="H843" s="8"/>
      <c r="I843" s="8"/>
      <c r="J843" s="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3"/>
      <c r="E844" s="13"/>
      <c r="F844" s="13"/>
      <c r="G844" s="8"/>
      <c r="H844" s="8"/>
      <c r="I844" s="8"/>
      <c r="J844" s="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3"/>
      <c r="E845" s="13"/>
      <c r="F845" s="13"/>
      <c r="G845" s="8"/>
      <c r="H845" s="8"/>
      <c r="I845" s="8"/>
      <c r="J845" s="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3"/>
      <c r="E846" s="13"/>
      <c r="F846" s="13"/>
      <c r="G846" s="8"/>
      <c r="H846" s="8"/>
      <c r="I846" s="8"/>
      <c r="J846" s="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3"/>
      <c r="E847" s="13"/>
      <c r="F847" s="13"/>
      <c r="G847" s="8"/>
      <c r="H847" s="8"/>
      <c r="I847" s="8"/>
      <c r="J847" s="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3"/>
      <c r="E848" s="13"/>
      <c r="F848" s="13"/>
      <c r="G848" s="8"/>
      <c r="H848" s="8"/>
      <c r="I848" s="8"/>
      <c r="J848" s="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3"/>
      <c r="E849" s="13"/>
      <c r="F849" s="13"/>
      <c r="G849" s="8"/>
      <c r="H849" s="8"/>
      <c r="I849" s="8"/>
      <c r="J849" s="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3"/>
      <c r="E850" s="13"/>
      <c r="F850" s="13"/>
      <c r="G850" s="8"/>
      <c r="H850" s="8"/>
      <c r="I850" s="8"/>
      <c r="J850" s="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3"/>
      <c r="E851" s="13"/>
      <c r="F851" s="13"/>
      <c r="G851" s="8"/>
      <c r="H851" s="8"/>
      <c r="I851" s="8"/>
      <c r="J851" s="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3"/>
      <c r="E852" s="13"/>
      <c r="F852" s="13"/>
      <c r="G852" s="8"/>
      <c r="H852" s="8"/>
      <c r="I852" s="8"/>
      <c r="J852" s="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3"/>
      <c r="E853" s="13"/>
      <c r="F853" s="13"/>
      <c r="G853" s="8"/>
      <c r="H853" s="8"/>
      <c r="I853" s="8"/>
      <c r="J853" s="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3"/>
      <c r="E854" s="13"/>
      <c r="F854" s="13"/>
      <c r="G854" s="8"/>
      <c r="H854" s="8"/>
      <c r="I854" s="8"/>
      <c r="J854" s="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3"/>
      <c r="E855" s="13"/>
      <c r="F855" s="13"/>
      <c r="G855" s="8"/>
      <c r="H855" s="8"/>
      <c r="I855" s="8"/>
      <c r="J855" s="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3"/>
      <c r="E856" s="13"/>
      <c r="F856" s="13"/>
      <c r="G856" s="8"/>
      <c r="H856" s="8"/>
      <c r="I856" s="8"/>
      <c r="J856" s="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3"/>
      <c r="E857" s="13"/>
      <c r="F857" s="13"/>
      <c r="G857" s="8"/>
      <c r="H857" s="8"/>
      <c r="I857" s="8"/>
      <c r="J857" s="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3"/>
      <c r="E858" s="13"/>
      <c r="F858" s="13"/>
      <c r="G858" s="8"/>
      <c r="H858" s="8"/>
      <c r="I858" s="8"/>
      <c r="J858" s="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3"/>
      <c r="E859" s="13"/>
      <c r="F859" s="13"/>
      <c r="G859" s="8"/>
      <c r="H859" s="8"/>
      <c r="I859" s="8"/>
      <c r="J859" s="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3"/>
      <c r="E860" s="13"/>
      <c r="F860" s="13"/>
      <c r="G860" s="8"/>
      <c r="H860" s="8"/>
      <c r="I860" s="8"/>
      <c r="J860" s="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3"/>
      <c r="E861" s="13"/>
      <c r="F861" s="13"/>
      <c r="G861" s="8"/>
      <c r="H861" s="8"/>
      <c r="I861" s="8"/>
      <c r="J861" s="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3"/>
      <c r="E862" s="13"/>
      <c r="F862" s="13"/>
      <c r="G862" s="8"/>
      <c r="H862" s="8"/>
      <c r="I862" s="8"/>
      <c r="J862" s="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3"/>
      <c r="E863" s="13"/>
      <c r="F863" s="13"/>
      <c r="G863" s="8"/>
      <c r="H863" s="8"/>
      <c r="I863" s="8"/>
      <c r="J863" s="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3"/>
      <c r="E864" s="13"/>
      <c r="F864" s="13"/>
      <c r="G864" s="8"/>
      <c r="H864" s="8"/>
      <c r="I864" s="8"/>
      <c r="J864" s="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3"/>
      <c r="E865" s="13"/>
      <c r="F865" s="13"/>
      <c r="G865" s="8"/>
      <c r="H865" s="8"/>
      <c r="I865" s="8"/>
      <c r="J865" s="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3"/>
      <c r="E866" s="13"/>
      <c r="F866" s="13"/>
      <c r="G866" s="8"/>
      <c r="H866" s="8"/>
      <c r="I866" s="8"/>
      <c r="J866" s="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3"/>
      <c r="E867" s="13"/>
      <c r="F867" s="13"/>
      <c r="G867" s="8"/>
      <c r="H867" s="8"/>
      <c r="I867" s="8"/>
      <c r="J867" s="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3"/>
      <c r="E868" s="13"/>
      <c r="F868" s="13"/>
      <c r="G868" s="8"/>
      <c r="H868" s="8"/>
      <c r="I868" s="8"/>
      <c r="J868" s="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3"/>
      <c r="E869" s="13"/>
      <c r="F869" s="13"/>
      <c r="G869" s="8"/>
      <c r="H869" s="8"/>
      <c r="I869" s="8"/>
      <c r="J869" s="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3"/>
      <c r="E870" s="13"/>
      <c r="F870" s="13"/>
      <c r="G870" s="8"/>
      <c r="H870" s="8"/>
      <c r="I870" s="8"/>
      <c r="J870" s="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3"/>
      <c r="E871" s="13"/>
      <c r="F871" s="13"/>
      <c r="G871" s="8"/>
      <c r="H871" s="8"/>
      <c r="I871" s="8"/>
      <c r="J871" s="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3"/>
      <c r="E872" s="13"/>
      <c r="F872" s="13"/>
      <c r="G872" s="8"/>
      <c r="H872" s="8"/>
      <c r="I872" s="8"/>
      <c r="J872" s="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3"/>
      <c r="E873" s="13"/>
      <c r="F873" s="13"/>
      <c r="G873" s="8"/>
      <c r="H873" s="8"/>
      <c r="I873" s="8"/>
      <c r="J873" s="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3"/>
      <c r="E874" s="13"/>
      <c r="F874" s="13"/>
      <c r="G874" s="8"/>
      <c r="H874" s="8"/>
      <c r="I874" s="8"/>
      <c r="J874" s="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3"/>
      <c r="E875" s="13"/>
      <c r="F875" s="13"/>
      <c r="G875" s="8"/>
      <c r="H875" s="8"/>
      <c r="I875" s="8"/>
      <c r="J875" s="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3"/>
      <c r="E876" s="13"/>
      <c r="F876" s="13"/>
      <c r="G876" s="8"/>
      <c r="H876" s="8"/>
      <c r="I876" s="8"/>
      <c r="J876" s="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3"/>
      <c r="E877" s="13"/>
      <c r="F877" s="13"/>
      <c r="G877" s="8"/>
      <c r="H877" s="8"/>
      <c r="I877" s="8"/>
      <c r="J877" s="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3"/>
      <c r="E878" s="13"/>
      <c r="F878" s="13"/>
      <c r="G878" s="8"/>
      <c r="H878" s="8"/>
      <c r="I878" s="8"/>
      <c r="J878" s="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3"/>
      <c r="E879" s="13"/>
      <c r="F879" s="13"/>
      <c r="G879" s="8"/>
      <c r="H879" s="8"/>
      <c r="I879" s="8"/>
      <c r="J879" s="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3"/>
      <c r="E880" s="13"/>
      <c r="F880" s="13"/>
      <c r="G880" s="8"/>
      <c r="H880" s="8"/>
      <c r="I880" s="8"/>
      <c r="J880" s="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3"/>
      <c r="E881" s="13"/>
      <c r="F881" s="13"/>
      <c r="G881" s="8"/>
      <c r="H881" s="8"/>
      <c r="I881" s="8"/>
      <c r="J881" s="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3"/>
      <c r="E882" s="13"/>
      <c r="F882" s="13"/>
      <c r="G882" s="8"/>
      <c r="H882" s="8"/>
      <c r="I882" s="8"/>
      <c r="J882" s="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3"/>
      <c r="E883" s="13"/>
      <c r="F883" s="13"/>
      <c r="G883" s="8"/>
      <c r="H883" s="8"/>
      <c r="I883" s="8"/>
      <c r="J883" s="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3"/>
      <c r="E884" s="13"/>
      <c r="F884" s="13"/>
      <c r="G884" s="8"/>
      <c r="H884" s="8"/>
      <c r="I884" s="8"/>
      <c r="J884" s="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3"/>
      <c r="E885" s="13"/>
      <c r="F885" s="13"/>
      <c r="G885" s="8"/>
      <c r="H885" s="8"/>
      <c r="I885" s="8"/>
      <c r="J885" s="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3"/>
      <c r="E886" s="13"/>
      <c r="F886" s="13"/>
      <c r="G886" s="8"/>
      <c r="H886" s="8"/>
      <c r="I886" s="8"/>
      <c r="J886" s="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3"/>
      <c r="E887" s="13"/>
      <c r="F887" s="13"/>
      <c r="G887" s="8"/>
      <c r="H887" s="8"/>
      <c r="I887" s="8"/>
      <c r="J887" s="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3"/>
      <c r="E888" s="13"/>
      <c r="F888" s="13"/>
      <c r="G888" s="8"/>
      <c r="H888" s="8"/>
      <c r="I888" s="8"/>
      <c r="J888" s="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3"/>
      <c r="E889" s="13"/>
      <c r="F889" s="13"/>
      <c r="G889" s="8"/>
      <c r="H889" s="8"/>
      <c r="I889" s="8"/>
      <c r="J889" s="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3"/>
      <c r="E890" s="13"/>
      <c r="F890" s="13"/>
      <c r="G890" s="8"/>
      <c r="H890" s="8"/>
      <c r="I890" s="8"/>
      <c r="J890" s="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3"/>
      <c r="E891" s="13"/>
      <c r="F891" s="13"/>
      <c r="G891" s="8"/>
      <c r="H891" s="8"/>
      <c r="I891" s="8"/>
      <c r="J891" s="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3"/>
      <c r="E892" s="13"/>
      <c r="F892" s="13"/>
      <c r="G892" s="8"/>
      <c r="H892" s="8"/>
      <c r="I892" s="8"/>
      <c r="J892" s="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3"/>
      <c r="E893" s="13"/>
      <c r="F893" s="13"/>
      <c r="G893" s="8"/>
      <c r="H893" s="8"/>
      <c r="I893" s="8"/>
      <c r="J893" s="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3"/>
      <c r="E894" s="13"/>
      <c r="F894" s="13"/>
      <c r="G894" s="8"/>
      <c r="H894" s="8"/>
      <c r="I894" s="8"/>
      <c r="J894" s="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3"/>
      <c r="E895" s="13"/>
      <c r="F895" s="13"/>
      <c r="G895" s="8"/>
      <c r="H895" s="8"/>
      <c r="I895" s="8"/>
      <c r="J895" s="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3"/>
      <c r="E896" s="13"/>
      <c r="F896" s="13"/>
      <c r="G896" s="8"/>
      <c r="H896" s="8"/>
      <c r="I896" s="8"/>
      <c r="J896" s="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3"/>
      <c r="E897" s="13"/>
      <c r="F897" s="13"/>
      <c r="G897" s="8"/>
      <c r="H897" s="8"/>
      <c r="I897" s="8"/>
      <c r="J897" s="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3"/>
      <c r="E898" s="13"/>
      <c r="F898" s="13"/>
      <c r="G898" s="8"/>
      <c r="H898" s="8"/>
      <c r="I898" s="8"/>
      <c r="J898" s="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3"/>
      <c r="E899" s="13"/>
      <c r="F899" s="13"/>
      <c r="G899" s="8"/>
      <c r="H899" s="8"/>
      <c r="I899" s="8"/>
      <c r="J899" s="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3"/>
      <c r="E900" s="13"/>
      <c r="F900" s="13"/>
      <c r="G900" s="8"/>
      <c r="H900" s="8"/>
      <c r="I900" s="8"/>
      <c r="J900" s="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3"/>
      <c r="E901" s="13"/>
      <c r="F901" s="13"/>
      <c r="G901" s="8"/>
      <c r="H901" s="8"/>
      <c r="I901" s="8"/>
      <c r="J901" s="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3"/>
      <c r="E902" s="13"/>
      <c r="F902" s="13"/>
      <c r="G902" s="8"/>
      <c r="H902" s="8"/>
      <c r="I902" s="8"/>
      <c r="J902" s="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3"/>
      <c r="E903" s="13"/>
      <c r="F903" s="13"/>
      <c r="G903" s="8"/>
      <c r="H903" s="8"/>
      <c r="I903" s="8"/>
      <c r="J903" s="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3"/>
      <c r="E904" s="13"/>
      <c r="F904" s="13"/>
      <c r="G904" s="8"/>
      <c r="H904" s="8"/>
      <c r="I904" s="8"/>
      <c r="J904" s="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3"/>
      <c r="E905" s="13"/>
      <c r="F905" s="13"/>
      <c r="G905" s="8"/>
      <c r="H905" s="8"/>
      <c r="I905" s="8"/>
      <c r="J905" s="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3"/>
      <c r="E906" s="13"/>
      <c r="F906" s="13"/>
      <c r="G906" s="8"/>
      <c r="H906" s="8"/>
      <c r="I906" s="8"/>
      <c r="J906" s="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3"/>
      <c r="E907" s="13"/>
      <c r="F907" s="13"/>
      <c r="G907" s="8"/>
      <c r="H907" s="8"/>
      <c r="I907" s="8"/>
      <c r="J907" s="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3"/>
      <c r="E908" s="13"/>
      <c r="F908" s="13"/>
      <c r="G908" s="8"/>
      <c r="H908" s="8"/>
      <c r="I908" s="8"/>
      <c r="J908" s="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3"/>
      <c r="E909" s="13"/>
      <c r="F909" s="13"/>
      <c r="G909" s="8"/>
      <c r="H909" s="8"/>
      <c r="I909" s="8"/>
      <c r="J909" s="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3"/>
      <c r="E910" s="13"/>
      <c r="F910" s="13"/>
      <c r="G910" s="8"/>
      <c r="H910" s="8"/>
      <c r="I910" s="8"/>
      <c r="J910" s="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3"/>
      <c r="E911" s="13"/>
      <c r="F911" s="13"/>
      <c r="G911" s="8"/>
      <c r="H911" s="8"/>
      <c r="I911" s="8"/>
      <c r="J911" s="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3"/>
      <c r="E912" s="13"/>
      <c r="F912" s="13"/>
      <c r="G912" s="8"/>
      <c r="H912" s="8"/>
      <c r="I912" s="8"/>
      <c r="J912" s="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3"/>
      <c r="E913" s="13"/>
      <c r="F913" s="13"/>
      <c r="G913" s="8"/>
      <c r="H913" s="8"/>
      <c r="I913" s="8"/>
      <c r="J913" s="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3"/>
      <c r="E914" s="13"/>
      <c r="F914" s="13"/>
      <c r="G914" s="8"/>
      <c r="H914" s="8"/>
      <c r="I914" s="8"/>
      <c r="J914" s="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3"/>
      <c r="E915" s="13"/>
      <c r="F915" s="13"/>
      <c r="G915" s="8"/>
      <c r="H915" s="8"/>
      <c r="I915" s="8"/>
      <c r="J915" s="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3"/>
      <c r="E916" s="13"/>
      <c r="F916" s="13"/>
      <c r="G916" s="8"/>
      <c r="H916" s="8"/>
      <c r="I916" s="8"/>
      <c r="J916" s="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3"/>
      <c r="E917" s="13"/>
      <c r="F917" s="13"/>
      <c r="G917" s="8"/>
      <c r="H917" s="8"/>
      <c r="I917" s="8"/>
      <c r="J917" s="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3"/>
      <c r="E918" s="13"/>
      <c r="F918" s="13"/>
      <c r="G918" s="8"/>
      <c r="H918" s="8"/>
      <c r="I918" s="8"/>
      <c r="J918" s="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3"/>
      <c r="E919" s="13"/>
      <c r="F919" s="13"/>
      <c r="G919" s="8"/>
      <c r="H919" s="8"/>
      <c r="I919" s="8"/>
      <c r="J919" s="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3"/>
      <c r="E920" s="13"/>
      <c r="F920" s="13"/>
      <c r="G920" s="8"/>
      <c r="H920" s="8"/>
      <c r="I920" s="8"/>
      <c r="J920" s="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3"/>
      <c r="E921" s="13"/>
      <c r="F921" s="13"/>
      <c r="G921" s="8"/>
      <c r="H921" s="8"/>
      <c r="I921" s="8"/>
      <c r="J921" s="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3"/>
      <c r="E922" s="13"/>
      <c r="F922" s="13"/>
      <c r="G922" s="8"/>
      <c r="H922" s="8"/>
      <c r="I922" s="8"/>
      <c r="J922" s="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3"/>
      <c r="E923" s="13"/>
      <c r="F923" s="13"/>
      <c r="G923" s="8"/>
      <c r="H923" s="8"/>
      <c r="I923" s="8"/>
      <c r="J923" s="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3"/>
      <c r="E924" s="13"/>
      <c r="F924" s="13"/>
      <c r="G924" s="8"/>
      <c r="H924" s="8"/>
      <c r="I924" s="8"/>
      <c r="J924" s="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3"/>
      <c r="E925" s="13"/>
      <c r="F925" s="13"/>
      <c r="G925" s="8"/>
      <c r="H925" s="8"/>
      <c r="I925" s="8"/>
      <c r="J925" s="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3"/>
      <c r="E926" s="13"/>
      <c r="F926" s="13"/>
      <c r="G926" s="8"/>
      <c r="H926" s="8"/>
      <c r="I926" s="8"/>
      <c r="J926" s="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3"/>
      <c r="E927" s="13"/>
      <c r="F927" s="13"/>
      <c r="G927" s="8"/>
      <c r="H927" s="8"/>
      <c r="I927" s="8"/>
      <c r="J927" s="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3"/>
      <c r="E928" s="13"/>
      <c r="F928" s="13"/>
      <c r="G928" s="8"/>
      <c r="H928" s="8"/>
      <c r="I928" s="8"/>
      <c r="J928" s="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3"/>
      <c r="E929" s="13"/>
      <c r="F929" s="13"/>
      <c r="G929" s="8"/>
      <c r="H929" s="8"/>
      <c r="I929" s="8"/>
      <c r="J929" s="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3"/>
      <c r="E930" s="13"/>
      <c r="F930" s="13"/>
      <c r="G930" s="8"/>
      <c r="H930" s="8"/>
      <c r="I930" s="8"/>
      <c r="J930" s="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3"/>
      <c r="E931" s="13"/>
      <c r="F931" s="13"/>
      <c r="G931" s="8"/>
      <c r="H931" s="8"/>
      <c r="I931" s="8"/>
      <c r="J931" s="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3"/>
      <c r="E932" s="13"/>
      <c r="F932" s="13"/>
      <c r="G932" s="8"/>
      <c r="H932" s="8"/>
      <c r="I932" s="8"/>
      <c r="J932" s="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3"/>
      <c r="E933" s="13"/>
      <c r="F933" s="13"/>
      <c r="G933" s="8"/>
      <c r="H933" s="8"/>
      <c r="I933" s="8"/>
      <c r="J933" s="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3"/>
      <c r="E934" s="13"/>
      <c r="F934" s="13"/>
      <c r="G934" s="8"/>
      <c r="H934" s="8"/>
      <c r="I934" s="8"/>
      <c r="J934" s="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3"/>
      <c r="E935" s="13"/>
      <c r="F935" s="13"/>
      <c r="G935" s="8"/>
      <c r="H935" s="8"/>
      <c r="I935" s="8"/>
      <c r="J935" s="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3"/>
      <c r="E936" s="13"/>
      <c r="F936" s="13"/>
      <c r="G936" s="8"/>
      <c r="H936" s="8"/>
      <c r="I936" s="8"/>
      <c r="J936" s="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3"/>
      <c r="E937" s="13"/>
      <c r="F937" s="13"/>
      <c r="G937" s="8"/>
      <c r="H937" s="8"/>
      <c r="I937" s="8"/>
      <c r="J937" s="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3"/>
      <c r="E938" s="13"/>
      <c r="F938" s="13"/>
      <c r="G938" s="8"/>
      <c r="H938" s="8"/>
      <c r="I938" s="8"/>
      <c r="J938" s="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3"/>
      <c r="E939" s="13"/>
      <c r="F939" s="13"/>
      <c r="G939" s="8"/>
      <c r="H939" s="8"/>
      <c r="I939" s="8"/>
      <c r="J939" s="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3"/>
      <c r="E940" s="13"/>
      <c r="F940" s="13"/>
      <c r="G940" s="8"/>
      <c r="H940" s="8"/>
      <c r="I940" s="8"/>
      <c r="J940" s="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3"/>
      <c r="E941" s="13"/>
      <c r="F941" s="13"/>
      <c r="G941" s="8"/>
      <c r="H941" s="8"/>
      <c r="I941" s="8"/>
      <c r="J941" s="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3"/>
      <c r="E942" s="13"/>
      <c r="F942" s="13"/>
      <c r="G942" s="8"/>
      <c r="H942" s="8"/>
      <c r="I942" s="8"/>
      <c r="J942" s="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3"/>
      <c r="E943" s="13"/>
      <c r="F943" s="13"/>
      <c r="G943" s="8"/>
      <c r="H943" s="8"/>
      <c r="I943" s="8"/>
      <c r="J943" s="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3"/>
      <c r="E944" s="13"/>
      <c r="F944" s="13"/>
      <c r="G944" s="8"/>
      <c r="H944" s="8"/>
      <c r="I944" s="8"/>
      <c r="J944" s="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3"/>
      <c r="E945" s="13"/>
      <c r="F945" s="13"/>
      <c r="G945" s="8"/>
      <c r="H945" s="8"/>
      <c r="I945" s="8"/>
      <c r="J945" s="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3"/>
      <c r="E946" s="13"/>
      <c r="F946" s="13"/>
      <c r="G946" s="8"/>
      <c r="H946" s="8"/>
      <c r="I946" s="8"/>
      <c r="J946" s="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3"/>
      <c r="E947" s="13"/>
      <c r="F947" s="13"/>
      <c r="G947" s="8"/>
      <c r="H947" s="8"/>
      <c r="I947" s="8"/>
      <c r="J947" s="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3"/>
      <c r="E948" s="13"/>
      <c r="F948" s="13"/>
      <c r="G948" s="8"/>
      <c r="H948" s="8"/>
      <c r="I948" s="8"/>
      <c r="J948" s="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3"/>
      <c r="E949" s="13"/>
      <c r="F949" s="13"/>
      <c r="G949" s="8"/>
      <c r="H949" s="8"/>
      <c r="I949" s="8"/>
      <c r="J949" s="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3"/>
      <c r="E950" s="13"/>
      <c r="F950" s="13"/>
      <c r="G950" s="8"/>
      <c r="H950" s="8"/>
      <c r="I950" s="8"/>
      <c r="J950" s="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3"/>
      <c r="E951" s="13"/>
      <c r="F951" s="13"/>
      <c r="G951" s="8"/>
      <c r="H951" s="8"/>
      <c r="I951" s="8"/>
      <c r="J951" s="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3"/>
      <c r="E952" s="13"/>
      <c r="F952" s="13"/>
      <c r="G952" s="8"/>
      <c r="H952" s="8"/>
      <c r="I952" s="8"/>
      <c r="J952" s="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3"/>
      <c r="E953" s="13"/>
      <c r="F953" s="13"/>
      <c r="G953" s="8"/>
      <c r="H953" s="8"/>
      <c r="I953" s="8"/>
      <c r="J953" s="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3"/>
      <c r="E954" s="13"/>
      <c r="F954" s="13"/>
      <c r="G954" s="8"/>
      <c r="H954" s="8"/>
      <c r="I954" s="8"/>
      <c r="J954" s="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3"/>
      <c r="E955" s="13"/>
      <c r="F955" s="13"/>
      <c r="G955" s="8"/>
      <c r="H955" s="8"/>
      <c r="I955" s="8"/>
      <c r="J955" s="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3"/>
      <c r="E956" s="13"/>
      <c r="F956" s="13"/>
      <c r="G956" s="8"/>
      <c r="H956" s="8"/>
      <c r="I956" s="8"/>
      <c r="J956" s="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3"/>
      <c r="E957" s="13"/>
      <c r="F957" s="13"/>
      <c r="G957" s="8"/>
      <c r="H957" s="8"/>
      <c r="I957" s="8"/>
      <c r="J957" s="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3"/>
      <c r="E958" s="13"/>
      <c r="F958" s="13"/>
      <c r="G958" s="8"/>
      <c r="H958" s="8"/>
      <c r="I958" s="8"/>
      <c r="J958" s="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3"/>
      <c r="E959" s="13"/>
      <c r="F959" s="13"/>
      <c r="G959" s="8"/>
      <c r="H959" s="8"/>
      <c r="I959" s="8"/>
      <c r="J959" s="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3"/>
      <c r="E960" s="13"/>
      <c r="F960" s="13"/>
      <c r="G960" s="8"/>
      <c r="H960" s="8"/>
      <c r="I960" s="8"/>
      <c r="J960" s="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3"/>
      <c r="E961" s="13"/>
      <c r="F961" s="13"/>
      <c r="G961" s="8"/>
      <c r="H961" s="8"/>
      <c r="I961" s="8"/>
      <c r="J961" s="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3"/>
      <c r="E962" s="13"/>
      <c r="F962" s="13"/>
      <c r="G962" s="8"/>
      <c r="H962" s="8"/>
      <c r="I962" s="8"/>
      <c r="J962" s="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3"/>
      <c r="E963" s="13"/>
      <c r="F963" s="13"/>
      <c r="G963" s="8"/>
      <c r="H963" s="8"/>
      <c r="I963" s="8"/>
      <c r="J963" s="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3"/>
      <c r="E964" s="13"/>
      <c r="F964" s="13"/>
      <c r="G964" s="8"/>
      <c r="H964" s="8"/>
      <c r="I964" s="8"/>
      <c r="J964" s="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3"/>
      <c r="E965" s="13"/>
      <c r="F965" s="13"/>
      <c r="G965" s="8"/>
      <c r="H965" s="8"/>
      <c r="I965" s="8"/>
      <c r="J965" s="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3"/>
      <c r="E966" s="13"/>
      <c r="F966" s="13"/>
      <c r="G966" s="8"/>
      <c r="H966" s="8"/>
      <c r="I966" s="8"/>
      <c r="J966" s="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3"/>
      <c r="E967" s="13"/>
      <c r="F967" s="13"/>
      <c r="G967" s="8"/>
      <c r="H967" s="8"/>
      <c r="I967" s="8"/>
      <c r="J967" s="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3"/>
      <c r="E968" s="13"/>
      <c r="F968" s="13"/>
      <c r="G968" s="8"/>
      <c r="H968" s="8"/>
      <c r="I968" s="8"/>
      <c r="J968" s="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3"/>
      <c r="E969" s="13"/>
      <c r="F969" s="13"/>
      <c r="G969" s="8"/>
      <c r="H969" s="8"/>
      <c r="I969" s="8"/>
      <c r="J969" s="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3"/>
      <c r="E970" s="13"/>
      <c r="F970" s="13"/>
      <c r="G970" s="8"/>
      <c r="H970" s="8"/>
      <c r="I970" s="8"/>
      <c r="J970" s="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3"/>
      <c r="E971" s="13"/>
      <c r="F971" s="13"/>
      <c r="G971" s="8"/>
      <c r="H971" s="8"/>
      <c r="I971" s="8"/>
      <c r="J971" s="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3"/>
      <c r="E972" s="13"/>
      <c r="F972" s="13"/>
      <c r="G972" s="8"/>
      <c r="H972" s="8"/>
      <c r="I972" s="8"/>
      <c r="J972" s="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3"/>
      <c r="E973" s="13"/>
      <c r="F973" s="13"/>
      <c r="G973" s="8"/>
      <c r="H973" s="8"/>
      <c r="I973" s="8"/>
      <c r="J973" s="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3"/>
      <c r="E974" s="13"/>
      <c r="F974" s="13"/>
      <c r="G974" s="8"/>
      <c r="H974" s="8"/>
      <c r="I974" s="8"/>
      <c r="J974" s="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3"/>
      <c r="E975" s="13"/>
      <c r="F975" s="13"/>
      <c r="G975" s="8"/>
      <c r="H975" s="8"/>
      <c r="I975" s="8"/>
      <c r="J975" s="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3"/>
      <c r="E976" s="13"/>
      <c r="F976" s="13"/>
      <c r="G976" s="8"/>
      <c r="H976" s="8"/>
      <c r="I976" s="8"/>
      <c r="J976" s="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3"/>
      <c r="E977" s="13"/>
      <c r="F977" s="13"/>
      <c r="G977" s="8"/>
      <c r="H977" s="8"/>
      <c r="I977" s="8"/>
      <c r="J977" s="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3"/>
      <c r="E978" s="13"/>
      <c r="F978" s="13"/>
      <c r="G978" s="8"/>
      <c r="H978" s="8"/>
      <c r="I978" s="8"/>
      <c r="J978" s="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3"/>
      <c r="E979" s="13"/>
      <c r="F979" s="13"/>
      <c r="G979" s="8"/>
      <c r="H979" s="8"/>
      <c r="I979" s="8"/>
      <c r="J979" s="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3"/>
      <c r="E980" s="13"/>
      <c r="F980" s="13"/>
      <c r="G980" s="8"/>
      <c r="H980" s="8"/>
      <c r="I980" s="8"/>
      <c r="J980" s="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3"/>
      <c r="E981" s="13"/>
      <c r="F981" s="13"/>
      <c r="G981" s="8"/>
      <c r="H981" s="8"/>
      <c r="I981" s="8"/>
      <c r="J981" s="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3"/>
      <c r="E982" s="13"/>
      <c r="F982" s="13"/>
      <c r="G982" s="8"/>
      <c r="H982" s="8"/>
      <c r="I982" s="8"/>
      <c r="J982" s="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3"/>
      <c r="E983" s="13"/>
      <c r="F983" s="13"/>
      <c r="G983" s="8"/>
      <c r="H983" s="8"/>
      <c r="I983" s="8"/>
      <c r="J983" s="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3"/>
      <c r="E984" s="13"/>
      <c r="F984" s="13"/>
      <c r="G984" s="8"/>
      <c r="H984" s="8"/>
      <c r="I984" s="8"/>
      <c r="J984" s="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3"/>
      <c r="E985" s="13"/>
      <c r="F985" s="13"/>
      <c r="G985" s="8"/>
      <c r="H985" s="8"/>
      <c r="I985" s="8"/>
      <c r="J985" s="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3"/>
      <c r="E986" s="13"/>
      <c r="F986" s="13"/>
      <c r="G986" s="8"/>
      <c r="H986" s="8"/>
      <c r="I986" s="8"/>
      <c r="J986" s="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3"/>
      <c r="E987" s="13"/>
      <c r="F987" s="13"/>
      <c r="G987" s="8"/>
      <c r="H987" s="8"/>
      <c r="I987" s="8"/>
      <c r="J987" s="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3"/>
      <c r="E988" s="13"/>
      <c r="F988" s="13"/>
      <c r="G988" s="8"/>
      <c r="H988" s="8"/>
      <c r="I988" s="8"/>
      <c r="J988" s="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3"/>
      <c r="E989" s="13"/>
      <c r="F989" s="13"/>
      <c r="G989" s="8"/>
      <c r="H989" s="8"/>
      <c r="I989" s="8"/>
      <c r="J989" s="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3"/>
      <c r="E990" s="13"/>
      <c r="F990" s="13"/>
      <c r="G990" s="8"/>
      <c r="H990" s="8"/>
      <c r="I990" s="8"/>
      <c r="J990" s="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3"/>
      <c r="E991" s="13"/>
      <c r="F991" s="13"/>
      <c r="G991" s="8"/>
      <c r="H991" s="8"/>
      <c r="I991" s="8"/>
      <c r="J991" s="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3"/>
      <c r="E992" s="13"/>
      <c r="F992" s="13"/>
      <c r="G992" s="8"/>
      <c r="H992" s="8"/>
      <c r="I992" s="8"/>
      <c r="J992" s="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3"/>
      <c r="E993" s="13"/>
      <c r="F993" s="13"/>
      <c r="G993" s="8"/>
      <c r="H993" s="8"/>
      <c r="I993" s="8"/>
      <c r="J993" s="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3"/>
      <c r="E994" s="13"/>
      <c r="F994" s="13"/>
      <c r="G994" s="8"/>
      <c r="H994" s="8"/>
      <c r="I994" s="8"/>
      <c r="J994" s="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3"/>
      <c r="E995" s="13"/>
      <c r="F995" s="13"/>
      <c r="G995" s="8"/>
      <c r="H995" s="8"/>
      <c r="I995" s="8"/>
      <c r="J995" s="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3"/>
      <c r="E996" s="13"/>
      <c r="F996" s="13"/>
      <c r="G996" s="8"/>
      <c r="H996" s="8"/>
      <c r="I996" s="8"/>
      <c r="J996" s="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3"/>
      <c r="E997" s="13"/>
      <c r="F997" s="13"/>
      <c r="G997" s="8"/>
      <c r="H997" s="8"/>
      <c r="I997" s="8"/>
      <c r="J997" s="8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3"/>
      <c r="E998" s="13"/>
      <c r="F998" s="13"/>
      <c r="G998" s="8"/>
      <c r="H998" s="8"/>
      <c r="I998" s="8"/>
      <c r="J998" s="8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3"/>
      <c r="E999" s="13"/>
      <c r="F999" s="13"/>
      <c r="G999" s="8"/>
      <c r="H999" s="8"/>
      <c r="I999" s="8"/>
      <c r="J999" s="8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3"/>
      <c r="E1000" s="13"/>
      <c r="F1000" s="13"/>
      <c r="G1000" s="8"/>
      <c r="H1000" s="8"/>
      <c r="I1000" s="8"/>
      <c r="J1000" s="8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3:$J$225"/>
  <mergeCells count="3">
    <mergeCell ref="G41:G47"/>
    <mergeCell ref="G48:G54"/>
    <mergeCell ref="G55:G65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9.14"/>
    <col customWidth="1" min="2" max="2" width="28.14"/>
    <col customWidth="1" min="3" max="3" width="93.0"/>
    <col customWidth="1" min="4" max="4" width="11.14"/>
    <col customWidth="1" min="5" max="5" width="15.86"/>
    <col customWidth="1" min="6" max="6" width="24.0"/>
    <col customWidth="1" min="7" max="7" width="12.14"/>
    <col customWidth="1" min="8" max="27" width="9.14"/>
  </cols>
  <sheetData>
    <row r="1" ht="13.5" customHeight="1">
      <c r="A1" s="1"/>
      <c r="B1" s="2" t="s">
        <v>0</v>
      </c>
      <c r="C1" s="573" t="s">
        <v>3986</v>
      </c>
      <c r="D1" s="4"/>
      <c r="E1" s="4" t="s">
        <v>2</v>
      </c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3.5" customHeight="1">
      <c r="A2" s="1"/>
      <c r="B2" s="2" t="s">
        <v>3</v>
      </c>
      <c r="C2" s="574">
        <v>80000.0</v>
      </c>
      <c r="D2" s="21"/>
      <c r="E2" s="21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3.5" customHeight="1">
      <c r="A3" s="1"/>
      <c r="B3" s="2" t="s">
        <v>5</v>
      </c>
      <c r="C3" s="575">
        <v>9860.0</v>
      </c>
      <c r="D3" s="26"/>
      <c r="E3" s="26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2" t="s">
        <v>7</v>
      </c>
      <c r="C4" s="576">
        <v>8500.0</v>
      </c>
      <c r="D4" s="26"/>
      <c r="E4" s="577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3.5" customHeight="1">
      <c r="A5" s="1"/>
      <c r="B5" s="2" t="s">
        <v>9</v>
      </c>
      <c r="C5" s="578">
        <v>7.06</v>
      </c>
      <c r="D5" s="34"/>
      <c r="E5" s="577"/>
      <c r="F5" s="5"/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3.5" customHeight="1">
      <c r="A6" s="39" t="s">
        <v>11</v>
      </c>
      <c r="B6" s="2" t="s">
        <v>12</v>
      </c>
      <c r="C6" s="579">
        <v>1.16</v>
      </c>
      <c r="D6" s="42"/>
      <c r="E6" s="34"/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3.5" customHeight="1">
      <c r="A7" s="39"/>
      <c r="B7" s="2" t="s">
        <v>16</v>
      </c>
      <c r="C7" s="578">
        <v>8.189599999999999</v>
      </c>
      <c r="D7" s="42"/>
      <c r="E7" s="34"/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3.5" customHeight="1">
      <c r="A8" s="48" t="s">
        <v>15</v>
      </c>
      <c r="B8" s="2" t="s">
        <v>3987</v>
      </c>
      <c r="C8" s="580">
        <v>3000.0</v>
      </c>
      <c r="D8" s="51">
        <v>0.0</v>
      </c>
      <c r="E8" s="51">
        <v>3000.0</v>
      </c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3.5" customHeight="1">
      <c r="A9" s="1"/>
      <c r="B9" s="2" t="s">
        <v>3988</v>
      </c>
      <c r="C9" s="580">
        <v>4000.0</v>
      </c>
      <c r="D9" s="51">
        <v>0.0</v>
      </c>
      <c r="E9" s="51">
        <v>4000.0</v>
      </c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3.5" customHeight="1">
      <c r="A10" s="1"/>
      <c r="B10" s="2" t="s">
        <v>3989</v>
      </c>
      <c r="C10" s="580">
        <v>3000.0</v>
      </c>
      <c r="D10" s="51">
        <v>0.0</v>
      </c>
      <c r="E10" s="51">
        <v>3000.0</v>
      </c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3.5" customHeight="1">
      <c r="A11" s="61"/>
      <c r="B11" s="2" t="s">
        <v>20</v>
      </c>
      <c r="C11" s="580">
        <v>350.0</v>
      </c>
      <c r="D11" s="51"/>
      <c r="E11" s="2"/>
      <c r="F11" s="62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ht="13.5" customHeight="1">
      <c r="A12" s="1"/>
      <c r="B12" s="1"/>
      <c r="C12" s="13"/>
      <c r="D12" s="8"/>
      <c r="E12" s="8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4.5" customHeight="1">
      <c r="A13" s="78" t="s">
        <v>3911</v>
      </c>
      <c r="B13" s="80" t="s">
        <v>28</v>
      </c>
      <c r="C13" s="80" t="s">
        <v>29</v>
      </c>
      <c r="D13" s="81" t="s">
        <v>30</v>
      </c>
      <c r="E13" s="81" t="s">
        <v>3990</v>
      </c>
      <c r="F13" s="80" t="s">
        <v>33</v>
      </c>
      <c r="G13" s="80" t="s">
        <v>34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3.5" customHeight="1">
      <c r="A14" s="423" t="s">
        <v>3917</v>
      </c>
      <c r="B14" s="581" t="s">
        <v>3918</v>
      </c>
      <c r="C14" s="582" t="s">
        <v>3991</v>
      </c>
      <c r="D14" s="361" t="s">
        <v>107</v>
      </c>
      <c r="E14" s="361">
        <v>23.0</v>
      </c>
      <c r="F14" s="583" t="s">
        <v>164</v>
      </c>
      <c r="G14" s="583" t="s">
        <v>3992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ht="13.5" customHeight="1">
      <c r="A15" s="423" t="s">
        <v>3917</v>
      </c>
      <c r="B15" s="581" t="s">
        <v>3918</v>
      </c>
      <c r="C15" s="582" t="s">
        <v>3991</v>
      </c>
      <c r="D15" s="361" t="s">
        <v>107</v>
      </c>
      <c r="E15" s="361">
        <v>23.0</v>
      </c>
      <c r="F15" s="583" t="s">
        <v>169</v>
      </c>
      <c r="G15" s="583" t="s">
        <v>3993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ht="13.5" customHeight="1">
      <c r="A16" s="423" t="s">
        <v>3917</v>
      </c>
      <c r="B16" s="581" t="s">
        <v>3918</v>
      </c>
      <c r="C16" s="582" t="s">
        <v>3991</v>
      </c>
      <c r="D16" s="361" t="s">
        <v>107</v>
      </c>
      <c r="E16" s="361">
        <v>24.0</v>
      </c>
      <c r="F16" s="583" t="s">
        <v>187</v>
      </c>
      <c r="G16" s="583" t="s">
        <v>778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ht="13.5" customHeight="1">
      <c r="A17" s="423" t="s">
        <v>3917</v>
      </c>
      <c r="B17" s="581" t="s">
        <v>3918</v>
      </c>
      <c r="C17" s="582" t="s">
        <v>3991</v>
      </c>
      <c r="D17" s="361" t="s">
        <v>107</v>
      </c>
      <c r="E17" s="361">
        <v>24.0</v>
      </c>
      <c r="F17" s="583" t="s">
        <v>191</v>
      </c>
      <c r="G17" s="583" t="s">
        <v>778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ht="13.5" customHeight="1">
      <c r="A18" s="423" t="s">
        <v>3917</v>
      </c>
      <c r="B18" s="581" t="s">
        <v>3918</v>
      </c>
      <c r="C18" s="582" t="s">
        <v>3994</v>
      </c>
      <c r="D18" s="361" t="s">
        <v>246</v>
      </c>
      <c r="E18" s="361">
        <v>23.0</v>
      </c>
      <c r="F18" s="583" t="s">
        <v>248</v>
      </c>
      <c r="G18" s="583" t="s">
        <v>3995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ht="13.5" customHeight="1">
      <c r="A19" s="423" t="s">
        <v>3917</v>
      </c>
      <c r="B19" s="581" t="s">
        <v>3918</v>
      </c>
      <c r="C19" s="582" t="s">
        <v>3994</v>
      </c>
      <c r="D19" s="361" t="s">
        <v>246</v>
      </c>
      <c r="E19" s="361">
        <v>23.0</v>
      </c>
      <c r="F19" s="583" t="s">
        <v>253</v>
      </c>
      <c r="G19" s="583" t="s">
        <v>3996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ht="13.5" customHeight="1">
      <c r="A20" s="423" t="s">
        <v>3917</v>
      </c>
      <c r="B20" s="581" t="s">
        <v>3918</v>
      </c>
      <c r="C20" s="582" t="s">
        <v>3994</v>
      </c>
      <c r="D20" s="361" t="s">
        <v>107</v>
      </c>
      <c r="E20" s="361">
        <v>23.0</v>
      </c>
      <c r="F20" s="583" t="s">
        <v>290</v>
      </c>
      <c r="G20" s="583" t="s">
        <v>3997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ht="13.5" customHeight="1">
      <c r="A21" s="423" t="s">
        <v>3917</v>
      </c>
      <c r="B21" s="581" t="s">
        <v>3918</v>
      </c>
      <c r="C21" s="582" t="s">
        <v>3994</v>
      </c>
      <c r="D21" s="361" t="s">
        <v>107</v>
      </c>
      <c r="E21" s="361">
        <v>23.0</v>
      </c>
      <c r="F21" s="583" t="s">
        <v>294</v>
      </c>
      <c r="G21" s="583" t="s">
        <v>778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ht="13.5" customHeight="1">
      <c r="A22" s="423" t="s">
        <v>3917</v>
      </c>
      <c r="B22" s="581" t="s">
        <v>3918</v>
      </c>
      <c r="C22" s="582" t="s">
        <v>3994</v>
      </c>
      <c r="D22" s="361" t="s">
        <v>299</v>
      </c>
      <c r="E22" s="361">
        <v>23.0</v>
      </c>
      <c r="F22" s="583" t="s">
        <v>301</v>
      </c>
      <c r="G22" s="583" t="s">
        <v>3998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ht="13.5" customHeight="1">
      <c r="A23" s="423" t="s">
        <v>3917</v>
      </c>
      <c r="B23" s="581" t="s">
        <v>3918</v>
      </c>
      <c r="C23" s="582" t="s">
        <v>3994</v>
      </c>
      <c r="D23" s="361" t="s">
        <v>299</v>
      </c>
      <c r="E23" s="361">
        <v>23.0</v>
      </c>
      <c r="F23" s="583" t="s">
        <v>306</v>
      </c>
      <c r="G23" s="583" t="s">
        <v>3999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ht="13.5" customHeight="1">
      <c r="A24" s="423" t="s">
        <v>3917</v>
      </c>
      <c r="B24" s="581" t="s">
        <v>3918</v>
      </c>
      <c r="C24" s="582" t="s">
        <v>3994</v>
      </c>
      <c r="D24" s="361" t="s">
        <v>299</v>
      </c>
      <c r="E24" s="361">
        <v>23.0</v>
      </c>
      <c r="F24" s="583" t="s">
        <v>311</v>
      </c>
      <c r="G24" s="583" t="s">
        <v>4000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ht="13.5" customHeight="1">
      <c r="A25" s="423" t="s">
        <v>3917</v>
      </c>
      <c r="B25" s="581" t="s">
        <v>3918</v>
      </c>
      <c r="C25" s="582" t="s">
        <v>3994</v>
      </c>
      <c r="D25" s="361" t="s">
        <v>299</v>
      </c>
      <c r="E25" s="361">
        <v>23.0</v>
      </c>
      <c r="F25" s="583" t="s">
        <v>315</v>
      </c>
      <c r="G25" s="583" t="s">
        <v>4001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ht="13.5" customHeight="1">
      <c r="A26" s="423" t="s">
        <v>3917</v>
      </c>
      <c r="B26" s="581" t="s">
        <v>3918</v>
      </c>
      <c r="C26" s="582" t="s">
        <v>3994</v>
      </c>
      <c r="D26" s="361" t="s">
        <v>299</v>
      </c>
      <c r="E26" s="361">
        <v>23.0</v>
      </c>
      <c r="F26" s="583" t="s">
        <v>319</v>
      </c>
      <c r="G26" s="583" t="s">
        <v>4002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ht="13.5" customHeight="1">
      <c r="A27" s="423" t="s">
        <v>3917</v>
      </c>
      <c r="B27" s="581" t="s">
        <v>3918</v>
      </c>
      <c r="C27" s="582" t="s">
        <v>3994</v>
      </c>
      <c r="D27" s="361" t="s">
        <v>299</v>
      </c>
      <c r="E27" s="361">
        <v>23.0</v>
      </c>
      <c r="F27" s="583" t="s">
        <v>324</v>
      </c>
      <c r="G27" s="583" t="s">
        <v>4003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ht="13.5" customHeight="1">
      <c r="A28" s="423" t="s">
        <v>3917</v>
      </c>
      <c r="B28" s="581" t="s">
        <v>3918</v>
      </c>
      <c r="C28" s="582" t="s">
        <v>3994</v>
      </c>
      <c r="D28" s="361" t="s">
        <v>299</v>
      </c>
      <c r="E28" s="361">
        <v>23.0</v>
      </c>
      <c r="F28" s="583" t="s">
        <v>329</v>
      </c>
      <c r="G28" s="583" t="s">
        <v>4004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ht="13.5" customHeight="1">
      <c r="A29" s="423" t="s">
        <v>3917</v>
      </c>
      <c r="B29" s="581" t="s">
        <v>3918</v>
      </c>
      <c r="C29" s="582" t="s">
        <v>3994</v>
      </c>
      <c r="D29" s="361" t="s">
        <v>299</v>
      </c>
      <c r="E29" s="361">
        <v>23.0</v>
      </c>
      <c r="F29" s="583" t="s">
        <v>301</v>
      </c>
      <c r="G29" s="583" t="s">
        <v>3998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ht="13.5" customHeight="1">
      <c r="A30" s="423" t="s">
        <v>3917</v>
      </c>
      <c r="B30" s="581" t="s">
        <v>3918</v>
      </c>
      <c r="C30" s="582" t="s">
        <v>3994</v>
      </c>
      <c r="D30" s="361" t="s">
        <v>299</v>
      </c>
      <c r="E30" s="361">
        <v>23.0</v>
      </c>
      <c r="F30" s="583" t="s">
        <v>306</v>
      </c>
      <c r="G30" s="583" t="s">
        <v>3999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ht="13.5" customHeight="1">
      <c r="A31" s="423" t="s">
        <v>3917</v>
      </c>
      <c r="B31" s="581" t="s">
        <v>3918</v>
      </c>
      <c r="C31" s="582" t="s">
        <v>3994</v>
      </c>
      <c r="D31" s="361" t="s">
        <v>299</v>
      </c>
      <c r="E31" s="361">
        <v>23.0</v>
      </c>
      <c r="F31" s="583" t="s">
        <v>311</v>
      </c>
      <c r="G31" s="583" t="s">
        <v>4000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ht="13.5" customHeight="1">
      <c r="A32" s="423" t="s">
        <v>3917</v>
      </c>
      <c r="B32" s="581" t="s">
        <v>3918</v>
      </c>
      <c r="C32" s="582" t="s">
        <v>3994</v>
      </c>
      <c r="D32" s="361" t="s">
        <v>299</v>
      </c>
      <c r="E32" s="361">
        <v>23.0</v>
      </c>
      <c r="F32" s="583" t="s">
        <v>315</v>
      </c>
      <c r="G32" s="583" t="s">
        <v>4001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ht="13.5" customHeight="1">
      <c r="A33" s="423" t="s">
        <v>3917</v>
      </c>
      <c r="B33" s="581" t="s">
        <v>3918</v>
      </c>
      <c r="C33" s="582" t="s">
        <v>3994</v>
      </c>
      <c r="D33" s="361" t="s">
        <v>351</v>
      </c>
      <c r="E33" s="361">
        <v>23.0</v>
      </c>
      <c r="F33" s="583" t="s">
        <v>362</v>
      </c>
      <c r="G33" s="583" t="s">
        <v>4005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ht="13.5" customHeight="1">
      <c r="A34" s="423" t="s">
        <v>3917</v>
      </c>
      <c r="B34" s="581" t="s">
        <v>3918</v>
      </c>
      <c r="C34" s="582" t="s">
        <v>3994</v>
      </c>
      <c r="D34" s="361" t="s">
        <v>351</v>
      </c>
      <c r="E34" s="361">
        <v>23.0</v>
      </c>
      <c r="F34" s="583" t="s">
        <v>366</v>
      </c>
      <c r="G34" s="583" t="s">
        <v>4006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ht="13.5" customHeight="1">
      <c r="A35" s="423" t="s">
        <v>3917</v>
      </c>
      <c r="B35" s="581" t="s">
        <v>3918</v>
      </c>
      <c r="C35" s="582" t="s">
        <v>3994</v>
      </c>
      <c r="D35" s="361" t="s">
        <v>351</v>
      </c>
      <c r="E35" s="361">
        <v>23.0</v>
      </c>
      <c r="F35" s="583" t="s">
        <v>362</v>
      </c>
      <c r="G35" s="583" t="s">
        <v>4005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ht="13.5" customHeight="1">
      <c r="A36" s="423" t="s">
        <v>3917</v>
      </c>
      <c r="B36" s="581" t="s">
        <v>3918</v>
      </c>
      <c r="C36" s="582" t="s">
        <v>3994</v>
      </c>
      <c r="D36" s="361" t="s">
        <v>351</v>
      </c>
      <c r="E36" s="361">
        <v>23.0</v>
      </c>
      <c r="F36" s="583" t="s">
        <v>366</v>
      </c>
      <c r="G36" s="583" t="s">
        <v>4006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ht="13.5" customHeight="1">
      <c r="A37" s="423" t="s">
        <v>3917</v>
      </c>
      <c r="B37" s="581" t="s">
        <v>3918</v>
      </c>
      <c r="C37" s="582" t="s">
        <v>3994</v>
      </c>
      <c r="D37" s="361" t="s">
        <v>351</v>
      </c>
      <c r="E37" s="361">
        <v>23.0</v>
      </c>
      <c r="F37" s="583" t="s">
        <v>372</v>
      </c>
      <c r="G37" s="583" t="s">
        <v>778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ht="13.5" customHeight="1">
      <c r="A38" s="423" t="s">
        <v>3917</v>
      </c>
      <c r="B38" s="581" t="s">
        <v>3918</v>
      </c>
      <c r="C38" s="582" t="s">
        <v>3994</v>
      </c>
      <c r="D38" s="361" t="s">
        <v>351</v>
      </c>
      <c r="E38" s="361">
        <v>23.0</v>
      </c>
      <c r="F38" s="583" t="s">
        <v>376</v>
      </c>
      <c r="G38" s="583" t="s">
        <v>778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ht="13.5" customHeight="1">
      <c r="A39" s="423" t="s">
        <v>3917</v>
      </c>
      <c r="B39" s="581" t="s">
        <v>3918</v>
      </c>
      <c r="C39" s="582" t="s">
        <v>4007</v>
      </c>
      <c r="D39" s="361" t="s">
        <v>351</v>
      </c>
      <c r="E39" s="361">
        <v>23.0</v>
      </c>
      <c r="F39" s="583" t="s">
        <v>398</v>
      </c>
      <c r="G39" s="583" t="s">
        <v>4008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ht="13.5" customHeight="1">
      <c r="A40" s="423" t="s">
        <v>3917</v>
      </c>
      <c r="B40" s="581" t="s">
        <v>3918</v>
      </c>
      <c r="C40" s="582" t="s">
        <v>4007</v>
      </c>
      <c r="D40" s="361" t="s">
        <v>351</v>
      </c>
      <c r="E40" s="361">
        <v>23.0</v>
      </c>
      <c r="F40" s="583" t="s">
        <v>403</v>
      </c>
      <c r="G40" s="583" t="s">
        <v>4009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ht="13.5" customHeight="1">
      <c r="A41" s="423" t="s">
        <v>3917</v>
      </c>
      <c r="B41" s="581" t="s">
        <v>3918</v>
      </c>
      <c r="C41" s="582" t="s">
        <v>4007</v>
      </c>
      <c r="D41" s="361" t="s">
        <v>351</v>
      </c>
      <c r="E41" s="361">
        <v>23.0</v>
      </c>
      <c r="F41" s="583" t="s">
        <v>398</v>
      </c>
      <c r="G41" s="583" t="s">
        <v>4008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ht="13.5" customHeight="1">
      <c r="A42" s="423" t="s">
        <v>3917</v>
      </c>
      <c r="B42" s="581" t="s">
        <v>3918</v>
      </c>
      <c r="C42" s="582" t="s">
        <v>4007</v>
      </c>
      <c r="D42" s="361" t="s">
        <v>351</v>
      </c>
      <c r="E42" s="361">
        <v>26.0</v>
      </c>
      <c r="F42" s="583" t="s">
        <v>422</v>
      </c>
      <c r="G42" s="583" t="s">
        <v>778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ht="13.5" customHeight="1">
      <c r="A43" s="423" t="s">
        <v>3917</v>
      </c>
      <c r="B43" s="581" t="s">
        <v>3918</v>
      </c>
      <c r="C43" s="582" t="s">
        <v>4010</v>
      </c>
      <c r="D43" s="361" t="s">
        <v>351</v>
      </c>
      <c r="E43" s="361">
        <v>23.0</v>
      </c>
      <c r="F43" s="583" t="s">
        <v>428</v>
      </c>
      <c r="G43" s="583" t="s">
        <v>778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ht="13.5" customHeight="1">
      <c r="A44" s="423" t="s">
        <v>3917</v>
      </c>
      <c r="B44" s="581" t="s">
        <v>3918</v>
      </c>
      <c r="C44" s="582" t="s">
        <v>4010</v>
      </c>
      <c r="D44" s="361" t="s">
        <v>351</v>
      </c>
      <c r="E44" s="361">
        <v>23.0</v>
      </c>
      <c r="F44" s="583" t="s">
        <v>428</v>
      </c>
      <c r="G44" s="583" t="s">
        <v>778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ht="13.5" customHeight="1">
      <c r="A45" s="423" t="s">
        <v>3917</v>
      </c>
      <c r="B45" s="581" t="s">
        <v>3918</v>
      </c>
      <c r="C45" s="582" t="s">
        <v>4010</v>
      </c>
      <c r="D45" s="361" t="s">
        <v>351</v>
      </c>
      <c r="E45" s="361">
        <v>22.0</v>
      </c>
      <c r="F45" s="583" t="s">
        <v>435</v>
      </c>
      <c r="G45" s="583" t="s">
        <v>778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ht="13.5" customHeight="1">
      <c r="A46" s="423" t="s">
        <v>3917</v>
      </c>
      <c r="B46" s="581" t="s">
        <v>3918</v>
      </c>
      <c r="C46" s="582" t="s">
        <v>4011</v>
      </c>
      <c r="D46" s="361" t="s">
        <v>351</v>
      </c>
      <c r="E46" s="361">
        <v>22.0</v>
      </c>
      <c r="F46" s="583" t="s">
        <v>449</v>
      </c>
      <c r="G46" s="583" t="s">
        <v>4012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ht="13.5" customHeight="1">
      <c r="A47" s="423" t="s">
        <v>3917</v>
      </c>
      <c r="B47" s="581" t="s">
        <v>3918</v>
      </c>
      <c r="C47" s="582" t="s">
        <v>4011</v>
      </c>
      <c r="D47" s="361" t="s">
        <v>351</v>
      </c>
      <c r="E47" s="361">
        <v>22.0</v>
      </c>
      <c r="F47" s="583" t="s">
        <v>454</v>
      </c>
      <c r="G47" s="583" t="s">
        <v>778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ht="13.5" customHeight="1">
      <c r="A48" s="423" t="s">
        <v>3917</v>
      </c>
      <c r="B48" s="581" t="s">
        <v>4013</v>
      </c>
      <c r="C48" s="581" t="s">
        <v>4013</v>
      </c>
      <c r="D48" s="361"/>
      <c r="E48" s="361">
        <v>26.0</v>
      </c>
      <c r="F48" s="583" t="s">
        <v>459</v>
      </c>
      <c r="G48" s="583" t="s">
        <v>778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ht="13.5" customHeight="1">
      <c r="A49" s="423" t="s">
        <v>3917</v>
      </c>
      <c r="B49" s="581" t="s">
        <v>4013</v>
      </c>
      <c r="C49" s="581" t="s">
        <v>4013</v>
      </c>
      <c r="D49" s="361"/>
      <c r="E49" s="361">
        <v>22.0</v>
      </c>
      <c r="F49" s="583" t="s">
        <v>463</v>
      </c>
      <c r="G49" s="583" t="s">
        <v>778</v>
      </c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ht="13.5" customHeight="1">
      <c r="A50" s="423" t="s">
        <v>3917</v>
      </c>
      <c r="B50" s="581" t="s">
        <v>3918</v>
      </c>
      <c r="C50" s="582" t="s">
        <v>4014</v>
      </c>
      <c r="D50" s="361" t="s">
        <v>299</v>
      </c>
      <c r="E50" s="361" t="s">
        <v>468</v>
      </c>
      <c r="F50" s="583" t="s">
        <v>470</v>
      </c>
      <c r="G50" s="583" t="s">
        <v>4015</v>
      </c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ht="13.5" customHeight="1">
      <c r="A51" s="423" t="s">
        <v>3917</v>
      </c>
      <c r="B51" s="581" t="s">
        <v>3918</v>
      </c>
      <c r="C51" s="582" t="s">
        <v>4014</v>
      </c>
      <c r="D51" s="361" t="s">
        <v>299</v>
      </c>
      <c r="E51" s="361" t="s">
        <v>468</v>
      </c>
      <c r="F51" s="583" t="s">
        <v>477</v>
      </c>
      <c r="G51" s="583" t="s">
        <v>4016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ht="13.5" customHeight="1">
      <c r="A52" s="423" t="s">
        <v>3917</v>
      </c>
      <c r="B52" s="581" t="s">
        <v>3918</v>
      </c>
      <c r="C52" s="582" t="s">
        <v>4014</v>
      </c>
      <c r="D52" s="361" t="s">
        <v>299</v>
      </c>
      <c r="E52" s="361" t="s">
        <v>468</v>
      </c>
      <c r="F52" s="583" t="s">
        <v>487</v>
      </c>
      <c r="G52" s="583" t="s">
        <v>778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ht="13.5" customHeight="1">
      <c r="A53" s="423" t="s">
        <v>3917</v>
      </c>
      <c r="B53" s="581" t="s">
        <v>3918</v>
      </c>
      <c r="C53" s="582" t="s">
        <v>4014</v>
      </c>
      <c r="D53" s="361" t="s">
        <v>299</v>
      </c>
      <c r="E53" s="361" t="s">
        <v>468</v>
      </c>
      <c r="F53" s="583" t="s">
        <v>492</v>
      </c>
      <c r="G53" s="583" t="s">
        <v>778</v>
      </c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ht="13.5" customHeight="1">
      <c r="A54" s="423" t="s">
        <v>3917</v>
      </c>
      <c r="B54" s="581" t="s">
        <v>3922</v>
      </c>
      <c r="C54" s="581" t="s">
        <v>3922</v>
      </c>
      <c r="D54" s="134"/>
      <c r="E54" s="134"/>
      <c r="F54" s="358" t="s">
        <v>503</v>
      </c>
      <c r="G54" s="358" t="s">
        <v>4017</v>
      </c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ht="13.5" customHeight="1">
      <c r="A55" s="423" t="s">
        <v>3917</v>
      </c>
      <c r="B55" s="581" t="s">
        <v>3922</v>
      </c>
      <c r="C55" s="581" t="s">
        <v>3922</v>
      </c>
      <c r="D55" s="134"/>
      <c r="E55" s="134"/>
      <c r="F55" s="358" t="s">
        <v>511</v>
      </c>
      <c r="G55" s="358" t="s">
        <v>4018</v>
      </c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ht="13.5" customHeight="1">
      <c r="A56" s="423" t="s">
        <v>3917</v>
      </c>
      <c r="B56" s="581" t="s">
        <v>3922</v>
      </c>
      <c r="C56" s="581" t="s">
        <v>3922</v>
      </c>
      <c r="D56" s="134"/>
      <c r="E56" s="134"/>
      <c r="F56" s="358" t="s">
        <v>516</v>
      </c>
      <c r="G56" s="358" t="s">
        <v>4019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ht="13.5" customHeight="1">
      <c r="A57" s="423" t="s">
        <v>3917</v>
      </c>
      <c r="B57" s="581" t="s">
        <v>3922</v>
      </c>
      <c r="C57" s="581" t="s">
        <v>3922</v>
      </c>
      <c r="D57" s="134"/>
      <c r="E57" s="134"/>
      <c r="F57" s="358" t="s">
        <v>520</v>
      </c>
      <c r="G57" s="358" t="s">
        <v>4020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ht="13.5" customHeight="1">
      <c r="A58" s="423" t="s">
        <v>3917</v>
      </c>
      <c r="B58" s="581" t="s">
        <v>3922</v>
      </c>
      <c r="C58" s="581" t="s">
        <v>3922</v>
      </c>
      <c r="D58" s="134"/>
      <c r="E58" s="134"/>
      <c r="F58" s="358" t="s">
        <v>524</v>
      </c>
      <c r="G58" s="358" t="s">
        <v>4021</v>
      </c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ht="13.5" customHeight="1">
      <c r="A59" s="423" t="s">
        <v>3917</v>
      </c>
      <c r="B59" s="581" t="s">
        <v>3922</v>
      </c>
      <c r="C59" s="581" t="s">
        <v>3922</v>
      </c>
      <c r="D59" s="134"/>
      <c r="E59" s="134"/>
      <c r="F59" s="358" t="s">
        <v>528</v>
      </c>
      <c r="G59" s="358" t="s">
        <v>4022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ht="13.5" customHeight="1">
      <c r="A60" s="423" t="s">
        <v>3917</v>
      </c>
      <c r="B60" s="582" t="s">
        <v>4023</v>
      </c>
      <c r="C60" s="582" t="s">
        <v>3924</v>
      </c>
      <c r="D60" s="361" t="s">
        <v>577</v>
      </c>
      <c r="E60" s="134"/>
      <c r="F60" s="584" t="s">
        <v>578</v>
      </c>
      <c r="G60" s="584" t="s">
        <v>778</v>
      </c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ht="13.5" customHeight="1">
      <c r="A61" s="423" t="s">
        <v>3917</v>
      </c>
      <c r="B61" s="582" t="s">
        <v>4023</v>
      </c>
      <c r="C61" s="582" t="s">
        <v>3924</v>
      </c>
      <c r="D61" s="361" t="s">
        <v>581</v>
      </c>
      <c r="E61" s="134"/>
      <c r="F61" s="584" t="s">
        <v>582</v>
      </c>
      <c r="G61" s="584" t="s">
        <v>778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ht="15.75" customHeight="1">
      <c r="A62" s="423" t="s">
        <v>3917</v>
      </c>
      <c r="B62" s="582" t="s">
        <v>4023</v>
      </c>
      <c r="C62" s="582" t="s">
        <v>3924</v>
      </c>
      <c r="D62" s="361" t="s">
        <v>577</v>
      </c>
      <c r="E62" s="134"/>
      <c r="F62" s="584" t="s">
        <v>585</v>
      </c>
      <c r="G62" s="584" t="s">
        <v>778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ht="13.5" customHeight="1">
      <c r="A63" s="423" t="s">
        <v>3917</v>
      </c>
      <c r="B63" s="582" t="s">
        <v>4023</v>
      </c>
      <c r="C63" s="582" t="s">
        <v>3924</v>
      </c>
      <c r="D63" s="361" t="s">
        <v>577</v>
      </c>
      <c r="E63" s="134"/>
      <c r="F63" s="584" t="s">
        <v>589</v>
      </c>
      <c r="G63" s="584" t="s">
        <v>778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ht="13.5" customHeight="1">
      <c r="A64" s="423" t="s">
        <v>3917</v>
      </c>
      <c r="B64" s="582" t="s">
        <v>4023</v>
      </c>
      <c r="C64" s="582" t="s">
        <v>4024</v>
      </c>
      <c r="D64" s="361" t="s">
        <v>577</v>
      </c>
      <c r="E64" s="134"/>
      <c r="F64" s="584" t="s">
        <v>599</v>
      </c>
      <c r="G64" s="584" t="s">
        <v>778</v>
      </c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ht="13.5" customHeight="1">
      <c r="A65" s="423" t="s">
        <v>3917</v>
      </c>
      <c r="B65" s="582" t="s">
        <v>4023</v>
      </c>
      <c r="C65" s="582" t="s">
        <v>619</v>
      </c>
      <c r="D65" s="361" t="s">
        <v>577</v>
      </c>
      <c r="E65" s="134"/>
      <c r="F65" s="584" t="s">
        <v>638</v>
      </c>
      <c r="G65" s="584" t="s">
        <v>4025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ht="13.5" customHeight="1">
      <c r="A66" s="423" t="s">
        <v>3917</v>
      </c>
      <c r="B66" s="582" t="s">
        <v>4023</v>
      </c>
      <c r="C66" s="582" t="s">
        <v>619</v>
      </c>
      <c r="D66" s="361" t="s">
        <v>577</v>
      </c>
      <c r="E66" s="134"/>
      <c r="F66" s="584" t="s">
        <v>647</v>
      </c>
      <c r="G66" s="584" t="s">
        <v>4026</v>
      </c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ht="13.5" customHeight="1">
      <c r="A67" s="423" t="s">
        <v>3917</v>
      </c>
      <c r="B67" s="582" t="s">
        <v>4023</v>
      </c>
      <c r="C67" s="582" t="s">
        <v>659</v>
      </c>
      <c r="D67" s="361" t="s">
        <v>577</v>
      </c>
      <c r="E67" s="134"/>
      <c r="F67" s="584" t="s">
        <v>672</v>
      </c>
      <c r="G67" s="584" t="s">
        <v>4027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ht="13.5" customHeight="1">
      <c r="A68" s="423" t="s">
        <v>3917</v>
      </c>
      <c r="B68" s="582" t="s">
        <v>4023</v>
      </c>
      <c r="C68" s="582" t="s">
        <v>659</v>
      </c>
      <c r="D68" s="361" t="s">
        <v>577</v>
      </c>
      <c r="E68" s="134"/>
      <c r="F68" s="584" t="s">
        <v>680</v>
      </c>
      <c r="G68" s="584" t="s">
        <v>4028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ht="13.5" customHeight="1">
      <c r="A69" s="423" t="s">
        <v>3917</v>
      </c>
      <c r="B69" s="582" t="s">
        <v>4023</v>
      </c>
      <c r="C69" s="582" t="s">
        <v>659</v>
      </c>
      <c r="D69" s="361" t="s">
        <v>577</v>
      </c>
      <c r="E69" s="134"/>
      <c r="F69" s="584" t="s">
        <v>692</v>
      </c>
      <c r="G69" s="584" t="s">
        <v>4029</v>
      </c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ht="13.5" customHeight="1">
      <c r="A70" s="423" t="s">
        <v>3917</v>
      </c>
      <c r="B70" s="582" t="s">
        <v>4023</v>
      </c>
      <c r="C70" s="582" t="s">
        <v>705</v>
      </c>
      <c r="D70" s="361" t="s">
        <v>577</v>
      </c>
      <c r="E70" s="134"/>
      <c r="F70" s="584" t="s">
        <v>706</v>
      </c>
      <c r="G70" s="584" t="s">
        <v>4030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ht="13.5" customHeight="1">
      <c r="A71" s="423" t="s">
        <v>3917</v>
      </c>
      <c r="B71" s="582" t="s">
        <v>4023</v>
      </c>
      <c r="C71" s="582" t="s">
        <v>4031</v>
      </c>
      <c r="D71" s="361"/>
      <c r="E71" s="134"/>
      <c r="F71" s="584" t="s">
        <v>710</v>
      </c>
      <c r="G71" s="584" t="s">
        <v>4032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ht="13.5" customHeight="1">
      <c r="A72" s="423" t="s">
        <v>3917</v>
      </c>
      <c r="B72" s="582" t="s">
        <v>4023</v>
      </c>
      <c r="C72" s="582" t="s">
        <v>4031</v>
      </c>
      <c r="D72" s="361"/>
      <c r="E72" s="134"/>
      <c r="F72" s="584" t="s">
        <v>716</v>
      </c>
      <c r="G72" s="584" t="s">
        <v>4033</v>
      </c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ht="13.5" customHeight="1">
      <c r="A73" s="423" t="s">
        <v>3917</v>
      </c>
      <c r="B73" s="582" t="s">
        <v>4023</v>
      </c>
      <c r="C73" s="582" t="s">
        <v>4031</v>
      </c>
      <c r="D73" s="361"/>
      <c r="E73" s="134"/>
      <c r="F73" s="584" t="s">
        <v>720</v>
      </c>
      <c r="G73" s="584" t="s">
        <v>4034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ht="13.5" customHeight="1">
      <c r="A74" s="423" t="s">
        <v>3917</v>
      </c>
      <c r="B74" s="582" t="s">
        <v>4023</v>
      </c>
      <c r="C74" s="582" t="s">
        <v>4031</v>
      </c>
      <c r="D74" s="361"/>
      <c r="E74" s="134"/>
      <c r="F74" s="584" t="s">
        <v>724</v>
      </c>
      <c r="G74" s="584" t="s">
        <v>4035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ht="13.5" customHeight="1">
      <c r="A75" s="423" t="s">
        <v>3917</v>
      </c>
      <c r="B75" s="581" t="s">
        <v>3930</v>
      </c>
      <c r="C75" s="582" t="s">
        <v>840</v>
      </c>
      <c r="D75" s="361" t="s">
        <v>577</v>
      </c>
      <c r="E75" s="134">
        <v>26.0</v>
      </c>
      <c r="F75" s="584" t="s">
        <v>841</v>
      </c>
      <c r="G75" s="584" t="s">
        <v>4036</v>
      </c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ht="13.5" customHeight="1">
      <c r="A76" s="423" t="s">
        <v>3917</v>
      </c>
      <c r="B76" s="581" t="s">
        <v>3930</v>
      </c>
      <c r="C76" s="582" t="s">
        <v>840</v>
      </c>
      <c r="D76" s="361" t="s">
        <v>577</v>
      </c>
      <c r="E76" s="134">
        <v>26.0</v>
      </c>
      <c r="F76" s="584" t="s">
        <v>845</v>
      </c>
      <c r="G76" s="584" t="s">
        <v>4037</v>
      </c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ht="13.5" customHeight="1">
      <c r="A77" s="423" t="s">
        <v>3917</v>
      </c>
      <c r="B77" s="581" t="s">
        <v>3930</v>
      </c>
      <c r="C77" s="582" t="s">
        <v>840</v>
      </c>
      <c r="D77" s="361" t="s">
        <v>577</v>
      </c>
      <c r="E77" s="134">
        <v>26.0</v>
      </c>
      <c r="F77" s="584" t="s">
        <v>849</v>
      </c>
      <c r="G77" s="584" t="s">
        <v>4038</v>
      </c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ht="13.5" customHeight="1">
      <c r="A78" s="423" t="s">
        <v>3917</v>
      </c>
      <c r="B78" s="581" t="s">
        <v>3930</v>
      </c>
      <c r="C78" s="582" t="s">
        <v>840</v>
      </c>
      <c r="D78" s="361" t="s">
        <v>577</v>
      </c>
      <c r="E78" s="134">
        <v>26.0</v>
      </c>
      <c r="F78" s="584" t="s">
        <v>853</v>
      </c>
      <c r="G78" s="584" t="s">
        <v>4039</v>
      </c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ht="13.5" customHeight="1">
      <c r="A79" s="423" t="s">
        <v>3917</v>
      </c>
      <c r="B79" s="581" t="s">
        <v>3930</v>
      </c>
      <c r="C79" s="582" t="s">
        <v>840</v>
      </c>
      <c r="D79" s="361" t="s">
        <v>577</v>
      </c>
      <c r="E79" s="134">
        <v>26.0</v>
      </c>
      <c r="F79" s="584" t="s">
        <v>857</v>
      </c>
      <c r="G79" s="584" t="s">
        <v>4040</v>
      </c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ht="13.5" customHeight="1">
      <c r="A80" s="423" t="s">
        <v>3917</v>
      </c>
      <c r="B80" s="581" t="s">
        <v>3930</v>
      </c>
      <c r="C80" s="582" t="s">
        <v>840</v>
      </c>
      <c r="D80" s="361" t="s">
        <v>577</v>
      </c>
      <c r="E80" s="134">
        <v>26.0</v>
      </c>
      <c r="F80" s="584" t="s">
        <v>861</v>
      </c>
      <c r="G80" s="584" t="s">
        <v>4041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3.5" customHeight="1">
      <c r="A81" s="423" t="s">
        <v>3917</v>
      </c>
      <c r="B81" s="581" t="s">
        <v>3930</v>
      </c>
      <c r="C81" s="582" t="s">
        <v>840</v>
      </c>
      <c r="D81" s="361" t="s">
        <v>577</v>
      </c>
      <c r="E81" s="134">
        <v>26.0</v>
      </c>
      <c r="F81" s="584" t="s">
        <v>865</v>
      </c>
      <c r="G81" s="584" t="s">
        <v>4042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3.5" customHeight="1">
      <c r="A82" s="423" t="s">
        <v>3917</v>
      </c>
      <c r="B82" s="581" t="s">
        <v>3930</v>
      </c>
      <c r="C82" s="582" t="s">
        <v>840</v>
      </c>
      <c r="D82" s="361" t="s">
        <v>577</v>
      </c>
      <c r="E82" s="134">
        <v>26.0</v>
      </c>
      <c r="F82" s="584" t="s">
        <v>869</v>
      </c>
      <c r="G82" s="584" t="s">
        <v>4043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3.5" customHeight="1">
      <c r="A83" s="423" t="s">
        <v>3917</v>
      </c>
      <c r="B83" s="581" t="s">
        <v>3930</v>
      </c>
      <c r="C83" s="582" t="s">
        <v>840</v>
      </c>
      <c r="D83" s="361" t="s">
        <v>577</v>
      </c>
      <c r="E83" s="134">
        <v>26.0</v>
      </c>
      <c r="F83" s="584" t="s">
        <v>872</v>
      </c>
      <c r="G83" s="584" t="s">
        <v>4044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3.5" customHeight="1">
      <c r="A84" s="423" t="s">
        <v>3917</v>
      </c>
      <c r="B84" s="581" t="s">
        <v>3930</v>
      </c>
      <c r="C84" s="582" t="s">
        <v>840</v>
      </c>
      <c r="D84" s="361" t="s">
        <v>577</v>
      </c>
      <c r="E84" s="134">
        <v>26.0</v>
      </c>
      <c r="F84" s="584" t="s">
        <v>875</v>
      </c>
      <c r="G84" s="584" t="s">
        <v>4045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ht="13.5" customHeight="1">
      <c r="A85" s="423" t="s">
        <v>3917</v>
      </c>
      <c r="B85" s="581" t="s">
        <v>3930</v>
      </c>
      <c r="C85" s="582" t="s">
        <v>840</v>
      </c>
      <c r="D85" s="361" t="s">
        <v>577</v>
      </c>
      <c r="E85" s="134">
        <v>26.0</v>
      </c>
      <c r="F85" s="584" t="s">
        <v>878</v>
      </c>
      <c r="G85" s="584" t="s">
        <v>4046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ht="13.5" customHeight="1">
      <c r="A86" s="423" t="s">
        <v>3917</v>
      </c>
      <c r="B86" s="581" t="s">
        <v>3930</v>
      </c>
      <c r="C86" s="582" t="s">
        <v>840</v>
      </c>
      <c r="D86" s="361" t="s">
        <v>577</v>
      </c>
      <c r="E86" s="134">
        <v>26.0</v>
      </c>
      <c r="F86" s="584" t="s">
        <v>881</v>
      </c>
      <c r="G86" s="584" t="s">
        <v>4047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ht="13.5" customHeight="1">
      <c r="A87" s="423" t="s">
        <v>3917</v>
      </c>
      <c r="B87" s="581" t="s">
        <v>3930</v>
      </c>
      <c r="C87" s="582" t="s">
        <v>840</v>
      </c>
      <c r="D87" s="361" t="s">
        <v>577</v>
      </c>
      <c r="E87" s="134">
        <v>26.0</v>
      </c>
      <c r="F87" s="584" t="s">
        <v>884</v>
      </c>
      <c r="G87" s="584" t="s">
        <v>4048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ht="13.5" customHeight="1">
      <c r="A88" s="423" t="s">
        <v>3917</v>
      </c>
      <c r="B88" s="581" t="s">
        <v>3930</v>
      </c>
      <c r="C88" s="582" t="s">
        <v>840</v>
      </c>
      <c r="D88" s="361" t="s">
        <v>577</v>
      </c>
      <c r="E88" s="134">
        <v>26.0</v>
      </c>
      <c r="F88" s="584" t="s">
        <v>887</v>
      </c>
      <c r="G88" s="584" t="s">
        <v>4049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ht="13.5" customHeight="1">
      <c r="A89" s="423" t="s">
        <v>3917</v>
      </c>
      <c r="B89" s="581" t="s">
        <v>3930</v>
      </c>
      <c r="C89" s="582" t="s">
        <v>973</v>
      </c>
      <c r="D89" s="361" t="s">
        <v>577</v>
      </c>
      <c r="E89" s="134">
        <v>26.0</v>
      </c>
      <c r="F89" s="584" t="s">
        <v>1003</v>
      </c>
      <c r="G89" s="584" t="s">
        <v>4050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ht="13.5" customHeight="1">
      <c r="A90" s="423" t="s">
        <v>3917</v>
      </c>
      <c r="B90" s="581" t="s">
        <v>3930</v>
      </c>
      <c r="C90" s="582" t="s">
        <v>973</v>
      </c>
      <c r="D90" s="361" t="s">
        <v>577</v>
      </c>
      <c r="E90" s="134">
        <v>26.0</v>
      </c>
      <c r="F90" s="584" t="s">
        <v>1005</v>
      </c>
      <c r="G90" s="584" t="s">
        <v>4051</v>
      </c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ht="13.5" customHeight="1">
      <c r="A91" s="423" t="s">
        <v>3917</v>
      </c>
      <c r="B91" s="581" t="s">
        <v>3930</v>
      </c>
      <c r="C91" s="582" t="s">
        <v>973</v>
      </c>
      <c r="D91" s="361" t="s">
        <v>577</v>
      </c>
      <c r="E91" s="134">
        <v>26.0</v>
      </c>
      <c r="F91" s="584" t="s">
        <v>1006</v>
      </c>
      <c r="G91" s="584" t="s">
        <v>4052</v>
      </c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ht="13.5" customHeight="1">
      <c r="A92" s="423" t="s">
        <v>3917</v>
      </c>
      <c r="B92" s="581" t="s">
        <v>3930</v>
      </c>
      <c r="C92" s="582" t="s">
        <v>973</v>
      </c>
      <c r="D92" s="361" t="s">
        <v>577</v>
      </c>
      <c r="E92" s="134">
        <v>26.0</v>
      </c>
      <c r="F92" s="584" t="s">
        <v>1007</v>
      </c>
      <c r="G92" s="584" t="s">
        <v>4053</v>
      </c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ht="13.5" customHeight="1">
      <c r="A93" s="423" t="s">
        <v>3917</v>
      </c>
      <c r="B93" s="581" t="s">
        <v>3930</v>
      </c>
      <c r="C93" s="582" t="s">
        <v>973</v>
      </c>
      <c r="D93" s="361" t="s">
        <v>577</v>
      </c>
      <c r="E93" s="134">
        <v>26.0</v>
      </c>
      <c r="F93" s="584" t="s">
        <v>1008</v>
      </c>
      <c r="G93" s="584" t="s">
        <v>4054</v>
      </c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ht="13.5" customHeight="1">
      <c r="A94" s="423" t="s">
        <v>3917</v>
      </c>
      <c r="B94" s="581" t="s">
        <v>3930</v>
      </c>
      <c r="C94" s="582" t="s">
        <v>973</v>
      </c>
      <c r="D94" s="361" t="s">
        <v>577</v>
      </c>
      <c r="E94" s="134">
        <v>26.0</v>
      </c>
      <c r="F94" s="584" t="s">
        <v>1009</v>
      </c>
      <c r="G94" s="584" t="s">
        <v>4055</v>
      </c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ht="13.5" customHeight="1">
      <c r="A95" s="423" t="s">
        <v>3917</v>
      </c>
      <c r="B95" s="581" t="s">
        <v>3930</v>
      </c>
      <c r="C95" s="582" t="s">
        <v>973</v>
      </c>
      <c r="D95" s="361" t="s">
        <v>577</v>
      </c>
      <c r="E95" s="134">
        <v>26.0</v>
      </c>
      <c r="F95" s="584" t="s">
        <v>1010</v>
      </c>
      <c r="G95" s="584" t="s">
        <v>4056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ht="13.5" customHeight="1">
      <c r="A96" s="423" t="s">
        <v>3917</v>
      </c>
      <c r="B96" s="581" t="s">
        <v>3930</v>
      </c>
      <c r="C96" s="582" t="s">
        <v>973</v>
      </c>
      <c r="D96" s="361" t="s">
        <v>577</v>
      </c>
      <c r="E96" s="134">
        <v>26.0</v>
      </c>
      <c r="F96" s="584" t="s">
        <v>1012</v>
      </c>
      <c r="G96" s="584" t="s">
        <v>4057</v>
      </c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ht="13.5" customHeight="1">
      <c r="A97" s="423" t="s">
        <v>3917</v>
      </c>
      <c r="B97" s="581" t="s">
        <v>3930</v>
      </c>
      <c r="C97" s="582" t="s">
        <v>973</v>
      </c>
      <c r="D97" s="361" t="s">
        <v>577</v>
      </c>
      <c r="E97" s="134">
        <v>26.0</v>
      </c>
      <c r="F97" s="584" t="s">
        <v>1017</v>
      </c>
      <c r="G97" s="584" t="s">
        <v>4058</v>
      </c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ht="13.5" customHeight="1">
      <c r="A98" s="423" t="s">
        <v>3917</v>
      </c>
      <c r="B98" s="581" t="s">
        <v>3930</v>
      </c>
      <c r="C98" s="582" t="s">
        <v>973</v>
      </c>
      <c r="D98" s="361" t="s">
        <v>577</v>
      </c>
      <c r="E98" s="134">
        <v>26.0</v>
      </c>
      <c r="F98" s="584" t="s">
        <v>1021</v>
      </c>
      <c r="G98" s="584" t="s">
        <v>778</v>
      </c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ht="13.5" customHeight="1">
      <c r="A99" s="423" t="s">
        <v>3917</v>
      </c>
      <c r="B99" s="581" t="s">
        <v>3930</v>
      </c>
      <c r="C99" s="582" t="s">
        <v>973</v>
      </c>
      <c r="D99" s="361" t="s">
        <v>577</v>
      </c>
      <c r="E99" s="134">
        <v>26.0</v>
      </c>
      <c r="F99" s="584" t="s">
        <v>1024</v>
      </c>
      <c r="G99" s="584" t="s">
        <v>778</v>
      </c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ht="13.5" customHeight="1">
      <c r="A100" s="423" t="s">
        <v>3917</v>
      </c>
      <c r="B100" s="581" t="s">
        <v>3930</v>
      </c>
      <c r="C100" s="582" t="s">
        <v>973</v>
      </c>
      <c r="D100" s="361" t="s">
        <v>577</v>
      </c>
      <c r="E100" s="134">
        <v>26.0</v>
      </c>
      <c r="F100" s="584" t="s">
        <v>1027</v>
      </c>
      <c r="G100" s="584" t="s">
        <v>778</v>
      </c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ht="13.5" customHeight="1">
      <c r="A101" s="423" t="s">
        <v>3917</v>
      </c>
      <c r="B101" s="581" t="s">
        <v>3930</v>
      </c>
      <c r="C101" s="582" t="s">
        <v>973</v>
      </c>
      <c r="D101" s="361" t="s">
        <v>577</v>
      </c>
      <c r="E101" s="134">
        <v>26.0</v>
      </c>
      <c r="F101" s="584" t="s">
        <v>1030</v>
      </c>
      <c r="G101" s="584" t="s">
        <v>778</v>
      </c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ht="13.5" customHeight="1">
      <c r="A102" s="423" t="s">
        <v>3917</v>
      </c>
      <c r="B102" s="581" t="s">
        <v>3930</v>
      </c>
      <c r="C102" s="582" t="s">
        <v>973</v>
      </c>
      <c r="D102" s="361" t="s">
        <v>577</v>
      </c>
      <c r="E102" s="134">
        <v>26.0</v>
      </c>
      <c r="F102" s="584" t="s">
        <v>1033</v>
      </c>
      <c r="G102" s="584" t="s">
        <v>778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ht="13.5" customHeight="1">
      <c r="A103" s="423" t="s">
        <v>3917</v>
      </c>
      <c r="B103" s="581" t="s">
        <v>3930</v>
      </c>
      <c r="C103" s="582" t="s">
        <v>1135</v>
      </c>
      <c r="D103" s="361" t="s">
        <v>577</v>
      </c>
      <c r="E103" s="134">
        <v>26.0</v>
      </c>
      <c r="F103" s="584" t="s">
        <v>1136</v>
      </c>
      <c r="G103" s="584" t="s">
        <v>4059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ht="13.5" customHeight="1">
      <c r="A104" s="423" t="s">
        <v>3917</v>
      </c>
      <c r="B104" s="581" t="s">
        <v>3930</v>
      </c>
      <c r="C104" s="582" t="s">
        <v>1135</v>
      </c>
      <c r="D104" s="361" t="s">
        <v>577</v>
      </c>
      <c r="E104" s="134">
        <v>26.0</v>
      </c>
      <c r="F104" s="584" t="s">
        <v>1140</v>
      </c>
      <c r="G104" s="584" t="s">
        <v>4060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ht="13.5" customHeight="1">
      <c r="A105" s="423" t="s">
        <v>3917</v>
      </c>
      <c r="B105" s="581" t="s">
        <v>3930</v>
      </c>
      <c r="C105" s="582" t="s">
        <v>1135</v>
      </c>
      <c r="D105" s="361" t="s">
        <v>577</v>
      </c>
      <c r="E105" s="134">
        <v>26.0</v>
      </c>
      <c r="F105" s="584" t="s">
        <v>1146</v>
      </c>
      <c r="G105" s="584" t="s">
        <v>4061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ht="13.5" customHeight="1">
      <c r="A106" s="423" t="s">
        <v>3917</v>
      </c>
      <c r="B106" s="581" t="s">
        <v>3930</v>
      </c>
      <c r="C106" s="582" t="s">
        <v>1135</v>
      </c>
      <c r="D106" s="361" t="s">
        <v>577</v>
      </c>
      <c r="E106" s="134">
        <v>26.0</v>
      </c>
      <c r="F106" s="584" t="s">
        <v>1149</v>
      </c>
      <c r="G106" s="584" t="s">
        <v>4062</v>
      </c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ht="13.5" customHeight="1">
      <c r="A107" s="423" t="s">
        <v>3917</v>
      </c>
      <c r="B107" s="581" t="s">
        <v>3930</v>
      </c>
      <c r="C107" s="582" t="s">
        <v>1135</v>
      </c>
      <c r="D107" s="361" t="s">
        <v>577</v>
      </c>
      <c r="E107" s="134">
        <v>26.0</v>
      </c>
      <c r="F107" s="584" t="s">
        <v>1152</v>
      </c>
      <c r="G107" s="584" t="s">
        <v>4063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ht="13.5" customHeight="1">
      <c r="A108" s="423" t="s">
        <v>3917</v>
      </c>
      <c r="B108" s="581" t="s">
        <v>3930</v>
      </c>
      <c r="C108" s="582" t="s">
        <v>1135</v>
      </c>
      <c r="D108" s="361" t="s">
        <v>577</v>
      </c>
      <c r="E108" s="134">
        <v>26.0</v>
      </c>
      <c r="F108" s="584" t="s">
        <v>1155</v>
      </c>
      <c r="G108" s="584" t="s">
        <v>4064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ht="12.75" customHeight="1">
      <c r="A109" s="423" t="s">
        <v>3917</v>
      </c>
      <c r="B109" s="423" t="s">
        <v>3932</v>
      </c>
      <c r="C109" s="423" t="s">
        <v>3932</v>
      </c>
      <c r="D109" s="361" t="s">
        <v>1159</v>
      </c>
      <c r="E109" s="134"/>
      <c r="F109" s="584" t="s">
        <v>1173</v>
      </c>
      <c r="G109" s="584" t="s">
        <v>4065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ht="13.5" customHeight="1">
      <c r="A110" s="423" t="s">
        <v>3917</v>
      </c>
      <c r="B110" s="423" t="s">
        <v>3932</v>
      </c>
      <c r="C110" s="423" t="s">
        <v>3932</v>
      </c>
      <c r="D110" s="361" t="s">
        <v>1159</v>
      </c>
      <c r="E110" s="134"/>
      <c r="F110" s="584" t="s">
        <v>1179</v>
      </c>
      <c r="G110" s="584" t="s">
        <v>4066</v>
      </c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ht="13.5" customHeight="1">
      <c r="A111" s="423" t="s">
        <v>3917</v>
      </c>
      <c r="B111" s="423" t="s">
        <v>3932</v>
      </c>
      <c r="C111" s="423" t="s">
        <v>3932</v>
      </c>
      <c r="D111" s="361" t="s">
        <v>1159</v>
      </c>
      <c r="E111" s="134"/>
      <c r="F111" s="584" t="s">
        <v>1189</v>
      </c>
      <c r="G111" s="584" t="s">
        <v>4067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ht="13.5" customHeight="1">
      <c r="A112" s="423" t="s">
        <v>3917</v>
      </c>
      <c r="B112" s="423" t="s">
        <v>3932</v>
      </c>
      <c r="C112" s="423" t="s">
        <v>3932</v>
      </c>
      <c r="D112" s="361" t="s">
        <v>1159</v>
      </c>
      <c r="E112" s="134"/>
      <c r="F112" s="584" t="s">
        <v>1196</v>
      </c>
      <c r="G112" s="584" t="s">
        <v>4068</v>
      </c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ht="13.5" customHeight="1">
      <c r="A113" s="423" t="s">
        <v>3917</v>
      </c>
      <c r="B113" s="423" t="s">
        <v>3932</v>
      </c>
      <c r="C113" s="423" t="s">
        <v>3932</v>
      </c>
      <c r="D113" s="361" t="s">
        <v>581</v>
      </c>
      <c r="E113" s="134"/>
      <c r="F113" s="584" t="s">
        <v>1208</v>
      </c>
      <c r="G113" s="584" t="s">
        <v>4069</v>
      </c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ht="13.5" customHeight="1">
      <c r="A114" s="423" t="s">
        <v>3917</v>
      </c>
      <c r="B114" s="582" t="s">
        <v>4070</v>
      </c>
      <c r="C114" s="582" t="s">
        <v>1212</v>
      </c>
      <c r="D114" s="361"/>
      <c r="E114" s="134">
        <v>24.0</v>
      </c>
      <c r="F114" s="584" t="s">
        <v>4071</v>
      </c>
      <c r="G114" s="584" t="s">
        <v>778</v>
      </c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ht="13.5" customHeight="1">
      <c r="A115" s="423" t="s">
        <v>3917</v>
      </c>
      <c r="B115" s="582" t="s">
        <v>4070</v>
      </c>
      <c r="C115" s="582" t="s">
        <v>1212</v>
      </c>
      <c r="D115" s="361"/>
      <c r="E115" s="134">
        <v>24.0</v>
      </c>
      <c r="F115" s="584" t="s">
        <v>1220</v>
      </c>
      <c r="G115" s="584" t="s">
        <v>778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ht="13.5" customHeight="1">
      <c r="A116" s="423" t="s">
        <v>3917</v>
      </c>
      <c r="B116" s="582" t="s">
        <v>4070</v>
      </c>
      <c r="C116" s="582" t="s">
        <v>1212</v>
      </c>
      <c r="D116" s="361"/>
      <c r="E116" s="134">
        <v>24.0</v>
      </c>
      <c r="F116" s="584" t="s">
        <v>1225</v>
      </c>
      <c r="G116" s="584" t="s">
        <v>778</v>
      </c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ht="13.5" customHeight="1">
      <c r="A117" s="423" t="s">
        <v>3917</v>
      </c>
      <c r="B117" s="582" t="s">
        <v>4070</v>
      </c>
      <c r="C117" s="582" t="s">
        <v>1212</v>
      </c>
      <c r="D117" s="361"/>
      <c r="E117" s="134">
        <v>24.0</v>
      </c>
      <c r="F117" s="584" t="s">
        <v>1235</v>
      </c>
      <c r="G117" s="584" t="s">
        <v>778</v>
      </c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ht="13.5" customHeight="1">
      <c r="A118" s="423" t="s">
        <v>3917</v>
      </c>
      <c r="B118" s="582" t="s">
        <v>4070</v>
      </c>
      <c r="C118" s="582" t="s">
        <v>1212</v>
      </c>
      <c r="D118" s="361"/>
      <c r="E118" s="134">
        <v>24.0</v>
      </c>
      <c r="F118" s="584" t="s">
        <v>1239</v>
      </c>
      <c r="G118" s="584" t="s">
        <v>778</v>
      </c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ht="13.5" customHeight="1">
      <c r="A119" s="423" t="s">
        <v>3917</v>
      </c>
      <c r="B119" s="582" t="s">
        <v>4070</v>
      </c>
      <c r="C119" s="582" t="s">
        <v>1212</v>
      </c>
      <c r="D119" s="361"/>
      <c r="E119" s="134">
        <v>20.0</v>
      </c>
      <c r="F119" s="584" t="s">
        <v>1243</v>
      </c>
      <c r="G119" s="584" t="s">
        <v>778</v>
      </c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ht="13.5" customHeight="1">
      <c r="A120" s="423" t="s">
        <v>3917</v>
      </c>
      <c r="B120" s="582" t="s">
        <v>4070</v>
      </c>
      <c r="C120" s="582" t="s">
        <v>1212</v>
      </c>
      <c r="D120" s="361"/>
      <c r="E120" s="134">
        <v>20.0</v>
      </c>
      <c r="F120" s="584" t="s">
        <v>1247</v>
      </c>
      <c r="G120" s="584" t="s">
        <v>778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ht="13.5" customHeight="1">
      <c r="A121" s="423" t="s">
        <v>3917</v>
      </c>
      <c r="B121" s="582" t="s">
        <v>4070</v>
      </c>
      <c r="C121" s="582" t="s">
        <v>1212</v>
      </c>
      <c r="D121" s="361"/>
      <c r="E121" s="134">
        <v>20.0</v>
      </c>
      <c r="F121" s="584" t="s">
        <v>1251</v>
      </c>
      <c r="G121" s="584" t="s">
        <v>778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ht="13.5" customHeight="1">
      <c r="A122" s="423" t="s">
        <v>3917</v>
      </c>
      <c r="B122" s="582" t="s">
        <v>4070</v>
      </c>
      <c r="C122" s="582" t="s">
        <v>1212</v>
      </c>
      <c r="D122" s="361"/>
      <c r="E122" s="134">
        <v>20.0</v>
      </c>
      <c r="F122" s="584" t="s">
        <v>1259</v>
      </c>
      <c r="G122" s="584" t="s">
        <v>778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ht="13.5" customHeight="1">
      <c r="A123" s="423" t="s">
        <v>3917</v>
      </c>
      <c r="B123" s="582" t="s">
        <v>4070</v>
      </c>
      <c r="C123" s="582" t="s">
        <v>1212</v>
      </c>
      <c r="D123" s="361"/>
      <c r="E123" s="134">
        <v>20.0</v>
      </c>
      <c r="F123" s="584" t="s">
        <v>1263</v>
      </c>
      <c r="G123" s="584" t="s">
        <v>778</v>
      </c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ht="13.5" customHeight="1">
      <c r="A124" s="423" t="s">
        <v>3936</v>
      </c>
      <c r="B124" s="423" t="s">
        <v>3937</v>
      </c>
      <c r="C124" s="423" t="s">
        <v>3937</v>
      </c>
      <c r="D124" s="134" t="s">
        <v>1268</v>
      </c>
      <c r="E124" s="134"/>
      <c r="F124" s="584" t="s">
        <v>1269</v>
      </c>
      <c r="G124" s="584" t="s">
        <v>4072</v>
      </c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ht="13.5" customHeight="1">
      <c r="A125" s="423" t="s">
        <v>3936</v>
      </c>
      <c r="B125" s="423" t="s">
        <v>3937</v>
      </c>
      <c r="C125" s="423" t="s">
        <v>3937</v>
      </c>
      <c r="D125" s="134" t="s">
        <v>1268</v>
      </c>
      <c r="E125" s="134"/>
      <c r="F125" s="584" t="s">
        <v>1276</v>
      </c>
      <c r="G125" s="584" t="s">
        <v>4073</v>
      </c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ht="13.5" customHeight="1">
      <c r="A126" s="423" t="s">
        <v>3936</v>
      </c>
      <c r="B126" s="423" t="s">
        <v>3937</v>
      </c>
      <c r="C126" s="423" t="s">
        <v>3937</v>
      </c>
      <c r="D126" s="134" t="s">
        <v>1280</v>
      </c>
      <c r="E126" s="134"/>
      <c r="F126" s="584" t="s">
        <v>1281</v>
      </c>
      <c r="G126" s="584" t="s">
        <v>778</v>
      </c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ht="13.5" customHeight="1">
      <c r="A127" s="423" t="s">
        <v>3936</v>
      </c>
      <c r="B127" s="423" t="s">
        <v>3937</v>
      </c>
      <c r="C127" s="423" t="s">
        <v>3937</v>
      </c>
      <c r="D127" s="134" t="s">
        <v>1280</v>
      </c>
      <c r="E127" s="134"/>
      <c r="F127" s="584" t="s">
        <v>1284</v>
      </c>
      <c r="G127" s="584" t="s">
        <v>778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ht="13.5" customHeight="1">
      <c r="A128" s="423" t="s">
        <v>3936</v>
      </c>
      <c r="B128" s="423" t="s">
        <v>3937</v>
      </c>
      <c r="C128" s="423" t="s">
        <v>3937</v>
      </c>
      <c r="D128" s="134" t="s">
        <v>1288</v>
      </c>
      <c r="E128" s="134"/>
      <c r="F128" s="584" t="s">
        <v>1289</v>
      </c>
      <c r="G128" s="584" t="s">
        <v>4074</v>
      </c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ht="13.5" customHeight="1">
      <c r="A129" s="423" t="s">
        <v>3936</v>
      </c>
      <c r="B129" s="423" t="s">
        <v>3937</v>
      </c>
      <c r="C129" s="423" t="s">
        <v>3937</v>
      </c>
      <c r="D129" s="134" t="s">
        <v>1288</v>
      </c>
      <c r="E129" s="134"/>
      <c r="F129" s="584" t="s">
        <v>1293</v>
      </c>
      <c r="G129" s="584" t="s">
        <v>4075</v>
      </c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ht="13.5" customHeight="1">
      <c r="A130" s="423" t="s">
        <v>3936</v>
      </c>
      <c r="B130" s="423" t="s">
        <v>3937</v>
      </c>
      <c r="C130" s="423" t="s">
        <v>3937</v>
      </c>
      <c r="D130" s="134" t="s">
        <v>1297</v>
      </c>
      <c r="E130" s="134"/>
      <c r="F130" s="584" t="s">
        <v>1298</v>
      </c>
      <c r="G130" s="584" t="s">
        <v>778</v>
      </c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ht="13.5" customHeight="1">
      <c r="A131" s="423" t="s">
        <v>3936</v>
      </c>
      <c r="B131" s="423" t="s">
        <v>3937</v>
      </c>
      <c r="C131" s="423" t="s">
        <v>3937</v>
      </c>
      <c r="D131" s="134" t="s">
        <v>1288</v>
      </c>
      <c r="E131" s="134"/>
      <c r="F131" s="584" t="s">
        <v>1301</v>
      </c>
      <c r="G131" s="584" t="s">
        <v>778</v>
      </c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ht="13.5" customHeight="1">
      <c r="A132" s="423" t="s">
        <v>3936</v>
      </c>
      <c r="B132" s="423" t="s">
        <v>3937</v>
      </c>
      <c r="C132" s="423" t="s">
        <v>3937</v>
      </c>
      <c r="D132" s="134" t="s">
        <v>1288</v>
      </c>
      <c r="E132" s="134"/>
      <c r="F132" s="584" t="s">
        <v>1304</v>
      </c>
      <c r="G132" s="584" t="s">
        <v>778</v>
      </c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ht="13.5" customHeight="1">
      <c r="A133" s="423" t="s">
        <v>3936</v>
      </c>
      <c r="B133" s="423" t="s">
        <v>3941</v>
      </c>
      <c r="C133" s="581" t="s">
        <v>1307</v>
      </c>
      <c r="D133" s="134"/>
      <c r="E133" s="134"/>
      <c r="F133" s="583" t="s">
        <v>1308</v>
      </c>
      <c r="G133" s="583" t="s">
        <v>4076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ht="13.5" customHeight="1">
      <c r="A134" s="423" t="s">
        <v>3936</v>
      </c>
      <c r="B134" s="423" t="s">
        <v>3941</v>
      </c>
      <c r="C134" s="581" t="s">
        <v>1307</v>
      </c>
      <c r="D134" s="134"/>
      <c r="E134" s="134"/>
      <c r="F134" s="583" t="s">
        <v>1313</v>
      </c>
      <c r="G134" s="583" t="s">
        <v>4077</v>
      </c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ht="13.5" customHeight="1">
      <c r="A135" s="423" t="s">
        <v>3936</v>
      </c>
      <c r="B135" s="423" t="s">
        <v>3943</v>
      </c>
      <c r="C135" s="581" t="s">
        <v>1318</v>
      </c>
      <c r="D135" s="134" t="s">
        <v>1319</v>
      </c>
      <c r="E135" s="134"/>
      <c r="F135" s="584" t="s">
        <v>1320</v>
      </c>
      <c r="G135" s="584" t="s">
        <v>4078</v>
      </c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ht="13.5" customHeight="1">
      <c r="A136" s="423" t="s">
        <v>3936</v>
      </c>
      <c r="B136" s="423" t="s">
        <v>3943</v>
      </c>
      <c r="C136" s="581" t="s">
        <v>1318</v>
      </c>
      <c r="D136" s="134" t="s">
        <v>1319</v>
      </c>
      <c r="E136" s="134"/>
      <c r="F136" s="584" t="s">
        <v>1325</v>
      </c>
      <c r="G136" s="584" t="s">
        <v>4079</v>
      </c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ht="13.5" customHeight="1">
      <c r="A137" s="423" t="s">
        <v>3936</v>
      </c>
      <c r="B137" s="423" t="s">
        <v>3943</v>
      </c>
      <c r="C137" s="581" t="s">
        <v>1318</v>
      </c>
      <c r="D137" s="134" t="s">
        <v>1319</v>
      </c>
      <c r="E137" s="134"/>
      <c r="F137" s="584" t="s">
        <v>1328</v>
      </c>
      <c r="G137" s="584" t="s">
        <v>4080</v>
      </c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ht="13.5" customHeight="1">
      <c r="A138" s="423" t="s">
        <v>3936</v>
      </c>
      <c r="B138" s="423" t="s">
        <v>3943</v>
      </c>
      <c r="C138" s="581" t="s">
        <v>1318</v>
      </c>
      <c r="D138" s="134" t="s">
        <v>1319</v>
      </c>
      <c r="E138" s="134"/>
      <c r="F138" s="584" t="s">
        <v>1331</v>
      </c>
      <c r="G138" s="584" t="s">
        <v>4081</v>
      </c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ht="13.5" customHeight="1">
      <c r="A139" s="423" t="s">
        <v>3936</v>
      </c>
      <c r="B139" s="423" t="s">
        <v>3943</v>
      </c>
      <c r="C139" s="581" t="s">
        <v>1318</v>
      </c>
      <c r="D139" s="134" t="s">
        <v>1319</v>
      </c>
      <c r="E139" s="134"/>
      <c r="F139" s="584" t="s">
        <v>1334</v>
      </c>
      <c r="G139" s="584" t="s">
        <v>778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ht="13.5" customHeight="1">
      <c r="A140" s="423" t="s">
        <v>3936</v>
      </c>
      <c r="B140" s="423" t="s">
        <v>3943</v>
      </c>
      <c r="C140" s="581" t="s">
        <v>1318</v>
      </c>
      <c r="D140" s="134" t="s">
        <v>1319</v>
      </c>
      <c r="E140" s="134"/>
      <c r="F140" s="584" t="s">
        <v>1337</v>
      </c>
      <c r="G140" s="584" t="s">
        <v>778</v>
      </c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ht="13.5" customHeight="1">
      <c r="A141" s="423" t="s">
        <v>3936</v>
      </c>
      <c r="B141" s="423" t="s">
        <v>3943</v>
      </c>
      <c r="C141" s="581" t="s">
        <v>1340</v>
      </c>
      <c r="D141" s="134" t="s">
        <v>1319</v>
      </c>
      <c r="E141" s="134"/>
      <c r="F141" s="584" t="s">
        <v>1341</v>
      </c>
      <c r="G141" s="584" t="s">
        <v>4082</v>
      </c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ht="13.5" customHeight="1">
      <c r="A142" s="423" t="s">
        <v>3936</v>
      </c>
      <c r="B142" s="423" t="s">
        <v>3943</v>
      </c>
      <c r="C142" s="581" t="s">
        <v>1340</v>
      </c>
      <c r="D142" s="134" t="s">
        <v>1319</v>
      </c>
      <c r="E142" s="134"/>
      <c r="F142" s="584" t="s">
        <v>1345</v>
      </c>
      <c r="G142" s="584" t="s">
        <v>4083</v>
      </c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ht="13.5" customHeight="1">
      <c r="A143" s="423" t="s">
        <v>3936</v>
      </c>
      <c r="B143" s="423" t="s">
        <v>3943</v>
      </c>
      <c r="C143" s="581" t="s">
        <v>1340</v>
      </c>
      <c r="D143" s="134" t="s">
        <v>1319</v>
      </c>
      <c r="E143" s="134"/>
      <c r="F143" s="584" t="s">
        <v>1348</v>
      </c>
      <c r="G143" s="584" t="s">
        <v>4084</v>
      </c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ht="13.5" customHeight="1">
      <c r="A144" s="423" t="s">
        <v>3936</v>
      </c>
      <c r="B144" s="423" t="s">
        <v>3943</v>
      </c>
      <c r="C144" s="581" t="s">
        <v>1340</v>
      </c>
      <c r="D144" s="134" t="s">
        <v>1319</v>
      </c>
      <c r="E144" s="134"/>
      <c r="F144" s="584" t="s">
        <v>1352</v>
      </c>
      <c r="G144" s="584" t="s">
        <v>4085</v>
      </c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ht="13.5" customHeight="1">
      <c r="A145" s="423" t="s">
        <v>3936</v>
      </c>
      <c r="B145" s="423" t="s">
        <v>3943</v>
      </c>
      <c r="C145" s="581" t="s">
        <v>1340</v>
      </c>
      <c r="D145" s="134" t="s">
        <v>1319</v>
      </c>
      <c r="E145" s="134"/>
      <c r="F145" s="584" t="s">
        <v>1355</v>
      </c>
      <c r="G145" s="584" t="s">
        <v>778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ht="13.5" customHeight="1">
      <c r="A146" s="423" t="s">
        <v>3936</v>
      </c>
      <c r="B146" s="423" t="s">
        <v>3943</v>
      </c>
      <c r="C146" s="581" t="s">
        <v>1340</v>
      </c>
      <c r="D146" s="134" t="s">
        <v>1319</v>
      </c>
      <c r="E146" s="134"/>
      <c r="F146" s="584" t="s">
        <v>1359</v>
      </c>
      <c r="G146" s="584" t="s">
        <v>778</v>
      </c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ht="13.5" customHeight="1">
      <c r="A147" s="423" t="s">
        <v>3936</v>
      </c>
      <c r="B147" s="423" t="s">
        <v>3943</v>
      </c>
      <c r="C147" s="581" t="s">
        <v>1367</v>
      </c>
      <c r="D147" s="134" t="s">
        <v>1319</v>
      </c>
      <c r="E147" s="134"/>
      <c r="F147" s="584" t="s">
        <v>1368</v>
      </c>
      <c r="G147" s="584" t="s">
        <v>4086</v>
      </c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ht="13.5" customHeight="1">
      <c r="A148" s="423" t="s">
        <v>3936</v>
      </c>
      <c r="B148" s="423" t="s">
        <v>3943</v>
      </c>
      <c r="C148" s="581" t="s">
        <v>1367</v>
      </c>
      <c r="D148" s="134" t="s">
        <v>1319</v>
      </c>
      <c r="E148" s="134"/>
      <c r="F148" s="584" t="s">
        <v>1372</v>
      </c>
      <c r="G148" s="584" t="s">
        <v>4087</v>
      </c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ht="13.5" customHeight="1">
      <c r="A149" s="423" t="s">
        <v>3936</v>
      </c>
      <c r="B149" s="423" t="s">
        <v>3943</v>
      </c>
      <c r="C149" s="581" t="s">
        <v>1367</v>
      </c>
      <c r="D149" s="134" t="s">
        <v>1319</v>
      </c>
      <c r="E149" s="134"/>
      <c r="F149" s="584" t="s">
        <v>1375</v>
      </c>
      <c r="G149" s="584" t="s">
        <v>4088</v>
      </c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ht="13.5" customHeight="1">
      <c r="A150" s="423" t="s">
        <v>3936</v>
      </c>
      <c r="B150" s="423" t="s">
        <v>3943</v>
      </c>
      <c r="C150" s="581" t="s">
        <v>1367</v>
      </c>
      <c r="D150" s="134" t="s">
        <v>1319</v>
      </c>
      <c r="E150" s="134"/>
      <c r="F150" s="584" t="s">
        <v>1379</v>
      </c>
      <c r="G150" s="584" t="s">
        <v>4089</v>
      </c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ht="13.5" customHeight="1">
      <c r="A151" s="423" t="s">
        <v>3936</v>
      </c>
      <c r="B151" s="423" t="s">
        <v>3943</v>
      </c>
      <c r="C151" s="581" t="s">
        <v>1367</v>
      </c>
      <c r="D151" s="134" t="s">
        <v>1319</v>
      </c>
      <c r="E151" s="134"/>
      <c r="F151" s="584" t="s">
        <v>1383</v>
      </c>
      <c r="G151" s="584" t="s">
        <v>778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ht="13.5" customHeight="1">
      <c r="A152" s="423" t="s">
        <v>3936</v>
      </c>
      <c r="B152" s="423" t="s">
        <v>3943</v>
      </c>
      <c r="C152" s="581" t="s">
        <v>1367</v>
      </c>
      <c r="D152" s="134" t="s">
        <v>1319</v>
      </c>
      <c r="E152" s="134"/>
      <c r="F152" s="584" t="s">
        <v>1387</v>
      </c>
      <c r="G152" s="584" t="s">
        <v>778</v>
      </c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ht="13.5" customHeight="1">
      <c r="A153" s="423" t="s">
        <v>3936</v>
      </c>
      <c r="B153" s="423" t="s">
        <v>3943</v>
      </c>
      <c r="C153" s="581" t="s">
        <v>1318</v>
      </c>
      <c r="D153" s="134" t="s">
        <v>1395</v>
      </c>
      <c r="E153" s="134"/>
      <c r="F153" s="584" t="s">
        <v>1396</v>
      </c>
      <c r="G153" s="584" t="s">
        <v>4090</v>
      </c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ht="13.5" customHeight="1">
      <c r="A154" s="423" t="s">
        <v>3936</v>
      </c>
      <c r="B154" s="423" t="s">
        <v>3943</v>
      </c>
      <c r="C154" s="581" t="s">
        <v>1318</v>
      </c>
      <c r="D154" s="134" t="s">
        <v>1395</v>
      </c>
      <c r="E154" s="134"/>
      <c r="F154" s="584" t="s">
        <v>1399</v>
      </c>
      <c r="G154" s="584" t="s">
        <v>4091</v>
      </c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ht="13.5" customHeight="1">
      <c r="A155" s="423" t="s">
        <v>3936</v>
      </c>
      <c r="B155" s="423" t="s">
        <v>3943</v>
      </c>
      <c r="C155" s="581" t="s">
        <v>1318</v>
      </c>
      <c r="D155" s="134" t="s">
        <v>1395</v>
      </c>
      <c r="E155" s="134"/>
      <c r="F155" s="584" t="s">
        <v>1402</v>
      </c>
      <c r="G155" s="584" t="s">
        <v>4092</v>
      </c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ht="13.5" customHeight="1">
      <c r="A156" s="423" t="s">
        <v>3936</v>
      </c>
      <c r="B156" s="423" t="s">
        <v>3943</v>
      </c>
      <c r="C156" s="581" t="s">
        <v>1318</v>
      </c>
      <c r="D156" s="134" t="s">
        <v>1395</v>
      </c>
      <c r="E156" s="134"/>
      <c r="F156" s="584" t="s">
        <v>1405</v>
      </c>
      <c r="G156" s="584" t="s">
        <v>4093</v>
      </c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ht="13.5" customHeight="1">
      <c r="A157" s="423" t="s">
        <v>3936</v>
      </c>
      <c r="B157" s="423" t="s">
        <v>3943</v>
      </c>
      <c r="C157" s="581" t="s">
        <v>1318</v>
      </c>
      <c r="D157" s="134" t="s">
        <v>1395</v>
      </c>
      <c r="E157" s="134"/>
      <c r="F157" s="584" t="s">
        <v>1408</v>
      </c>
      <c r="G157" s="584" t="s">
        <v>778</v>
      </c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ht="13.5" customHeight="1">
      <c r="A158" s="423" t="s">
        <v>3936</v>
      </c>
      <c r="B158" s="423" t="s">
        <v>3943</v>
      </c>
      <c r="C158" s="581" t="s">
        <v>1318</v>
      </c>
      <c r="D158" s="134" t="s">
        <v>1395</v>
      </c>
      <c r="E158" s="134"/>
      <c r="F158" s="584" t="s">
        <v>1411</v>
      </c>
      <c r="G158" s="584" t="s">
        <v>778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ht="13.5" customHeight="1">
      <c r="A159" s="423" t="s">
        <v>3936</v>
      </c>
      <c r="B159" s="423" t="s">
        <v>3943</v>
      </c>
      <c r="C159" s="581" t="s">
        <v>1340</v>
      </c>
      <c r="D159" s="134" t="s">
        <v>1395</v>
      </c>
      <c r="E159" s="134"/>
      <c r="F159" s="584" t="s">
        <v>1414</v>
      </c>
      <c r="G159" s="584" t="s">
        <v>4094</v>
      </c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ht="13.5" customHeight="1">
      <c r="A160" s="423" t="s">
        <v>3936</v>
      </c>
      <c r="B160" s="423" t="s">
        <v>3943</v>
      </c>
      <c r="C160" s="581" t="s">
        <v>1340</v>
      </c>
      <c r="D160" s="134" t="s">
        <v>1395</v>
      </c>
      <c r="E160" s="134"/>
      <c r="F160" s="584" t="s">
        <v>1417</v>
      </c>
      <c r="G160" s="584" t="s">
        <v>4095</v>
      </c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ht="13.5" customHeight="1">
      <c r="A161" s="423" t="s">
        <v>3936</v>
      </c>
      <c r="B161" s="423" t="s">
        <v>3943</v>
      </c>
      <c r="C161" s="581" t="s">
        <v>1340</v>
      </c>
      <c r="D161" s="134" t="s">
        <v>1395</v>
      </c>
      <c r="E161" s="134"/>
      <c r="F161" s="584" t="s">
        <v>1420</v>
      </c>
      <c r="G161" s="584" t="s">
        <v>4096</v>
      </c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ht="13.5" customHeight="1">
      <c r="A162" s="423" t="s">
        <v>3936</v>
      </c>
      <c r="B162" s="423" t="s">
        <v>3943</v>
      </c>
      <c r="C162" s="581" t="s">
        <v>1340</v>
      </c>
      <c r="D162" s="134" t="s">
        <v>1395</v>
      </c>
      <c r="E162" s="134"/>
      <c r="F162" s="584" t="s">
        <v>1423</v>
      </c>
      <c r="G162" s="584" t="s">
        <v>4097</v>
      </c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ht="13.5" customHeight="1">
      <c r="A163" s="423" t="s">
        <v>3936</v>
      </c>
      <c r="B163" s="423" t="s">
        <v>3943</v>
      </c>
      <c r="C163" s="581" t="s">
        <v>1340</v>
      </c>
      <c r="D163" s="134" t="s">
        <v>1395</v>
      </c>
      <c r="E163" s="134"/>
      <c r="F163" s="584" t="s">
        <v>1426</v>
      </c>
      <c r="G163" s="584" t="s">
        <v>778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ht="13.5" customHeight="1">
      <c r="A164" s="423" t="s">
        <v>3936</v>
      </c>
      <c r="B164" s="423" t="s">
        <v>3943</v>
      </c>
      <c r="C164" s="581" t="s">
        <v>1340</v>
      </c>
      <c r="D164" s="134" t="s">
        <v>1395</v>
      </c>
      <c r="E164" s="134"/>
      <c r="F164" s="584" t="s">
        <v>1430</v>
      </c>
      <c r="G164" s="584" t="s">
        <v>778</v>
      </c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ht="13.5" customHeight="1">
      <c r="A165" s="423" t="s">
        <v>3936</v>
      </c>
      <c r="B165" s="423" t="s">
        <v>3943</v>
      </c>
      <c r="C165" s="581" t="s">
        <v>1367</v>
      </c>
      <c r="D165" s="134" t="s">
        <v>1395</v>
      </c>
      <c r="E165" s="134"/>
      <c r="F165" s="584" t="s">
        <v>1438</v>
      </c>
      <c r="G165" s="584" t="s">
        <v>4098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ht="13.5" customHeight="1">
      <c r="A166" s="423" t="s">
        <v>3936</v>
      </c>
      <c r="B166" s="423" t="s">
        <v>3943</v>
      </c>
      <c r="C166" s="581" t="s">
        <v>1367</v>
      </c>
      <c r="D166" s="134" t="s">
        <v>1395</v>
      </c>
      <c r="E166" s="134"/>
      <c r="F166" s="584" t="s">
        <v>1442</v>
      </c>
      <c r="G166" s="584" t="s">
        <v>4099</v>
      </c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ht="13.5" customHeight="1">
      <c r="A167" s="423" t="s">
        <v>3936</v>
      </c>
      <c r="B167" s="423" t="s">
        <v>3943</v>
      </c>
      <c r="C167" s="581" t="s">
        <v>1367</v>
      </c>
      <c r="D167" s="134" t="s">
        <v>1395</v>
      </c>
      <c r="E167" s="134"/>
      <c r="F167" s="584" t="s">
        <v>1446</v>
      </c>
      <c r="G167" s="584" t="s">
        <v>4100</v>
      </c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ht="13.5" customHeight="1">
      <c r="A168" s="423" t="s">
        <v>3936</v>
      </c>
      <c r="B168" s="423" t="s">
        <v>3943</v>
      </c>
      <c r="C168" s="581" t="s">
        <v>1367</v>
      </c>
      <c r="D168" s="134" t="s">
        <v>1395</v>
      </c>
      <c r="E168" s="134"/>
      <c r="F168" s="584" t="s">
        <v>1450</v>
      </c>
      <c r="G168" s="584" t="s">
        <v>4101</v>
      </c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ht="13.5" customHeight="1">
      <c r="A169" s="423" t="s">
        <v>3936</v>
      </c>
      <c r="B169" s="423" t="s">
        <v>3943</v>
      </c>
      <c r="C169" s="581" t="s">
        <v>1367</v>
      </c>
      <c r="D169" s="134" t="s">
        <v>1395</v>
      </c>
      <c r="E169" s="134"/>
      <c r="F169" s="584" t="s">
        <v>1454</v>
      </c>
      <c r="G169" s="584" t="s">
        <v>778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ht="13.5" customHeight="1">
      <c r="A170" s="423" t="s">
        <v>3936</v>
      </c>
      <c r="B170" s="423" t="s">
        <v>3943</v>
      </c>
      <c r="C170" s="581" t="s">
        <v>1367</v>
      </c>
      <c r="D170" s="134" t="s">
        <v>1395</v>
      </c>
      <c r="E170" s="134"/>
      <c r="F170" s="584" t="s">
        <v>1458</v>
      </c>
      <c r="G170" s="584" t="s">
        <v>778</v>
      </c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ht="13.5" customHeight="1">
      <c r="A171" s="423" t="s">
        <v>3936</v>
      </c>
      <c r="B171" s="423" t="s">
        <v>3943</v>
      </c>
      <c r="C171" s="581" t="s">
        <v>1318</v>
      </c>
      <c r="D171" s="134" t="s">
        <v>1465</v>
      </c>
      <c r="E171" s="134"/>
      <c r="F171" s="584" t="s">
        <v>1466</v>
      </c>
      <c r="G171" s="584" t="s">
        <v>4102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ht="13.5" customHeight="1">
      <c r="A172" s="423" t="s">
        <v>3936</v>
      </c>
      <c r="B172" s="423" t="s">
        <v>3943</v>
      </c>
      <c r="C172" s="581" t="s">
        <v>1318</v>
      </c>
      <c r="D172" s="134" t="s">
        <v>1465</v>
      </c>
      <c r="E172" s="134"/>
      <c r="F172" s="584" t="s">
        <v>1469</v>
      </c>
      <c r="G172" s="584" t="s">
        <v>4103</v>
      </c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ht="13.5" customHeight="1">
      <c r="A173" s="423" t="s">
        <v>3936</v>
      </c>
      <c r="B173" s="423" t="s">
        <v>3943</v>
      </c>
      <c r="C173" s="581" t="s">
        <v>1318</v>
      </c>
      <c r="D173" s="134" t="s">
        <v>1465</v>
      </c>
      <c r="E173" s="134"/>
      <c r="F173" s="584" t="s">
        <v>1472</v>
      </c>
      <c r="G173" s="584" t="s">
        <v>4104</v>
      </c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ht="13.5" customHeight="1">
      <c r="A174" s="423" t="s">
        <v>3936</v>
      </c>
      <c r="B174" s="423" t="s">
        <v>3943</v>
      </c>
      <c r="C174" s="581" t="s">
        <v>1318</v>
      </c>
      <c r="D174" s="134" t="s">
        <v>1465</v>
      </c>
      <c r="E174" s="134"/>
      <c r="F174" s="584" t="s">
        <v>1475</v>
      </c>
      <c r="G174" s="584" t="s">
        <v>4105</v>
      </c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ht="13.5" customHeight="1">
      <c r="A175" s="423" t="s">
        <v>3936</v>
      </c>
      <c r="B175" s="423" t="s">
        <v>3943</v>
      </c>
      <c r="C175" s="581" t="s">
        <v>1318</v>
      </c>
      <c r="D175" s="134" t="s">
        <v>1465</v>
      </c>
      <c r="E175" s="134"/>
      <c r="F175" s="584" t="s">
        <v>1478</v>
      </c>
      <c r="G175" s="584" t="s">
        <v>778</v>
      </c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ht="13.5" customHeight="1">
      <c r="A176" s="423" t="s">
        <v>3936</v>
      </c>
      <c r="B176" s="423" t="s">
        <v>3943</v>
      </c>
      <c r="C176" s="581" t="s">
        <v>1318</v>
      </c>
      <c r="D176" s="134" t="s">
        <v>1465</v>
      </c>
      <c r="E176" s="134"/>
      <c r="F176" s="584" t="s">
        <v>1481</v>
      </c>
      <c r="G176" s="584" t="s">
        <v>778</v>
      </c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ht="13.5" customHeight="1">
      <c r="A177" s="423" t="s">
        <v>3936</v>
      </c>
      <c r="B177" s="423" t="s">
        <v>3943</v>
      </c>
      <c r="C177" s="581" t="s">
        <v>1340</v>
      </c>
      <c r="D177" s="134" t="s">
        <v>1465</v>
      </c>
      <c r="E177" s="134"/>
      <c r="F177" s="584" t="s">
        <v>1484</v>
      </c>
      <c r="G177" s="584" t="s">
        <v>4106</v>
      </c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ht="13.5" customHeight="1">
      <c r="A178" s="423" t="s">
        <v>3936</v>
      </c>
      <c r="B178" s="423" t="s">
        <v>3943</v>
      </c>
      <c r="C178" s="581" t="s">
        <v>1340</v>
      </c>
      <c r="D178" s="134" t="s">
        <v>1465</v>
      </c>
      <c r="E178" s="134"/>
      <c r="F178" s="584" t="s">
        <v>1487</v>
      </c>
      <c r="G178" s="584" t="s">
        <v>4107</v>
      </c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ht="13.5" customHeight="1">
      <c r="A179" s="423" t="s">
        <v>3936</v>
      </c>
      <c r="B179" s="423" t="s">
        <v>3943</v>
      </c>
      <c r="C179" s="581" t="s">
        <v>1340</v>
      </c>
      <c r="D179" s="134" t="s">
        <v>1465</v>
      </c>
      <c r="E179" s="134"/>
      <c r="F179" s="584" t="s">
        <v>1490</v>
      </c>
      <c r="G179" s="584" t="s">
        <v>4108</v>
      </c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ht="13.5" customHeight="1">
      <c r="A180" s="423" t="s">
        <v>3936</v>
      </c>
      <c r="B180" s="423" t="s">
        <v>3943</v>
      </c>
      <c r="C180" s="581" t="s">
        <v>1340</v>
      </c>
      <c r="D180" s="134" t="s">
        <v>1465</v>
      </c>
      <c r="E180" s="134"/>
      <c r="F180" s="584" t="s">
        <v>1493</v>
      </c>
      <c r="G180" s="584" t="s">
        <v>4109</v>
      </c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ht="13.5" customHeight="1">
      <c r="A181" s="423" t="s">
        <v>3936</v>
      </c>
      <c r="B181" s="423" t="s">
        <v>3943</v>
      </c>
      <c r="C181" s="581" t="s">
        <v>1340</v>
      </c>
      <c r="D181" s="134" t="s">
        <v>1465</v>
      </c>
      <c r="E181" s="134"/>
      <c r="F181" s="584" t="s">
        <v>1496</v>
      </c>
      <c r="G181" s="584" t="s">
        <v>778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ht="13.5" customHeight="1">
      <c r="A182" s="423" t="s">
        <v>3936</v>
      </c>
      <c r="B182" s="423" t="s">
        <v>3943</v>
      </c>
      <c r="C182" s="581" t="s">
        <v>1340</v>
      </c>
      <c r="D182" s="134" t="s">
        <v>1465</v>
      </c>
      <c r="E182" s="134"/>
      <c r="F182" s="584" t="s">
        <v>1499</v>
      </c>
      <c r="G182" s="584" t="s">
        <v>778</v>
      </c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ht="13.5" customHeight="1">
      <c r="A183" s="423" t="s">
        <v>3936</v>
      </c>
      <c r="B183" s="423" t="s">
        <v>3943</v>
      </c>
      <c r="C183" s="581" t="s">
        <v>1367</v>
      </c>
      <c r="D183" s="134" t="s">
        <v>1465</v>
      </c>
      <c r="E183" s="134"/>
      <c r="F183" s="584" t="s">
        <v>1502</v>
      </c>
      <c r="G183" s="584" t="s">
        <v>4110</v>
      </c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ht="13.5" customHeight="1">
      <c r="A184" s="423" t="s">
        <v>3936</v>
      </c>
      <c r="B184" s="423" t="s">
        <v>3943</v>
      </c>
      <c r="C184" s="581" t="s">
        <v>1367</v>
      </c>
      <c r="D184" s="134" t="s">
        <v>1465</v>
      </c>
      <c r="E184" s="134"/>
      <c r="F184" s="584" t="s">
        <v>1505</v>
      </c>
      <c r="G184" s="584" t="s">
        <v>4111</v>
      </c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ht="13.5" customHeight="1">
      <c r="A185" s="423" t="s">
        <v>3936</v>
      </c>
      <c r="B185" s="423" t="s">
        <v>3943</v>
      </c>
      <c r="C185" s="581" t="s">
        <v>1367</v>
      </c>
      <c r="D185" s="134" t="s">
        <v>1465</v>
      </c>
      <c r="E185" s="134"/>
      <c r="F185" s="584" t="s">
        <v>1508</v>
      </c>
      <c r="G185" s="584" t="s">
        <v>4112</v>
      </c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ht="13.5" customHeight="1">
      <c r="A186" s="423" t="s">
        <v>3936</v>
      </c>
      <c r="B186" s="423" t="s">
        <v>3943</v>
      </c>
      <c r="C186" s="581" t="s">
        <v>1367</v>
      </c>
      <c r="D186" s="134" t="s">
        <v>1465</v>
      </c>
      <c r="E186" s="134"/>
      <c r="F186" s="584" t="s">
        <v>1511</v>
      </c>
      <c r="G186" s="584" t="s">
        <v>4113</v>
      </c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ht="13.5" customHeight="1">
      <c r="A187" s="423" t="s">
        <v>3936</v>
      </c>
      <c r="B187" s="423" t="s">
        <v>3943</v>
      </c>
      <c r="C187" s="581" t="s">
        <v>1367</v>
      </c>
      <c r="D187" s="134" t="s">
        <v>1465</v>
      </c>
      <c r="E187" s="134"/>
      <c r="F187" s="584" t="s">
        <v>1514</v>
      </c>
      <c r="G187" s="584" t="s">
        <v>778</v>
      </c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ht="13.5" customHeight="1">
      <c r="A188" s="423" t="s">
        <v>3936</v>
      </c>
      <c r="B188" s="423" t="s">
        <v>3943</v>
      </c>
      <c r="C188" s="581" t="s">
        <v>1367</v>
      </c>
      <c r="D188" s="134" t="s">
        <v>1465</v>
      </c>
      <c r="E188" s="134"/>
      <c r="F188" s="584" t="s">
        <v>1517</v>
      </c>
      <c r="G188" s="584" t="s">
        <v>778</v>
      </c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ht="13.5" customHeight="1">
      <c r="A189" s="423" t="s">
        <v>3936</v>
      </c>
      <c r="B189" s="423" t="s">
        <v>3943</v>
      </c>
      <c r="C189" s="581" t="s">
        <v>1318</v>
      </c>
      <c r="D189" s="134" t="s">
        <v>1520</v>
      </c>
      <c r="E189" s="134"/>
      <c r="F189" s="584" t="s">
        <v>1521</v>
      </c>
      <c r="G189" s="584" t="s">
        <v>4114</v>
      </c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ht="13.5" customHeight="1">
      <c r="A190" s="423" t="s">
        <v>3936</v>
      </c>
      <c r="B190" s="423" t="s">
        <v>3943</v>
      </c>
      <c r="C190" s="581" t="s">
        <v>1318</v>
      </c>
      <c r="D190" s="134" t="s">
        <v>1520</v>
      </c>
      <c r="E190" s="134"/>
      <c r="F190" s="584" t="s">
        <v>1524</v>
      </c>
      <c r="G190" s="584" t="s">
        <v>4115</v>
      </c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ht="13.5" customHeight="1">
      <c r="A191" s="423" t="s">
        <v>3936</v>
      </c>
      <c r="B191" s="423" t="s">
        <v>3943</v>
      </c>
      <c r="C191" s="581" t="s">
        <v>1318</v>
      </c>
      <c r="D191" s="134" t="s">
        <v>1520</v>
      </c>
      <c r="E191" s="134"/>
      <c r="F191" s="584" t="s">
        <v>1527</v>
      </c>
      <c r="G191" s="584" t="s">
        <v>4116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ht="13.5" customHeight="1">
      <c r="A192" s="423" t="s">
        <v>3936</v>
      </c>
      <c r="B192" s="423" t="s">
        <v>3943</v>
      </c>
      <c r="C192" s="581" t="s">
        <v>1318</v>
      </c>
      <c r="D192" s="134" t="s">
        <v>1520</v>
      </c>
      <c r="E192" s="134"/>
      <c r="F192" s="584" t="s">
        <v>1530</v>
      </c>
      <c r="G192" s="584" t="s">
        <v>4117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ht="13.5" customHeight="1">
      <c r="A193" s="423" t="s">
        <v>3936</v>
      </c>
      <c r="B193" s="423" t="s">
        <v>3943</v>
      </c>
      <c r="C193" s="581" t="s">
        <v>1318</v>
      </c>
      <c r="D193" s="134" t="s">
        <v>1520</v>
      </c>
      <c r="E193" s="134"/>
      <c r="F193" s="584" t="s">
        <v>1533</v>
      </c>
      <c r="G193" s="584" t="s">
        <v>778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ht="13.5" customHeight="1">
      <c r="A194" s="423" t="s">
        <v>3936</v>
      </c>
      <c r="B194" s="423" t="s">
        <v>3943</v>
      </c>
      <c r="C194" s="581" t="s">
        <v>1318</v>
      </c>
      <c r="D194" s="134" t="s">
        <v>1520</v>
      </c>
      <c r="E194" s="134"/>
      <c r="F194" s="584" t="s">
        <v>1536</v>
      </c>
      <c r="G194" s="584" t="s">
        <v>778</v>
      </c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ht="13.5" customHeight="1">
      <c r="A195" s="423" t="s">
        <v>3936</v>
      </c>
      <c r="B195" s="423" t="s">
        <v>3943</v>
      </c>
      <c r="C195" s="581" t="s">
        <v>1340</v>
      </c>
      <c r="D195" s="134" t="s">
        <v>1520</v>
      </c>
      <c r="E195" s="134"/>
      <c r="F195" s="584" t="s">
        <v>1539</v>
      </c>
      <c r="G195" s="584" t="s">
        <v>4118</v>
      </c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ht="13.5" customHeight="1">
      <c r="A196" s="423" t="s">
        <v>3936</v>
      </c>
      <c r="B196" s="423" t="s">
        <v>3943</v>
      </c>
      <c r="C196" s="581" t="s">
        <v>1340</v>
      </c>
      <c r="D196" s="134" t="s">
        <v>1520</v>
      </c>
      <c r="E196" s="134"/>
      <c r="F196" s="584" t="s">
        <v>1543</v>
      </c>
      <c r="G196" s="584" t="s">
        <v>4119</v>
      </c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ht="13.5" customHeight="1">
      <c r="A197" s="423" t="s">
        <v>3936</v>
      </c>
      <c r="B197" s="423" t="s">
        <v>3943</v>
      </c>
      <c r="C197" s="581" t="s">
        <v>1340</v>
      </c>
      <c r="D197" s="134" t="s">
        <v>1520</v>
      </c>
      <c r="E197" s="134"/>
      <c r="F197" s="584" t="s">
        <v>1546</v>
      </c>
      <c r="G197" s="584" t="s">
        <v>4120</v>
      </c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ht="13.5" customHeight="1">
      <c r="A198" s="423" t="s">
        <v>3936</v>
      </c>
      <c r="B198" s="423" t="s">
        <v>3943</v>
      </c>
      <c r="C198" s="581" t="s">
        <v>1340</v>
      </c>
      <c r="D198" s="134" t="s">
        <v>1520</v>
      </c>
      <c r="E198" s="134"/>
      <c r="F198" s="584" t="s">
        <v>1549</v>
      </c>
      <c r="G198" s="584" t="s">
        <v>4121</v>
      </c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ht="13.5" customHeight="1">
      <c r="A199" s="423" t="s">
        <v>3936</v>
      </c>
      <c r="B199" s="423" t="s">
        <v>3943</v>
      </c>
      <c r="C199" s="581" t="s">
        <v>1340</v>
      </c>
      <c r="D199" s="134" t="s">
        <v>1520</v>
      </c>
      <c r="E199" s="134"/>
      <c r="F199" s="584" t="s">
        <v>1552</v>
      </c>
      <c r="G199" s="584" t="s">
        <v>778</v>
      </c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ht="13.5" customHeight="1">
      <c r="A200" s="423" t="s">
        <v>3936</v>
      </c>
      <c r="B200" s="423" t="s">
        <v>3943</v>
      </c>
      <c r="C200" s="581" t="s">
        <v>1340</v>
      </c>
      <c r="D200" s="134" t="s">
        <v>1520</v>
      </c>
      <c r="E200" s="134"/>
      <c r="F200" s="584" t="s">
        <v>1556</v>
      </c>
      <c r="G200" s="584" t="s">
        <v>778</v>
      </c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ht="13.5" customHeight="1">
      <c r="A201" s="423" t="s">
        <v>3936</v>
      </c>
      <c r="B201" s="423" t="s">
        <v>3943</v>
      </c>
      <c r="C201" s="581" t="s">
        <v>1367</v>
      </c>
      <c r="D201" s="134" t="s">
        <v>1520</v>
      </c>
      <c r="E201" s="134"/>
      <c r="F201" s="584" t="s">
        <v>1564</v>
      </c>
      <c r="G201" s="584" t="s">
        <v>4122</v>
      </c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ht="13.5" customHeight="1">
      <c r="A202" s="423" t="s">
        <v>3936</v>
      </c>
      <c r="B202" s="423" t="s">
        <v>3943</v>
      </c>
      <c r="C202" s="581" t="s">
        <v>1367</v>
      </c>
      <c r="D202" s="134" t="s">
        <v>1520</v>
      </c>
      <c r="E202" s="134"/>
      <c r="F202" s="584" t="s">
        <v>1568</v>
      </c>
      <c r="G202" s="584" t="s">
        <v>4123</v>
      </c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ht="13.5" customHeight="1">
      <c r="A203" s="423" t="s">
        <v>3936</v>
      </c>
      <c r="B203" s="423" t="s">
        <v>3943</v>
      </c>
      <c r="C203" s="581" t="s">
        <v>1367</v>
      </c>
      <c r="D203" s="134" t="s">
        <v>1520</v>
      </c>
      <c r="E203" s="134"/>
      <c r="F203" s="584" t="s">
        <v>1571</v>
      </c>
      <c r="G203" s="584" t="s">
        <v>4124</v>
      </c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ht="13.5" customHeight="1">
      <c r="A204" s="423" t="s">
        <v>3936</v>
      </c>
      <c r="B204" s="423" t="s">
        <v>3943</v>
      </c>
      <c r="C204" s="581" t="s">
        <v>1367</v>
      </c>
      <c r="D204" s="134" t="s">
        <v>1520</v>
      </c>
      <c r="E204" s="134"/>
      <c r="F204" s="584" t="s">
        <v>1575</v>
      </c>
      <c r="G204" s="584" t="s">
        <v>4125</v>
      </c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ht="13.5" customHeight="1">
      <c r="A205" s="423" t="s">
        <v>3936</v>
      </c>
      <c r="B205" s="423" t="s">
        <v>3943</v>
      </c>
      <c r="C205" s="581" t="s">
        <v>1367</v>
      </c>
      <c r="D205" s="134" t="s">
        <v>1520</v>
      </c>
      <c r="E205" s="134"/>
      <c r="F205" s="584" t="s">
        <v>1579</v>
      </c>
      <c r="G205" s="584" t="s">
        <v>778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ht="13.5" customHeight="1">
      <c r="A206" s="423" t="s">
        <v>3936</v>
      </c>
      <c r="B206" s="423" t="s">
        <v>3943</v>
      </c>
      <c r="C206" s="581" t="s">
        <v>1367</v>
      </c>
      <c r="D206" s="134" t="s">
        <v>1520</v>
      </c>
      <c r="E206" s="134"/>
      <c r="F206" s="584" t="s">
        <v>1583</v>
      </c>
      <c r="G206" s="584" t="s">
        <v>778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ht="13.5" customHeight="1">
      <c r="A207" s="423" t="s">
        <v>3936</v>
      </c>
      <c r="B207" s="423" t="s">
        <v>3943</v>
      </c>
      <c r="C207" s="581" t="s">
        <v>1367</v>
      </c>
      <c r="D207" s="134" t="s">
        <v>1520</v>
      </c>
      <c r="E207" s="134"/>
      <c r="F207" s="584" t="s">
        <v>1564</v>
      </c>
      <c r="G207" s="584" t="s">
        <v>4122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ht="13.5" customHeight="1">
      <c r="A208" s="423" t="s">
        <v>3936</v>
      </c>
      <c r="B208" s="423" t="s">
        <v>3943</v>
      </c>
      <c r="C208" s="581" t="s">
        <v>1367</v>
      </c>
      <c r="D208" s="134" t="s">
        <v>1520</v>
      </c>
      <c r="E208" s="134"/>
      <c r="F208" s="584" t="s">
        <v>1568</v>
      </c>
      <c r="G208" s="584" t="s">
        <v>4123</v>
      </c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ht="13.5" customHeight="1">
      <c r="A209" s="423" t="s">
        <v>3936</v>
      </c>
      <c r="B209" s="423" t="s">
        <v>3943</v>
      </c>
      <c r="C209" s="581" t="s">
        <v>1367</v>
      </c>
      <c r="D209" s="134" t="s">
        <v>1520</v>
      </c>
      <c r="E209" s="134"/>
      <c r="F209" s="584" t="s">
        <v>1571</v>
      </c>
      <c r="G209" s="584" t="s">
        <v>4124</v>
      </c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ht="13.5" customHeight="1">
      <c r="A210" s="423" t="s">
        <v>3936</v>
      </c>
      <c r="B210" s="423" t="s">
        <v>3943</v>
      </c>
      <c r="C210" s="581" t="s">
        <v>1367</v>
      </c>
      <c r="D210" s="134" t="s">
        <v>1520</v>
      </c>
      <c r="E210" s="134"/>
      <c r="F210" s="584" t="s">
        <v>1575</v>
      </c>
      <c r="G210" s="584" t="s">
        <v>4125</v>
      </c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ht="13.5" customHeight="1">
      <c r="A211" s="423" t="s">
        <v>3936</v>
      </c>
      <c r="B211" s="423" t="s">
        <v>3943</v>
      </c>
      <c r="C211" s="581" t="s">
        <v>1367</v>
      </c>
      <c r="D211" s="134" t="s">
        <v>1520</v>
      </c>
      <c r="E211" s="134"/>
      <c r="F211" s="584" t="s">
        <v>1579</v>
      </c>
      <c r="G211" s="584" t="s">
        <v>778</v>
      </c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ht="13.5" customHeight="1">
      <c r="A212" s="423" t="s">
        <v>3936</v>
      </c>
      <c r="B212" s="423" t="s">
        <v>3943</v>
      </c>
      <c r="C212" s="581" t="s">
        <v>1318</v>
      </c>
      <c r="D212" s="134" t="s">
        <v>1591</v>
      </c>
      <c r="E212" s="134"/>
      <c r="F212" s="584" t="s">
        <v>1521</v>
      </c>
      <c r="G212" s="584" t="s">
        <v>4114</v>
      </c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ht="13.5" customHeight="1">
      <c r="A213" s="423" t="s">
        <v>3936</v>
      </c>
      <c r="B213" s="423" t="s">
        <v>3943</v>
      </c>
      <c r="C213" s="581" t="s">
        <v>1318</v>
      </c>
      <c r="D213" s="134" t="s">
        <v>1591</v>
      </c>
      <c r="E213" s="134"/>
      <c r="F213" s="584" t="s">
        <v>1524</v>
      </c>
      <c r="G213" s="584" t="s">
        <v>4115</v>
      </c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ht="13.5" customHeight="1">
      <c r="A214" s="423" t="s">
        <v>3936</v>
      </c>
      <c r="B214" s="423" t="s">
        <v>3943</v>
      </c>
      <c r="C214" s="581" t="s">
        <v>1318</v>
      </c>
      <c r="D214" s="134" t="s">
        <v>1591</v>
      </c>
      <c r="E214" s="134"/>
      <c r="F214" s="584" t="s">
        <v>1527</v>
      </c>
      <c r="G214" s="584" t="s">
        <v>4116</v>
      </c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ht="13.5" customHeight="1">
      <c r="A215" s="423" t="s">
        <v>3936</v>
      </c>
      <c r="B215" s="423" t="s">
        <v>3943</v>
      </c>
      <c r="C215" s="581" t="s">
        <v>1318</v>
      </c>
      <c r="D215" s="134" t="s">
        <v>1591</v>
      </c>
      <c r="E215" s="134"/>
      <c r="F215" s="584" t="s">
        <v>1530</v>
      </c>
      <c r="G215" s="584" t="s">
        <v>4117</v>
      </c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ht="13.5" customHeight="1">
      <c r="A216" s="423" t="s">
        <v>3936</v>
      </c>
      <c r="B216" s="423" t="s">
        <v>3943</v>
      </c>
      <c r="C216" s="581" t="s">
        <v>1318</v>
      </c>
      <c r="D216" s="134" t="s">
        <v>1591</v>
      </c>
      <c r="E216" s="134"/>
      <c r="F216" s="584" t="s">
        <v>1533</v>
      </c>
      <c r="G216" s="584" t="s">
        <v>778</v>
      </c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ht="13.5" customHeight="1">
      <c r="A217" s="423" t="s">
        <v>3936</v>
      </c>
      <c r="B217" s="423" t="s">
        <v>3943</v>
      </c>
      <c r="C217" s="581" t="s">
        <v>1318</v>
      </c>
      <c r="D217" s="134" t="s">
        <v>1591</v>
      </c>
      <c r="E217" s="134"/>
      <c r="F217" s="584" t="s">
        <v>1536</v>
      </c>
      <c r="G217" s="584" t="s">
        <v>778</v>
      </c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ht="13.5" customHeight="1">
      <c r="A218" s="423" t="s">
        <v>3936</v>
      </c>
      <c r="B218" s="423" t="s">
        <v>3943</v>
      </c>
      <c r="C218" s="581" t="s">
        <v>1340</v>
      </c>
      <c r="D218" s="134" t="s">
        <v>1591</v>
      </c>
      <c r="E218" s="134"/>
      <c r="F218" s="584" t="s">
        <v>1539</v>
      </c>
      <c r="G218" s="584" t="s">
        <v>4118</v>
      </c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ht="13.5" customHeight="1">
      <c r="A219" s="423" t="s">
        <v>3936</v>
      </c>
      <c r="B219" s="423" t="s">
        <v>3943</v>
      </c>
      <c r="C219" s="581" t="s">
        <v>1340</v>
      </c>
      <c r="D219" s="134" t="s">
        <v>1591</v>
      </c>
      <c r="E219" s="134"/>
      <c r="F219" s="584" t="s">
        <v>1543</v>
      </c>
      <c r="G219" s="584" t="s">
        <v>4119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ht="13.5" customHeight="1">
      <c r="A220" s="423" t="s">
        <v>3936</v>
      </c>
      <c r="B220" s="423" t="s">
        <v>3943</v>
      </c>
      <c r="C220" s="581" t="s">
        <v>1340</v>
      </c>
      <c r="D220" s="134" t="s">
        <v>1591</v>
      </c>
      <c r="E220" s="134"/>
      <c r="F220" s="584" t="s">
        <v>1546</v>
      </c>
      <c r="G220" s="584" t="s">
        <v>4120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ht="13.5" customHeight="1">
      <c r="A221" s="423" t="s">
        <v>3936</v>
      </c>
      <c r="B221" s="423" t="s">
        <v>3943</v>
      </c>
      <c r="C221" s="581" t="s">
        <v>1340</v>
      </c>
      <c r="D221" s="134" t="s">
        <v>1591</v>
      </c>
      <c r="E221" s="134"/>
      <c r="F221" s="584" t="s">
        <v>1549</v>
      </c>
      <c r="G221" s="584" t="s">
        <v>4121</v>
      </c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ht="13.5" customHeight="1">
      <c r="A222" s="423" t="s">
        <v>3936</v>
      </c>
      <c r="B222" s="423" t="s">
        <v>3943</v>
      </c>
      <c r="C222" s="581" t="s">
        <v>1340</v>
      </c>
      <c r="D222" s="134" t="s">
        <v>1591</v>
      </c>
      <c r="E222" s="134"/>
      <c r="F222" s="584" t="s">
        <v>1552</v>
      </c>
      <c r="G222" s="584" t="s">
        <v>778</v>
      </c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ht="13.5" customHeight="1">
      <c r="A223" s="423" t="s">
        <v>3936</v>
      </c>
      <c r="B223" s="423" t="s">
        <v>3943</v>
      </c>
      <c r="C223" s="581" t="s">
        <v>1340</v>
      </c>
      <c r="D223" s="134" t="s">
        <v>1591</v>
      </c>
      <c r="E223" s="134"/>
      <c r="F223" s="584" t="s">
        <v>1556</v>
      </c>
      <c r="G223" s="584" t="s">
        <v>778</v>
      </c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ht="13.5" customHeight="1">
      <c r="A224" s="423" t="s">
        <v>3936</v>
      </c>
      <c r="B224" s="423" t="s">
        <v>3943</v>
      </c>
      <c r="C224" s="581" t="s">
        <v>1367</v>
      </c>
      <c r="D224" s="134" t="s">
        <v>1591</v>
      </c>
      <c r="E224" s="134"/>
      <c r="F224" s="584" t="s">
        <v>1564</v>
      </c>
      <c r="G224" s="584" t="s">
        <v>4122</v>
      </c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ht="13.5" customHeight="1">
      <c r="A225" s="423" t="s">
        <v>3936</v>
      </c>
      <c r="B225" s="423" t="s">
        <v>3943</v>
      </c>
      <c r="C225" s="581" t="s">
        <v>1367</v>
      </c>
      <c r="D225" s="134" t="s">
        <v>1591</v>
      </c>
      <c r="E225" s="134"/>
      <c r="F225" s="584" t="s">
        <v>1568</v>
      </c>
      <c r="G225" s="584" t="s">
        <v>4123</v>
      </c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ht="13.5" customHeight="1">
      <c r="A226" s="423" t="s">
        <v>3936</v>
      </c>
      <c r="B226" s="423" t="s">
        <v>3943</v>
      </c>
      <c r="C226" s="581" t="s">
        <v>1367</v>
      </c>
      <c r="D226" s="134" t="s">
        <v>1591</v>
      </c>
      <c r="E226" s="134"/>
      <c r="F226" s="584" t="s">
        <v>1571</v>
      </c>
      <c r="G226" s="584" t="s">
        <v>4124</v>
      </c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ht="13.5" customHeight="1">
      <c r="A227" s="423" t="s">
        <v>3936</v>
      </c>
      <c r="B227" s="423" t="s">
        <v>3943</v>
      </c>
      <c r="C227" s="581" t="s">
        <v>1367</v>
      </c>
      <c r="D227" s="134" t="s">
        <v>1591</v>
      </c>
      <c r="E227" s="134"/>
      <c r="F227" s="584" t="s">
        <v>1575</v>
      </c>
      <c r="G227" s="584" t="s">
        <v>4125</v>
      </c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ht="13.5" customHeight="1">
      <c r="A228" s="423" t="s">
        <v>3936</v>
      </c>
      <c r="B228" s="423" t="s">
        <v>3943</v>
      </c>
      <c r="C228" s="581" t="s">
        <v>1367</v>
      </c>
      <c r="D228" s="134" t="s">
        <v>1591</v>
      </c>
      <c r="E228" s="134"/>
      <c r="F228" s="584" t="s">
        <v>1579</v>
      </c>
      <c r="G228" s="584" t="s">
        <v>778</v>
      </c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ht="13.5" customHeight="1">
      <c r="A229" s="423" t="s">
        <v>3936</v>
      </c>
      <c r="B229" s="423" t="s">
        <v>3943</v>
      </c>
      <c r="C229" s="581" t="s">
        <v>1367</v>
      </c>
      <c r="D229" s="134" t="s">
        <v>1591</v>
      </c>
      <c r="E229" s="134"/>
      <c r="F229" s="584" t="s">
        <v>1583</v>
      </c>
      <c r="G229" s="584" t="s">
        <v>778</v>
      </c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ht="13.5" customHeight="1">
      <c r="A230" s="423" t="s">
        <v>3936</v>
      </c>
      <c r="B230" s="423" t="s">
        <v>3943</v>
      </c>
      <c r="C230" s="581" t="s">
        <v>1367</v>
      </c>
      <c r="D230" s="134" t="s">
        <v>1591</v>
      </c>
      <c r="E230" s="134"/>
      <c r="F230" s="584" t="s">
        <v>1564</v>
      </c>
      <c r="G230" s="584" t="s">
        <v>4122</v>
      </c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ht="13.5" customHeight="1">
      <c r="A231" s="423" t="s">
        <v>3936</v>
      </c>
      <c r="B231" s="423" t="s">
        <v>3943</v>
      </c>
      <c r="C231" s="581" t="s">
        <v>1367</v>
      </c>
      <c r="D231" s="134" t="s">
        <v>1591</v>
      </c>
      <c r="E231" s="134"/>
      <c r="F231" s="584" t="s">
        <v>1568</v>
      </c>
      <c r="G231" s="584" t="s">
        <v>4123</v>
      </c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ht="13.5" customHeight="1">
      <c r="A232" s="423" t="s">
        <v>3936</v>
      </c>
      <c r="B232" s="423" t="s">
        <v>3943</v>
      </c>
      <c r="C232" s="581" t="s">
        <v>1367</v>
      </c>
      <c r="D232" s="134" t="s">
        <v>1591</v>
      </c>
      <c r="E232" s="134"/>
      <c r="F232" s="584" t="s">
        <v>1571</v>
      </c>
      <c r="G232" s="584" t="s">
        <v>4124</v>
      </c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ht="13.5" customHeight="1">
      <c r="A233" s="423" t="s">
        <v>3936</v>
      </c>
      <c r="B233" s="423" t="s">
        <v>3943</v>
      </c>
      <c r="C233" s="581" t="s">
        <v>1367</v>
      </c>
      <c r="D233" s="134" t="s">
        <v>1591</v>
      </c>
      <c r="E233" s="134"/>
      <c r="F233" s="584" t="s">
        <v>1575</v>
      </c>
      <c r="G233" s="584" t="s">
        <v>4125</v>
      </c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ht="13.5" customHeight="1">
      <c r="A234" s="423" t="s">
        <v>3936</v>
      </c>
      <c r="B234" s="423" t="s">
        <v>3943</v>
      </c>
      <c r="C234" s="581" t="s">
        <v>1367</v>
      </c>
      <c r="D234" s="134" t="s">
        <v>1591</v>
      </c>
      <c r="E234" s="134"/>
      <c r="F234" s="584" t="s">
        <v>1579</v>
      </c>
      <c r="G234" s="584" t="s">
        <v>778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ht="13.5" customHeight="1">
      <c r="A235" s="423" t="s">
        <v>3936</v>
      </c>
      <c r="B235" s="423" t="s">
        <v>3948</v>
      </c>
      <c r="C235" s="423" t="s">
        <v>3948</v>
      </c>
      <c r="D235" s="134"/>
      <c r="E235" s="134"/>
      <c r="F235" s="584" t="s">
        <v>1634</v>
      </c>
      <c r="G235" s="584" t="s">
        <v>4126</v>
      </c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ht="13.5" customHeight="1">
      <c r="A236" s="423" t="s">
        <v>3936</v>
      </c>
      <c r="B236" s="423" t="s">
        <v>3948</v>
      </c>
      <c r="C236" s="423" t="s">
        <v>3948</v>
      </c>
      <c r="D236" s="134"/>
      <c r="E236" s="134"/>
      <c r="F236" s="584" t="s">
        <v>1639</v>
      </c>
      <c r="G236" s="584" t="s">
        <v>4127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ht="13.5" customHeight="1">
      <c r="A237" s="423" t="s">
        <v>3936</v>
      </c>
      <c r="B237" s="423" t="s">
        <v>3948</v>
      </c>
      <c r="C237" s="423" t="s">
        <v>3948</v>
      </c>
      <c r="D237" s="134"/>
      <c r="E237" s="134"/>
      <c r="F237" s="584" t="s">
        <v>1713</v>
      </c>
      <c r="G237" s="584" t="s">
        <v>778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ht="13.5" customHeight="1">
      <c r="A238" s="423" t="s">
        <v>3936</v>
      </c>
      <c r="B238" s="423" t="s">
        <v>3948</v>
      </c>
      <c r="C238" s="423" t="s">
        <v>3948</v>
      </c>
      <c r="D238" s="134"/>
      <c r="E238" s="134"/>
      <c r="F238" s="584" t="s">
        <v>1718</v>
      </c>
      <c r="G238" s="584" t="s">
        <v>778</v>
      </c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ht="13.5" customHeight="1">
      <c r="A239" s="423" t="s">
        <v>3936</v>
      </c>
      <c r="B239" s="423" t="s">
        <v>3948</v>
      </c>
      <c r="C239" s="423" t="s">
        <v>3948</v>
      </c>
      <c r="D239" s="134"/>
      <c r="E239" s="134"/>
      <c r="F239" s="584" t="s">
        <v>1722</v>
      </c>
      <c r="G239" s="584" t="s">
        <v>778</v>
      </c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ht="13.5" customHeight="1">
      <c r="A240" s="423" t="s">
        <v>3936</v>
      </c>
      <c r="B240" s="423" t="s">
        <v>3948</v>
      </c>
      <c r="C240" s="423" t="s">
        <v>3948</v>
      </c>
      <c r="D240" s="134"/>
      <c r="E240" s="134"/>
      <c r="F240" s="584" t="s">
        <v>1726</v>
      </c>
      <c r="G240" s="584" t="s">
        <v>778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ht="13.5" customHeight="1">
      <c r="A241" s="423" t="s">
        <v>3936</v>
      </c>
      <c r="B241" s="423" t="s">
        <v>3948</v>
      </c>
      <c r="C241" s="423" t="s">
        <v>3948</v>
      </c>
      <c r="D241" s="134"/>
      <c r="E241" s="134"/>
      <c r="F241" s="584" t="s">
        <v>1742</v>
      </c>
      <c r="G241" s="584" t="s">
        <v>778</v>
      </c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ht="13.5" customHeight="1">
      <c r="A242" s="423" t="s">
        <v>3936</v>
      </c>
      <c r="B242" s="423" t="s">
        <v>3948</v>
      </c>
      <c r="C242" s="423" t="s">
        <v>3948</v>
      </c>
      <c r="D242" s="134"/>
      <c r="E242" s="134"/>
      <c r="F242" s="584" t="s">
        <v>1745</v>
      </c>
      <c r="G242" s="584" t="s">
        <v>778</v>
      </c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ht="13.5" customHeight="1">
      <c r="A243" s="423" t="s">
        <v>3936</v>
      </c>
      <c r="B243" s="423" t="s">
        <v>3948</v>
      </c>
      <c r="C243" s="423" t="s">
        <v>3948</v>
      </c>
      <c r="D243" s="134"/>
      <c r="E243" s="134"/>
      <c r="F243" s="584" t="s">
        <v>1749</v>
      </c>
      <c r="G243" s="584" t="s">
        <v>778</v>
      </c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ht="13.5" customHeight="1">
      <c r="A244" s="423" t="s">
        <v>3936</v>
      </c>
      <c r="B244" s="423" t="s">
        <v>3948</v>
      </c>
      <c r="C244" s="423" t="s">
        <v>3948</v>
      </c>
      <c r="D244" s="134"/>
      <c r="E244" s="134"/>
      <c r="F244" s="584" t="s">
        <v>1753</v>
      </c>
      <c r="G244" s="584" t="s">
        <v>778</v>
      </c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ht="13.5" customHeight="1">
      <c r="A245" s="423" t="s">
        <v>3936</v>
      </c>
      <c r="B245" s="423" t="s">
        <v>3948</v>
      </c>
      <c r="C245" s="423" t="s">
        <v>3948</v>
      </c>
      <c r="D245" s="134" t="s">
        <v>1340</v>
      </c>
      <c r="E245" s="134"/>
      <c r="F245" s="584" t="s">
        <v>1758</v>
      </c>
      <c r="G245" s="584" t="s">
        <v>4128</v>
      </c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ht="13.5" customHeight="1">
      <c r="A246" s="423" t="s">
        <v>3936</v>
      </c>
      <c r="B246" s="423" t="s">
        <v>3948</v>
      </c>
      <c r="C246" s="423" t="s">
        <v>3948</v>
      </c>
      <c r="D246" s="134" t="s">
        <v>1340</v>
      </c>
      <c r="E246" s="134"/>
      <c r="F246" s="584" t="s">
        <v>1762</v>
      </c>
      <c r="G246" s="584" t="s">
        <v>4129</v>
      </c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ht="13.5" customHeight="1">
      <c r="A247" s="423" t="s">
        <v>3936</v>
      </c>
      <c r="B247" s="423" t="s">
        <v>3948</v>
      </c>
      <c r="C247" s="423" t="s">
        <v>3948</v>
      </c>
      <c r="D247" s="134" t="s">
        <v>1340</v>
      </c>
      <c r="E247" s="134"/>
      <c r="F247" s="584" t="s">
        <v>1766</v>
      </c>
      <c r="G247" s="584" t="s">
        <v>4130</v>
      </c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ht="13.5" customHeight="1">
      <c r="A248" s="423" t="s">
        <v>3936</v>
      </c>
      <c r="B248" s="423" t="s">
        <v>3948</v>
      </c>
      <c r="C248" s="423" t="s">
        <v>3948</v>
      </c>
      <c r="D248" s="134" t="s">
        <v>1340</v>
      </c>
      <c r="E248" s="134"/>
      <c r="F248" s="584" t="s">
        <v>1770</v>
      </c>
      <c r="G248" s="584" t="s">
        <v>4131</v>
      </c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ht="13.5" customHeight="1">
      <c r="A249" s="423" t="s">
        <v>3936</v>
      </c>
      <c r="B249" s="423" t="s">
        <v>3948</v>
      </c>
      <c r="C249" s="423" t="s">
        <v>3948</v>
      </c>
      <c r="D249" s="134" t="s">
        <v>1663</v>
      </c>
      <c r="E249" s="134"/>
      <c r="F249" s="584" t="s">
        <v>1774</v>
      </c>
      <c r="G249" s="584" t="s">
        <v>4132</v>
      </c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ht="13.5" customHeight="1">
      <c r="A250" s="423" t="s">
        <v>3936</v>
      </c>
      <c r="B250" s="423" t="s">
        <v>3948</v>
      </c>
      <c r="C250" s="423" t="s">
        <v>3948</v>
      </c>
      <c r="D250" s="134" t="s">
        <v>1288</v>
      </c>
      <c r="E250" s="423"/>
      <c r="F250" s="583" t="s">
        <v>1793</v>
      </c>
      <c r="G250" s="583" t="s">
        <v>4133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ht="13.5" customHeight="1">
      <c r="A251" s="423" t="s">
        <v>3936</v>
      </c>
      <c r="B251" s="423" t="s">
        <v>3948</v>
      </c>
      <c r="C251" s="423" t="s">
        <v>3948</v>
      </c>
      <c r="D251" s="134" t="s">
        <v>1288</v>
      </c>
      <c r="E251" s="423"/>
      <c r="F251" s="583" t="s">
        <v>1798</v>
      </c>
      <c r="G251" s="583" t="s">
        <v>4134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ht="13.5" customHeight="1">
      <c r="A252" s="423" t="s">
        <v>3936</v>
      </c>
      <c r="B252" s="423" t="s">
        <v>3948</v>
      </c>
      <c r="C252" s="423" t="s">
        <v>3948</v>
      </c>
      <c r="D252" s="134" t="s">
        <v>1268</v>
      </c>
      <c r="E252" s="423"/>
      <c r="F252" s="583" t="s">
        <v>1802</v>
      </c>
      <c r="G252" s="583" t="s">
        <v>4135</v>
      </c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ht="13.5" customHeight="1">
      <c r="A253" s="423" t="s">
        <v>3936</v>
      </c>
      <c r="B253" s="423" t="s">
        <v>3948</v>
      </c>
      <c r="C253" s="423" t="s">
        <v>3948</v>
      </c>
      <c r="D253" s="134" t="s">
        <v>1268</v>
      </c>
      <c r="E253" s="423"/>
      <c r="F253" s="583" t="s">
        <v>1806</v>
      </c>
      <c r="G253" s="583" t="s">
        <v>4136</v>
      </c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ht="13.5" customHeight="1">
      <c r="A254" s="423" t="s">
        <v>3936</v>
      </c>
      <c r="B254" s="423" t="s">
        <v>3948</v>
      </c>
      <c r="C254" s="423" t="s">
        <v>3948</v>
      </c>
      <c r="D254" s="134" t="s">
        <v>1288</v>
      </c>
      <c r="E254" s="423"/>
      <c r="F254" s="583" t="s">
        <v>1810</v>
      </c>
      <c r="G254" s="583" t="s">
        <v>4137</v>
      </c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ht="13.5" customHeight="1">
      <c r="A255" s="423" t="s">
        <v>3936</v>
      </c>
      <c r="B255" s="423" t="s">
        <v>3948</v>
      </c>
      <c r="C255" s="423" t="s">
        <v>3948</v>
      </c>
      <c r="D255" s="134" t="s">
        <v>1288</v>
      </c>
      <c r="E255" s="423"/>
      <c r="F255" s="583" t="s">
        <v>1814</v>
      </c>
      <c r="G255" s="583" t="s">
        <v>4138</v>
      </c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ht="13.5" customHeight="1">
      <c r="A256" s="423" t="s">
        <v>3936</v>
      </c>
      <c r="B256" s="423" t="s">
        <v>3948</v>
      </c>
      <c r="C256" s="423" t="s">
        <v>3948</v>
      </c>
      <c r="D256" s="134" t="s">
        <v>1268</v>
      </c>
      <c r="E256" s="423"/>
      <c r="F256" s="583" t="s">
        <v>1818</v>
      </c>
      <c r="G256" s="583" t="s">
        <v>4139</v>
      </c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ht="13.5" customHeight="1">
      <c r="A257" s="423" t="s">
        <v>3936</v>
      </c>
      <c r="B257" s="423" t="s">
        <v>3948</v>
      </c>
      <c r="C257" s="423" t="s">
        <v>3948</v>
      </c>
      <c r="D257" s="134" t="s">
        <v>1268</v>
      </c>
      <c r="E257" s="423"/>
      <c r="F257" s="583" t="s">
        <v>1822</v>
      </c>
      <c r="G257" s="583" t="s">
        <v>4140</v>
      </c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ht="13.5" customHeight="1">
      <c r="A258" s="423" t="s">
        <v>3936</v>
      </c>
      <c r="B258" s="423" t="s">
        <v>1826</v>
      </c>
      <c r="C258" s="581" t="s">
        <v>1288</v>
      </c>
      <c r="D258" s="134" t="s">
        <v>1319</v>
      </c>
      <c r="E258" s="134"/>
      <c r="F258" s="584" t="s">
        <v>1827</v>
      </c>
      <c r="G258" s="584" t="s">
        <v>4141</v>
      </c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ht="13.5" customHeight="1">
      <c r="A259" s="423" t="s">
        <v>3936</v>
      </c>
      <c r="B259" s="423" t="s">
        <v>1826</v>
      </c>
      <c r="C259" s="581" t="s">
        <v>1268</v>
      </c>
      <c r="D259" s="134" t="s">
        <v>1319</v>
      </c>
      <c r="E259" s="134"/>
      <c r="F259" s="584" t="s">
        <v>1830</v>
      </c>
      <c r="G259" s="584" t="s">
        <v>4142</v>
      </c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ht="13.5" customHeight="1">
      <c r="A260" s="423" t="s">
        <v>3936</v>
      </c>
      <c r="B260" s="423" t="s">
        <v>1826</v>
      </c>
      <c r="C260" s="581" t="s">
        <v>1288</v>
      </c>
      <c r="D260" s="134" t="s">
        <v>1395</v>
      </c>
      <c r="E260" s="134"/>
      <c r="F260" s="584" t="s">
        <v>1833</v>
      </c>
      <c r="G260" s="584" t="s">
        <v>4143</v>
      </c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ht="13.5" customHeight="1">
      <c r="A261" s="423" t="s">
        <v>3936</v>
      </c>
      <c r="B261" s="423" t="s">
        <v>1826</v>
      </c>
      <c r="C261" s="581" t="s">
        <v>1268</v>
      </c>
      <c r="D261" s="134" t="s">
        <v>1395</v>
      </c>
      <c r="E261" s="134"/>
      <c r="F261" s="584" t="s">
        <v>1836</v>
      </c>
      <c r="G261" s="584" t="s">
        <v>4144</v>
      </c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ht="13.5" customHeight="1">
      <c r="A262" s="423" t="s">
        <v>3936</v>
      </c>
      <c r="B262" s="423" t="s">
        <v>1826</v>
      </c>
      <c r="C262" s="581" t="s">
        <v>1288</v>
      </c>
      <c r="D262" s="134" t="s">
        <v>1520</v>
      </c>
      <c r="E262" s="134"/>
      <c r="F262" s="584" t="s">
        <v>1845</v>
      </c>
      <c r="G262" s="584" t="s">
        <v>4145</v>
      </c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ht="13.5" customHeight="1">
      <c r="A263" s="423" t="s">
        <v>3936</v>
      </c>
      <c r="B263" s="423" t="s">
        <v>1826</v>
      </c>
      <c r="C263" s="581" t="s">
        <v>1268</v>
      </c>
      <c r="D263" s="134" t="s">
        <v>1520</v>
      </c>
      <c r="E263" s="134"/>
      <c r="F263" s="584" t="s">
        <v>1849</v>
      </c>
      <c r="G263" s="584" t="s">
        <v>4146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ht="13.5" customHeight="1">
      <c r="A264" s="423" t="s">
        <v>3936</v>
      </c>
      <c r="B264" s="423" t="s">
        <v>1826</v>
      </c>
      <c r="C264" s="581" t="s">
        <v>1288</v>
      </c>
      <c r="D264" s="134" t="s">
        <v>1591</v>
      </c>
      <c r="E264" s="134"/>
      <c r="F264" s="584" t="s">
        <v>1845</v>
      </c>
      <c r="G264" s="584" t="s">
        <v>4145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ht="13.5" customHeight="1">
      <c r="A265" s="423" t="s">
        <v>3936</v>
      </c>
      <c r="B265" s="423" t="s">
        <v>1826</v>
      </c>
      <c r="C265" s="581" t="s">
        <v>1268</v>
      </c>
      <c r="D265" s="134" t="s">
        <v>1591</v>
      </c>
      <c r="E265" s="134"/>
      <c r="F265" s="584" t="s">
        <v>1849</v>
      </c>
      <c r="G265" s="584" t="s">
        <v>4146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ht="13.5" customHeight="1">
      <c r="A266" s="423" t="s">
        <v>3936</v>
      </c>
      <c r="B266" s="423" t="s">
        <v>1826</v>
      </c>
      <c r="C266" s="581" t="s">
        <v>1288</v>
      </c>
      <c r="D266" s="134" t="s">
        <v>1319</v>
      </c>
      <c r="E266" s="134"/>
      <c r="F266" s="358" t="s">
        <v>1856</v>
      </c>
      <c r="G266" s="584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ht="13.5" customHeight="1">
      <c r="A267" s="423" t="s">
        <v>3936</v>
      </c>
      <c r="B267" s="423" t="s">
        <v>1826</v>
      </c>
      <c r="C267" s="581" t="s">
        <v>1268</v>
      </c>
      <c r="D267" s="134" t="s">
        <v>1319</v>
      </c>
      <c r="E267" s="134"/>
      <c r="F267" s="358" t="s">
        <v>1861</v>
      </c>
      <c r="G267" s="584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ht="13.5" customHeight="1">
      <c r="A268" s="423" t="s">
        <v>3936</v>
      </c>
      <c r="B268" s="423" t="s">
        <v>1826</v>
      </c>
      <c r="C268" s="581" t="s">
        <v>1288</v>
      </c>
      <c r="D268" s="134" t="s">
        <v>1395</v>
      </c>
      <c r="E268" s="134"/>
      <c r="F268" s="358" t="s">
        <v>1865</v>
      </c>
      <c r="G268" s="584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ht="13.5" customHeight="1">
      <c r="A269" s="423" t="s">
        <v>3936</v>
      </c>
      <c r="B269" s="423" t="s">
        <v>1826</v>
      </c>
      <c r="C269" s="581" t="s">
        <v>1268</v>
      </c>
      <c r="D269" s="134" t="s">
        <v>1395</v>
      </c>
      <c r="E269" s="134"/>
      <c r="F269" s="358" t="s">
        <v>1869</v>
      </c>
      <c r="G269" s="584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ht="13.5" customHeight="1">
      <c r="A270" s="423" t="s">
        <v>3936</v>
      </c>
      <c r="B270" s="423" t="s">
        <v>1826</v>
      </c>
      <c r="C270" s="581" t="s">
        <v>1288</v>
      </c>
      <c r="D270" s="134" t="s">
        <v>1465</v>
      </c>
      <c r="E270" s="134"/>
      <c r="F270" s="358" t="s">
        <v>1872</v>
      </c>
      <c r="G270" s="584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ht="13.5" customHeight="1">
      <c r="A271" s="423" t="s">
        <v>3936</v>
      </c>
      <c r="B271" s="423" t="s">
        <v>1826</v>
      </c>
      <c r="C271" s="581" t="s">
        <v>1268</v>
      </c>
      <c r="D271" s="134" t="s">
        <v>1465</v>
      </c>
      <c r="E271" s="134"/>
      <c r="F271" s="358" t="s">
        <v>1875</v>
      </c>
      <c r="G271" s="584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ht="13.5" customHeight="1">
      <c r="A272" s="423" t="s">
        <v>3936</v>
      </c>
      <c r="B272" s="423" t="s">
        <v>1826</v>
      </c>
      <c r="C272" s="581" t="s">
        <v>1288</v>
      </c>
      <c r="D272" s="134" t="s">
        <v>1591</v>
      </c>
      <c r="E272" s="134"/>
      <c r="F272" s="358" t="s">
        <v>4147</v>
      </c>
      <c r="G272" s="584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ht="13.5" customHeight="1">
      <c r="A273" s="423" t="s">
        <v>3936</v>
      </c>
      <c r="B273" s="423" t="s">
        <v>1826</v>
      </c>
      <c r="C273" s="581" t="s">
        <v>1268</v>
      </c>
      <c r="D273" s="134" t="s">
        <v>1591</v>
      </c>
      <c r="E273" s="134"/>
      <c r="F273" s="358" t="s">
        <v>4148</v>
      </c>
      <c r="G273" s="584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ht="13.5" customHeight="1">
      <c r="A274" s="423" t="s">
        <v>1886</v>
      </c>
      <c r="B274" s="423" t="s">
        <v>3977</v>
      </c>
      <c r="C274" s="423" t="s">
        <v>3977</v>
      </c>
      <c r="D274" s="134"/>
      <c r="E274" s="134"/>
      <c r="F274" s="584" t="s">
        <v>1891</v>
      </c>
      <c r="G274" s="584" t="s">
        <v>4149</v>
      </c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ht="13.5" customHeight="1">
      <c r="A275" s="582" t="s">
        <v>1886</v>
      </c>
      <c r="B275" s="423" t="s">
        <v>3977</v>
      </c>
      <c r="C275" s="423" t="s">
        <v>3977</v>
      </c>
      <c r="D275" s="361"/>
      <c r="E275" s="134"/>
      <c r="F275" s="584" t="s">
        <v>1894</v>
      </c>
      <c r="G275" s="584" t="s">
        <v>4150</v>
      </c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ht="13.5" customHeight="1">
      <c r="A276" s="582" t="s">
        <v>1886</v>
      </c>
      <c r="B276" s="423" t="s">
        <v>3977</v>
      </c>
      <c r="C276" s="423" t="s">
        <v>3977</v>
      </c>
      <c r="D276" s="361"/>
      <c r="E276" s="134"/>
      <c r="F276" s="584" t="s">
        <v>1898</v>
      </c>
      <c r="G276" s="584" t="s">
        <v>4151</v>
      </c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ht="13.5" customHeight="1">
      <c r="A277" s="582" t="s">
        <v>1886</v>
      </c>
      <c r="B277" s="423" t="s">
        <v>3977</v>
      </c>
      <c r="C277" s="423" t="s">
        <v>3977</v>
      </c>
      <c r="D277" s="361"/>
      <c r="E277" s="134"/>
      <c r="F277" s="584" t="s">
        <v>1907</v>
      </c>
      <c r="G277" s="584" t="s">
        <v>4152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ht="13.5" customHeight="1">
      <c r="A278" s="423" t="s">
        <v>1886</v>
      </c>
      <c r="B278" s="423" t="s">
        <v>3977</v>
      </c>
      <c r="C278" s="423" t="s">
        <v>3977</v>
      </c>
      <c r="D278" s="134"/>
      <c r="E278" s="134"/>
      <c r="F278" s="584" t="s">
        <v>1913</v>
      </c>
      <c r="G278" s="584" t="s">
        <v>4153</v>
      </c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ht="13.5" customHeight="1">
      <c r="A279" s="423" t="s">
        <v>1886</v>
      </c>
      <c r="B279" s="423" t="s">
        <v>3977</v>
      </c>
      <c r="C279" s="423" t="s">
        <v>3977</v>
      </c>
      <c r="D279" s="134"/>
      <c r="E279" s="134"/>
      <c r="F279" s="583" t="s">
        <v>1917</v>
      </c>
      <c r="G279" s="583" t="s">
        <v>4154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ht="13.5" customHeight="1">
      <c r="A280" s="423" t="s">
        <v>1886</v>
      </c>
      <c r="B280" s="423" t="s">
        <v>3977</v>
      </c>
      <c r="C280" s="423" t="s">
        <v>3977</v>
      </c>
      <c r="D280" s="134"/>
      <c r="E280" s="134"/>
      <c r="F280" s="583" t="s">
        <v>1921</v>
      </c>
      <c r="G280" s="583" t="s">
        <v>4155</v>
      </c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ht="13.5" customHeight="1">
      <c r="A281" s="423" t="s">
        <v>1886</v>
      </c>
      <c r="B281" s="423" t="s">
        <v>3977</v>
      </c>
      <c r="C281" s="423" t="s">
        <v>3977</v>
      </c>
      <c r="D281" s="134"/>
      <c r="E281" s="134"/>
      <c r="F281" s="584" t="s">
        <v>1924</v>
      </c>
      <c r="G281" s="584" t="s">
        <v>4156</v>
      </c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ht="13.5" customHeight="1">
      <c r="A282" s="582" t="s">
        <v>1886</v>
      </c>
      <c r="B282" s="423" t="s">
        <v>3977</v>
      </c>
      <c r="C282" s="423" t="s">
        <v>3977</v>
      </c>
      <c r="D282" s="361"/>
      <c r="E282" s="134"/>
      <c r="F282" s="584" t="s">
        <v>1928</v>
      </c>
      <c r="G282" s="584" t="s">
        <v>4157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ht="13.5" customHeight="1">
      <c r="A283" s="582" t="s">
        <v>1886</v>
      </c>
      <c r="B283" s="582" t="s">
        <v>3978</v>
      </c>
      <c r="C283" s="582" t="s">
        <v>1932</v>
      </c>
      <c r="D283" s="361"/>
      <c r="E283" s="134"/>
      <c r="F283" s="584" t="s">
        <v>1933</v>
      </c>
      <c r="G283" s="584" t="s">
        <v>4158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ht="13.5" customHeight="1">
      <c r="A284" s="582" t="s">
        <v>1886</v>
      </c>
      <c r="B284" s="582" t="s">
        <v>3978</v>
      </c>
      <c r="C284" s="582" t="s">
        <v>1932</v>
      </c>
      <c r="D284" s="361"/>
      <c r="E284" s="134"/>
      <c r="F284" s="584" t="s">
        <v>1941</v>
      </c>
      <c r="G284" s="584" t="s">
        <v>4159</v>
      </c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ht="13.5" customHeight="1">
      <c r="A285" s="423" t="s">
        <v>1886</v>
      </c>
      <c r="B285" s="582" t="s">
        <v>3978</v>
      </c>
      <c r="C285" s="581" t="s">
        <v>1932</v>
      </c>
      <c r="D285" s="134"/>
      <c r="E285" s="134"/>
      <c r="F285" s="584" t="s">
        <v>1945</v>
      </c>
      <c r="G285" s="584" t="s">
        <v>4160</v>
      </c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ht="13.5" customHeight="1">
      <c r="A286" s="423" t="s">
        <v>3936</v>
      </c>
      <c r="B286" s="423" t="s">
        <v>3961</v>
      </c>
      <c r="C286" s="581" t="s">
        <v>4161</v>
      </c>
      <c r="D286" s="134" t="s">
        <v>1319</v>
      </c>
      <c r="E286" s="134"/>
      <c r="F286" s="584" t="s">
        <v>2248</v>
      </c>
      <c r="G286" s="584" t="s">
        <v>778</v>
      </c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ht="13.5" customHeight="1">
      <c r="A287" s="423" t="s">
        <v>3936</v>
      </c>
      <c r="B287" s="423" t="s">
        <v>3961</v>
      </c>
      <c r="C287" s="581" t="s">
        <v>4161</v>
      </c>
      <c r="D287" s="134" t="s">
        <v>1319</v>
      </c>
      <c r="E287" s="134"/>
      <c r="F287" s="584" t="s">
        <v>2256</v>
      </c>
      <c r="G287" s="584" t="s">
        <v>4162</v>
      </c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ht="13.5" customHeight="1">
      <c r="A288" s="423" t="s">
        <v>3936</v>
      </c>
      <c r="B288" s="423" t="s">
        <v>3961</v>
      </c>
      <c r="C288" s="581" t="s">
        <v>4161</v>
      </c>
      <c r="D288" s="134" t="s">
        <v>1319</v>
      </c>
      <c r="E288" s="134"/>
      <c r="F288" s="584" t="s">
        <v>2260</v>
      </c>
      <c r="G288" s="584" t="s">
        <v>4163</v>
      </c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ht="13.5" customHeight="1">
      <c r="A289" s="423" t="s">
        <v>3936</v>
      </c>
      <c r="B289" s="423" t="s">
        <v>3961</v>
      </c>
      <c r="C289" s="581" t="s">
        <v>4164</v>
      </c>
      <c r="D289" s="134" t="s">
        <v>1319</v>
      </c>
      <c r="E289" s="134"/>
      <c r="F289" s="584" t="s">
        <v>1974</v>
      </c>
      <c r="G289" s="584" t="s">
        <v>4165</v>
      </c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ht="13.5" customHeight="1">
      <c r="A290" s="423" t="s">
        <v>3936</v>
      </c>
      <c r="B290" s="423" t="s">
        <v>3961</v>
      </c>
      <c r="C290" s="581" t="s">
        <v>4164</v>
      </c>
      <c r="D290" s="134" t="s">
        <v>1319</v>
      </c>
      <c r="E290" s="134"/>
      <c r="F290" s="584" t="s">
        <v>1978</v>
      </c>
      <c r="G290" s="584" t="s">
        <v>4166</v>
      </c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ht="13.5" customHeight="1">
      <c r="A291" s="423" t="s">
        <v>3936</v>
      </c>
      <c r="B291" s="423" t="s">
        <v>3961</v>
      </c>
      <c r="C291" s="581" t="s">
        <v>4164</v>
      </c>
      <c r="D291" s="134" t="s">
        <v>1319</v>
      </c>
      <c r="E291" s="134"/>
      <c r="F291" s="584" t="s">
        <v>1982</v>
      </c>
      <c r="G291" s="584" t="s">
        <v>4167</v>
      </c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ht="13.5" customHeight="1">
      <c r="A292" s="423" t="s">
        <v>3936</v>
      </c>
      <c r="B292" s="423" t="s">
        <v>3961</v>
      </c>
      <c r="C292" s="581" t="s">
        <v>4164</v>
      </c>
      <c r="D292" s="134" t="s">
        <v>1319</v>
      </c>
      <c r="E292" s="134"/>
      <c r="F292" s="584" t="s">
        <v>1986</v>
      </c>
      <c r="G292" s="584" t="s">
        <v>4168</v>
      </c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ht="13.5" customHeight="1">
      <c r="A293" s="423" t="s">
        <v>3936</v>
      </c>
      <c r="B293" s="423" t="s">
        <v>3961</v>
      </c>
      <c r="C293" s="581" t="s">
        <v>4169</v>
      </c>
      <c r="D293" s="134" t="s">
        <v>1319</v>
      </c>
      <c r="E293" s="134"/>
      <c r="F293" s="584" t="s">
        <v>1993</v>
      </c>
      <c r="G293" s="584" t="s">
        <v>4170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ht="13.5" customHeight="1">
      <c r="A294" s="423" t="s">
        <v>3936</v>
      </c>
      <c r="B294" s="423" t="s">
        <v>3961</v>
      </c>
      <c r="C294" s="581" t="s">
        <v>4169</v>
      </c>
      <c r="D294" s="134" t="s">
        <v>1319</v>
      </c>
      <c r="E294" s="134"/>
      <c r="F294" s="584" t="s">
        <v>1997</v>
      </c>
      <c r="G294" s="584" t="s">
        <v>4171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ht="13.5" customHeight="1">
      <c r="A295" s="423" t="s">
        <v>3936</v>
      </c>
      <c r="B295" s="423" t="s">
        <v>3961</v>
      </c>
      <c r="C295" s="581" t="s">
        <v>4169</v>
      </c>
      <c r="D295" s="134" t="s">
        <v>1319</v>
      </c>
      <c r="E295" s="134"/>
      <c r="F295" s="584" t="s">
        <v>2001</v>
      </c>
      <c r="G295" s="584" t="s">
        <v>4172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ht="13.5" customHeight="1">
      <c r="A296" s="423" t="s">
        <v>3936</v>
      </c>
      <c r="B296" s="423" t="s">
        <v>3961</v>
      </c>
      <c r="C296" s="581" t="s">
        <v>4169</v>
      </c>
      <c r="D296" s="134" t="s">
        <v>1319</v>
      </c>
      <c r="E296" s="134"/>
      <c r="F296" s="584" t="s">
        <v>2005</v>
      </c>
      <c r="G296" s="584" t="s">
        <v>4173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ht="13.5" customHeight="1">
      <c r="A297" s="423" t="s">
        <v>3936</v>
      </c>
      <c r="B297" s="423" t="s">
        <v>3961</v>
      </c>
      <c r="C297" s="581" t="s">
        <v>4174</v>
      </c>
      <c r="D297" s="134" t="s">
        <v>1319</v>
      </c>
      <c r="E297" s="134"/>
      <c r="F297" s="584" t="s">
        <v>2010</v>
      </c>
      <c r="G297" s="584" t="s">
        <v>4175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ht="13.5" customHeight="1">
      <c r="A298" s="423" t="s">
        <v>3936</v>
      </c>
      <c r="B298" s="423" t="s">
        <v>3961</v>
      </c>
      <c r="C298" s="581" t="s">
        <v>4174</v>
      </c>
      <c r="D298" s="134" t="s">
        <v>1319</v>
      </c>
      <c r="E298" s="134"/>
      <c r="F298" s="584" t="s">
        <v>2014</v>
      </c>
      <c r="G298" s="584" t="s">
        <v>4176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ht="13.5" customHeight="1">
      <c r="A299" s="423" t="s">
        <v>3936</v>
      </c>
      <c r="B299" s="423" t="s">
        <v>3961</v>
      </c>
      <c r="C299" s="581" t="s">
        <v>4174</v>
      </c>
      <c r="D299" s="134" t="s">
        <v>1319</v>
      </c>
      <c r="E299" s="134"/>
      <c r="F299" s="584" t="s">
        <v>2018</v>
      </c>
      <c r="G299" s="584" t="s">
        <v>4177</v>
      </c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ht="13.5" customHeight="1">
      <c r="A300" s="423" t="s">
        <v>3936</v>
      </c>
      <c r="B300" s="423" t="s">
        <v>3961</v>
      </c>
      <c r="C300" s="581" t="s">
        <v>4174</v>
      </c>
      <c r="D300" s="134" t="s">
        <v>1319</v>
      </c>
      <c r="E300" s="134"/>
      <c r="F300" s="584" t="s">
        <v>2022</v>
      </c>
      <c r="G300" s="584" t="s">
        <v>4178</v>
      </c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ht="13.5" customHeight="1">
      <c r="A301" s="423" t="s">
        <v>3936</v>
      </c>
      <c r="B301" s="423" t="s">
        <v>3961</v>
      </c>
      <c r="C301" s="581" t="s">
        <v>4174</v>
      </c>
      <c r="D301" s="134" t="s">
        <v>1319</v>
      </c>
      <c r="E301" s="134"/>
      <c r="F301" s="584" t="s">
        <v>2296</v>
      </c>
      <c r="G301" s="584" t="s">
        <v>778</v>
      </c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ht="13.5" customHeight="1">
      <c r="A302" s="423" t="s">
        <v>3936</v>
      </c>
      <c r="B302" s="423" t="s">
        <v>3961</v>
      </c>
      <c r="C302" s="581" t="s">
        <v>4174</v>
      </c>
      <c r="D302" s="134" t="s">
        <v>1319</v>
      </c>
      <c r="E302" s="134"/>
      <c r="F302" s="584" t="s">
        <v>2300</v>
      </c>
      <c r="G302" s="584" t="s">
        <v>778</v>
      </c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ht="13.5" customHeight="1">
      <c r="A303" s="423" t="s">
        <v>3936</v>
      </c>
      <c r="B303" s="423" t="s">
        <v>3961</v>
      </c>
      <c r="C303" s="581" t="s">
        <v>4174</v>
      </c>
      <c r="D303" s="134" t="s">
        <v>1319</v>
      </c>
      <c r="E303" s="134"/>
      <c r="F303" s="584" t="s">
        <v>2305</v>
      </c>
      <c r="G303" s="584" t="s">
        <v>778</v>
      </c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ht="13.5" customHeight="1">
      <c r="A304" s="423" t="s">
        <v>3936</v>
      </c>
      <c r="B304" s="423" t="s">
        <v>3961</v>
      </c>
      <c r="C304" s="581" t="s">
        <v>4174</v>
      </c>
      <c r="D304" s="134" t="s">
        <v>1319</v>
      </c>
      <c r="E304" s="134"/>
      <c r="F304" s="584" t="s">
        <v>2309</v>
      </c>
      <c r="G304" s="584" t="s">
        <v>778</v>
      </c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ht="13.5" customHeight="1">
      <c r="A305" s="423" t="s">
        <v>3936</v>
      </c>
      <c r="B305" s="423" t="s">
        <v>3961</v>
      </c>
      <c r="C305" s="581" t="s">
        <v>4174</v>
      </c>
      <c r="D305" s="134" t="s">
        <v>1319</v>
      </c>
      <c r="E305" s="134"/>
      <c r="F305" s="584" t="s">
        <v>2313</v>
      </c>
      <c r="G305" s="584" t="s">
        <v>778</v>
      </c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ht="13.5" customHeight="1">
      <c r="A306" s="423" t="s">
        <v>3936</v>
      </c>
      <c r="B306" s="423" t="s">
        <v>3961</v>
      </c>
      <c r="C306" s="581" t="s">
        <v>4174</v>
      </c>
      <c r="D306" s="134" t="s">
        <v>1319</v>
      </c>
      <c r="E306" s="134"/>
      <c r="F306" s="584" t="s">
        <v>2317</v>
      </c>
      <c r="G306" s="584" t="s">
        <v>778</v>
      </c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ht="13.5" customHeight="1">
      <c r="A307" s="423" t="s">
        <v>3936</v>
      </c>
      <c r="B307" s="423" t="s">
        <v>3961</v>
      </c>
      <c r="C307" s="581" t="s">
        <v>4174</v>
      </c>
      <c r="D307" s="134" t="s">
        <v>1319</v>
      </c>
      <c r="E307" s="134"/>
      <c r="F307" s="584" t="s">
        <v>2321</v>
      </c>
      <c r="G307" s="584" t="s">
        <v>778</v>
      </c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ht="13.5" customHeight="1">
      <c r="A308" s="423" t="s">
        <v>3936</v>
      </c>
      <c r="B308" s="423" t="s">
        <v>3961</v>
      </c>
      <c r="C308" s="581" t="s">
        <v>4179</v>
      </c>
      <c r="D308" s="134" t="s">
        <v>1319</v>
      </c>
      <c r="E308" s="134"/>
      <c r="F308" s="584" t="s">
        <v>2358</v>
      </c>
      <c r="G308" s="584" t="s">
        <v>778</v>
      </c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ht="13.5" customHeight="1">
      <c r="A309" s="423" t="s">
        <v>3936</v>
      </c>
      <c r="B309" s="423" t="s">
        <v>3961</v>
      </c>
      <c r="C309" s="581" t="s">
        <v>4180</v>
      </c>
      <c r="D309" s="134" t="s">
        <v>1319</v>
      </c>
      <c r="E309" s="134"/>
      <c r="F309" s="584" t="s">
        <v>2038</v>
      </c>
      <c r="G309" s="584" t="s">
        <v>4181</v>
      </c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ht="13.5" customHeight="1">
      <c r="A310" s="423" t="s">
        <v>3936</v>
      </c>
      <c r="B310" s="423" t="s">
        <v>3961</v>
      </c>
      <c r="C310" s="581" t="s">
        <v>4180</v>
      </c>
      <c r="D310" s="134" t="s">
        <v>1319</v>
      </c>
      <c r="E310" s="134"/>
      <c r="F310" s="584" t="s">
        <v>2042</v>
      </c>
      <c r="G310" s="584" t="s">
        <v>4182</v>
      </c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ht="13.5" customHeight="1">
      <c r="A311" s="423" t="s">
        <v>3936</v>
      </c>
      <c r="B311" s="423" t="s">
        <v>3961</v>
      </c>
      <c r="C311" s="581" t="s">
        <v>4183</v>
      </c>
      <c r="D311" s="134" t="s">
        <v>1319</v>
      </c>
      <c r="E311" s="134"/>
      <c r="F311" s="584" t="s">
        <v>2047</v>
      </c>
      <c r="G311" s="584" t="s">
        <v>4184</v>
      </c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ht="13.5" customHeight="1">
      <c r="A312" s="423" t="s">
        <v>3936</v>
      </c>
      <c r="B312" s="423" t="s">
        <v>3961</v>
      </c>
      <c r="C312" s="581" t="s">
        <v>4183</v>
      </c>
      <c r="D312" s="134" t="s">
        <v>1319</v>
      </c>
      <c r="E312" s="134"/>
      <c r="F312" s="584" t="s">
        <v>2051</v>
      </c>
      <c r="G312" s="584" t="s">
        <v>4185</v>
      </c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ht="13.5" customHeight="1">
      <c r="A313" s="423" t="s">
        <v>3936</v>
      </c>
      <c r="B313" s="423" t="s">
        <v>3961</v>
      </c>
      <c r="C313" s="581" t="s">
        <v>4186</v>
      </c>
      <c r="D313" s="134" t="s">
        <v>1319</v>
      </c>
      <c r="E313" s="134"/>
      <c r="F313" s="584" t="s">
        <v>2383</v>
      </c>
      <c r="G313" s="584" t="s">
        <v>778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ht="13.5" customHeight="1">
      <c r="A314" s="423" t="s">
        <v>3936</v>
      </c>
      <c r="B314" s="423" t="s">
        <v>3961</v>
      </c>
      <c r="C314" s="581" t="s">
        <v>4186</v>
      </c>
      <c r="D314" s="134" t="s">
        <v>1319</v>
      </c>
      <c r="E314" s="134"/>
      <c r="F314" s="584" t="s">
        <v>2387</v>
      </c>
      <c r="G314" s="584" t="s">
        <v>778</v>
      </c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ht="13.5" customHeight="1">
      <c r="A315" s="423" t="s">
        <v>3936</v>
      </c>
      <c r="B315" s="423" t="s">
        <v>3961</v>
      </c>
      <c r="C315" s="581" t="s">
        <v>4186</v>
      </c>
      <c r="D315" s="134" t="s">
        <v>1319</v>
      </c>
      <c r="E315" s="134"/>
      <c r="F315" s="584" t="s">
        <v>2391</v>
      </c>
      <c r="G315" s="584" t="s">
        <v>778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ht="13.5" customHeight="1">
      <c r="A316" s="423" t="s">
        <v>3936</v>
      </c>
      <c r="B316" s="423" t="s">
        <v>3961</v>
      </c>
      <c r="C316" s="581" t="s">
        <v>4187</v>
      </c>
      <c r="D316" s="134" t="s">
        <v>1319</v>
      </c>
      <c r="E316" s="134"/>
      <c r="F316" s="584" t="s">
        <v>2396</v>
      </c>
      <c r="G316" s="584" t="s">
        <v>778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ht="13.5" customHeight="1">
      <c r="A317" s="423" t="s">
        <v>3936</v>
      </c>
      <c r="B317" s="423" t="s">
        <v>3961</v>
      </c>
      <c r="C317" s="581" t="s">
        <v>4187</v>
      </c>
      <c r="D317" s="134" t="s">
        <v>1319</v>
      </c>
      <c r="E317" s="134"/>
      <c r="F317" s="584" t="s">
        <v>2400</v>
      </c>
      <c r="G317" s="584" t="s">
        <v>778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ht="13.5" customHeight="1">
      <c r="A318" s="423" t="s">
        <v>3936</v>
      </c>
      <c r="B318" s="423" t="s">
        <v>3961</v>
      </c>
      <c r="C318" s="581" t="s">
        <v>4187</v>
      </c>
      <c r="D318" s="134" t="s">
        <v>1319</v>
      </c>
      <c r="E318" s="134"/>
      <c r="F318" s="584" t="s">
        <v>2404</v>
      </c>
      <c r="G318" s="584" t="s">
        <v>778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ht="13.5" customHeight="1">
      <c r="A319" s="423" t="s">
        <v>3936</v>
      </c>
      <c r="B319" s="423" t="s">
        <v>3961</v>
      </c>
      <c r="C319" s="581" t="s">
        <v>4174</v>
      </c>
      <c r="D319" s="134" t="s">
        <v>1395</v>
      </c>
      <c r="E319" s="134"/>
      <c r="F319" s="584" t="s">
        <v>2459</v>
      </c>
      <c r="G319" s="584" t="s">
        <v>778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ht="13.5" customHeight="1">
      <c r="A320" s="423" t="s">
        <v>3936</v>
      </c>
      <c r="B320" s="423" t="s">
        <v>3961</v>
      </c>
      <c r="C320" s="581" t="s">
        <v>4174</v>
      </c>
      <c r="D320" s="134" t="s">
        <v>1395</v>
      </c>
      <c r="E320" s="134"/>
      <c r="F320" s="584" t="s">
        <v>2463</v>
      </c>
      <c r="G320" s="584" t="s">
        <v>778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ht="13.5" customHeight="1">
      <c r="A321" s="423" t="s">
        <v>3936</v>
      </c>
      <c r="B321" s="423" t="s">
        <v>3961</v>
      </c>
      <c r="C321" s="581" t="s">
        <v>4161</v>
      </c>
      <c r="D321" s="134" t="s">
        <v>1395</v>
      </c>
      <c r="E321" s="134"/>
      <c r="F321" s="584" t="s">
        <v>2489</v>
      </c>
      <c r="G321" s="584" t="s">
        <v>778</v>
      </c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ht="13.5" customHeight="1">
      <c r="A322" s="423" t="s">
        <v>3936</v>
      </c>
      <c r="B322" s="423" t="s">
        <v>3961</v>
      </c>
      <c r="C322" s="581" t="s">
        <v>4161</v>
      </c>
      <c r="D322" s="134" t="s">
        <v>1395</v>
      </c>
      <c r="E322" s="134"/>
      <c r="F322" s="584" t="s">
        <v>2497</v>
      </c>
      <c r="G322" s="584" t="s">
        <v>778</v>
      </c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ht="13.5" customHeight="1">
      <c r="A323" s="423" t="s">
        <v>3936</v>
      </c>
      <c r="B323" s="423" t="s">
        <v>3961</v>
      </c>
      <c r="C323" s="581" t="s">
        <v>4161</v>
      </c>
      <c r="D323" s="134" t="s">
        <v>1395</v>
      </c>
      <c r="E323" s="134"/>
      <c r="F323" s="584" t="s">
        <v>2501</v>
      </c>
      <c r="G323" s="584" t="s">
        <v>778</v>
      </c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ht="13.5" customHeight="1">
      <c r="A324" s="423" t="s">
        <v>3936</v>
      </c>
      <c r="B324" s="423" t="s">
        <v>3961</v>
      </c>
      <c r="C324" s="581" t="s">
        <v>4179</v>
      </c>
      <c r="D324" s="134" t="s">
        <v>1395</v>
      </c>
      <c r="E324" s="134"/>
      <c r="F324" s="584" t="s">
        <v>2514</v>
      </c>
      <c r="G324" s="584" t="s">
        <v>778</v>
      </c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ht="13.5" customHeight="1">
      <c r="A325" s="423" t="s">
        <v>3936</v>
      </c>
      <c r="B325" s="423" t="s">
        <v>3961</v>
      </c>
      <c r="C325" s="581" t="s">
        <v>4164</v>
      </c>
      <c r="D325" s="134" t="s">
        <v>1395</v>
      </c>
      <c r="E325" s="134"/>
      <c r="F325" s="584" t="s">
        <v>2079</v>
      </c>
      <c r="G325" s="584" t="s">
        <v>4188</v>
      </c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ht="13.5" customHeight="1">
      <c r="A326" s="423" t="s">
        <v>3936</v>
      </c>
      <c r="B326" s="423" t="s">
        <v>3961</v>
      </c>
      <c r="C326" s="581" t="s">
        <v>4164</v>
      </c>
      <c r="D326" s="134" t="s">
        <v>1395</v>
      </c>
      <c r="E326" s="134"/>
      <c r="F326" s="584" t="s">
        <v>2083</v>
      </c>
      <c r="G326" s="584" t="s">
        <v>4189</v>
      </c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ht="13.5" customHeight="1">
      <c r="A327" s="423" t="s">
        <v>3936</v>
      </c>
      <c r="B327" s="423" t="s">
        <v>3961</v>
      </c>
      <c r="C327" s="581" t="s">
        <v>4164</v>
      </c>
      <c r="D327" s="134" t="s">
        <v>1395</v>
      </c>
      <c r="E327" s="134"/>
      <c r="F327" s="584" t="s">
        <v>2087</v>
      </c>
      <c r="G327" s="584" t="s">
        <v>4190</v>
      </c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ht="13.5" customHeight="1">
      <c r="A328" s="423" t="s">
        <v>3936</v>
      </c>
      <c r="B328" s="423" t="s">
        <v>3961</v>
      </c>
      <c r="C328" s="581" t="s">
        <v>4164</v>
      </c>
      <c r="D328" s="134" t="s">
        <v>1395</v>
      </c>
      <c r="E328" s="134"/>
      <c r="F328" s="584" t="s">
        <v>2091</v>
      </c>
      <c r="G328" s="584" t="s">
        <v>4191</v>
      </c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ht="13.5" customHeight="1">
      <c r="A329" s="423" t="s">
        <v>3936</v>
      </c>
      <c r="B329" s="423" t="s">
        <v>3961</v>
      </c>
      <c r="C329" s="581" t="s">
        <v>4164</v>
      </c>
      <c r="D329" s="134" t="s">
        <v>1465</v>
      </c>
      <c r="E329" s="134"/>
      <c r="F329" s="584" t="s">
        <v>2095</v>
      </c>
      <c r="G329" s="584" t="s">
        <v>4192</v>
      </c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ht="13.5" customHeight="1">
      <c r="A330" s="423" t="s">
        <v>3936</v>
      </c>
      <c r="B330" s="423" t="s">
        <v>3961</v>
      </c>
      <c r="C330" s="581" t="s">
        <v>4164</v>
      </c>
      <c r="D330" s="134" t="s">
        <v>1465</v>
      </c>
      <c r="E330" s="134"/>
      <c r="F330" s="584" t="s">
        <v>2099</v>
      </c>
      <c r="G330" s="584" t="s">
        <v>4193</v>
      </c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ht="13.5" customHeight="1">
      <c r="A331" s="423" t="s">
        <v>3936</v>
      </c>
      <c r="B331" s="423" t="s">
        <v>3961</v>
      </c>
      <c r="C331" s="581" t="s">
        <v>4164</v>
      </c>
      <c r="D331" s="134" t="s">
        <v>1465</v>
      </c>
      <c r="E331" s="134"/>
      <c r="F331" s="584" t="s">
        <v>2103</v>
      </c>
      <c r="G331" s="584" t="s">
        <v>4194</v>
      </c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ht="13.5" customHeight="1">
      <c r="A332" s="423" t="s">
        <v>3936</v>
      </c>
      <c r="B332" s="423" t="s">
        <v>3961</v>
      </c>
      <c r="C332" s="581" t="s">
        <v>4164</v>
      </c>
      <c r="D332" s="134" t="s">
        <v>1465</v>
      </c>
      <c r="E332" s="134"/>
      <c r="F332" s="584" t="s">
        <v>2107</v>
      </c>
      <c r="G332" s="584" t="s">
        <v>4195</v>
      </c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ht="13.5" customHeight="1">
      <c r="A333" s="423" t="s">
        <v>3936</v>
      </c>
      <c r="B333" s="423" t="s">
        <v>3961</v>
      </c>
      <c r="C333" s="581" t="s">
        <v>4180</v>
      </c>
      <c r="D333" s="134" t="s">
        <v>1395</v>
      </c>
      <c r="E333" s="134"/>
      <c r="F333" s="584" t="s">
        <v>2111</v>
      </c>
      <c r="G333" s="584" t="s">
        <v>4196</v>
      </c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ht="13.5" customHeight="1">
      <c r="A334" s="423" t="s">
        <v>3936</v>
      </c>
      <c r="B334" s="423" t="s">
        <v>3961</v>
      </c>
      <c r="C334" s="581" t="s">
        <v>4180</v>
      </c>
      <c r="D334" s="134" t="s">
        <v>1395</v>
      </c>
      <c r="E334" s="134"/>
      <c r="F334" s="584" t="s">
        <v>2115</v>
      </c>
      <c r="G334" s="584" t="s">
        <v>4197</v>
      </c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ht="13.5" customHeight="1">
      <c r="A335" s="423" t="s">
        <v>3936</v>
      </c>
      <c r="B335" s="423" t="s">
        <v>3961</v>
      </c>
      <c r="C335" s="581" t="s">
        <v>4183</v>
      </c>
      <c r="D335" s="134" t="s">
        <v>1395</v>
      </c>
      <c r="E335" s="134"/>
      <c r="F335" s="584" t="s">
        <v>2119</v>
      </c>
      <c r="G335" s="584" t="s">
        <v>4198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ht="13.5" customHeight="1">
      <c r="A336" s="423" t="s">
        <v>3936</v>
      </c>
      <c r="B336" s="423" t="s">
        <v>3961</v>
      </c>
      <c r="C336" s="581" t="s">
        <v>4183</v>
      </c>
      <c r="D336" s="134" t="s">
        <v>1395</v>
      </c>
      <c r="E336" s="134"/>
      <c r="F336" s="584" t="s">
        <v>2123</v>
      </c>
      <c r="G336" s="584" t="s">
        <v>4199</v>
      </c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ht="13.5" customHeight="1">
      <c r="A337" s="423" t="s">
        <v>3936</v>
      </c>
      <c r="B337" s="423" t="s">
        <v>3961</v>
      </c>
      <c r="C337" s="581" t="s">
        <v>4186</v>
      </c>
      <c r="D337" s="134" t="s">
        <v>1395</v>
      </c>
      <c r="E337" s="134"/>
      <c r="F337" s="584" t="s">
        <v>2547</v>
      </c>
      <c r="G337" s="584" t="s">
        <v>778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ht="13.5" customHeight="1">
      <c r="A338" s="423" t="s">
        <v>3936</v>
      </c>
      <c r="B338" s="423" t="s">
        <v>3961</v>
      </c>
      <c r="C338" s="581" t="s">
        <v>4186</v>
      </c>
      <c r="D338" s="134" t="s">
        <v>1395</v>
      </c>
      <c r="E338" s="134"/>
      <c r="F338" s="584" t="s">
        <v>2551</v>
      </c>
      <c r="G338" s="584" t="s">
        <v>778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ht="13.5" customHeight="1">
      <c r="A339" s="423" t="s">
        <v>3936</v>
      </c>
      <c r="B339" s="423" t="s">
        <v>3961</v>
      </c>
      <c r="C339" s="581" t="s">
        <v>4186</v>
      </c>
      <c r="D339" s="134" t="s">
        <v>1395</v>
      </c>
      <c r="E339" s="134"/>
      <c r="F339" s="584" t="s">
        <v>2555</v>
      </c>
      <c r="G339" s="584" t="s">
        <v>778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ht="13.5" customHeight="1">
      <c r="A340" s="423" t="s">
        <v>3936</v>
      </c>
      <c r="B340" s="423" t="s">
        <v>3961</v>
      </c>
      <c r="C340" s="581" t="s">
        <v>4187</v>
      </c>
      <c r="D340" s="134" t="s">
        <v>1395</v>
      </c>
      <c r="E340" s="134"/>
      <c r="F340" s="584" t="s">
        <v>2559</v>
      </c>
      <c r="G340" s="584" t="s">
        <v>778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ht="13.5" customHeight="1">
      <c r="A341" s="423" t="s">
        <v>3936</v>
      </c>
      <c r="B341" s="423" t="s">
        <v>3961</v>
      </c>
      <c r="C341" s="581" t="s">
        <v>4187</v>
      </c>
      <c r="D341" s="134" t="s">
        <v>1395</v>
      </c>
      <c r="E341" s="134"/>
      <c r="F341" s="584" t="s">
        <v>2563</v>
      </c>
      <c r="G341" s="584" t="s">
        <v>778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ht="12.75" customHeight="1">
      <c r="A342" s="423" t="s">
        <v>3936</v>
      </c>
      <c r="B342" s="423" t="s">
        <v>3961</v>
      </c>
      <c r="C342" s="581" t="s">
        <v>4187</v>
      </c>
      <c r="D342" s="134" t="s">
        <v>1395</v>
      </c>
      <c r="E342" s="134"/>
      <c r="F342" s="584" t="s">
        <v>2567</v>
      </c>
      <c r="G342" s="584" t="s">
        <v>778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ht="13.5" customHeight="1">
      <c r="A343" s="423" t="s">
        <v>3936</v>
      </c>
      <c r="B343" s="423" t="s">
        <v>3961</v>
      </c>
      <c r="C343" s="581" t="s">
        <v>4161</v>
      </c>
      <c r="D343" s="134" t="s">
        <v>2150</v>
      </c>
      <c r="E343" s="134"/>
      <c r="F343" s="584" t="s">
        <v>2665</v>
      </c>
      <c r="G343" s="584" t="s">
        <v>4200</v>
      </c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ht="13.5" customHeight="1">
      <c r="A344" s="423" t="s">
        <v>3936</v>
      </c>
      <c r="B344" s="423" t="s">
        <v>3961</v>
      </c>
      <c r="C344" s="581" t="s">
        <v>4161</v>
      </c>
      <c r="D344" s="134" t="s">
        <v>2150</v>
      </c>
      <c r="E344" s="134"/>
      <c r="F344" s="584" t="s">
        <v>2673</v>
      </c>
      <c r="G344" s="584" t="s">
        <v>4201</v>
      </c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ht="13.5" customHeight="1">
      <c r="A345" s="423" t="s">
        <v>3936</v>
      </c>
      <c r="B345" s="423" t="s">
        <v>3961</v>
      </c>
      <c r="C345" s="581" t="s">
        <v>4161</v>
      </c>
      <c r="D345" s="134" t="s">
        <v>2150</v>
      </c>
      <c r="E345" s="134"/>
      <c r="F345" s="584" t="s">
        <v>2677</v>
      </c>
      <c r="G345" s="584" t="s">
        <v>4202</v>
      </c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ht="13.5" customHeight="1">
      <c r="A346" s="423" t="s">
        <v>3936</v>
      </c>
      <c r="B346" s="423" t="s">
        <v>3961</v>
      </c>
      <c r="C346" s="581" t="s">
        <v>4164</v>
      </c>
      <c r="D346" s="134" t="s">
        <v>2150</v>
      </c>
      <c r="E346" s="134"/>
      <c r="F346" s="584" t="s">
        <v>2170</v>
      </c>
      <c r="G346" s="584" t="s">
        <v>4203</v>
      </c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ht="13.5" customHeight="1">
      <c r="A347" s="423" t="s">
        <v>3936</v>
      </c>
      <c r="B347" s="423" t="s">
        <v>3961</v>
      </c>
      <c r="C347" s="581" t="s">
        <v>4164</v>
      </c>
      <c r="D347" s="134" t="s">
        <v>2150</v>
      </c>
      <c r="E347" s="134"/>
      <c r="F347" s="584" t="s">
        <v>2174</v>
      </c>
      <c r="G347" s="584" t="s">
        <v>4204</v>
      </c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ht="13.5" customHeight="1">
      <c r="A348" s="423" t="s">
        <v>3936</v>
      </c>
      <c r="B348" s="423" t="s">
        <v>3961</v>
      </c>
      <c r="C348" s="581" t="s">
        <v>4164</v>
      </c>
      <c r="D348" s="134" t="s">
        <v>2150</v>
      </c>
      <c r="E348" s="134"/>
      <c r="F348" s="584" t="s">
        <v>2178</v>
      </c>
      <c r="G348" s="584" t="s">
        <v>4205</v>
      </c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ht="13.5" customHeight="1">
      <c r="A349" s="423" t="s">
        <v>3936</v>
      </c>
      <c r="B349" s="423" t="s">
        <v>3961</v>
      </c>
      <c r="C349" s="581" t="s">
        <v>4164</v>
      </c>
      <c r="D349" s="134" t="s">
        <v>2150</v>
      </c>
      <c r="E349" s="134"/>
      <c r="F349" s="584" t="s">
        <v>2182</v>
      </c>
      <c r="G349" s="584" t="s">
        <v>4206</v>
      </c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ht="13.5" customHeight="1">
      <c r="A350" s="423" t="s">
        <v>3936</v>
      </c>
      <c r="B350" s="423" t="s">
        <v>3961</v>
      </c>
      <c r="C350" s="581" t="s">
        <v>4169</v>
      </c>
      <c r="D350" s="134" t="s">
        <v>2150</v>
      </c>
      <c r="E350" s="134"/>
      <c r="F350" s="584" t="s">
        <v>2186</v>
      </c>
      <c r="G350" s="584" t="s">
        <v>4207</v>
      </c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ht="13.5" customHeight="1">
      <c r="A351" s="423" t="s">
        <v>3936</v>
      </c>
      <c r="B351" s="423" t="s">
        <v>3961</v>
      </c>
      <c r="C351" s="581" t="s">
        <v>4169</v>
      </c>
      <c r="D351" s="134" t="s">
        <v>2150</v>
      </c>
      <c r="E351" s="134"/>
      <c r="F351" s="584" t="s">
        <v>2190</v>
      </c>
      <c r="G351" s="584" t="s">
        <v>4208</v>
      </c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ht="13.5" customHeight="1">
      <c r="A352" s="423" t="s">
        <v>3936</v>
      </c>
      <c r="B352" s="423" t="s">
        <v>3961</v>
      </c>
      <c r="C352" s="581" t="s">
        <v>4169</v>
      </c>
      <c r="D352" s="134" t="s">
        <v>2150</v>
      </c>
      <c r="E352" s="134"/>
      <c r="F352" s="584" t="s">
        <v>2194</v>
      </c>
      <c r="G352" s="584" t="s">
        <v>4209</v>
      </c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ht="13.5" customHeight="1">
      <c r="A353" s="423" t="s">
        <v>3936</v>
      </c>
      <c r="B353" s="423" t="s">
        <v>3961</v>
      </c>
      <c r="C353" s="581" t="s">
        <v>4169</v>
      </c>
      <c r="D353" s="134" t="s">
        <v>2150</v>
      </c>
      <c r="E353" s="134"/>
      <c r="F353" s="584" t="s">
        <v>2198</v>
      </c>
      <c r="G353" s="584" t="s">
        <v>4210</v>
      </c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ht="13.5" customHeight="1">
      <c r="A354" s="423" t="s">
        <v>3936</v>
      </c>
      <c r="B354" s="423" t="s">
        <v>3961</v>
      </c>
      <c r="C354" s="581" t="s">
        <v>4174</v>
      </c>
      <c r="D354" s="134" t="s">
        <v>2150</v>
      </c>
      <c r="E354" s="134"/>
      <c r="F354" s="584" t="s">
        <v>2202</v>
      </c>
      <c r="G354" s="584" t="s">
        <v>4211</v>
      </c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ht="13.5" customHeight="1">
      <c r="A355" s="423" t="s">
        <v>3936</v>
      </c>
      <c r="B355" s="423" t="s">
        <v>3961</v>
      </c>
      <c r="C355" s="581" t="s">
        <v>4174</v>
      </c>
      <c r="D355" s="134" t="s">
        <v>2150</v>
      </c>
      <c r="E355" s="134"/>
      <c r="F355" s="584" t="s">
        <v>2206</v>
      </c>
      <c r="G355" s="584" t="s">
        <v>4212</v>
      </c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ht="13.5" customHeight="1">
      <c r="A356" s="423" t="s">
        <v>3936</v>
      </c>
      <c r="B356" s="423" t="s">
        <v>3961</v>
      </c>
      <c r="C356" s="581" t="s">
        <v>4174</v>
      </c>
      <c r="D356" s="134" t="s">
        <v>2150</v>
      </c>
      <c r="E356" s="134"/>
      <c r="F356" s="584" t="s">
        <v>2210</v>
      </c>
      <c r="G356" s="584" t="s">
        <v>4213</v>
      </c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ht="13.5" customHeight="1">
      <c r="A357" s="423" t="s">
        <v>3936</v>
      </c>
      <c r="B357" s="423" t="s">
        <v>3961</v>
      </c>
      <c r="C357" s="581" t="s">
        <v>4174</v>
      </c>
      <c r="D357" s="134" t="s">
        <v>2150</v>
      </c>
      <c r="E357" s="134"/>
      <c r="F357" s="584" t="s">
        <v>2214</v>
      </c>
      <c r="G357" s="584" t="s">
        <v>4214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ht="13.5" customHeight="1">
      <c r="A358" s="423" t="s">
        <v>3936</v>
      </c>
      <c r="B358" s="423" t="s">
        <v>3961</v>
      </c>
      <c r="C358" s="581" t="s">
        <v>4174</v>
      </c>
      <c r="D358" s="134" t="s">
        <v>2150</v>
      </c>
      <c r="E358" s="134"/>
      <c r="F358" s="584" t="s">
        <v>2723</v>
      </c>
      <c r="G358" s="584" t="s">
        <v>778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ht="13.5" customHeight="1">
      <c r="A359" s="423" t="s">
        <v>3936</v>
      </c>
      <c r="B359" s="423" t="s">
        <v>3961</v>
      </c>
      <c r="C359" s="581" t="s">
        <v>4174</v>
      </c>
      <c r="D359" s="134" t="s">
        <v>2150</v>
      </c>
      <c r="E359" s="134"/>
      <c r="F359" s="584" t="s">
        <v>2727</v>
      </c>
      <c r="G359" s="584" t="s">
        <v>778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ht="13.5" customHeight="1">
      <c r="A360" s="423" t="s">
        <v>3936</v>
      </c>
      <c r="B360" s="423" t="s">
        <v>3961</v>
      </c>
      <c r="C360" s="581" t="s">
        <v>4174</v>
      </c>
      <c r="D360" s="134" t="s">
        <v>2150</v>
      </c>
      <c r="E360" s="134"/>
      <c r="F360" s="584" t="s">
        <v>2731</v>
      </c>
      <c r="G360" s="584" t="s">
        <v>778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ht="13.5" customHeight="1">
      <c r="A361" s="423" t="s">
        <v>3936</v>
      </c>
      <c r="B361" s="423" t="s">
        <v>3961</v>
      </c>
      <c r="C361" s="581" t="s">
        <v>4174</v>
      </c>
      <c r="D361" s="134" t="s">
        <v>2150</v>
      </c>
      <c r="E361" s="134"/>
      <c r="F361" s="584" t="s">
        <v>2735</v>
      </c>
      <c r="G361" s="584" t="s">
        <v>778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ht="13.5" customHeight="1">
      <c r="A362" s="423" t="s">
        <v>3936</v>
      </c>
      <c r="B362" s="423" t="s">
        <v>3961</v>
      </c>
      <c r="C362" s="581" t="s">
        <v>4174</v>
      </c>
      <c r="D362" s="134" t="s">
        <v>2150</v>
      </c>
      <c r="E362" s="134"/>
      <c r="F362" s="584" t="s">
        <v>2739</v>
      </c>
      <c r="G362" s="584" t="s">
        <v>778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ht="13.5" customHeight="1">
      <c r="A363" s="423" t="s">
        <v>3936</v>
      </c>
      <c r="B363" s="423" t="s">
        <v>3961</v>
      </c>
      <c r="C363" s="581" t="s">
        <v>4174</v>
      </c>
      <c r="D363" s="134" t="s">
        <v>2150</v>
      </c>
      <c r="E363" s="134"/>
      <c r="F363" s="584" t="s">
        <v>2743</v>
      </c>
      <c r="G363" s="584" t="s">
        <v>778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ht="13.5" customHeight="1">
      <c r="A364" s="423" t="s">
        <v>3936</v>
      </c>
      <c r="B364" s="423" t="s">
        <v>3961</v>
      </c>
      <c r="C364" s="581" t="s">
        <v>4174</v>
      </c>
      <c r="D364" s="134" t="s">
        <v>2150</v>
      </c>
      <c r="E364" s="134"/>
      <c r="F364" s="584" t="s">
        <v>2747</v>
      </c>
      <c r="G364" s="584" t="s">
        <v>778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ht="13.5" customHeight="1">
      <c r="A365" s="423" t="s">
        <v>3936</v>
      </c>
      <c r="B365" s="423" t="s">
        <v>3961</v>
      </c>
      <c r="C365" s="581" t="s">
        <v>4179</v>
      </c>
      <c r="D365" s="134" t="s">
        <v>2150</v>
      </c>
      <c r="E365" s="134"/>
      <c r="F365" s="584" t="s">
        <v>2781</v>
      </c>
      <c r="G365" s="584" t="s">
        <v>778</v>
      </c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ht="13.5" customHeight="1">
      <c r="A366" s="423" t="s">
        <v>3936</v>
      </c>
      <c r="B366" s="423" t="s">
        <v>3961</v>
      </c>
      <c r="C366" s="581" t="s">
        <v>4180</v>
      </c>
      <c r="D366" s="134" t="s">
        <v>2150</v>
      </c>
      <c r="E366" s="134"/>
      <c r="F366" s="584" t="s">
        <v>2230</v>
      </c>
      <c r="G366" s="584" t="s">
        <v>4215</v>
      </c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ht="13.5" customHeight="1">
      <c r="A367" s="423" t="s">
        <v>3936</v>
      </c>
      <c r="B367" s="423" t="s">
        <v>3961</v>
      </c>
      <c r="C367" s="581" t="s">
        <v>4180</v>
      </c>
      <c r="D367" s="134" t="s">
        <v>2150</v>
      </c>
      <c r="E367" s="134"/>
      <c r="F367" s="584" t="s">
        <v>2226</v>
      </c>
      <c r="G367" s="584" t="s">
        <v>4216</v>
      </c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ht="13.5" customHeight="1">
      <c r="A368" s="423" t="s">
        <v>3936</v>
      </c>
      <c r="B368" s="423" t="s">
        <v>3961</v>
      </c>
      <c r="C368" s="581" t="s">
        <v>4180</v>
      </c>
      <c r="D368" s="134" t="s">
        <v>2150</v>
      </c>
      <c r="E368" s="134"/>
      <c r="F368" s="584" t="s">
        <v>2804</v>
      </c>
      <c r="G368" s="584" t="s">
        <v>778</v>
      </c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ht="13.5" customHeight="1">
      <c r="A369" s="423" t="s">
        <v>3936</v>
      </c>
      <c r="B369" s="423" t="s">
        <v>3961</v>
      </c>
      <c r="C369" s="581" t="s">
        <v>4183</v>
      </c>
      <c r="D369" s="134" t="s">
        <v>2150</v>
      </c>
      <c r="E369" s="134"/>
      <c r="F369" s="584" t="s">
        <v>2234</v>
      </c>
      <c r="G369" s="584" t="s">
        <v>4217</v>
      </c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ht="13.5" customHeight="1">
      <c r="A370" s="423" t="s">
        <v>3936</v>
      </c>
      <c r="B370" s="423" t="s">
        <v>3961</v>
      </c>
      <c r="C370" s="581" t="s">
        <v>4183</v>
      </c>
      <c r="D370" s="134" t="s">
        <v>2150</v>
      </c>
      <c r="E370" s="134"/>
      <c r="F370" s="584" t="s">
        <v>2238</v>
      </c>
      <c r="G370" s="584" t="s">
        <v>4218</v>
      </c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ht="13.5" customHeight="1">
      <c r="A371" s="423" t="s">
        <v>3936</v>
      </c>
      <c r="B371" s="423" t="s">
        <v>3961</v>
      </c>
      <c r="C371" s="581" t="s">
        <v>4186</v>
      </c>
      <c r="D371" s="134" t="s">
        <v>2150</v>
      </c>
      <c r="E371" s="134"/>
      <c r="F371" s="584" t="s">
        <v>2814</v>
      </c>
      <c r="G371" s="584" t="s">
        <v>778</v>
      </c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ht="13.5" customHeight="1">
      <c r="A372" s="423" t="s">
        <v>3936</v>
      </c>
      <c r="B372" s="423" t="s">
        <v>3961</v>
      </c>
      <c r="C372" s="581" t="s">
        <v>4186</v>
      </c>
      <c r="D372" s="134" t="s">
        <v>2150</v>
      </c>
      <c r="E372" s="134"/>
      <c r="F372" s="584" t="s">
        <v>2818</v>
      </c>
      <c r="G372" s="584" t="s">
        <v>778</v>
      </c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ht="13.5" customHeight="1">
      <c r="A373" s="423" t="s">
        <v>3936</v>
      </c>
      <c r="B373" s="423" t="s">
        <v>3961</v>
      </c>
      <c r="C373" s="581" t="s">
        <v>4186</v>
      </c>
      <c r="D373" s="134" t="s">
        <v>2150</v>
      </c>
      <c r="E373" s="134"/>
      <c r="F373" s="584" t="s">
        <v>2822</v>
      </c>
      <c r="G373" s="584" t="s">
        <v>778</v>
      </c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ht="13.5" customHeight="1">
      <c r="A374" s="423" t="s">
        <v>3936</v>
      </c>
      <c r="B374" s="423" t="s">
        <v>3961</v>
      </c>
      <c r="C374" s="581" t="s">
        <v>4186</v>
      </c>
      <c r="D374" s="134" t="s">
        <v>2150</v>
      </c>
      <c r="E374" s="134"/>
      <c r="F374" s="584" t="s">
        <v>2826</v>
      </c>
      <c r="G374" s="584" t="s">
        <v>778</v>
      </c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ht="13.5" customHeight="1">
      <c r="A375" s="423" t="s">
        <v>3936</v>
      </c>
      <c r="B375" s="423" t="s">
        <v>3961</v>
      </c>
      <c r="C375" s="581" t="s">
        <v>4186</v>
      </c>
      <c r="D375" s="134" t="s">
        <v>2150</v>
      </c>
      <c r="E375" s="134"/>
      <c r="F375" s="584" t="s">
        <v>2830</v>
      </c>
      <c r="G375" s="584" t="s">
        <v>778</v>
      </c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ht="13.5" customHeight="1">
      <c r="A376" s="423" t="s">
        <v>3936</v>
      </c>
      <c r="B376" s="423" t="s">
        <v>3961</v>
      </c>
      <c r="C376" s="581" t="s">
        <v>4187</v>
      </c>
      <c r="D376" s="134" t="s">
        <v>2150</v>
      </c>
      <c r="E376" s="134"/>
      <c r="F376" s="584" t="s">
        <v>2834</v>
      </c>
      <c r="G376" s="584" t="s">
        <v>778</v>
      </c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ht="13.5" customHeight="1">
      <c r="A377" s="423" t="s">
        <v>3936</v>
      </c>
      <c r="B377" s="423" t="s">
        <v>3961</v>
      </c>
      <c r="C377" s="581" t="s">
        <v>4187</v>
      </c>
      <c r="D377" s="134" t="s">
        <v>2150</v>
      </c>
      <c r="E377" s="134"/>
      <c r="F377" s="584" t="s">
        <v>2838</v>
      </c>
      <c r="G377" s="584" t="s">
        <v>778</v>
      </c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ht="13.5" customHeight="1">
      <c r="A378" s="423" t="s">
        <v>3936</v>
      </c>
      <c r="B378" s="423" t="s">
        <v>3961</v>
      </c>
      <c r="C378" s="581" t="s">
        <v>4187</v>
      </c>
      <c r="D378" s="134" t="s">
        <v>2150</v>
      </c>
      <c r="E378" s="134"/>
      <c r="F378" s="584" t="s">
        <v>2843</v>
      </c>
      <c r="G378" s="584" t="s">
        <v>778</v>
      </c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ht="13.5" customHeight="1">
      <c r="A379" s="423" t="s">
        <v>3936</v>
      </c>
      <c r="B379" s="423" t="s">
        <v>3961</v>
      </c>
      <c r="C379" s="581" t="s">
        <v>4187</v>
      </c>
      <c r="D379" s="134" t="s">
        <v>2150</v>
      </c>
      <c r="E379" s="134"/>
      <c r="F379" s="584" t="s">
        <v>2848</v>
      </c>
      <c r="G379" s="584" t="s">
        <v>778</v>
      </c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ht="13.5" customHeight="1">
      <c r="A380" s="423" t="s">
        <v>3936</v>
      </c>
      <c r="B380" s="423" t="s">
        <v>3961</v>
      </c>
      <c r="C380" s="581" t="s">
        <v>4187</v>
      </c>
      <c r="D380" s="134" t="s">
        <v>2150</v>
      </c>
      <c r="E380" s="134"/>
      <c r="F380" s="584" t="s">
        <v>2853</v>
      </c>
      <c r="G380" s="584" t="s">
        <v>778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ht="13.5" customHeight="1">
      <c r="A381" s="423" t="s">
        <v>3936</v>
      </c>
      <c r="B381" s="423" t="s">
        <v>3961</v>
      </c>
      <c r="C381" s="581" t="s">
        <v>4187</v>
      </c>
      <c r="D381" s="134" t="s">
        <v>2150</v>
      </c>
      <c r="E381" s="134"/>
      <c r="F381" s="584" t="s">
        <v>2857</v>
      </c>
      <c r="G381" s="584" t="s">
        <v>778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ht="13.5" customHeight="1">
      <c r="A382" s="423" t="s">
        <v>1886</v>
      </c>
      <c r="B382" s="585" t="s">
        <v>4219</v>
      </c>
      <c r="C382" s="582" t="s">
        <v>3029</v>
      </c>
      <c r="D382" s="134"/>
      <c r="E382" s="134"/>
      <c r="F382" s="586" t="s">
        <v>3030</v>
      </c>
      <c r="G382" s="586" t="s">
        <v>778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ht="13.5" customHeight="1">
      <c r="A383" s="423" t="s">
        <v>1886</v>
      </c>
      <c r="B383" s="585" t="s">
        <v>4219</v>
      </c>
      <c r="C383" s="582" t="s">
        <v>3029</v>
      </c>
      <c r="D383" s="134"/>
      <c r="E383" s="134"/>
      <c r="F383" s="586" t="s">
        <v>3034</v>
      </c>
      <c r="G383" s="586" t="s">
        <v>778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ht="13.5" customHeight="1">
      <c r="A384" s="423" t="s">
        <v>1886</v>
      </c>
      <c r="B384" s="585" t="s">
        <v>4219</v>
      </c>
      <c r="C384" s="582" t="s">
        <v>3029</v>
      </c>
      <c r="D384" s="134"/>
      <c r="E384" s="134"/>
      <c r="F384" s="586" t="s">
        <v>3037</v>
      </c>
      <c r="G384" s="586" t="s">
        <v>778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ht="13.5" customHeight="1">
      <c r="A385" s="423" t="s">
        <v>1886</v>
      </c>
      <c r="B385" s="585" t="s">
        <v>4219</v>
      </c>
      <c r="C385" s="582" t="s">
        <v>3029</v>
      </c>
      <c r="D385" s="134"/>
      <c r="E385" s="134"/>
      <c r="F385" s="586" t="s">
        <v>3040</v>
      </c>
      <c r="G385" s="586" t="s">
        <v>778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ht="13.5" customHeight="1">
      <c r="A386" s="423" t="s">
        <v>1886</v>
      </c>
      <c r="B386" s="585" t="s">
        <v>4219</v>
      </c>
      <c r="C386" s="582" t="s">
        <v>3029</v>
      </c>
      <c r="D386" s="134"/>
      <c r="E386" s="134"/>
      <c r="F386" s="586" t="s">
        <v>3043</v>
      </c>
      <c r="G386" s="586" t="s">
        <v>778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ht="13.5" customHeight="1">
      <c r="A387" s="423" t="s">
        <v>1886</v>
      </c>
      <c r="B387" s="585" t="s">
        <v>4219</v>
      </c>
      <c r="C387" s="582" t="s">
        <v>3029</v>
      </c>
      <c r="D387" s="134"/>
      <c r="E387" s="134"/>
      <c r="F387" s="586" t="s">
        <v>3046</v>
      </c>
      <c r="G387" s="586" t="s">
        <v>778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ht="13.5" customHeight="1">
      <c r="A388" s="423" t="s">
        <v>1886</v>
      </c>
      <c r="B388" s="585" t="s">
        <v>4219</v>
      </c>
      <c r="C388" s="582" t="s">
        <v>3029</v>
      </c>
      <c r="D388" s="134"/>
      <c r="E388" s="134"/>
      <c r="F388" s="586" t="s">
        <v>3049</v>
      </c>
      <c r="G388" s="586" t="s">
        <v>778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ht="13.5" customHeight="1">
      <c r="A389" s="423" t="s">
        <v>1886</v>
      </c>
      <c r="B389" s="585" t="s">
        <v>4219</v>
      </c>
      <c r="C389" s="582" t="s">
        <v>3029</v>
      </c>
      <c r="D389" s="134"/>
      <c r="E389" s="134"/>
      <c r="F389" s="586" t="s">
        <v>3052</v>
      </c>
      <c r="G389" s="586" t="s">
        <v>778</v>
      </c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ht="13.5" customHeight="1">
      <c r="A390" s="423" t="s">
        <v>1886</v>
      </c>
      <c r="B390" s="585" t="s">
        <v>4219</v>
      </c>
      <c r="C390" s="582" t="s">
        <v>3029</v>
      </c>
      <c r="D390" s="134"/>
      <c r="E390" s="134"/>
      <c r="F390" s="586" t="s">
        <v>3055</v>
      </c>
      <c r="G390" s="586" t="s">
        <v>778</v>
      </c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ht="13.5" customHeight="1">
      <c r="A391" s="423" t="s">
        <v>1886</v>
      </c>
      <c r="B391" s="585" t="s">
        <v>4219</v>
      </c>
      <c r="C391" s="582" t="s">
        <v>3029</v>
      </c>
      <c r="D391" s="134"/>
      <c r="E391" s="134"/>
      <c r="F391" s="586" t="s">
        <v>3058</v>
      </c>
      <c r="G391" s="586" t="s">
        <v>778</v>
      </c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ht="13.5" customHeight="1">
      <c r="A392" s="423" t="s">
        <v>1886</v>
      </c>
      <c r="B392" s="585" t="s">
        <v>4219</v>
      </c>
      <c r="C392" s="582" t="s">
        <v>3029</v>
      </c>
      <c r="D392" s="134"/>
      <c r="E392" s="134"/>
      <c r="F392" s="586" t="s">
        <v>3061</v>
      </c>
      <c r="G392" s="586" t="s">
        <v>778</v>
      </c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ht="13.5" customHeight="1">
      <c r="A393" s="423" t="s">
        <v>1886</v>
      </c>
      <c r="B393" s="585" t="s">
        <v>4219</v>
      </c>
      <c r="C393" s="582" t="s">
        <v>3029</v>
      </c>
      <c r="D393" s="134"/>
      <c r="E393" s="134"/>
      <c r="F393" s="586" t="s">
        <v>3064</v>
      </c>
      <c r="G393" s="586" t="s">
        <v>778</v>
      </c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ht="13.5" customHeight="1">
      <c r="A394" s="423" t="s">
        <v>1886</v>
      </c>
      <c r="B394" s="585" t="s">
        <v>4219</v>
      </c>
      <c r="C394" s="582" t="s">
        <v>3029</v>
      </c>
      <c r="D394" s="134"/>
      <c r="E394" s="134"/>
      <c r="F394" s="586" t="s">
        <v>3067</v>
      </c>
      <c r="G394" s="586" t="s">
        <v>778</v>
      </c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ht="13.5" customHeight="1">
      <c r="A395" s="423" t="s">
        <v>1886</v>
      </c>
      <c r="B395" s="585" t="s">
        <v>4219</v>
      </c>
      <c r="C395" s="582" t="s">
        <v>3029</v>
      </c>
      <c r="D395" s="134"/>
      <c r="E395" s="134"/>
      <c r="F395" s="586" t="s">
        <v>3070</v>
      </c>
      <c r="G395" s="586" t="s">
        <v>778</v>
      </c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ht="13.5" customHeight="1">
      <c r="A396" s="423" t="s">
        <v>1886</v>
      </c>
      <c r="B396" s="585" t="s">
        <v>4220</v>
      </c>
      <c r="C396" s="582" t="s">
        <v>3029</v>
      </c>
      <c r="D396" s="134" t="s">
        <v>3075</v>
      </c>
      <c r="E396" s="134"/>
      <c r="F396" s="583" t="s">
        <v>3077</v>
      </c>
      <c r="G396" s="583" t="s">
        <v>4221</v>
      </c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ht="13.5" customHeight="1">
      <c r="A397" s="423" t="s">
        <v>1886</v>
      </c>
      <c r="B397" s="585" t="s">
        <v>4220</v>
      </c>
      <c r="C397" s="582" t="s">
        <v>3029</v>
      </c>
      <c r="D397" s="134" t="s">
        <v>3082</v>
      </c>
      <c r="E397" s="134"/>
      <c r="F397" s="583" t="s">
        <v>3083</v>
      </c>
      <c r="G397" s="583" t="s">
        <v>4222</v>
      </c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ht="13.5" customHeight="1">
      <c r="A398" s="423" t="s">
        <v>1886</v>
      </c>
      <c r="B398" s="585" t="s">
        <v>4220</v>
      </c>
      <c r="C398" s="582" t="s">
        <v>3029</v>
      </c>
      <c r="D398" s="134" t="s">
        <v>3086</v>
      </c>
      <c r="E398" s="134"/>
      <c r="F398" s="583" t="s">
        <v>3087</v>
      </c>
      <c r="G398" s="583" t="s">
        <v>4223</v>
      </c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ht="13.5" customHeight="1">
      <c r="A399" s="423" t="s">
        <v>1886</v>
      </c>
      <c r="B399" s="585" t="s">
        <v>4220</v>
      </c>
      <c r="C399" s="582" t="s">
        <v>3029</v>
      </c>
      <c r="D399" s="134" t="s">
        <v>3090</v>
      </c>
      <c r="E399" s="134"/>
      <c r="F399" s="583" t="s">
        <v>3091</v>
      </c>
      <c r="G399" s="583" t="s">
        <v>4224</v>
      </c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ht="13.5" customHeight="1">
      <c r="A400" s="423" t="s">
        <v>1886</v>
      </c>
      <c r="B400" s="585" t="s">
        <v>4220</v>
      </c>
      <c r="C400" s="582" t="s">
        <v>3029</v>
      </c>
      <c r="D400" s="134" t="s">
        <v>3094</v>
      </c>
      <c r="E400" s="134"/>
      <c r="F400" s="583" t="s">
        <v>3095</v>
      </c>
      <c r="G400" s="583" t="s">
        <v>4225</v>
      </c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ht="13.5" customHeight="1">
      <c r="A401" s="423" t="s">
        <v>1886</v>
      </c>
      <c r="B401" s="585" t="s">
        <v>4220</v>
      </c>
      <c r="C401" s="582" t="s">
        <v>3029</v>
      </c>
      <c r="D401" s="134" t="s">
        <v>3094</v>
      </c>
      <c r="E401" s="134"/>
      <c r="F401" s="583" t="s">
        <v>3098</v>
      </c>
      <c r="G401" s="583" t="s">
        <v>4226</v>
      </c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ht="13.5" customHeight="1">
      <c r="A402" s="423" t="s">
        <v>1886</v>
      </c>
      <c r="B402" s="585" t="s">
        <v>4220</v>
      </c>
      <c r="C402" s="582" t="s">
        <v>3029</v>
      </c>
      <c r="D402" s="134" t="s">
        <v>3075</v>
      </c>
      <c r="E402" s="134"/>
      <c r="F402" s="583" t="s">
        <v>3102</v>
      </c>
      <c r="G402" s="583" t="s">
        <v>4227</v>
      </c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ht="13.5" customHeight="1">
      <c r="A403" s="423" t="s">
        <v>1886</v>
      </c>
      <c r="B403" s="585" t="s">
        <v>4220</v>
      </c>
      <c r="C403" s="582" t="s">
        <v>3029</v>
      </c>
      <c r="D403" s="134" t="s">
        <v>3082</v>
      </c>
      <c r="E403" s="134"/>
      <c r="F403" s="583" t="s">
        <v>4228</v>
      </c>
      <c r="G403" s="583" t="s">
        <v>4229</v>
      </c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ht="13.5" customHeight="1">
      <c r="A404" s="423" t="s">
        <v>1886</v>
      </c>
      <c r="B404" s="585" t="s">
        <v>4220</v>
      </c>
      <c r="C404" s="582" t="s">
        <v>3029</v>
      </c>
      <c r="D404" s="134" t="s">
        <v>3086</v>
      </c>
      <c r="E404" s="134"/>
      <c r="F404" s="583" t="s">
        <v>4230</v>
      </c>
      <c r="G404" s="583" t="s">
        <v>4231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ht="13.5" customHeight="1">
      <c r="A405" s="423" t="s">
        <v>1886</v>
      </c>
      <c r="B405" s="585" t="s">
        <v>4220</v>
      </c>
      <c r="C405" s="582" t="s">
        <v>3029</v>
      </c>
      <c r="D405" s="134" t="s">
        <v>3090</v>
      </c>
      <c r="E405" s="134"/>
      <c r="F405" s="583" t="s">
        <v>4232</v>
      </c>
      <c r="G405" s="583" t="s">
        <v>4233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ht="13.5" customHeight="1">
      <c r="A406" s="423" t="s">
        <v>1886</v>
      </c>
      <c r="B406" s="585" t="s">
        <v>4220</v>
      </c>
      <c r="C406" s="582" t="s">
        <v>3029</v>
      </c>
      <c r="D406" s="134" t="s">
        <v>3094</v>
      </c>
      <c r="E406" s="134"/>
      <c r="F406" s="583" t="s">
        <v>4234</v>
      </c>
      <c r="G406" s="583" t="s">
        <v>4235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ht="13.5" customHeight="1">
      <c r="A407" s="423" t="s">
        <v>1886</v>
      </c>
      <c r="B407" s="585" t="s">
        <v>4220</v>
      </c>
      <c r="C407" s="582" t="s">
        <v>3029</v>
      </c>
      <c r="D407" s="134" t="s">
        <v>3094</v>
      </c>
      <c r="E407" s="134"/>
      <c r="F407" s="583" t="s">
        <v>3117</v>
      </c>
      <c r="G407" s="583" t="s">
        <v>4236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ht="13.5" customHeight="1">
      <c r="A408" s="423" t="s">
        <v>1886</v>
      </c>
      <c r="B408" s="585" t="s">
        <v>4220</v>
      </c>
      <c r="C408" s="582" t="s">
        <v>3029</v>
      </c>
      <c r="D408" s="134" t="s">
        <v>3094</v>
      </c>
      <c r="E408" s="134"/>
      <c r="F408" s="583" t="s">
        <v>3121</v>
      </c>
      <c r="G408" s="583" t="s">
        <v>4237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ht="13.5" customHeight="1">
      <c r="A409" s="423" t="s">
        <v>1886</v>
      </c>
      <c r="B409" s="585" t="s">
        <v>4220</v>
      </c>
      <c r="C409" s="582" t="s">
        <v>3029</v>
      </c>
      <c r="D409" s="134" t="s">
        <v>3094</v>
      </c>
      <c r="E409" s="134"/>
      <c r="F409" s="583" t="s">
        <v>3125</v>
      </c>
      <c r="G409" s="583" t="s">
        <v>4238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ht="13.5" customHeight="1">
      <c r="A410" s="423" t="s">
        <v>1886</v>
      </c>
      <c r="B410" s="585" t="s">
        <v>4220</v>
      </c>
      <c r="C410" s="582" t="s">
        <v>3029</v>
      </c>
      <c r="D410" s="134" t="s">
        <v>3094</v>
      </c>
      <c r="E410" s="134"/>
      <c r="F410" s="583" t="s">
        <v>3128</v>
      </c>
      <c r="G410" s="583" t="s">
        <v>4239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ht="13.5" customHeight="1">
      <c r="A411" s="423" t="s">
        <v>1886</v>
      </c>
      <c r="B411" s="585" t="s">
        <v>4220</v>
      </c>
      <c r="C411" s="582" t="s">
        <v>3029</v>
      </c>
      <c r="D411" s="134" t="s">
        <v>3086</v>
      </c>
      <c r="E411" s="134"/>
      <c r="F411" s="583" t="s">
        <v>3141</v>
      </c>
      <c r="G411" s="583" t="s">
        <v>4240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ht="13.5" customHeight="1">
      <c r="A412" s="423" t="s">
        <v>1886</v>
      </c>
      <c r="B412" s="585" t="s">
        <v>4220</v>
      </c>
      <c r="C412" s="582" t="s">
        <v>3029</v>
      </c>
      <c r="D412" s="134" t="s">
        <v>3090</v>
      </c>
      <c r="E412" s="134"/>
      <c r="F412" s="583" t="s">
        <v>3147</v>
      </c>
      <c r="G412" s="583" t="s">
        <v>4241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ht="13.5" customHeight="1">
      <c r="A413" s="423" t="s">
        <v>1886</v>
      </c>
      <c r="B413" s="585" t="s">
        <v>4220</v>
      </c>
      <c r="C413" s="582" t="s">
        <v>3029</v>
      </c>
      <c r="D413" s="134" t="s">
        <v>3094</v>
      </c>
      <c r="E413" s="134"/>
      <c r="F413" s="583" t="s">
        <v>3153</v>
      </c>
      <c r="G413" s="583" t="s">
        <v>4242</v>
      </c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ht="13.5" customHeight="1">
      <c r="A414" s="423" t="s">
        <v>1886</v>
      </c>
      <c r="B414" s="585" t="s">
        <v>4220</v>
      </c>
      <c r="C414" s="582" t="s">
        <v>3029</v>
      </c>
      <c r="D414" s="134" t="s">
        <v>3094</v>
      </c>
      <c r="E414" s="134"/>
      <c r="F414" s="583" t="s">
        <v>3156</v>
      </c>
      <c r="G414" s="583" t="s">
        <v>4243</v>
      </c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ht="13.5" customHeight="1">
      <c r="A415" s="423" t="s">
        <v>1886</v>
      </c>
      <c r="B415" s="585" t="s">
        <v>4220</v>
      </c>
      <c r="C415" s="582" t="s">
        <v>3029</v>
      </c>
      <c r="D415" s="134" t="s">
        <v>3094</v>
      </c>
      <c r="E415" s="134"/>
      <c r="F415" s="583" t="s">
        <v>3160</v>
      </c>
      <c r="G415" s="583" t="s">
        <v>4244</v>
      </c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ht="13.5" customHeight="1">
      <c r="A416" s="423" t="s">
        <v>1886</v>
      </c>
      <c r="B416" s="585" t="s">
        <v>4220</v>
      </c>
      <c r="C416" s="582" t="s">
        <v>3029</v>
      </c>
      <c r="D416" s="134" t="s">
        <v>3094</v>
      </c>
      <c r="E416" s="134"/>
      <c r="F416" s="583" t="s">
        <v>3131</v>
      </c>
      <c r="G416" s="583" t="s">
        <v>4245</v>
      </c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ht="13.5" customHeight="1">
      <c r="A417" s="423" t="s">
        <v>1886</v>
      </c>
      <c r="B417" s="585" t="s">
        <v>4220</v>
      </c>
      <c r="C417" s="582" t="s">
        <v>3029</v>
      </c>
      <c r="D417" s="134"/>
      <c r="E417" s="134"/>
      <c r="F417" s="583" t="s">
        <v>3167</v>
      </c>
      <c r="G417" s="583" t="s">
        <v>778</v>
      </c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ht="13.5" customHeight="1">
      <c r="A418" s="423" t="s">
        <v>1886</v>
      </c>
      <c r="B418" s="585" t="s">
        <v>4220</v>
      </c>
      <c r="C418" s="582" t="s">
        <v>3029</v>
      </c>
      <c r="D418" s="134"/>
      <c r="E418" s="134"/>
      <c r="F418" s="583" t="s">
        <v>3170</v>
      </c>
      <c r="G418" s="583" t="s">
        <v>778</v>
      </c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ht="13.5" customHeight="1">
      <c r="A419" s="423" t="s">
        <v>1886</v>
      </c>
      <c r="B419" s="585" t="s">
        <v>4220</v>
      </c>
      <c r="C419" s="582" t="s">
        <v>3029</v>
      </c>
      <c r="D419" s="134"/>
      <c r="E419" s="134"/>
      <c r="F419" s="583" t="s">
        <v>3173</v>
      </c>
      <c r="G419" s="583" t="s">
        <v>778</v>
      </c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ht="13.5" customHeight="1">
      <c r="A420" s="423" t="s">
        <v>1886</v>
      </c>
      <c r="B420" s="585" t="s">
        <v>4220</v>
      </c>
      <c r="C420" s="582" t="s">
        <v>3029</v>
      </c>
      <c r="D420" s="134"/>
      <c r="E420" s="134"/>
      <c r="F420" s="583" t="s">
        <v>3176</v>
      </c>
      <c r="G420" s="583" t="s">
        <v>778</v>
      </c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ht="13.5" customHeight="1">
      <c r="A421" s="423" t="s">
        <v>1886</v>
      </c>
      <c r="B421" s="585" t="s">
        <v>4220</v>
      </c>
      <c r="C421" s="582" t="s">
        <v>3029</v>
      </c>
      <c r="D421" s="134"/>
      <c r="E421" s="134"/>
      <c r="F421" s="583" t="s">
        <v>3179</v>
      </c>
      <c r="G421" s="583" t="s">
        <v>778</v>
      </c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ht="13.5" customHeight="1">
      <c r="A422" s="423" t="s">
        <v>1886</v>
      </c>
      <c r="B422" s="585" t="s">
        <v>4220</v>
      </c>
      <c r="C422" s="582" t="s">
        <v>3029</v>
      </c>
      <c r="D422" s="134"/>
      <c r="E422" s="134"/>
      <c r="F422" s="583" t="s">
        <v>3182</v>
      </c>
      <c r="G422" s="583" t="s">
        <v>778</v>
      </c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ht="13.5" customHeight="1">
      <c r="A423" s="423" t="s">
        <v>1886</v>
      </c>
      <c r="B423" s="585" t="s">
        <v>4220</v>
      </c>
      <c r="C423" s="582" t="s">
        <v>3185</v>
      </c>
      <c r="D423" s="134" t="s">
        <v>3075</v>
      </c>
      <c r="E423" s="134"/>
      <c r="F423" s="583" t="s">
        <v>3186</v>
      </c>
      <c r="G423" s="583" t="s">
        <v>4246</v>
      </c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ht="13.5" customHeight="1">
      <c r="A424" s="423" t="s">
        <v>1886</v>
      </c>
      <c r="B424" s="585" t="s">
        <v>4220</v>
      </c>
      <c r="C424" s="582" t="s">
        <v>3185</v>
      </c>
      <c r="D424" s="134" t="s">
        <v>3082</v>
      </c>
      <c r="E424" s="134"/>
      <c r="F424" s="583" t="s">
        <v>3189</v>
      </c>
      <c r="G424" s="583" t="s">
        <v>4247</v>
      </c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ht="13.5" customHeight="1">
      <c r="A425" s="423" t="s">
        <v>1886</v>
      </c>
      <c r="B425" s="585" t="s">
        <v>4220</v>
      </c>
      <c r="C425" s="582" t="s">
        <v>3185</v>
      </c>
      <c r="D425" s="134" t="s">
        <v>3086</v>
      </c>
      <c r="E425" s="134"/>
      <c r="F425" s="583" t="s">
        <v>3192</v>
      </c>
      <c r="G425" s="583" t="s">
        <v>4248</v>
      </c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ht="13.5" customHeight="1">
      <c r="A426" s="423" t="s">
        <v>1886</v>
      </c>
      <c r="B426" s="585" t="s">
        <v>4220</v>
      </c>
      <c r="C426" s="582" t="s">
        <v>3185</v>
      </c>
      <c r="D426" s="134" t="s">
        <v>3090</v>
      </c>
      <c r="E426" s="134"/>
      <c r="F426" s="583" t="s">
        <v>3195</v>
      </c>
      <c r="G426" s="583" t="s">
        <v>4249</v>
      </c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ht="13.5" customHeight="1">
      <c r="A427" s="423" t="s">
        <v>1886</v>
      </c>
      <c r="B427" s="585" t="s">
        <v>4220</v>
      </c>
      <c r="C427" s="582" t="s">
        <v>3185</v>
      </c>
      <c r="D427" s="134" t="s">
        <v>3094</v>
      </c>
      <c r="E427" s="134"/>
      <c r="F427" s="583" t="s">
        <v>3198</v>
      </c>
      <c r="G427" s="583" t="s">
        <v>4250</v>
      </c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ht="13.5" customHeight="1">
      <c r="A428" s="423" t="s">
        <v>1886</v>
      </c>
      <c r="B428" s="585" t="s">
        <v>4220</v>
      </c>
      <c r="C428" s="582" t="s">
        <v>3185</v>
      </c>
      <c r="D428" s="134" t="s">
        <v>3075</v>
      </c>
      <c r="E428" s="134"/>
      <c r="F428" s="583" t="s">
        <v>3201</v>
      </c>
      <c r="G428" s="583" t="s">
        <v>4251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ht="13.5" customHeight="1">
      <c r="A429" s="423" t="s">
        <v>1886</v>
      </c>
      <c r="B429" s="585" t="s">
        <v>4220</v>
      </c>
      <c r="C429" s="582" t="s">
        <v>3185</v>
      </c>
      <c r="D429" s="134" t="s">
        <v>3086</v>
      </c>
      <c r="E429" s="134"/>
      <c r="F429" s="583" t="s">
        <v>3204</v>
      </c>
      <c r="G429" s="583" t="s">
        <v>4252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ht="13.5" customHeight="1">
      <c r="A430" s="423" t="s">
        <v>1886</v>
      </c>
      <c r="B430" s="585" t="s">
        <v>4220</v>
      </c>
      <c r="C430" s="582" t="s">
        <v>3185</v>
      </c>
      <c r="D430" s="134" t="s">
        <v>3094</v>
      </c>
      <c r="E430" s="134"/>
      <c r="F430" s="583" t="s">
        <v>3207</v>
      </c>
      <c r="G430" s="583" t="s">
        <v>4253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ht="13.5" customHeight="1">
      <c r="A431" s="423" t="s">
        <v>1886</v>
      </c>
      <c r="B431" s="585" t="s">
        <v>4220</v>
      </c>
      <c r="C431" s="582" t="s">
        <v>3185</v>
      </c>
      <c r="D431" s="134" t="s">
        <v>3094</v>
      </c>
      <c r="E431" s="134"/>
      <c r="F431" s="583" t="s">
        <v>3210</v>
      </c>
      <c r="G431" s="583" t="s">
        <v>4254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ht="13.5" customHeight="1">
      <c r="A432" s="423" t="s">
        <v>1886</v>
      </c>
      <c r="B432" s="585" t="s">
        <v>4220</v>
      </c>
      <c r="C432" s="582" t="s">
        <v>3185</v>
      </c>
      <c r="D432" s="134" t="s">
        <v>3075</v>
      </c>
      <c r="E432" s="134"/>
      <c r="F432" s="583" t="s">
        <v>3247</v>
      </c>
      <c r="G432" s="583" t="s">
        <v>4255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ht="13.5" customHeight="1">
      <c r="A433" s="423" t="s">
        <v>1886</v>
      </c>
      <c r="B433" s="585" t="s">
        <v>4220</v>
      </c>
      <c r="C433" s="582" t="s">
        <v>3185</v>
      </c>
      <c r="D433" s="134" t="s">
        <v>3082</v>
      </c>
      <c r="E433" s="134"/>
      <c r="F433" s="583" t="s">
        <v>3250</v>
      </c>
      <c r="G433" s="583" t="s">
        <v>4256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ht="13.5" customHeight="1">
      <c r="A434" s="423" t="s">
        <v>1886</v>
      </c>
      <c r="B434" s="585" t="s">
        <v>4220</v>
      </c>
      <c r="C434" s="582" t="s">
        <v>3185</v>
      </c>
      <c r="D434" s="134" t="s">
        <v>3086</v>
      </c>
      <c r="E434" s="134"/>
      <c r="F434" s="583" t="s">
        <v>3253</v>
      </c>
      <c r="G434" s="583" t="s">
        <v>4257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ht="13.5" customHeight="1">
      <c r="A435" s="423" t="s">
        <v>1886</v>
      </c>
      <c r="B435" s="585" t="s">
        <v>4220</v>
      </c>
      <c r="C435" s="582" t="s">
        <v>3185</v>
      </c>
      <c r="D435" s="134" t="s">
        <v>3090</v>
      </c>
      <c r="E435" s="134"/>
      <c r="F435" s="583" t="s">
        <v>3256</v>
      </c>
      <c r="G435" s="583" t="s">
        <v>4258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ht="13.5" customHeight="1">
      <c r="A436" s="423" t="s">
        <v>1886</v>
      </c>
      <c r="B436" s="585" t="s">
        <v>4220</v>
      </c>
      <c r="C436" s="582" t="s">
        <v>3185</v>
      </c>
      <c r="D436" s="134" t="s">
        <v>3094</v>
      </c>
      <c r="E436" s="134"/>
      <c r="F436" s="583" t="s">
        <v>3259</v>
      </c>
      <c r="G436" s="583" t="s">
        <v>4259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ht="13.5" customHeight="1">
      <c r="A437" s="423" t="s">
        <v>1886</v>
      </c>
      <c r="B437" s="585" t="s">
        <v>4220</v>
      </c>
      <c r="C437" s="582" t="s">
        <v>3185</v>
      </c>
      <c r="D437" s="134" t="s">
        <v>3075</v>
      </c>
      <c r="E437" s="134"/>
      <c r="F437" s="583" t="s">
        <v>3262</v>
      </c>
      <c r="G437" s="583" t="s">
        <v>4260</v>
      </c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ht="13.5" customHeight="1">
      <c r="A438" s="423" t="s">
        <v>1886</v>
      </c>
      <c r="B438" s="585" t="s">
        <v>4220</v>
      </c>
      <c r="C438" s="582" t="s">
        <v>3185</v>
      </c>
      <c r="D438" s="134" t="s">
        <v>3086</v>
      </c>
      <c r="E438" s="134"/>
      <c r="F438" s="583" t="s">
        <v>3265</v>
      </c>
      <c r="G438" s="583" t="s">
        <v>4261</v>
      </c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ht="13.5" customHeight="1">
      <c r="A439" s="423" t="s">
        <v>1886</v>
      </c>
      <c r="B439" s="585" t="s">
        <v>4220</v>
      </c>
      <c r="C439" s="582" t="s">
        <v>3185</v>
      </c>
      <c r="D439" s="134" t="s">
        <v>3094</v>
      </c>
      <c r="E439" s="134"/>
      <c r="F439" s="583" t="s">
        <v>3268</v>
      </c>
      <c r="G439" s="583" t="s">
        <v>4262</v>
      </c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ht="13.5" customHeight="1">
      <c r="A440" s="423" t="s">
        <v>1886</v>
      </c>
      <c r="B440" s="585" t="s">
        <v>4220</v>
      </c>
      <c r="C440" s="582" t="s">
        <v>3185</v>
      </c>
      <c r="D440" s="134" t="s">
        <v>3094</v>
      </c>
      <c r="E440" s="134"/>
      <c r="F440" s="583" t="s">
        <v>3271</v>
      </c>
      <c r="G440" s="583" t="s">
        <v>4263</v>
      </c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ht="13.5" customHeight="1">
      <c r="A441" s="423" t="s">
        <v>1886</v>
      </c>
      <c r="B441" s="585" t="s">
        <v>4220</v>
      </c>
      <c r="C441" s="582" t="s">
        <v>3185</v>
      </c>
      <c r="D441" s="134" t="s">
        <v>3094</v>
      </c>
      <c r="E441" s="134"/>
      <c r="F441" s="583" t="s">
        <v>3274</v>
      </c>
      <c r="G441" s="583" t="s">
        <v>4264</v>
      </c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ht="13.5" customHeight="1">
      <c r="A442" s="423" t="s">
        <v>1886</v>
      </c>
      <c r="B442" s="585" t="s">
        <v>4220</v>
      </c>
      <c r="C442" s="582" t="s">
        <v>3185</v>
      </c>
      <c r="D442" s="134" t="s">
        <v>3090</v>
      </c>
      <c r="E442" s="134"/>
      <c r="F442" s="583" t="s">
        <v>3277</v>
      </c>
      <c r="G442" s="583" t="s">
        <v>4265</v>
      </c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ht="13.5" customHeight="1">
      <c r="A443" s="423" t="s">
        <v>1886</v>
      </c>
      <c r="B443" s="585" t="s">
        <v>4220</v>
      </c>
      <c r="C443" s="582" t="s">
        <v>3185</v>
      </c>
      <c r="D443" s="134" t="s">
        <v>3094</v>
      </c>
      <c r="E443" s="134"/>
      <c r="F443" s="583" t="s">
        <v>3280</v>
      </c>
      <c r="G443" s="583" t="s">
        <v>4266</v>
      </c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ht="13.5" customHeight="1">
      <c r="A444" s="423" t="s">
        <v>1886</v>
      </c>
      <c r="B444" s="585" t="s">
        <v>4220</v>
      </c>
      <c r="C444" s="582" t="s">
        <v>3185</v>
      </c>
      <c r="D444" s="134" t="s">
        <v>3228</v>
      </c>
      <c r="E444" s="134"/>
      <c r="F444" s="583" t="s">
        <v>3283</v>
      </c>
      <c r="G444" s="583" t="s">
        <v>4267</v>
      </c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ht="13.5" customHeight="1">
      <c r="A445" s="423" t="s">
        <v>1886</v>
      </c>
      <c r="B445" s="585" t="s">
        <v>4220</v>
      </c>
      <c r="C445" s="582" t="s">
        <v>3185</v>
      </c>
      <c r="D445" s="134" t="s">
        <v>3094</v>
      </c>
      <c r="E445" s="134"/>
      <c r="F445" s="583" t="s">
        <v>3286</v>
      </c>
      <c r="G445" s="583" t="s">
        <v>4268</v>
      </c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ht="13.5" customHeight="1">
      <c r="A446" s="423" t="s">
        <v>1886</v>
      </c>
      <c r="B446" s="585" t="s">
        <v>4220</v>
      </c>
      <c r="C446" s="582" t="s">
        <v>3185</v>
      </c>
      <c r="D446" s="134" t="s">
        <v>3094</v>
      </c>
      <c r="E446" s="134"/>
      <c r="F446" s="583" t="s">
        <v>3289</v>
      </c>
      <c r="G446" s="583" t="s">
        <v>4269</v>
      </c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ht="13.5" customHeight="1">
      <c r="A447" s="423" t="s">
        <v>1886</v>
      </c>
      <c r="B447" s="585" t="s">
        <v>4220</v>
      </c>
      <c r="C447" s="582" t="s">
        <v>3185</v>
      </c>
      <c r="D447" s="134" t="s">
        <v>3228</v>
      </c>
      <c r="E447" s="134"/>
      <c r="F447" s="583" t="s">
        <v>3292</v>
      </c>
      <c r="G447" s="583" t="s">
        <v>4270</v>
      </c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ht="13.5" customHeight="1">
      <c r="A448" s="423" t="s">
        <v>1886</v>
      </c>
      <c r="B448" s="585" t="s">
        <v>4220</v>
      </c>
      <c r="C448" s="582" t="s">
        <v>3185</v>
      </c>
      <c r="D448" s="134" t="s">
        <v>3090</v>
      </c>
      <c r="E448" s="134"/>
      <c r="F448" s="583" t="s">
        <v>3295</v>
      </c>
      <c r="G448" s="583" t="s">
        <v>4271</v>
      </c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ht="13.5" customHeight="1">
      <c r="A449" s="423" t="s">
        <v>1886</v>
      </c>
      <c r="B449" s="585" t="s">
        <v>4220</v>
      </c>
      <c r="C449" s="582" t="s">
        <v>3185</v>
      </c>
      <c r="D449" s="134" t="s">
        <v>3094</v>
      </c>
      <c r="E449" s="134"/>
      <c r="F449" s="583" t="s">
        <v>3298</v>
      </c>
      <c r="G449" s="583" t="s">
        <v>4272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ht="13.5" customHeight="1">
      <c r="A450" s="423" t="s">
        <v>1886</v>
      </c>
      <c r="B450" s="585" t="s">
        <v>4220</v>
      </c>
      <c r="C450" s="582" t="s">
        <v>3185</v>
      </c>
      <c r="D450" s="134" t="s">
        <v>3228</v>
      </c>
      <c r="E450" s="134"/>
      <c r="F450" s="583" t="s">
        <v>3301</v>
      </c>
      <c r="G450" s="583" t="s">
        <v>4273</v>
      </c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ht="13.5" customHeight="1">
      <c r="A451" s="423" t="s">
        <v>1886</v>
      </c>
      <c r="B451" s="585" t="s">
        <v>4220</v>
      </c>
      <c r="C451" s="582" t="s">
        <v>3185</v>
      </c>
      <c r="D451" s="134" t="s">
        <v>3094</v>
      </c>
      <c r="E451" s="134"/>
      <c r="F451" s="583" t="s">
        <v>3304</v>
      </c>
      <c r="G451" s="583" t="s">
        <v>4274</v>
      </c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ht="13.5" customHeight="1">
      <c r="A452" s="423" t="s">
        <v>1886</v>
      </c>
      <c r="B452" s="585" t="s">
        <v>4220</v>
      </c>
      <c r="C452" s="582" t="s">
        <v>3185</v>
      </c>
      <c r="D452" s="134" t="s">
        <v>3094</v>
      </c>
      <c r="E452" s="134"/>
      <c r="F452" s="583" t="s">
        <v>3307</v>
      </c>
      <c r="G452" s="583" t="s">
        <v>4275</v>
      </c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ht="13.5" customHeight="1">
      <c r="A453" s="423" t="s">
        <v>1886</v>
      </c>
      <c r="B453" s="585" t="s">
        <v>4220</v>
      </c>
      <c r="C453" s="582" t="s">
        <v>3185</v>
      </c>
      <c r="D453" s="134" t="s">
        <v>3228</v>
      </c>
      <c r="E453" s="134"/>
      <c r="F453" s="583" t="s">
        <v>3310</v>
      </c>
      <c r="G453" s="583" t="s">
        <v>4276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ht="13.5" customHeight="1">
      <c r="A454" s="423" t="s">
        <v>1886</v>
      </c>
      <c r="B454" s="585" t="s">
        <v>4220</v>
      </c>
      <c r="C454" s="582" t="s">
        <v>3185</v>
      </c>
      <c r="D454" s="134" t="s">
        <v>3075</v>
      </c>
      <c r="E454" s="134"/>
      <c r="F454" s="583" t="s">
        <v>3313</v>
      </c>
      <c r="G454" s="583" t="s">
        <v>4277</v>
      </c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ht="13.5" customHeight="1">
      <c r="A455" s="423" t="s">
        <v>1886</v>
      </c>
      <c r="B455" s="585" t="s">
        <v>4220</v>
      </c>
      <c r="C455" s="582" t="s">
        <v>3185</v>
      </c>
      <c r="D455" s="134" t="s">
        <v>3082</v>
      </c>
      <c r="E455" s="134"/>
      <c r="F455" s="583" t="s">
        <v>3316</v>
      </c>
      <c r="G455" s="583" t="s">
        <v>4278</v>
      </c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ht="13.5" customHeight="1">
      <c r="A456" s="423" t="s">
        <v>1886</v>
      </c>
      <c r="B456" s="585" t="s">
        <v>4220</v>
      </c>
      <c r="C456" s="582" t="s">
        <v>3185</v>
      </c>
      <c r="D456" s="134" t="s">
        <v>3086</v>
      </c>
      <c r="E456" s="134"/>
      <c r="F456" s="583" t="s">
        <v>3319</v>
      </c>
      <c r="G456" s="583" t="s">
        <v>4279</v>
      </c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ht="13.5" customHeight="1">
      <c r="A457" s="423" t="s">
        <v>1886</v>
      </c>
      <c r="B457" s="585" t="s">
        <v>4220</v>
      </c>
      <c r="C457" s="582" t="s">
        <v>3185</v>
      </c>
      <c r="D457" s="134" t="s">
        <v>3090</v>
      </c>
      <c r="E457" s="134"/>
      <c r="F457" s="583" t="s">
        <v>3322</v>
      </c>
      <c r="G457" s="583" t="s">
        <v>4280</v>
      </c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ht="13.5" customHeight="1">
      <c r="A458" s="423" t="s">
        <v>1886</v>
      </c>
      <c r="B458" s="585" t="s">
        <v>4220</v>
      </c>
      <c r="C458" s="582" t="s">
        <v>3185</v>
      </c>
      <c r="D458" s="134" t="s">
        <v>3094</v>
      </c>
      <c r="E458" s="134"/>
      <c r="F458" s="583" t="s">
        <v>3325</v>
      </c>
      <c r="G458" s="583" t="s">
        <v>4281</v>
      </c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ht="13.5" customHeight="1">
      <c r="A459" s="423" t="s">
        <v>1886</v>
      </c>
      <c r="B459" s="585" t="s">
        <v>4220</v>
      </c>
      <c r="C459" s="582" t="s">
        <v>3185</v>
      </c>
      <c r="D459" s="134" t="s">
        <v>3075</v>
      </c>
      <c r="E459" s="134"/>
      <c r="F459" s="583" t="s">
        <v>3328</v>
      </c>
      <c r="G459" s="583" t="s">
        <v>4282</v>
      </c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ht="13.5" customHeight="1">
      <c r="A460" s="423" t="s">
        <v>1886</v>
      </c>
      <c r="B460" s="585" t="s">
        <v>4220</v>
      </c>
      <c r="C460" s="582" t="s">
        <v>3185</v>
      </c>
      <c r="D460" s="134" t="s">
        <v>3086</v>
      </c>
      <c r="E460" s="134"/>
      <c r="F460" s="583" t="s">
        <v>3331</v>
      </c>
      <c r="G460" s="583" t="s">
        <v>4283</v>
      </c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ht="13.5" customHeight="1">
      <c r="A461" s="423" t="s">
        <v>1886</v>
      </c>
      <c r="B461" s="585" t="s">
        <v>4220</v>
      </c>
      <c r="C461" s="582" t="s">
        <v>3185</v>
      </c>
      <c r="D461" s="134" t="s">
        <v>3094</v>
      </c>
      <c r="E461" s="134"/>
      <c r="F461" s="583" t="s">
        <v>3334</v>
      </c>
      <c r="G461" s="583" t="s">
        <v>4284</v>
      </c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ht="13.5" customHeight="1">
      <c r="A462" s="423" t="s">
        <v>1886</v>
      </c>
      <c r="B462" s="585" t="s">
        <v>4220</v>
      </c>
      <c r="C462" s="582" t="s">
        <v>3185</v>
      </c>
      <c r="D462" s="134" t="s">
        <v>3228</v>
      </c>
      <c r="E462" s="134"/>
      <c r="F462" s="583" t="s">
        <v>3337</v>
      </c>
      <c r="G462" s="583" t="s">
        <v>4285</v>
      </c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ht="13.5" customHeight="1">
      <c r="A463" s="423" t="s">
        <v>1886</v>
      </c>
      <c r="B463" s="585" t="s">
        <v>4220</v>
      </c>
      <c r="C463" s="582" t="s">
        <v>3185</v>
      </c>
      <c r="D463" s="134" t="s">
        <v>3094</v>
      </c>
      <c r="E463" s="134"/>
      <c r="F463" s="583" t="s">
        <v>3340</v>
      </c>
      <c r="G463" s="583" t="s">
        <v>4286</v>
      </c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ht="13.5" customHeight="1">
      <c r="A464" s="423" t="s">
        <v>1886</v>
      </c>
      <c r="B464" s="585" t="s">
        <v>4220</v>
      </c>
      <c r="C464" s="582" t="s">
        <v>3185</v>
      </c>
      <c r="D464" s="134" t="s">
        <v>3075</v>
      </c>
      <c r="E464" s="134"/>
      <c r="F464" s="583" t="s">
        <v>3344</v>
      </c>
      <c r="G464" s="583" t="s">
        <v>4287</v>
      </c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ht="13.5" customHeight="1">
      <c r="A465" s="423" t="s">
        <v>1886</v>
      </c>
      <c r="B465" s="585" t="s">
        <v>4220</v>
      </c>
      <c r="C465" s="582" t="s">
        <v>3185</v>
      </c>
      <c r="D465" s="134" t="s">
        <v>3082</v>
      </c>
      <c r="E465" s="134"/>
      <c r="F465" s="583" t="s">
        <v>3347</v>
      </c>
      <c r="G465" s="583" t="s">
        <v>4288</v>
      </c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ht="13.5" customHeight="1">
      <c r="A466" s="423" t="s">
        <v>1886</v>
      </c>
      <c r="B466" s="585" t="s">
        <v>4220</v>
      </c>
      <c r="C466" s="582" t="s">
        <v>3185</v>
      </c>
      <c r="D466" s="134" t="s">
        <v>3086</v>
      </c>
      <c r="E466" s="134"/>
      <c r="F466" s="583" t="s">
        <v>3350</v>
      </c>
      <c r="G466" s="583" t="s">
        <v>4289</v>
      </c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ht="13.5" customHeight="1">
      <c r="A467" s="423" t="s">
        <v>1886</v>
      </c>
      <c r="B467" s="585" t="s">
        <v>4220</v>
      </c>
      <c r="C467" s="582" t="s">
        <v>3185</v>
      </c>
      <c r="D467" s="134" t="s">
        <v>3090</v>
      </c>
      <c r="E467" s="134"/>
      <c r="F467" s="583" t="s">
        <v>3353</v>
      </c>
      <c r="G467" s="583" t="s">
        <v>4290</v>
      </c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ht="13.5" customHeight="1">
      <c r="A468" s="423" t="s">
        <v>1886</v>
      </c>
      <c r="B468" s="585" t="s">
        <v>4220</v>
      </c>
      <c r="C468" s="582" t="s">
        <v>3185</v>
      </c>
      <c r="D468" s="134" t="s">
        <v>3094</v>
      </c>
      <c r="E468" s="134"/>
      <c r="F468" s="583" t="s">
        <v>3356</v>
      </c>
      <c r="G468" s="583" t="s">
        <v>4291</v>
      </c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ht="13.5" customHeight="1">
      <c r="A469" s="423" t="s">
        <v>1886</v>
      </c>
      <c r="B469" s="585" t="s">
        <v>4220</v>
      </c>
      <c r="C469" s="582" t="s">
        <v>3185</v>
      </c>
      <c r="D469" s="134" t="s">
        <v>3075</v>
      </c>
      <c r="E469" s="134"/>
      <c r="F469" s="583" t="s">
        <v>3359</v>
      </c>
      <c r="G469" s="583" t="s">
        <v>4292</v>
      </c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ht="13.5" customHeight="1">
      <c r="A470" s="423" t="s">
        <v>1886</v>
      </c>
      <c r="B470" s="585" t="s">
        <v>4220</v>
      </c>
      <c r="C470" s="582" t="s">
        <v>3185</v>
      </c>
      <c r="D470" s="134" t="s">
        <v>3086</v>
      </c>
      <c r="E470" s="134"/>
      <c r="F470" s="583" t="s">
        <v>3362</v>
      </c>
      <c r="G470" s="583" t="s">
        <v>4293</v>
      </c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ht="13.5" customHeight="1">
      <c r="A471" s="423" t="s">
        <v>1886</v>
      </c>
      <c r="B471" s="585" t="s">
        <v>4220</v>
      </c>
      <c r="C471" s="582" t="s">
        <v>3185</v>
      </c>
      <c r="D471" s="134" t="s">
        <v>3094</v>
      </c>
      <c r="E471" s="134"/>
      <c r="F471" s="583" t="s">
        <v>3365</v>
      </c>
      <c r="G471" s="583" t="s">
        <v>4294</v>
      </c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ht="13.5" customHeight="1">
      <c r="A472" s="423" t="s">
        <v>1886</v>
      </c>
      <c r="B472" s="585" t="s">
        <v>4220</v>
      </c>
      <c r="C472" s="582" t="s">
        <v>3185</v>
      </c>
      <c r="D472" s="134" t="s">
        <v>3228</v>
      </c>
      <c r="E472" s="134"/>
      <c r="F472" s="583" t="s">
        <v>3368</v>
      </c>
      <c r="G472" s="583" t="s">
        <v>4295</v>
      </c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ht="13.5" customHeight="1">
      <c r="A473" s="423" t="s">
        <v>1886</v>
      </c>
      <c r="B473" s="585" t="s">
        <v>4220</v>
      </c>
      <c r="C473" s="582" t="s">
        <v>3185</v>
      </c>
      <c r="D473" s="134" t="s">
        <v>3094</v>
      </c>
      <c r="E473" s="134"/>
      <c r="F473" s="583" t="s">
        <v>3371</v>
      </c>
      <c r="G473" s="583" t="s">
        <v>4296</v>
      </c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ht="13.5" customHeight="1">
      <c r="A474" s="423" t="s">
        <v>1886</v>
      </c>
      <c r="B474" s="585" t="s">
        <v>4220</v>
      </c>
      <c r="C474" s="582" t="s">
        <v>3185</v>
      </c>
      <c r="D474" s="134" t="s">
        <v>3094</v>
      </c>
      <c r="E474" s="134"/>
      <c r="F474" s="583" t="s">
        <v>3374</v>
      </c>
      <c r="G474" s="583" t="s">
        <v>4297</v>
      </c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ht="13.5" customHeight="1">
      <c r="A475" s="423" t="s">
        <v>1886</v>
      </c>
      <c r="B475" s="585" t="s">
        <v>4220</v>
      </c>
      <c r="C475" s="582" t="s">
        <v>3185</v>
      </c>
      <c r="D475" s="134" t="s">
        <v>3090</v>
      </c>
      <c r="E475" s="134"/>
      <c r="F475" s="583" t="s">
        <v>3377</v>
      </c>
      <c r="G475" s="583" t="s">
        <v>4298</v>
      </c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ht="13.5" customHeight="1">
      <c r="A476" s="423" t="s">
        <v>1886</v>
      </c>
      <c r="B476" s="585" t="s">
        <v>4220</v>
      </c>
      <c r="C476" s="582" t="s">
        <v>3185</v>
      </c>
      <c r="D476" s="134" t="s">
        <v>3094</v>
      </c>
      <c r="E476" s="134"/>
      <c r="F476" s="583" t="s">
        <v>3380</v>
      </c>
      <c r="G476" s="583" t="s">
        <v>4299</v>
      </c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ht="13.5" customHeight="1">
      <c r="A477" s="423" t="s">
        <v>1886</v>
      </c>
      <c r="B477" s="585" t="s">
        <v>4220</v>
      </c>
      <c r="C477" s="582" t="s">
        <v>3185</v>
      </c>
      <c r="D477" s="134" t="s">
        <v>3228</v>
      </c>
      <c r="E477" s="134"/>
      <c r="F477" s="583" t="s">
        <v>3383</v>
      </c>
      <c r="G477" s="583" t="s">
        <v>4300</v>
      </c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ht="13.5" customHeight="1">
      <c r="A478" s="423" t="s">
        <v>1886</v>
      </c>
      <c r="B478" s="585" t="s">
        <v>4220</v>
      </c>
      <c r="C478" s="582" t="s">
        <v>3185</v>
      </c>
      <c r="D478" s="134" t="s">
        <v>3094</v>
      </c>
      <c r="E478" s="134"/>
      <c r="F478" s="583" t="s">
        <v>3386</v>
      </c>
      <c r="G478" s="583" t="s">
        <v>4301</v>
      </c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ht="13.5" customHeight="1">
      <c r="A479" s="423" t="s">
        <v>1886</v>
      </c>
      <c r="B479" s="585" t="s">
        <v>4220</v>
      </c>
      <c r="C479" s="582" t="s">
        <v>3185</v>
      </c>
      <c r="D479" s="134" t="s">
        <v>3228</v>
      </c>
      <c r="E479" s="134"/>
      <c r="F479" s="583" t="s">
        <v>3389</v>
      </c>
      <c r="G479" s="583" t="s">
        <v>4302</v>
      </c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ht="13.5" customHeight="1">
      <c r="A480" s="423" t="s">
        <v>1886</v>
      </c>
      <c r="B480" s="585" t="s">
        <v>4220</v>
      </c>
      <c r="C480" s="582" t="s">
        <v>3185</v>
      </c>
      <c r="D480" s="134" t="s">
        <v>3094</v>
      </c>
      <c r="E480" s="134"/>
      <c r="F480" s="583" t="s">
        <v>3392</v>
      </c>
      <c r="G480" s="583" t="s">
        <v>4303</v>
      </c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ht="13.5" customHeight="1">
      <c r="A481" s="423" t="s">
        <v>1886</v>
      </c>
      <c r="B481" s="585" t="s">
        <v>4220</v>
      </c>
      <c r="C481" s="582" t="s">
        <v>3185</v>
      </c>
      <c r="D481" s="134" t="s">
        <v>3228</v>
      </c>
      <c r="E481" s="134"/>
      <c r="F481" s="583" t="s">
        <v>3395</v>
      </c>
      <c r="G481" s="583" t="s">
        <v>4304</v>
      </c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ht="13.5" customHeight="1">
      <c r="A482" s="423" t="s">
        <v>1886</v>
      </c>
      <c r="B482" s="585" t="s">
        <v>4220</v>
      </c>
      <c r="C482" s="582" t="s">
        <v>3185</v>
      </c>
      <c r="D482" s="134" t="s">
        <v>3094</v>
      </c>
      <c r="E482" s="134"/>
      <c r="F482" s="583" t="s">
        <v>3398</v>
      </c>
      <c r="G482" s="583" t="s">
        <v>4305</v>
      </c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ht="13.5" customHeight="1">
      <c r="A483" s="423" t="s">
        <v>1886</v>
      </c>
      <c r="B483" s="585" t="s">
        <v>4220</v>
      </c>
      <c r="C483" s="582" t="s">
        <v>3185</v>
      </c>
      <c r="D483" s="134" t="s">
        <v>3090</v>
      </c>
      <c r="E483" s="134"/>
      <c r="F483" s="583" t="s">
        <v>3401</v>
      </c>
      <c r="G483" s="583" t="s">
        <v>4306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ht="13.5" customHeight="1">
      <c r="A484" s="423" t="s">
        <v>1886</v>
      </c>
      <c r="B484" s="585" t="s">
        <v>4220</v>
      </c>
      <c r="C484" s="582" t="s">
        <v>3185</v>
      </c>
      <c r="D484" s="134" t="s">
        <v>3094</v>
      </c>
      <c r="E484" s="134"/>
      <c r="F484" s="583" t="s">
        <v>3404</v>
      </c>
      <c r="G484" s="583" t="s">
        <v>4307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ht="13.5" customHeight="1">
      <c r="A485" s="423" t="s">
        <v>1886</v>
      </c>
      <c r="B485" s="585" t="s">
        <v>4220</v>
      </c>
      <c r="C485" s="582" t="s">
        <v>3185</v>
      </c>
      <c r="D485" s="134" t="s">
        <v>3228</v>
      </c>
      <c r="E485" s="134"/>
      <c r="F485" s="583" t="s">
        <v>3407</v>
      </c>
      <c r="G485" s="583" t="s">
        <v>4308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ht="13.5" customHeight="1">
      <c r="A486" s="423" t="s">
        <v>1886</v>
      </c>
      <c r="B486" s="585" t="s">
        <v>4220</v>
      </c>
      <c r="C486" s="582" t="s">
        <v>3185</v>
      </c>
      <c r="D486" s="134" t="s">
        <v>3094</v>
      </c>
      <c r="E486" s="134"/>
      <c r="F486" s="583" t="s">
        <v>3410</v>
      </c>
      <c r="G486" s="583" t="s">
        <v>4309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ht="13.5" customHeight="1">
      <c r="A487" s="423" t="s">
        <v>1886</v>
      </c>
      <c r="B487" s="585" t="s">
        <v>4220</v>
      </c>
      <c r="C487" s="582" t="s">
        <v>3185</v>
      </c>
      <c r="D487" s="134" t="s">
        <v>3228</v>
      </c>
      <c r="E487" s="134"/>
      <c r="F487" s="583" t="s">
        <v>3413</v>
      </c>
      <c r="G487" s="583" t="s">
        <v>4310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ht="13.5" customHeight="1">
      <c r="A488" s="423" t="s">
        <v>1886</v>
      </c>
      <c r="B488" s="585" t="s">
        <v>4220</v>
      </c>
      <c r="C488" s="582" t="s">
        <v>3185</v>
      </c>
      <c r="D488" s="134" t="s">
        <v>3094</v>
      </c>
      <c r="E488" s="134"/>
      <c r="F488" s="583" t="s">
        <v>3416</v>
      </c>
      <c r="G488" s="583" t="s">
        <v>4311</v>
      </c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ht="13.5" customHeight="1">
      <c r="A489" s="423" t="s">
        <v>1886</v>
      </c>
      <c r="B489" s="585" t="s">
        <v>4220</v>
      </c>
      <c r="C489" s="582" t="s">
        <v>3185</v>
      </c>
      <c r="D489" s="134" t="s">
        <v>3228</v>
      </c>
      <c r="E489" s="134"/>
      <c r="F489" s="583" t="s">
        <v>3419</v>
      </c>
      <c r="G489" s="583" t="s">
        <v>4312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ht="13.5" customHeight="1">
      <c r="A490" s="423" t="s">
        <v>1886</v>
      </c>
      <c r="B490" s="585" t="s">
        <v>4220</v>
      </c>
      <c r="C490" s="582" t="s">
        <v>3441</v>
      </c>
      <c r="D490" s="134" t="s">
        <v>3094</v>
      </c>
      <c r="E490" s="134"/>
      <c r="F490" s="583" t="s">
        <v>3451</v>
      </c>
      <c r="G490" s="583" t="s">
        <v>4313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ht="13.5" customHeight="1">
      <c r="A491" s="423" t="s">
        <v>1886</v>
      </c>
      <c r="B491" s="585" t="s">
        <v>4220</v>
      </c>
      <c r="C491" s="582" t="s">
        <v>3441</v>
      </c>
      <c r="D491" s="134" t="s">
        <v>3094</v>
      </c>
      <c r="E491" s="134"/>
      <c r="F491" s="583" t="s">
        <v>3454</v>
      </c>
      <c r="G491" s="583" t="s">
        <v>4314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ht="13.5" customHeight="1">
      <c r="A492" s="423" t="s">
        <v>1886</v>
      </c>
      <c r="B492" s="585" t="s">
        <v>4220</v>
      </c>
      <c r="C492" s="582" t="s">
        <v>3441</v>
      </c>
      <c r="D492" s="134" t="s">
        <v>3094</v>
      </c>
      <c r="E492" s="134"/>
      <c r="F492" s="583" t="s">
        <v>3457</v>
      </c>
      <c r="G492" s="583" t="s">
        <v>4315</v>
      </c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ht="13.5" customHeight="1">
      <c r="A493" s="423" t="s">
        <v>1886</v>
      </c>
      <c r="B493" s="585" t="s">
        <v>4220</v>
      </c>
      <c r="C493" s="582" t="s">
        <v>3441</v>
      </c>
      <c r="D493" s="134" t="s">
        <v>3094</v>
      </c>
      <c r="E493" s="134"/>
      <c r="F493" s="583" t="s">
        <v>3460</v>
      </c>
      <c r="G493" s="583" t="s">
        <v>4316</v>
      </c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ht="13.5" customHeight="1">
      <c r="A494" s="423" t="s">
        <v>1886</v>
      </c>
      <c r="B494" s="585" t="s">
        <v>4220</v>
      </c>
      <c r="C494" s="582" t="s">
        <v>3441</v>
      </c>
      <c r="D494" s="134" t="s">
        <v>3094</v>
      </c>
      <c r="E494" s="134"/>
      <c r="F494" s="583" t="s">
        <v>3463</v>
      </c>
      <c r="G494" s="583" t="s">
        <v>4317</v>
      </c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ht="13.5" customHeight="1">
      <c r="A495" s="423" t="s">
        <v>1886</v>
      </c>
      <c r="B495" s="585" t="s">
        <v>4220</v>
      </c>
      <c r="C495" s="582" t="s">
        <v>3441</v>
      </c>
      <c r="D495" s="134" t="s">
        <v>3094</v>
      </c>
      <c r="E495" s="134"/>
      <c r="F495" s="583" t="s">
        <v>3466</v>
      </c>
      <c r="G495" s="583" t="s">
        <v>4318</v>
      </c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ht="13.5" customHeight="1">
      <c r="A496" s="423" t="s">
        <v>1886</v>
      </c>
      <c r="B496" s="585" t="s">
        <v>4220</v>
      </c>
      <c r="C496" s="582" t="s">
        <v>3441</v>
      </c>
      <c r="D496" s="134" t="s">
        <v>3094</v>
      </c>
      <c r="E496" s="134"/>
      <c r="F496" s="583" t="s">
        <v>3469</v>
      </c>
      <c r="G496" s="583" t="s">
        <v>4319</v>
      </c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ht="13.5" customHeight="1">
      <c r="A497" s="423" t="s">
        <v>1886</v>
      </c>
      <c r="B497" s="585" t="s">
        <v>4220</v>
      </c>
      <c r="C497" s="582" t="s">
        <v>3441</v>
      </c>
      <c r="D497" s="134" t="s">
        <v>3094</v>
      </c>
      <c r="E497" s="134"/>
      <c r="F497" s="583" t="s">
        <v>3472</v>
      </c>
      <c r="G497" s="583" t="s">
        <v>4320</v>
      </c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ht="13.5" customHeight="1">
      <c r="A498" s="423" t="s">
        <v>1886</v>
      </c>
      <c r="B498" s="585" t="s">
        <v>4220</v>
      </c>
      <c r="C498" s="582" t="s">
        <v>3441</v>
      </c>
      <c r="D498" s="134" t="s">
        <v>3228</v>
      </c>
      <c r="E498" s="134"/>
      <c r="F498" s="583" t="s">
        <v>3475</v>
      </c>
      <c r="G498" s="583" t="s">
        <v>4321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ht="13.5" customHeight="1">
      <c r="A499" s="423" t="s">
        <v>1886</v>
      </c>
      <c r="B499" s="585" t="s">
        <v>4220</v>
      </c>
      <c r="C499" s="582" t="s">
        <v>3441</v>
      </c>
      <c r="D499" s="134" t="s">
        <v>3228</v>
      </c>
      <c r="E499" s="134"/>
      <c r="F499" s="583" t="s">
        <v>3478</v>
      </c>
      <c r="G499" s="583" t="s">
        <v>4322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ht="13.5" customHeight="1">
      <c r="A500" s="423" t="s">
        <v>1886</v>
      </c>
      <c r="B500" s="585" t="s">
        <v>4220</v>
      </c>
      <c r="C500" s="582" t="s">
        <v>3441</v>
      </c>
      <c r="D500" s="134" t="s">
        <v>3228</v>
      </c>
      <c r="E500" s="134"/>
      <c r="F500" s="583" t="s">
        <v>3481</v>
      </c>
      <c r="G500" s="583" t="s">
        <v>4323</v>
      </c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ht="13.5" customHeight="1">
      <c r="A501" s="423" t="s">
        <v>1886</v>
      </c>
      <c r="B501" s="585" t="s">
        <v>4220</v>
      </c>
      <c r="C501" s="582" t="s">
        <v>3441</v>
      </c>
      <c r="D501" s="134" t="s">
        <v>3228</v>
      </c>
      <c r="E501" s="134"/>
      <c r="F501" s="583" t="s">
        <v>3484</v>
      </c>
      <c r="G501" s="583" t="s">
        <v>4324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ht="13.5" customHeight="1">
      <c r="A502" s="423" t="s">
        <v>1886</v>
      </c>
      <c r="B502" s="585" t="s">
        <v>4219</v>
      </c>
      <c r="C502" s="582" t="s">
        <v>3185</v>
      </c>
      <c r="D502" s="134" t="s">
        <v>3490</v>
      </c>
      <c r="E502" s="134"/>
      <c r="F502" s="583" t="s">
        <v>3491</v>
      </c>
      <c r="G502" s="583" t="s">
        <v>4325</v>
      </c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ht="13.5" customHeight="1">
      <c r="A503" s="423" t="s">
        <v>1886</v>
      </c>
      <c r="B503" s="585" t="s">
        <v>4219</v>
      </c>
      <c r="C503" s="582" t="s">
        <v>3185</v>
      </c>
      <c r="D503" s="134" t="s">
        <v>3494</v>
      </c>
      <c r="E503" s="134"/>
      <c r="F503" s="583" t="s">
        <v>3495</v>
      </c>
      <c r="G503" s="583" t="s">
        <v>4326</v>
      </c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ht="13.5" customHeight="1">
      <c r="A504" s="423" t="s">
        <v>1886</v>
      </c>
      <c r="B504" s="585" t="s">
        <v>4219</v>
      </c>
      <c r="C504" s="582" t="s">
        <v>3185</v>
      </c>
      <c r="D504" s="134" t="s">
        <v>3494</v>
      </c>
      <c r="E504" s="134"/>
      <c r="F504" s="583" t="s">
        <v>3498</v>
      </c>
      <c r="G504" s="583" t="s">
        <v>4327</v>
      </c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ht="13.5" customHeight="1">
      <c r="A505" s="423" t="s">
        <v>1886</v>
      </c>
      <c r="B505" s="585" t="s">
        <v>4219</v>
      </c>
      <c r="C505" s="582" t="s">
        <v>3185</v>
      </c>
      <c r="D505" s="134" t="s">
        <v>3494</v>
      </c>
      <c r="E505" s="134"/>
      <c r="F505" s="583" t="s">
        <v>3501</v>
      </c>
      <c r="G505" s="583" t="s">
        <v>4328</v>
      </c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ht="13.5" customHeight="1">
      <c r="A506" s="423" t="s">
        <v>1886</v>
      </c>
      <c r="B506" s="585" t="s">
        <v>4219</v>
      </c>
      <c r="C506" s="582" t="s">
        <v>3185</v>
      </c>
      <c r="D506" s="134" t="s">
        <v>3494</v>
      </c>
      <c r="E506" s="134"/>
      <c r="F506" s="583" t="s">
        <v>3504</v>
      </c>
      <c r="G506" s="583" t="s">
        <v>4329</v>
      </c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ht="13.5" customHeight="1">
      <c r="A507" s="423" t="s">
        <v>1886</v>
      </c>
      <c r="B507" s="585" t="s">
        <v>4219</v>
      </c>
      <c r="C507" s="582" t="s">
        <v>3185</v>
      </c>
      <c r="D507" s="134" t="s">
        <v>3494</v>
      </c>
      <c r="E507" s="134"/>
      <c r="F507" s="583" t="s">
        <v>3507</v>
      </c>
      <c r="G507" s="583" t="s">
        <v>4330</v>
      </c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ht="13.5" customHeight="1">
      <c r="A508" s="423" t="s">
        <v>1886</v>
      </c>
      <c r="B508" s="585" t="s">
        <v>4219</v>
      </c>
      <c r="C508" s="582" t="s">
        <v>3185</v>
      </c>
      <c r="D508" s="134" t="s">
        <v>3075</v>
      </c>
      <c r="E508" s="134"/>
      <c r="F508" s="583" t="s">
        <v>3510</v>
      </c>
      <c r="G508" s="583" t="s">
        <v>4331</v>
      </c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ht="13.5" customHeight="1">
      <c r="A509" s="423" t="s">
        <v>1886</v>
      </c>
      <c r="B509" s="585" t="s">
        <v>4219</v>
      </c>
      <c r="C509" s="582" t="s">
        <v>3185</v>
      </c>
      <c r="D509" s="134" t="s">
        <v>3075</v>
      </c>
      <c r="E509" s="134"/>
      <c r="F509" s="583" t="s">
        <v>3513</v>
      </c>
      <c r="G509" s="583" t="s">
        <v>4332</v>
      </c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ht="13.5" customHeight="1">
      <c r="A510" s="423" t="s">
        <v>1886</v>
      </c>
      <c r="B510" s="585" t="s">
        <v>4219</v>
      </c>
      <c r="C510" s="582" t="s">
        <v>3185</v>
      </c>
      <c r="D510" s="134" t="s">
        <v>3075</v>
      </c>
      <c r="E510" s="134"/>
      <c r="F510" s="583" t="s">
        <v>3516</v>
      </c>
      <c r="G510" s="583" t="s">
        <v>4333</v>
      </c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ht="13.5" customHeight="1">
      <c r="A511" s="423" t="s">
        <v>1886</v>
      </c>
      <c r="B511" s="585" t="s">
        <v>4219</v>
      </c>
      <c r="C511" s="582" t="s">
        <v>3185</v>
      </c>
      <c r="D511" s="134" t="s">
        <v>3075</v>
      </c>
      <c r="E511" s="134"/>
      <c r="F511" s="583" t="s">
        <v>3519</v>
      </c>
      <c r="G511" s="583" t="s">
        <v>4334</v>
      </c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ht="13.5" customHeight="1">
      <c r="A512" s="423" t="s">
        <v>1886</v>
      </c>
      <c r="B512" s="585" t="s">
        <v>4219</v>
      </c>
      <c r="C512" s="582" t="s">
        <v>3185</v>
      </c>
      <c r="D512" s="134" t="s">
        <v>3075</v>
      </c>
      <c r="E512" s="134"/>
      <c r="F512" s="583" t="s">
        <v>3522</v>
      </c>
      <c r="G512" s="583" t="s">
        <v>4335</v>
      </c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ht="13.5" customHeight="1">
      <c r="A513" s="423" t="s">
        <v>1886</v>
      </c>
      <c r="B513" s="585" t="s">
        <v>4219</v>
      </c>
      <c r="C513" s="582" t="s">
        <v>3185</v>
      </c>
      <c r="D513" s="134" t="s">
        <v>3075</v>
      </c>
      <c r="E513" s="134"/>
      <c r="F513" s="583" t="s">
        <v>3525</v>
      </c>
      <c r="G513" s="583" t="s">
        <v>4336</v>
      </c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ht="13.5" customHeight="1">
      <c r="A514" s="423" t="s">
        <v>1886</v>
      </c>
      <c r="B514" s="585" t="s">
        <v>4219</v>
      </c>
      <c r="C514" s="582" t="s">
        <v>3185</v>
      </c>
      <c r="D514" s="134" t="s">
        <v>3075</v>
      </c>
      <c r="E514" s="134"/>
      <c r="F514" s="583" t="s">
        <v>3528</v>
      </c>
      <c r="G514" s="583" t="s">
        <v>4337</v>
      </c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ht="13.5" customHeight="1">
      <c r="A515" s="423" t="s">
        <v>1886</v>
      </c>
      <c r="B515" s="585" t="s">
        <v>4219</v>
      </c>
      <c r="C515" s="582" t="s">
        <v>3185</v>
      </c>
      <c r="D515" s="134" t="s">
        <v>3075</v>
      </c>
      <c r="E515" s="134"/>
      <c r="F515" s="583" t="s">
        <v>3531</v>
      </c>
      <c r="G515" s="583" t="s">
        <v>4338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ht="13.5" customHeight="1">
      <c r="A516" s="423" t="s">
        <v>1886</v>
      </c>
      <c r="B516" s="585" t="s">
        <v>4219</v>
      </c>
      <c r="C516" s="582" t="s">
        <v>3534</v>
      </c>
      <c r="D516" s="134" t="s">
        <v>3535</v>
      </c>
      <c r="E516" s="134"/>
      <c r="F516" s="479" t="s">
        <v>3536</v>
      </c>
      <c r="G516" s="583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ht="13.5" customHeight="1">
      <c r="A517" s="423" t="s">
        <v>1886</v>
      </c>
      <c r="B517" s="585" t="s">
        <v>4219</v>
      </c>
      <c r="C517" s="582" t="s">
        <v>3534</v>
      </c>
      <c r="D517" s="134" t="s">
        <v>3490</v>
      </c>
      <c r="E517" s="134"/>
      <c r="F517" s="479" t="s">
        <v>3540</v>
      </c>
      <c r="G517" s="583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ht="13.5" customHeight="1">
      <c r="A518" s="423" t="s">
        <v>1886</v>
      </c>
      <c r="B518" s="585" t="s">
        <v>4219</v>
      </c>
      <c r="C518" s="582" t="s">
        <v>3534</v>
      </c>
      <c r="D518" s="134" t="s">
        <v>3494</v>
      </c>
      <c r="E518" s="134"/>
      <c r="F518" s="479" t="s">
        <v>3543</v>
      </c>
      <c r="G518" s="583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ht="13.5" customHeight="1">
      <c r="A519" s="423" t="s">
        <v>1886</v>
      </c>
      <c r="B519" s="585" t="s">
        <v>4219</v>
      </c>
      <c r="C519" s="582" t="s">
        <v>3534</v>
      </c>
      <c r="D519" s="134" t="s">
        <v>3546</v>
      </c>
      <c r="E519" s="134"/>
      <c r="F519" s="479" t="s">
        <v>3547</v>
      </c>
      <c r="G519" s="583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ht="13.5" customHeight="1">
      <c r="A520" s="423" t="s">
        <v>1886</v>
      </c>
      <c r="B520" s="585" t="s">
        <v>4219</v>
      </c>
      <c r="C520" s="582" t="s">
        <v>3534</v>
      </c>
      <c r="D520" s="134" t="s">
        <v>3550</v>
      </c>
      <c r="E520" s="134"/>
      <c r="F520" s="479" t="s">
        <v>3551</v>
      </c>
      <c r="G520" s="583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ht="13.5" customHeight="1">
      <c r="A521" s="423" t="s">
        <v>1886</v>
      </c>
      <c r="B521" s="585" t="s">
        <v>4219</v>
      </c>
      <c r="C521" s="582" t="s">
        <v>3534</v>
      </c>
      <c r="D521" s="134" t="s">
        <v>3554</v>
      </c>
      <c r="E521" s="134"/>
      <c r="F521" s="479" t="s">
        <v>3555</v>
      </c>
      <c r="G521" s="583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ht="13.5" customHeight="1">
      <c r="A522" s="423" t="s">
        <v>1886</v>
      </c>
      <c r="B522" s="585" t="s">
        <v>4219</v>
      </c>
      <c r="C522" s="582" t="s">
        <v>3534</v>
      </c>
      <c r="D522" s="134" t="s">
        <v>3075</v>
      </c>
      <c r="E522" s="134"/>
      <c r="F522" s="479" t="s">
        <v>3558</v>
      </c>
      <c r="G522" s="583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ht="13.5" customHeight="1">
      <c r="A523" s="423" t="s">
        <v>1886</v>
      </c>
      <c r="B523" s="585" t="s">
        <v>4219</v>
      </c>
      <c r="C523" s="582" t="s">
        <v>3185</v>
      </c>
      <c r="D523" s="134" t="s">
        <v>3647</v>
      </c>
      <c r="E523" s="134"/>
      <c r="F523" s="479" t="s">
        <v>3648</v>
      </c>
      <c r="G523" s="583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ht="13.5" customHeight="1">
      <c r="A524" s="423" t="s">
        <v>1886</v>
      </c>
      <c r="B524" s="585" t="s">
        <v>4219</v>
      </c>
      <c r="C524" s="582" t="s">
        <v>3185</v>
      </c>
      <c r="D524" s="134" t="s">
        <v>3490</v>
      </c>
      <c r="E524" s="134"/>
      <c r="F524" s="479" t="s">
        <v>3651</v>
      </c>
      <c r="G524" s="583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ht="13.5" customHeight="1">
      <c r="A525" s="423" t="s">
        <v>1886</v>
      </c>
      <c r="B525" s="585" t="s">
        <v>4219</v>
      </c>
      <c r="C525" s="582" t="s">
        <v>3185</v>
      </c>
      <c r="D525" s="134" t="s">
        <v>3494</v>
      </c>
      <c r="E525" s="134"/>
      <c r="F525" s="479" t="s">
        <v>3654</v>
      </c>
      <c r="G525" s="583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ht="13.5" customHeight="1">
      <c r="A526" s="423" t="s">
        <v>1886</v>
      </c>
      <c r="B526" s="585" t="s">
        <v>4219</v>
      </c>
      <c r="C526" s="582" t="s">
        <v>3185</v>
      </c>
      <c r="D526" s="134" t="s">
        <v>3657</v>
      </c>
      <c r="E526" s="134"/>
      <c r="F526" s="479" t="s">
        <v>3658</v>
      </c>
      <c r="G526" s="583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ht="13.5" customHeight="1">
      <c r="A527" s="423" t="s">
        <v>1886</v>
      </c>
      <c r="B527" s="585" t="s">
        <v>4219</v>
      </c>
      <c r="C527" s="582" t="s">
        <v>3185</v>
      </c>
      <c r="D527" s="134" t="s">
        <v>3550</v>
      </c>
      <c r="E527" s="134"/>
      <c r="F527" s="479" t="s">
        <v>3661</v>
      </c>
      <c r="G527" s="583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ht="13.5" customHeight="1">
      <c r="A528" s="423" t="s">
        <v>1886</v>
      </c>
      <c r="B528" s="585" t="s">
        <v>4219</v>
      </c>
      <c r="C528" s="582" t="s">
        <v>3185</v>
      </c>
      <c r="D528" s="134" t="s">
        <v>3075</v>
      </c>
      <c r="E528" s="134"/>
      <c r="F528" s="479" t="s">
        <v>3664</v>
      </c>
      <c r="G528" s="583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ht="13.5" customHeight="1">
      <c r="A529" s="423" t="s">
        <v>1886</v>
      </c>
      <c r="B529" s="585" t="s">
        <v>4219</v>
      </c>
      <c r="C529" s="582" t="s">
        <v>3185</v>
      </c>
      <c r="D529" s="134" t="s">
        <v>3647</v>
      </c>
      <c r="E529" s="134"/>
      <c r="F529" s="479" t="s">
        <v>3667</v>
      </c>
      <c r="G529" s="583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ht="13.5" customHeight="1">
      <c r="A530" s="423" t="s">
        <v>1886</v>
      </c>
      <c r="B530" s="585" t="s">
        <v>4219</v>
      </c>
      <c r="C530" s="582" t="s">
        <v>3185</v>
      </c>
      <c r="D530" s="134" t="s">
        <v>3490</v>
      </c>
      <c r="E530" s="134"/>
      <c r="F530" s="479" t="s">
        <v>3670</v>
      </c>
      <c r="G530" s="583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ht="13.5" customHeight="1">
      <c r="A531" s="423" t="s">
        <v>1886</v>
      </c>
      <c r="B531" s="585" t="s">
        <v>4219</v>
      </c>
      <c r="C531" s="582" t="s">
        <v>3185</v>
      </c>
      <c r="D531" s="134" t="s">
        <v>3494</v>
      </c>
      <c r="E531" s="134"/>
      <c r="F531" s="479" t="s">
        <v>3674</v>
      </c>
      <c r="G531" s="583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ht="13.5" customHeight="1">
      <c r="A532" s="423" t="s">
        <v>1886</v>
      </c>
      <c r="B532" s="585" t="s">
        <v>4219</v>
      </c>
      <c r="C532" s="582" t="s">
        <v>3185</v>
      </c>
      <c r="D532" s="134" t="s">
        <v>3657</v>
      </c>
      <c r="E532" s="134"/>
      <c r="F532" s="479" t="s">
        <v>3677</v>
      </c>
      <c r="G532" s="583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ht="13.5" customHeight="1">
      <c r="A533" s="423" t="s">
        <v>1886</v>
      </c>
      <c r="B533" s="585" t="s">
        <v>4219</v>
      </c>
      <c r="C533" s="582" t="s">
        <v>3185</v>
      </c>
      <c r="D533" s="134" t="s">
        <v>3550</v>
      </c>
      <c r="E533" s="134"/>
      <c r="F533" s="479" t="s">
        <v>3680</v>
      </c>
      <c r="G533" s="583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ht="13.5" customHeight="1">
      <c r="A534" s="423" t="s">
        <v>1886</v>
      </c>
      <c r="B534" s="585" t="s">
        <v>4219</v>
      </c>
      <c r="C534" s="582" t="s">
        <v>3185</v>
      </c>
      <c r="D534" s="134" t="s">
        <v>3075</v>
      </c>
      <c r="E534" s="134"/>
      <c r="F534" s="479" t="s">
        <v>3683</v>
      </c>
      <c r="G534" s="583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ht="13.5" customHeight="1">
      <c r="A535" s="423" t="s">
        <v>1886</v>
      </c>
      <c r="B535" s="585" t="s">
        <v>4220</v>
      </c>
      <c r="C535" s="582" t="s">
        <v>3929</v>
      </c>
      <c r="D535" s="134"/>
      <c r="E535" s="134"/>
      <c r="F535" s="479" t="s">
        <v>3688</v>
      </c>
      <c r="G535" s="583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ht="13.5" customHeight="1">
      <c r="A536" s="423" t="s">
        <v>1886</v>
      </c>
      <c r="B536" s="585" t="s">
        <v>4220</v>
      </c>
      <c r="C536" s="582" t="s">
        <v>3929</v>
      </c>
      <c r="D536" s="134"/>
      <c r="E536" s="134"/>
      <c r="F536" s="479" t="s">
        <v>3692</v>
      </c>
      <c r="G536" s="583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ht="13.5" customHeight="1">
      <c r="A537" s="423" t="s">
        <v>1886</v>
      </c>
      <c r="B537" s="585" t="s">
        <v>4220</v>
      </c>
      <c r="C537" s="582" t="s">
        <v>3929</v>
      </c>
      <c r="D537" s="134"/>
      <c r="E537" s="134"/>
      <c r="F537" s="479" t="s">
        <v>3696</v>
      </c>
      <c r="G537" s="583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ht="13.5" customHeight="1">
      <c r="A538" s="423" t="s">
        <v>1886</v>
      </c>
      <c r="B538" s="585" t="s">
        <v>4220</v>
      </c>
      <c r="C538" s="582" t="s">
        <v>3929</v>
      </c>
      <c r="D538" s="134"/>
      <c r="E538" s="134"/>
      <c r="F538" s="479" t="s">
        <v>3700</v>
      </c>
      <c r="G538" s="583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ht="13.5" customHeight="1">
      <c r="A539" s="423" t="s">
        <v>1886</v>
      </c>
      <c r="B539" s="585" t="s">
        <v>4220</v>
      </c>
      <c r="C539" s="582" t="s">
        <v>3929</v>
      </c>
      <c r="D539" s="134"/>
      <c r="E539" s="134"/>
      <c r="F539" s="479" t="s">
        <v>3710</v>
      </c>
      <c r="G539" s="583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ht="13.5" customHeight="1">
      <c r="A540" s="423" t="s">
        <v>1886</v>
      </c>
      <c r="B540" s="585" t="s">
        <v>4220</v>
      </c>
      <c r="C540" s="582" t="s">
        <v>3929</v>
      </c>
      <c r="D540" s="134"/>
      <c r="E540" s="134"/>
      <c r="F540" s="479" t="s">
        <v>3714</v>
      </c>
      <c r="G540" s="583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ht="13.5" customHeight="1">
      <c r="A541" s="423" t="s">
        <v>1886</v>
      </c>
      <c r="B541" s="585" t="s">
        <v>4220</v>
      </c>
      <c r="C541" s="582" t="s">
        <v>3929</v>
      </c>
      <c r="D541" s="134"/>
      <c r="E541" s="134"/>
      <c r="F541" s="479" t="s">
        <v>3718</v>
      </c>
      <c r="G541" s="583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ht="13.5" customHeight="1">
      <c r="A542" s="423" t="s">
        <v>1886</v>
      </c>
      <c r="B542" s="585" t="s">
        <v>4220</v>
      </c>
      <c r="C542" s="582" t="s">
        <v>3929</v>
      </c>
      <c r="D542" s="134"/>
      <c r="E542" s="134"/>
      <c r="F542" s="479" t="s">
        <v>3721</v>
      </c>
      <c r="G542" s="583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ht="13.5" customHeight="1">
      <c r="A543" s="423" t="s">
        <v>1886</v>
      </c>
      <c r="B543" s="585" t="s">
        <v>4220</v>
      </c>
      <c r="C543" s="582" t="s">
        <v>3929</v>
      </c>
      <c r="D543" s="134"/>
      <c r="E543" s="134"/>
      <c r="F543" s="479" t="s">
        <v>3724</v>
      </c>
      <c r="G543" s="583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ht="13.5" customHeight="1">
      <c r="A544" s="423" t="s">
        <v>1886</v>
      </c>
      <c r="B544" s="585" t="s">
        <v>4220</v>
      </c>
      <c r="C544" s="582" t="s">
        <v>3929</v>
      </c>
      <c r="D544" s="134"/>
      <c r="E544" s="134"/>
      <c r="F544" s="479" t="s">
        <v>3728</v>
      </c>
      <c r="G544" s="583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ht="13.5" customHeight="1">
      <c r="A545" s="1"/>
      <c r="B545" s="1"/>
      <c r="C545" s="13"/>
      <c r="D545" s="8"/>
      <c r="E545" s="8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3.5" customHeight="1">
      <c r="A546" s="1"/>
      <c r="B546" s="1"/>
      <c r="C546" s="13"/>
      <c r="D546" s="8"/>
      <c r="E546" s="8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3.5" customHeight="1">
      <c r="A547" s="1"/>
      <c r="B547" s="1"/>
      <c r="C547" s="13"/>
      <c r="D547" s="8"/>
      <c r="E547" s="8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3.5" customHeight="1">
      <c r="A548" s="1"/>
      <c r="B548" s="1"/>
      <c r="C548" s="13"/>
      <c r="D548" s="8"/>
      <c r="E548" s="8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3.5" customHeight="1">
      <c r="A549" s="1"/>
      <c r="B549" s="1"/>
      <c r="C549" s="13"/>
      <c r="D549" s="8"/>
      <c r="E549" s="8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3.5" customHeight="1">
      <c r="A550" s="1"/>
      <c r="B550" s="1"/>
      <c r="C550" s="13"/>
      <c r="D550" s="8"/>
      <c r="E550" s="8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3.5" customHeight="1">
      <c r="A551" s="1"/>
      <c r="B551" s="1"/>
      <c r="C551" s="13"/>
      <c r="D551" s="8"/>
      <c r="E551" s="8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3.5" customHeight="1">
      <c r="A552" s="1"/>
      <c r="B552" s="1"/>
      <c r="C552" s="13"/>
      <c r="D552" s="8"/>
      <c r="E552" s="8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3.5" customHeight="1">
      <c r="A553" s="1"/>
      <c r="B553" s="1"/>
      <c r="C553" s="13"/>
      <c r="D553" s="8"/>
      <c r="E553" s="8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3.5" customHeight="1">
      <c r="A554" s="1"/>
      <c r="B554" s="1"/>
      <c r="C554" s="13"/>
      <c r="D554" s="8"/>
      <c r="E554" s="8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3.5" customHeight="1">
      <c r="A555" s="1"/>
      <c r="B555" s="1"/>
      <c r="C555" s="13"/>
      <c r="D555" s="8"/>
      <c r="E555" s="8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3.5" customHeight="1">
      <c r="A556" s="1"/>
      <c r="B556" s="1"/>
      <c r="C556" s="13"/>
      <c r="D556" s="8"/>
      <c r="E556" s="8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3.5" customHeight="1">
      <c r="A557" s="1"/>
      <c r="B557" s="1"/>
      <c r="C557" s="13"/>
      <c r="D557" s="8"/>
      <c r="E557" s="8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3.5" customHeight="1">
      <c r="A558" s="1"/>
      <c r="B558" s="1"/>
      <c r="C558" s="13"/>
      <c r="D558" s="8"/>
      <c r="E558" s="8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3.5" customHeight="1">
      <c r="A559" s="1"/>
      <c r="B559" s="1"/>
      <c r="C559" s="13"/>
      <c r="D559" s="8"/>
      <c r="E559" s="8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3.5" customHeight="1">
      <c r="A560" s="1"/>
      <c r="B560" s="1"/>
      <c r="C560" s="13"/>
      <c r="D560" s="8"/>
      <c r="E560" s="8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3.5" customHeight="1">
      <c r="A561" s="1"/>
      <c r="B561" s="1"/>
      <c r="C561" s="13"/>
      <c r="D561" s="8"/>
      <c r="E561" s="8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3.5" customHeight="1">
      <c r="A562" s="1"/>
      <c r="B562" s="1"/>
      <c r="C562" s="13"/>
      <c r="D562" s="8"/>
      <c r="E562" s="8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3.5" customHeight="1">
      <c r="A563" s="1"/>
      <c r="B563" s="1"/>
      <c r="C563" s="13"/>
      <c r="D563" s="8"/>
      <c r="E563" s="8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3.5" customHeight="1">
      <c r="A564" s="1"/>
      <c r="B564" s="1"/>
      <c r="C564" s="13"/>
      <c r="D564" s="8"/>
      <c r="E564" s="8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3.5" customHeight="1">
      <c r="A565" s="1"/>
      <c r="B565" s="1"/>
      <c r="C565" s="13"/>
      <c r="D565" s="8"/>
      <c r="E565" s="8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3.5" customHeight="1">
      <c r="A566" s="1"/>
      <c r="B566" s="1"/>
      <c r="C566" s="13"/>
      <c r="D566" s="8"/>
      <c r="E566" s="8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3.5" customHeight="1">
      <c r="A567" s="1"/>
      <c r="B567" s="1"/>
      <c r="C567" s="13"/>
      <c r="D567" s="8"/>
      <c r="E567" s="8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3.5" customHeight="1">
      <c r="A568" s="1"/>
      <c r="B568" s="1"/>
      <c r="C568" s="13"/>
      <c r="D568" s="8"/>
      <c r="E568" s="8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3.5" customHeight="1">
      <c r="A569" s="1"/>
      <c r="B569" s="1"/>
      <c r="C569" s="13"/>
      <c r="D569" s="8"/>
      <c r="E569" s="8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3.5" customHeight="1">
      <c r="A570" s="1"/>
      <c r="B570" s="1"/>
      <c r="C570" s="13"/>
      <c r="D570" s="8"/>
      <c r="E570" s="8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3.5" customHeight="1">
      <c r="A571" s="1"/>
      <c r="B571" s="1"/>
      <c r="C571" s="13"/>
      <c r="D571" s="8"/>
      <c r="E571" s="8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3.5" customHeight="1">
      <c r="A572" s="1"/>
      <c r="B572" s="1"/>
      <c r="C572" s="13"/>
      <c r="D572" s="8"/>
      <c r="E572" s="8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3.5" customHeight="1">
      <c r="A573" s="1"/>
      <c r="B573" s="1"/>
      <c r="C573" s="13"/>
      <c r="D573" s="8"/>
      <c r="E573" s="8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3.5" customHeight="1">
      <c r="A574" s="1"/>
      <c r="B574" s="1"/>
      <c r="C574" s="13"/>
      <c r="D574" s="8"/>
      <c r="E574" s="8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3.5" customHeight="1">
      <c r="A575" s="1"/>
      <c r="B575" s="1"/>
      <c r="C575" s="13"/>
      <c r="D575" s="8"/>
      <c r="E575" s="8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3.5" customHeight="1">
      <c r="A576" s="1"/>
      <c r="B576" s="1"/>
      <c r="C576" s="13"/>
      <c r="D576" s="8"/>
      <c r="E576" s="8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3.5" customHeight="1">
      <c r="A577" s="1"/>
      <c r="B577" s="1"/>
      <c r="C577" s="13"/>
      <c r="D577" s="8"/>
      <c r="E577" s="8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3.5" customHeight="1">
      <c r="A578" s="1"/>
      <c r="B578" s="1"/>
      <c r="C578" s="13"/>
      <c r="D578" s="8"/>
      <c r="E578" s="8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3.5" customHeight="1">
      <c r="A579" s="1"/>
      <c r="B579" s="1"/>
      <c r="C579" s="13"/>
      <c r="D579" s="8"/>
      <c r="E579" s="8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3.5" customHeight="1">
      <c r="A580" s="1"/>
      <c r="B580" s="1"/>
      <c r="C580" s="13"/>
      <c r="D580" s="8"/>
      <c r="E580" s="8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3.5" customHeight="1">
      <c r="A581" s="1"/>
      <c r="B581" s="1"/>
      <c r="C581" s="13"/>
      <c r="D581" s="8"/>
      <c r="E581" s="8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3.5" customHeight="1">
      <c r="A582" s="1"/>
      <c r="B582" s="1"/>
      <c r="C582" s="13"/>
      <c r="D582" s="8"/>
      <c r="E582" s="8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3.5" customHeight="1">
      <c r="A583" s="1"/>
      <c r="B583" s="1"/>
      <c r="C583" s="13"/>
      <c r="D583" s="8"/>
      <c r="E583" s="8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3.5" customHeight="1">
      <c r="A584" s="1"/>
      <c r="B584" s="1"/>
      <c r="C584" s="13"/>
      <c r="D584" s="8"/>
      <c r="E584" s="8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3.5" customHeight="1">
      <c r="A585" s="1"/>
      <c r="B585" s="1"/>
      <c r="C585" s="13"/>
      <c r="D585" s="8"/>
      <c r="E585" s="8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3.5" customHeight="1">
      <c r="A586" s="1"/>
      <c r="B586" s="1"/>
      <c r="C586" s="13"/>
      <c r="D586" s="8"/>
      <c r="E586" s="8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3.5" customHeight="1">
      <c r="A587" s="1"/>
      <c r="B587" s="1"/>
      <c r="C587" s="13"/>
      <c r="D587" s="8"/>
      <c r="E587" s="8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3.5" customHeight="1">
      <c r="A588" s="1"/>
      <c r="B588" s="1"/>
      <c r="C588" s="13"/>
      <c r="D588" s="8"/>
      <c r="E588" s="8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3.5" customHeight="1">
      <c r="A589" s="1"/>
      <c r="B589" s="1"/>
      <c r="C589" s="13"/>
      <c r="D589" s="8"/>
      <c r="E589" s="8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3.5" customHeight="1">
      <c r="A590" s="1"/>
      <c r="B590" s="1"/>
      <c r="C590" s="13"/>
      <c r="D590" s="8"/>
      <c r="E590" s="8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3.5" customHeight="1">
      <c r="A591" s="1"/>
      <c r="B591" s="1"/>
      <c r="C591" s="13"/>
      <c r="D591" s="8"/>
      <c r="E591" s="8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3.5" customHeight="1">
      <c r="A592" s="1"/>
      <c r="B592" s="1"/>
      <c r="C592" s="13"/>
      <c r="D592" s="8"/>
      <c r="E592" s="8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3.5" customHeight="1">
      <c r="A593" s="1"/>
      <c r="B593" s="1"/>
      <c r="C593" s="13"/>
      <c r="D593" s="8"/>
      <c r="E593" s="8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3.5" customHeight="1">
      <c r="A594" s="1"/>
      <c r="B594" s="1"/>
      <c r="C594" s="13"/>
      <c r="D594" s="8"/>
      <c r="E594" s="8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3.5" customHeight="1">
      <c r="A595" s="1"/>
      <c r="B595" s="1"/>
      <c r="C595" s="13"/>
      <c r="D595" s="8"/>
      <c r="E595" s="8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3.5" customHeight="1">
      <c r="A596" s="1"/>
      <c r="B596" s="1"/>
      <c r="C596" s="13"/>
      <c r="D596" s="8"/>
      <c r="E596" s="8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3.5" customHeight="1">
      <c r="A597" s="1"/>
      <c r="B597" s="1"/>
      <c r="C597" s="13"/>
      <c r="D597" s="8"/>
      <c r="E597" s="8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3.5" customHeight="1">
      <c r="A598" s="1"/>
      <c r="B598" s="1"/>
      <c r="C598" s="13"/>
      <c r="D598" s="8"/>
      <c r="E598" s="8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3.5" customHeight="1">
      <c r="A599" s="1"/>
      <c r="B599" s="1"/>
      <c r="C599" s="13"/>
      <c r="D599" s="8"/>
      <c r="E599" s="8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3.5" customHeight="1">
      <c r="A600" s="1"/>
      <c r="B600" s="1"/>
      <c r="C600" s="13"/>
      <c r="D600" s="8"/>
      <c r="E600" s="8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3.5" customHeight="1">
      <c r="A601" s="1"/>
      <c r="B601" s="1"/>
      <c r="C601" s="13"/>
      <c r="D601" s="8"/>
      <c r="E601" s="8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3.5" customHeight="1">
      <c r="A602" s="1"/>
      <c r="B602" s="1"/>
      <c r="C602" s="13"/>
      <c r="D602" s="8"/>
      <c r="E602" s="8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3.5" customHeight="1">
      <c r="A603" s="1"/>
      <c r="B603" s="1"/>
      <c r="C603" s="13"/>
      <c r="D603" s="8"/>
      <c r="E603" s="8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3.5" customHeight="1">
      <c r="A604" s="1"/>
      <c r="B604" s="1"/>
      <c r="C604" s="13"/>
      <c r="D604" s="8"/>
      <c r="E604" s="8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3.5" customHeight="1">
      <c r="A605" s="1"/>
      <c r="B605" s="1"/>
      <c r="C605" s="13"/>
      <c r="D605" s="8"/>
      <c r="E605" s="8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3.5" customHeight="1">
      <c r="A606" s="1"/>
      <c r="B606" s="1"/>
      <c r="C606" s="13"/>
      <c r="D606" s="8"/>
      <c r="E606" s="8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3.5" customHeight="1">
      <c r="A607" s="1"/>
      <c r="B607" s="1"/>
      <c r="C607" s="13"/>
      <c r="D607" s="8"/>
      <c r="E607" s="8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3.5" customHeight="1">
      <c r="A608" s="1"/>
      <c r="B608" s="1"/>
      <c r="C608" s="13"/>
      <c r="D608" s="8"/>
      <c r="E608" s="8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3.5" customHeight="1">
      <c r="A609" s="1"/>
      <c r="B609" s="1"/>
      <c r="C609" s="13"/>
      <c r="D609" s="8"/>
      <c r="E609" s="8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3.5" customHeight="1">
      <c r="A610" s="1"/>
      <c r="B610" s="1"/>
      <c r="C610" s="13"/>
      <c r="D610" s="8"/>
      <c r="E610" s="8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3.5" customHeight="1">
      <c r="A611" s="1"/>
      <c r="B611" s="1"/>
      <c r="C611" s="13"/>
      <c r="D611" s="8"/>
      <c r="E611" s="8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3.5" customHeight="1">
      <c r="A612" s="1"/>
      <c r="B612" s="1"/>
      <c r="C612" s="13"/>
      <c r="D612" s="8"/>
      <c r="E612" s="8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3.5" customHeight="1">
      <c r="A613" s="1"/>
      <c r="B613" s="1"/>
      <c r="C613" s="13"/>
      <c r="D613" s="8"/>
      <c r="E613" s="8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3.5" customHeight="1">
      <c r="A614" s="1"/>
      <c r="B614" s="1"/>
      <c r="C614" s="13"/>
      <c r="D614" s="8"/>
      <c r="E614" s="8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3.5" customHeight="1">
      <c r="A615" s="1"/>
      <c r="B615" s="1"/>
      <c r="C615" s="13"/>
      <c r="D615" s="8"/>
      <c r="E615" s="8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3.5" customHeight="1">
      <c r="A616" s="1"/>
      <c r="B616" s="1"/>
      <c r="C616" s="13"/>
      <c r="D616" s="8"/>
      <c r="E616" s="8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3.5" customHeight="1">
      <c r="A617" s="1"/>
      <c r="B617" s="1"/>
      <c r="C617" s="13"/>
      <c r="D617" s="8"/>
      <c r="E617" s="8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3.5" customHeight="1">
      <c r="A618" s="1"/>
      <c r="B618" s="1"/>
      <c r="C618" s="13"/>
      <c r="D618" s="8"/>
      <c r="E618" s="8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3.5" customHeight="1">
      <c r="A619" s="1"/>
      <c r="B619" s="1"/>
      <c r="C619" s="13"/>
      <c r="D619" s="8"/>
      <c r="E619" s="8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3.5" customHeight="1">
      <c r="A620" s="1"/>
      <c r="B620" s="1"/>
      <c r="C620" s="13"/>
      <c r="D620" s="8"/>
      <c r="E620" s="8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3.5" customHeight="1">
      <c r="A621" s="1"/>
      <c r="B621" s="1"/>
      <c r="C621" s="13"/>
      <c r="D621" s="8"/>
      <c r="E621" s="8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3.5" customHeight="1">
      <c r="A622" s="1"/>
      <c r="B622" s="1"/>
      <c r="C622" s="13"/>
      <c r="D622" s="8"/>
      <c r="E622" s="8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3.5" customHeight="1">
      <c r="A623" s="1"/>
      <c r="B623" s="1"/>
      <c r="C623" s="13"/>
      <c r="D623" s="8"/>
      <c r="E623" s="8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3.5" customHeight="1">
      <c r="A624" s="1"/>
      <c r="B624" s="1"/>
      <c r="C624" s="13"/>
      <c r="D624" s="8"/>
      <c r="E624" s="8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3.5" customHeight="1">
      <c r="A625" s="1"/>
      <c r="B625" s="1"/>
      <c r="C625" s="13"/>
      <c r="D625" s="8"/>
      <c r="E625" s="8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3.5" customHeight="1">
      <c r="A626" s="1"/>
      <c r="B626" s="1"/>
      <c r="C626" s="13"/>
      <c r="D626" s="8"/>
      <c r="E626" s="8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3.5" customHeight="1">
      <c r="A627" s="1"/>
      <c r="B627" s="1"/>
      <c r="C627" s="13"/>
      <c r="D627" s="8"/>
      <c r="E627" s="8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3.5" customHeight="1">
      <c r="A628" s="1"/>
      <c r="B628" s="1"/>
      <c r="C628" s="13"/>
      <c r="D628" s="8"/>
      <c r="E628" s="8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3.5" customHeight="1">
      <c r="A629" s="1"/>
      <c r="B629" s="1"/>
      <c r="C629" s="13"/>
      <c r="D629" s="8"/>
      <c r="E629" s="8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3.5" customHeight="1">
      <c r="A630" s="1"/>
      <c r="B630" s="1"/>
      <c r="C630" s="13"/>
      <c r="D630" s="8"/>
      <c r="E630" s="8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3.5" customHeight="1">
      <c r="A631" s="1"/>
      <c r="B631" s="1"/>
      <c r="C631" s="13"/>
      <c r="D631" s="8"/>
      <c r="E631" s="8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3.5" customHeight="1">
      <c r="A632" s="1"/>
      <c r="B632" s="1"/>
      <c r="C632" s="13"/>
      <c r="D632" s="8"/>
      <c r="E632" s="8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3.5" customHeight="1">
      <c r="A633" s="1"/>
      <c r="B633" s="1"/>
      <c r="C633" s="13"/>
      <c r="D633" s="8"/>
      <c r="E633" s="8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3.5" customHeight="1">
      <c r="A634" s="1"/>
      <c r="B634" s="1"/>
      <c r="C634" s="13"/>
      <c r="D634" s="8"/>
      <c r="E634" s="8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3.5" customHeight="1">
      <c r="A635" s="1"/>
      <c r="B635" s="1"/>
      <c r="C635" s="13"/>
      <c r="D635" s="8"/>
      <c r="E635" s="8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3.5" customHeight="1">
      <c r="A636" s="1"/>
      <c r="B636" s="1"/>
      <c r="C636" s="13"/>
      <c r="D636" s="8"/>
      <c r="E636" s="8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3.5" customHeight="1">
      <c r="A637" s="1"/>
      <c r="B637" s="1"/>
      <c r="C637" s="13"/>
      <c r="D637" s="8"/>
      <c r="E637" s="8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3.5" customHeight="1">
      <c r="A638" s="1"/>
      <c r="B638" s="1"/>
      <c r="C638" s="13"/>
      <c r="D638" s="8"/>
      <c r="E638" s="8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3.5" customHeight="1">
      <c r="A639" s="1"/>
      <c r="B639" s="1"/>
      <c r="C639" s="13"/>
      <c r="D639" s="8"/>
      <c r="E639" s="8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3.5" customHeight="1">
      <c r="A640" s="1"/>
      <c r="B640" s="1"/>
      <c r="C640" s="13"/>
      <c r="D640" s="8"/>
      <c r="E640" s="8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3.5" customHeight="1">
      <c r="A641" s="1"/>
      <c r="B641" s="1"/>
      <c r="C641" s="13"/>
      <c r="D641" s="8"/>
      <c r="E641" s="8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3.5" customHeight="1">
      <c r="A642" s="1"/>
      <c r="B642" s="1"/>
      <c r="C642" s="13"/>
      <c r="D642" s="8"/>
      <c r="E642" s="8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3.5" customHeight="1">
      <c r="A643" s="1"/>
      <c r="B643" s="1"/>
      <c r="C643" s="13"/>
      <c r="D643" s="8"/>
      <c r="E643" s="8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3.5" customHeight="1">
      <c r="A644" s="1"/>
      <c r="B644" s="1"/>
      <c r="C644" s="13"/>
      <c r="D644" s="8"/>
      <c r="E644" s="8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3.5" customHeight="1">
      <c r="A645" s="1"/>
      <c r="B645" s="1"/>
      <c r="C645" s="13"/>
      <c r="D645" s="8"/>
      <c r="E645" s="8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3.5" customHeight="1">
      <c r="A646" s="1"/>
      <c r="B646" s="1"/>
      <c r="C646" s="13"/>
      <c r="D646" s="8"/>
      <c r="E646" s="8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3.5" customHeight="1">
      <c r="A647" s="1"/>
      <c r="B647" s="1"/>
      <c r="C647" s="13"/>
      <c r="D647" s="8"/>
      <c r="E647" s="8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3.5" customHeight="1">
      <c r="A648" s="1"/>
      <c r="B648" s="1"/>
      <c r="C648" s="13"/>
      <c r="D648" s="8"/>
      <c r="E648" s="8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3.5" customHeight="1">
      <c r="A649" s="1"/>
      <c r="B649" s="1"/>
      <c r="C649" s="13"/>
      <c r="D649" s="8"/>
      <c r="E649" s="8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3.5" customHeight="1">
      <c r="A650" s="1"/>
      <c r="B650" s="1"/>
      <c r="C650" s="13"/>
      <c r="D650" s="8"/>
      <c r="E650" s="8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3.5" customHeight="1">
      <c r="A651" s="1"/>
      <c r="B651" s="1"/>
      <c r="C651" s="13"/>
      <c r="D651" s="8"/>
      <c r="E651" s="8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3.5" customHeight="1">
      <c r="A652" s="1"/>
      <c r="B652" s="1"/>
      <c r="C652" s="13"/>
      <c r="D652" s="8"/>
      <c r="E652" s="8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3.5" customHeight="1">
      <c r="A653" s="1"/>
      <c r="B653" s="1"/>
      <c r="C653" s="13"/>
      <c r="D653" s="8"/>
      <c r="E653" s="8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3.5" customHeight="1">
      <c r="A654" s="1"/>
      <c r="B654" s="1"/>
      <c r="C654" s="13"/>
      <c r="D654" s="8"/>
      <c r="E654" s="8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3.5" customHeight="1">
      <c r="A655" s="1"/>
      <c r="B655" s="1"/>
      <c r="C655" s="13"/>
      <c r="D655" s="8"/>
      <c r="E655" s="8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3.5" customHeight="1">
      <c r="A656" s="1"/>
      <c r="B656" s="1"/>
      <c r="C656" s="13"/>
      <c r="D656" s="8"/>
      <c r="E656" s="8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3.5" customHeight="1">
      <c r="A657" s="1"/>
      <c r="B657" s="1"/>
      <c r="C657" s="13"/>
      <c r="D657" s="8"/>
      <c r="E657" s="8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3.5" customHeight="1">
      <c r="A658" s="1"/>
      <c r="B658" s="1"/>
      <c r="C658" s="13"/>
      <c r="D658" s="8"/>
      <c r="E658" s="8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3.5" customHeight="1">
      <c r="A659" s="1"/>
      <c r="B659" s="1"/>
      <c r="C659" s="13"/>
      <c r="D659" s="8"/>
      <c r="E659" s="8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3.5" customHeight="1">
      <c r="A660" s="1"/>
      <c r="B660" s="1"/>
      <c r="C660" s="13"/>
      <c r="D660" s="8"/>
      <c r="E660" s="8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3.5" customHeight="1">
      <c r="A661" s="1"/>
      <c r="B661" s="1"/>
      <c r="C661" s="13"/>
      <c r="D661" s="8"/>
      <c r="E661" s="8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3.5" customHeight="1">
      <c r="A662" s="1"/>
      <c r="B662" s="1"/>
      <c r="C662" s="13"/>
      <c r="D662" s="8"/>
      <c r="E662" s="8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3.5" customHeight="1">
      <c r="A663" s="1"/>
      <c r="B663" s="1"/>
      <c r="C663" s="13"/>
      <c r="D663" s="8"/>
      <c r="E663" s="8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3.5" customHeight="1">
      <c r="A664" s="1"/>
      <c r="B664" s="1"/>
      <c r="C664" s="13"/>
      <c r="D664" s="8"/>
      <c r="E664" s="8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3.5" customHeight="1">
      <c r="A665" s="1"/>
      <c r="B665" s="1"/>
      <c r="C665" s="13"/>
      <c r="D665" s="8"/>
      <c r="E665" s="8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3.5" customHeight="1">
      <c r="A666" s="1"/>
      <c r="B666" s="1"/>
      <c r="C666" s="13"/>
      <c r="D666" s="8"/>
      <c r="E666" s="8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3.5" customHeight="1">
      <c r="A667" s="1"/>
      <c r="B667" s="1"/>
      <c r="C667" s="13"/>
      <c r="D667" s="8"/>
      <c r="E667" s="8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3.5" customHeight="1">
      <c r="A668" s="1"/>
      <c r="B668" s="1"/>
      <c r="C668" s="13"/>
      <c r="D668" s="8"/>
      <c r="E668" s="8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3.5" customHeight="1">
      <c r="A669" s="1"/>
      <c r="B669" s="1"/>
      <c r="C669" s="13"/>
      <c r="D669" s="8"/>
      <c r="E669" s="8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3.5" customHeight="1">
      <c r="A670" s="1"/>
      <c r="B670" s="1"/>
      <c r="C670" s="13"/>
      <c r="D670" s="8"/>
      <c r="E670" s="8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3.5" customHeight="1">
      <c r="A671" s="1"/>
      <c r="B671" s="1"/>
      <c r="C671" s="13"/>
      <c r="D671" s="8"/>
      <c r="E671" s="8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3.5" customHeight="1">
      <c r="A672" s="1"/>
      <c r="B672" s="1"/>
      <c r="C672" s="13"/>
      <c r="D672" s="8"/>
      <c r="E672" s="8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3.5" customHeight="1">
      <c r="A673" s="1"/>
      <c r="B673" s="1"/>
      <c r="C673" s="13"/>
      <c r="D673" s="8"/>
      <c r="E673" s="8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3.5" customHeight="1">
      <c r="A674" s="1"/>
      <c r="B674" s="1"/>
      <c r="C674" s="13"/>
      <c r="D674" s="8"/>
      <c r="E674" s="8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3.5" customHeight="1">
      <c r="A675" s="1"/>
      <c r="B675" s="1"/>
      <c r="C675" s="13"/>
      <c r="D675" s="8"/>
      <c r="E675" s="8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3.5" customHeight="1">
      <c r="A676" s="1"/>
      <c r="B676" s="1"/>
      <c r="C676" s="13"/>
      <c r="D676" s="8"/>
      <c r="E676" s="8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3.5" customHeight="1">
      <c r="A677" s="1"/>
      <c r="B677" s="1"/>
      <c r="C677" s="13"/>
      <c r="D677" s="8"/>
      <c r="E677" s="8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3.5" customHeight="1">
      <c r="A678" s="1"/>
      <c r="B678" s="1"/>
      <c r="C678" s="13"/>
      <c r="D678" s="8"/>
      <c r="E678" s="8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3.5" customHeight="1">
      <c r="A679" s="1"/>
      <c r="B679" s="1"/>
      <c r="C679" s="13"/>
      <c r="D679" s="8"/>
      <c r="E679" s="8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3.5" customHeight="1">
      <c r="A680" s="1"/>
      <c r="B680" s="1"/>
      <c r="C680" s="13"/>
      <c r="D680" s="8"/>
      <c r="E680" s="8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3.5" customHeight="1">
      <c r="A681" s="1"/>
      <c r="B681" s="1"/>
      <c r="C681" s="13"/>
      <c r="D681" s="8"/>
      <c r="E681" s="8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3.5" customHeight="1">
      <c r="A682" s="1"/>
      <c r="B682" s="1"/>
      <c r="C682" s="13"/>
      <c r="D682" s="8"/>
      <c r="E682" s="8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3.5" customHeight="1">
      <c r="A683" s="1"/>
      <c r="B683" s="1"/>
      <c r="C683" s="13"/>
      <c r="D683" s="8"/>
      <c r="E683" s="8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3.5" customHeight="1">
      <c r="A684" s="1"/>
      <c r="B684" s="1"/>
      <c r="C684" s="13"/>
      <c r="D684" s="8"/>
      <c r="E684" s="8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3.5" customHeight="1">
      <c r="A685" s="1"/>
      <c r="B685" s="1"/>
      <c r="C685" s="13"/>
      <c r="D685" s="8"/>
      <c r="E685" s="8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3.5" customHeight="1">
      <c r="A686" s="1"/>
      <c r="B686" s="1"/>
      <c r="C686" s="13"/>
      <c r="D686" s="8"/>
      <c r="E686" s="8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3.5" customHeight="1">
      <c r="A687" s="1"/>
      <c r="B687" s="1"/>
      <c r="C687" s="13"/>
      <c r="D687" s="8"/>
      <c r="E687" s="8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3.5" customHeight="1">
      <c r="A688" s="1"/>
      <c r="B688" s="1"/>
      <c r="C688" s="13"/>
      <c r="D688" s="8"/>
      <c r="E688" s="8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3.5" customHeight="1">
      <c r="A689" s="1"/>
      <c r="B689" s="1"/>
      <c r="C689" s="13"/>
      <c r="D689" s="8"/>
      <c r="E689" s="8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3.5" customHeight="1">
      <c r="A690" s="1"/>
      <c r="B690" s="1"/>
      <c r="C690" s="13"/>
      <c r="D690" s="8"/>
      <c r="E690" s="8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3.5" customHeight="1">
      <c r="A691" s="1"/>
      <c r="B691" s="1"/>
      <c r="C691" s="13"/>
      <c r="D691" s="8"/>
      <c r="E691" s="8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3.5" customHeight="1">
      <c r="A692" s="1"/>
      <c r="B692" s="1"/>
      <c r="C692" s="13"/>
      <c r="D692" s="8"/>
      <c r="E692" s="8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3.5" customHeight="1">
      <c r="A693" s="1"/>
      <c r="B693" s="1"/>
      <c r="C693" s="13"/>
      <c r="D693" s="8"/>
      <c r="E693" s="8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3.5" customHeight="1">
      <c r="A694" s="1"/>
      <c r="B694" s="1"/>
      <c r="C694" s="13"/>
      <c r="D694" s="8"/>
      <c r="E694" s="8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3.5" customHeight="1">
      <c r="A695" s="1"/>
      <c r="B695" s="1"/>
      <c r="C695" s="13"/>
      <c r="D695" s="8"/>
      <c r="E695" s="8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3.5" customHeight="1">
      <c r="A696" s="1"/>
      <c r="B696" s="1"/>
      <c r="C696" s="13"/>
      <c r="D696" s="8"/>
      <c r="E696" s="8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3.5" customHeight="1">
      <c r="A697" s="1"/>
      <c r="B697" s="1"/>
      <c r="C697" s="13"/>
      <c r="D697" s="8"/>
      <c r="E697" s="8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3.5" customHeight="1">
      <c r="A698" s="1"/>
      <c r="B698" s="1"/>
      <c r="C698" s="13"/>
      <c r="D698" s="8"/>
      <c r="E698" s="8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3.5" customHeight="1">
      <c r="A699" s="1"/>
      <c r="B699" s="1"/>
      <c r="C699" s="13"/>
      <c r="D699" s="8"/>
      <c r="E699" s="8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3.5" customHeight="1">
      <c r="A700" s="1"/>
      <c r="B700" s="1"/>
      <c r="C700" s="13"/>
      <c r="D700" s="8"/>
      <c r="E700" s="8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3.5" customHeight="1">
      <c r="A701" s="1"/>
      <c r="B701" s="1"/>
      <c r="C701" s="13"/>
      <c r="D701" s="8"/>
      <c r="E701" s="8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3.5" customHeight="1">
      <c r="A702" s="1"/>
      <c r="B702" s="1"/>
      <c r="C702" s="13"/>
      <c r="D702" s="8"/>
      <c r="E702" s="8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3.5" customHeight="1">
      <c r="A703" s="1"/>
      <c r="B703" s="1"/>
      <c r="C703" s="13"/>
      <c r="D703" s="8"/>
      <c r="E703" s="8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3.5" customHeight="1">
      <c r="A704" s="1"/>
      <c r="B704" s="1"/>
      <c r="C704" s="13"/>
      <c r="D704" s="8"/>
      <c r="E704" s="8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3.5" customHeight="1">
      <c r="A705" s="1"/>
      <c r="B705" s="1"/>
      <c r="C705" s="13"/>
      <c r="D705" s="8"/>
      <c r="E705" s="8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3.5" customHeight="1">
      <c r="A706" s="1"/>
      <c r="B706" s="1"/>
      <c r="C706" s="13"/>
      <c r="D706" s="8"/>
      <c r="E706" s="8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3.5" customHeight="1">
      <c r="A707" s="1"/>
      <c r="B707" s="1"/>
      <c r="C707" s="13"/>
      <c r="D707" s="8"/>
      <c r="E707" s="8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3.5" customHeight="1">
      <c r="A708" s="1"/>
      <c r="B708" s="1"/>
      <c r="C708" s="13"/>
      <c r="D708" s="8"/>
      <c r="E708" s="8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3.5" customHeight="1">
      <c r="A709" s="1"/>
      <c r="B709" s="1"/>
      <c r="C709" s="13"/>
      <c r="D709" s="8"/>
      <c r="E709" s="8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3.5" customHeight="1">
      <c r="A710" s="1"/>
      <c r="B710" s="1"/>
      <c r="C710" s="13"/>
      <c r="D710" s="8"/>
      <c r="E710" s="8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3.5" customHeight="1">
      <c r="A711" s="1"/>
      <c r="B711" s="1"/>
      <c r="C711" s="13"/>
      <c r="D711" s="8"/>
      <c r="E711" s="8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3.5" customHeight="1">
      <c r="A712" s="1"/>
      <c r="B712" s="1"/>
      <c r="C712" s="13"/>
      <c r="D712" s="8"/>
      <c r="E712" s="8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3.5" customHeight="1">
      <c r="A713" s="1"/>
      <c r="B713" s="1"/>
      <c r="C713" s="13"/>
      <c r="D713" s="8"/>
      <c r="E713" s="8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3.5" customHeight="1">
      <c r="A714" s="1"/>
      <c r="B714" s="1"/>
      <c r="C714" s="13"/>
      <c r="D714" s="8"/>
      <c r="E714" s="8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3.5" customHeight="1">
      <c r="A715" s="1"/>
      <c r="B715" s="1"/>
      <c r="C715" s="13"/>
      <c r="D715" s="8"/>
      <c r="E715" s="8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3.5" customHeight="1">
      <c r="A716" s="1"/>
      <c r="B716" s="1"/>
      <c r="C716" s="13"/>
      <c r="D716" s="8"/>
      <c r="E716" s="8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3.5" customHeight="1">
      <c r="A717" s="1"/>
      <c r="B717" s="1"/>
      <c r="C717" s="13"/>
      <c r="D717" s="8"/>
      <c r="E717" s="8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3.5" customHeight="1">
      <c r="A718" s="1"/>
      <c r="B718" s="1"/>
      <c r="C718" s="13"/>
      <c r="D718" s="8"/>
      <c r="E718" s="8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3.5" customHeight="1">
      <c r="A719" s="1"/>
      <c r="B719" s="1"/>
      <c r="C719" s="13"/>
      <c r="D719" s="8"/>
      <c r="E719" s="8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3.5" customHeight="1">
      <c r="A720" s="1"/>
      <c r="B720" s="1"/>
      <c r="C720" s="13"/>
      <c r="D720" s="8"/>
      <c r="E720" s="8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3.5" customHeight="1">
      <c r="A721" s="1"/>
      <c r="B721" s="1"/>
      <c r="C721" s="13"/>
      <c r="D721" s="8"/>
      <c r="E721" s="8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3.5" customHeight="1">
      <c r="A722" s="1"/>
      <c r="B722" s="1"/>
      <c r="C722" s="13"/>
      <c r="D722" s="8"/>
      <c r="E722" s="8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3.5" customHeight="1">
      <c r="A723" s="1"/>
      <c r="B723" s="1"/>
      <c r="C723" s="13"/>
      <c r="D723" s="8"/>
      <c r="E723" s="8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3.5" customHeight="1">
      <c r="A724" s="1"/>
      <c r="B724" s="1"/>
      <c r="C724" s="13"/>
      <c r="D724" s="8"/>
      <c r="E724" s="8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3.5" customHeight="1">
      <c r="A725" s="1"/>
      <c r="B725" s="1"/>
      <c r="C725" s="13"/>
      <c r="D725" s="8"/>
      <c r="E725" s="8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3.5" customHeight="1">
      <c r="A726" s="1"/>
      <c r="B726" s="1"/>
      <c r="C726" s="13"/>
      <c r="D726" s="8"/>
      <c r="E726" s="8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3.5" customHeight="1">
      <c r="A727" s="1"/>
      <c r="B727" s="1"/>
      <c r="C727" s="13"/>
      <c r="D727" s="8"/>
      <c r="E727" s="8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3.5" customHeight="1">
      <c r="A728" s="1"/>
      <c r="B728" s="1"/>
      <c r="C728" s="13"/>
      <c r="D728" s="8"/>
      <c r="E728" s="8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3.5" customHeight="1">
      <c r="A729" s="1"/>
      <c r="B729" s="1"/>
      <c r="C729" s="13"/>
      <c r="D729" s="8"/>
      <c r="E729" s="8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3.5" customHeight="1">
      <c r="A730" s="1"/>
      <c r="B730" s="1"/>
      <c r="C730" s="13"/>
      <c r="D730" s="8"/>
      <c r="E730" s="8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3.5" customHeight="1">
      <c r="A731" s="1"/>
      <c r="B731" s="1"/>
      <c r="C731" s="13"/>
      <c r="D731" s="8"/>
      <c r="E731" s="8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3.5" customHeight="1">
      <c r="A732" s="1"/>
      <c r="B732" s="1"/>
      <c r="C732" s="13"/>
      <c r="D732" s="8"/>
      <c r="E732" s="8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3.5" customHeight="1">
      <c r="A733" s="1"/>
      <c r="B733" s="1"/>
      <c r="C733" s="13"/>
      <c r="D733" s="8"/>
      <c r="E733" s="8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3.5" customHeight="1">
      <c r="A734" s="1"/>
      <c r="B734" s="1"/>
      <c r="C734" s="13"/>
      <c r="D734" s="8"/>
      <c r="E734" s="8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3.5" customHeight="1">
      <c r="A735" s="1"/>
      <c r="B735" s="1"/>
      <c r="C735" s="13"/>
      <c r="D735" s="8"/>
      <c r="E735" s="8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3.5" customHeight="1">
      <c r="A736" s="1"/>
      <c r="B736" s="1"/>
      <c r="C736" s="13"/>
      <c r="D736" s="8"/>
      <c r="E736" s="8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3.5" customHeight="1">
      <c r="A737" s="1"/>
      <c r="B737" s="1"/>
      <c r="C737" s="13"/>
      <c r="D737" s="8"/>
      <c r="E737" s="8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3.5" customHeight="1">
      <c r="A738" s="1"/>
      <c r="B738" s="1"/>
      <c r="C738" s="13"/>
      <c r="D738" s="8"/>
      <c r="E738" s="8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3.5" customHeight="1">
      <c r="A739" s="1"/>
      <c r="B739" s="1"/>
      <c r="C739" s="13"/>
      <c r="D739" s="8"/>
      <c r="E739" s="8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3.5" customHeight="1">
      <c r="A740" s="1"/>
      <c r="B740" s="1"/>
      <c r="C740" s="13"/>
      <c r="D740" s="8"/>
      <c r="E740" s="8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3.5" customHeight="1">
      <c r="A741" s="1"/>
      <c r="B741" s="1"/>
      <c r="C741" s="13"/>
      <c r="D741" s="8"/>
      <c r="E741" s="8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3.5" customHeight="1">
      <c r="A742" s="1"/>
      <c r="B742" s="1"/>
      <c r="C742" s="13"/>
      <c r="D742" s="8"/>
      <c r="E742" s="8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3.5" customHeight="1">
      <c r="A743" s="1"/>
      <c r="B743" s="1"/>
      <c r="C743" s="13"/>
      <c r="D743" s="8"/>
      <c r="E743" s="8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3.5" customHeight="1">
      <c r="A744" s="1"/>
      <c r="B744" s="1"/>
      <c r="C744" s="13"/>
      <c r="D744" s="8"/>
      <c r="E744" s="8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3.5" customHeight="1">
      <c r="A745" s="1"/>
      <c r="B745" s="1"/>
      <c r="C745" s="13"/>
      <c r="D745" s="8"/>
      <c r="E745" s="8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3.5" customHeight="1">
      <c r="A746" s="1"/>
      <c r="B746" s="1"/>
      <c r="C746" s="13"/>
      <c r="D746" s="8"/>
      <c r="E746" s="8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3.5" customHeight="1">
      <c r="A747" s="1"/>
      <c r="B747" s="1"/>
      <c r="C747" s="13"/>
      <c r="D747" s="8"/>
      <c r="E747" s="8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3.5" customHeight="1">
      <c r="A748" s="1"/>
      <c r="B748" s="1"/>
      <c r="C748" s="13"/>
      <c r="D748" s="8"/>
      <c r="E748" s="8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3.5" customHeight="1">
      <c r="A749" s="1"/>
      <c r="B749" s="1"/>
      <c r="C749" s="13"/>
      <c r="D749" s="8"/>
      <c r="E749" s="8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3.5" customHeight="1">
      <c r="A750" s="1"/>
      <c r="B750" s="1"/>
      <c r="C750" s="13"/>
      <c r="D750" s="8"/>
      <c r="E750" s="8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3.5" customHeight="1">
      <c r="A751" s="1"/>
      <c r="B751" s="1"/>
      <c r="C751" s="13"/>
      <c r="D751" s="8"/>
      <c r="E751" s="8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3.5" customHeight="1">
      <c r="A752" s="1"/>
      <c r="B752" s="1"/>
      <c r="C752" s="13"/>
      <c r="D752" s="8"/>
      <c r="E752" s="8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3.5" customHeight="1">
      <c r="A753" s="1"/>
      <c r="B753" s="1"/>
      <c r="C753" s="13"/>
      <c r="D753" s="8"/>
      <c r="E753" s="8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3.5" customHeight="1">
      <c r="A754" s="1"/>
      <c r="B754" s="1"/>
      <c r="C754" s="13"/>
      <c r="D754" s="8"/>
      <c r="E754" s="8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3.5" customHeight="1">
      <c r="A755" s="1"/>
      <c r="B755" s="1"/>
      <c r="C755" s="13"/>
      <c r="D755" s="8"/>
      <c r="E755" s="8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3.5" customHeight="1">
      <c r="A756" s="1"/>
      <c r="B756" s="1"/>
      <c r="C756" s="13"/>
      <c r="D756" s="8"/>
      <c r="E756" s="8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3.5" customHeight="1">
      <c r="A757" s="1"/>
      <c r="B757" s="1"/>
      <c r="C757" s="13"/>
      <c r="D757" s="8"/>
      <c r="E757" s="8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3.5" customHeight="1">
      <c r="A758" s="1"/>
      <c r="B758" s="1"/>
      <c r="C758" s="13"/>
      <c r="D758" s="8"/>
      <c r="E758" s="8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3.5" customHeight="1">
      <c r="A759" s="1"/>
      <c r="B759" s="1"/>
      <c r="C759" s="13"/>
      <c r="D759" s="8"/>
      <c r="E759" s="8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3.5" customHeight="1">
      <c r="A760" s="1"/>
      <c r="B760" s="1"/>
      <c r="C760" s="13"/>
      <c r="D760" s="8"/>
      <c r="E760" s="8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3.5" customHeight="1">
      <c r="A761" s="1"/>
      <c r="B761" s="1"/>
      <c r="C761" s="13"/>
      <c r="D761" s="8"/>
      <c r="E761" s="8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3.5" customHeight="1">
      <c r="A762" s="1"/>
      <c r="B762" s="1"/>
      <c r="C762" s="13"/>
      <c r="D762" s="8"/>
      <c r="E762" s="8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3.5" customHeight="1">
      <c r="A763" s="1"/>
      <c r="B763" s="1"/>
      <c r="C763" s="13"/>
      <c r="D763" s="8"/>
      <c r="E763" s="8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3.5" customHeight="1">
      <c r="A764" s="1"/>
      <c r="B764" s="1"/>
      <c r="C764" s="13"/>
      <c r="D764" s="8"/>
      <c r="E764" s="8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3.5" customHeight="1">
      <c r="A765" s="1"/>
      <c r="B765" s="1"/>
      <c r="C765" s="13"/>
      <c r="D765" s="8"/>
      <c r="E765" s="8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3.5" customHeight="1">
      <c r="A766" s="1"/>
      <c r="B766" s="1"/>
      <c r="C766" s="13"/>
      <c r="D766" s="8"/>
      <c r="E766" s="8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3.5" customHeight="1">
      <c r="A767" s="1"/>
      <c r="B767" s="1"/>
      <c r="C767" s="13"/>
      <c r="D767" s="8"/>
      <c r="E767" s="8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3.5" customHeight="1">
      <c r="A768" s="1"/>
      <c r="B768" s="1"/>
      <c r="C768" s="13"/>
      <c r="D768" s="8"/>
      <c r="E768" s="8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3.5" customHeight="1">
      <c r="A769" s="1"/>
      <c r="B769" s="1"/>
      <c r="C769" s="13"/>
      <c r="D769" s="8"/>
      <c r="E769" s="8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3.5" customHeight="1">
      <c r="A770" s="1"/>
      <c r="B770" s="1"/>
      <c r="C770" s="13"/>
      <c r="D770" s="8"/>
      <c r="E770" s="8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3.5" customHeight="1">
      <c r="A771" s="1"/>
      <c r="B771" s="1"/>
      <c r="C771" s="13"/>
      <c r="D771" s="8"/>
      <c r="E771" s="8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3.5" customHeight="1">
      <c r="A772" s="1"/>
      <c r="B772" s="1"/>
      <c r="C772" s="13"/>
      <c r="D772" s="8"/>
      <c r="E772" s="8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3.5" customHeight="1">
      <c r="A773" s="1"/>
      <c r="B773" s="1"/>
      <c r="C773" s="13"/>
      <c r="D773" s="8"/>
      <c r="E773" s="8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3.5" customHeight="1">
      <c r="A774" s="1"/>
      <c r="B774" s="1"/>
      <c r="C774" s="13"/>
      <c r="D774" s="8"/>
      <c r="E774" s="8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3.5" customHeight="1">
      <c r="A775" s="1"/>
      <c r="B775" s="1"/>
      <c r="C775" s="13"/>
      <c r="D775" s="8"/>
      <c r="E775" s="8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3.5" customHeight="1">
      <c r="A776" s="1"/>
      <c r="B776" s="1"/>
      <c r="C776" s="13"/>
      <c r="D776" s="8"/>
      <c r="E776" s="8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3.5" customHeight="1">
      <c r="A777" s="1"/>
      <c r="B777" s="1"/>
      <c r="C777" s="13"/>
      <c r="D777" s="8"/>
      <c r="E777" s="8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3.5" customHeight="1">
      <c r="A778" s="1"/>
      <c r="B778" s="1"/>
      <c r="C778" s="13"/>
      <c r="D778" s="8"/>
      <c r="E778" s="8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3.5" customHeight="1">
      <c r="A779" s="1"/>
      <c r="B779" s="1"/>
      <c r="C779" s="13"/>
      <c r="D779" s="8"/>
      <c r="E779" s="8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3.5" customHeight="1">
      <c r="A780" s="1"/>
      <c r="B780" s="1"/>
      <c r="C780" s="13"/>
      <c r="D780" s="8"/>
      <c r="E780" s="8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3.5" customHeight="1">
      <c r="A781" s="1"/>
      <c r="B781" s="1"/>
      <c r="C781" s="13"/>
      <c r="D781" s="8"/>
      <c r="E781" s="8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3.5" customHeight="1">
      <c r="A782" s="1"/>
      <c r="B782" s="1"/>
      <c r="C782" s="13"/>
      <c r="D782" s="8"/>
      <c r="E782" s="8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3.5" customHeight="1">
      <c r="A783" s="1"/>
      <c r="B783" s="1"/>
      <c r="C783" s="13"/>
      <c r="D783" s="8"/>
      <c r="E783" s="8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3.5" customHeight="1">
      <c r="A784" s="1"/>
      <c r="B784" s="1"/>
      <c r="C784" s="13"/>
      <c r="D784" s="8"/>
      <c r="E784" s="8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3.5" customHeight="1">
      <c r="A785" s="1"/>
      <c r="B785" s="1"/>
      <c r="C785" s="13"/>
      <c r="D785" s="8"/>
      <c r="E785" s="8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3.5" customHeight="1">
      <c r="A786" s="1"/>
      <c r="B786" s="1"/>
      <c r="C786" s="13"/>
      <c r="D786" s="8"/>
      <c r="E786" s="8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3.5" customHeight="1">
      <c r="A787" s="1"/>
      <c r="B787" s="1"/>
      <c r="C787" s="13"/>
      <c r="D787" s="8"/>
      <c r="E787" s="8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3.5" customHeight="1">
      <c r="A788" s="1"/>
      <c r="B788" s="1"/>
      <c r="C788" s="13"/>
      <c r="D788" s="8"/>
      <c r="E788" s="8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3.5" customHeight="1">
      <c r="A789" s="1"/>
      <c r="B789" s="1"/>
      <c r="C789" s="13"/>
      <c r="D789" s="8"/>
      <c r="E789" s="8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3.5" customHeight="1">
      <c r="A790" s="1"/>
      <c r="B790" s="1"/>
      <c r="C790" s="13"/>
      <c r="D790" s="8"/>
      <c r="E790" s="8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3.5" customHeight="1">
      <c r="A791" s="1"/>
      <c r="B791" s="1"/>
      <c r="C791" s="13"/>
      <c r="D791" s="8"/>
      <c r="E791" s="8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3.5" customHeight="1">
      <c r="A792" s="1"/>
      <c r="B792" s="1"/>
      <c r="C792" s="13"/>
      <c r="D792" s="8"/>
      <c r="E792" s="8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3.5" customHeight="1">
      <c r="A793" s="1"/>
      <c r="B793" s="1"/>
      <c r="C793" s="13"/>
      <c r="D793" s="8"/>
      <c r="E793" s="8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3.5" customHeight="1">
      <c r="A794" s="1"/>
      <c r="B794" s="1"/>
      <c r="C794" s="13"/>
      <c r="D794" s="8"/>
      <c r="E794" s="8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3.5" customHeight="1">
      <c r="A795" s="1"/>
      <c r="B795" s="1"/>
      <c r="C795" s="13"/>
      <c r="D795" s="8"/>
      <c r="E795" s="8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3.5" customHeight="1">
      <c r="A796" s="1"/>
      <c r="B796" s="1"/>
      <c r="C796" s="13"/>
      <c r="D796" s="8"/>
      <c r="E796" s="8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3.5" customHeight="1">
      <c r="A797" s="1"/>
      <c r="B797" s="1"/>
      <c r="C797" s="13"/>
      <c r="D797" s="8"/>
      <c r="E797" s="8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3.5" customHeight="1">
      <c r="A798" s="1"/>
      <c r="B798" s="1"/>
      <c r="C798" s="13"/>
      <c r="D798" s="8"/>
      <c r="E798" s="8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3.5" customHeight="1">
      <c r="A799" s="1"/>
      <c r="B799" s="1"/>
      <c r="C799" s="13"/>
      <c r="D799" s="8"/>
      <c r="E799" s="8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3.5" customHeight="1">
      <c r="A800" s="1"/>
      <c r="B800" s="1"/>
      <c r="C800" s="13"/>
      <c r="D800" s="8"/>
      <c r="E800" s="8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3.5" customHeight="1">
      <c r="A801" s="1"/>
      <c r="B801" s="1"/>
      <c r="C801" s="13"/>
      <c r="D801" s="8"/>
      <c r="E801" s="8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3.5" customHeight="1">
      <c r="A802" s="1"/>
      <c r="B802" s="1"/>
      <c r="C802" s="13"/>
      <c r="D802" s="8"/>
      <c r="E802" s="8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3.5" customHeight="1">
      <c r="A803" s="1"/>
      <c r="B803" s="1"/>
      <c r="C803" s="13"/>
      <c r="D803" s="8"/>
      <c r="E803" s="8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3.5" customHeight="1">
      <c r="A804" s="1"/>
      <c r="B804" s="1"/>
      <c r="C804" s="13"/>
      <c r="D804" s="8"/>
      <c r="E804" s="8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3.5" customHeight="1">
      <c r="A805" s="1"/>
      <c r="B805" s="1"/>
      <c r="C805" s="13"/>
      <c r="D805" s="8"/>
      <c r="E805" s="8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3.5" customHeight="1">
      <c r="A806" s="1"/>
      <c r="B806" s="1"/>
      <c r="C806" s="13"/>
      <c r="D806" s="8"/>
      <c r="E806" s="8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3.5" customHeight="1">
      <c r="A807" s="1"/>
      <c r="B807" s="1"/>
      <c r="C807" s="13"/>
      <c r="D807" s="8"/>
      <c r="E807" s="8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3.5" customHeight="1">
      <c r="A808" s="1"/>
      <c r="B808" s="1"/>
      <c r="C808" s="13"/>
      <c r="D808" s="8"/>
      <c r="E808" s="8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3.5" customHeight="1">
      <c r="A809" s="1"/>
      <c r="B809" s="1"/>
      <c r="C809" s="13"/>
      <c r="D809" s="8"/>
      <c r="E809" s="8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3.5" customHeight="1">
      <c r="A810" s="1"/>
      <c r="B810" s="1"/>
      <c r="C810" s="13"/>
      <c r="D810" s="8"/>
      <c r="E810" s="8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3.5" customHeight="1">
      <c r="A811" s="1"/>
      <c r="B811" s="1"/>
      <c r="C811" s="13"/>
      <c r="D811" s="8"/>
      <c r="E811" s="8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3.5" customHeight="1">
      <c r="A812" s="1"/>
      <c r="B812" s="1"/>
      <c r="C812" s="13"/>
      <c r="D812" s="8"/>
      <c r="E812" s="8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3.5" customHeight="1">
      <c r="A813" s="1"/>
      <c r="B813" s="1"/>
      <c r="C813" s="13"/>
      <c r="D813" s="8"/>
      <c r="E813" s="8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3.5" customHeight="1">
      <c r="A814" s="1"/>
      <c r="B814" s="1"/>
      <c r="C814" s="13"/>
      <c r="D814" s="8"/>
      <c r="E814" s="8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3.5" customHeight="1">
      <c r="A815" s="1"/>
      <c r="B815" s="1"/>
      <c r="C815" s="13"/>
      <c r="D815" s="8"/>
      <c r="E815" s="8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3.5" customHeight="1">
      <c r="A816" s="1"/>
      <c r="B816" s="1"/>
      <c r="C816" s="13"/>
      <c r="D816" s="8"/>
      <c r="E816" s="8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3.5" customHeight="1">
      <c r="A817" s="1"/>
      <c r="B817" s="1"/>
      <c r="C817" s="13"/>
      <c r="D817" s="8"/>
      <c r="E817" s="8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3.5" customHeight="1">
      <c r="A818" s="1"/>
      <c r="B818" s="1"/>
      <c r="C818" s="13"/>
      <c r="D818" s="8"/>
      <c r="E818" s="8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3.5" customHeight="1">
      <c r="A819" s="1"/>
      <c r="B819" s="1"/>
      <c r="C819" s="13"/>
      <c r="D819" s="8"/>
      <c r="E819" s="8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3.5" customHeight="1">
      <c r="A820" s="1"/>
      <c r="B820" s="1"/>
      <c r="C820" s="13"/>
      <c r="D820" s="8"/>
      <c r="E820" s="8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3.5" customHeight="1">
      <c r="A821" s="1"/>
      <c r="B821" s="1"/>
      <c r="C821" s="13"/>
      <c r="D821" s="8"/>
      <c r="E821" s="8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3.5" customHeight="1">
      <c r="A822" s="1"/>
      <c r="B822" s="1"/>
      <c r="C822" s="13"/>
      <c r="D822" s="8"/>
      <c r="E822" s="8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3.5" customHeight="1">
      <c r="A823" s="1"/>
      <c r="B823" s="1"/>
      <c r="C823" s="13"/>
      <c r="D823" s="8"/>
      <c r="E823" s="8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3.5" customHeight="1">
      <c r="A824" s="1"/>
      <c r="B824" s="1"/>
      <c r="C824" s="13"/>
      <c r="D824" s="8"/>
      <c r="E824" s="8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3.5" customHeight="1">
      <c r="A825" s="1"/>
      <c r="B825" s="1"/>
      <c r="C825" s="13"/>
      <c r="D825" s="8"/>
      <c r="E825" s="8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3.5" customHeight="1">
      <c r="A826" s="1"/>
      <c r="B826" s="1"/>
      <c r="C826" s="13"/>
      <c r="D826" s="8"/>
      <c r="E826" s="8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3.5" customHeight="1">
      <c r="A827" s="1"/>
      <c r="B827" s="1"/>
      <c r="C827" s="13"/>
      <c r="D827" s="8"/>
      <c r="E827" s="8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3.5" customHeight="1">
      <c r="A828" s="1"/>
      <c r="B828" s="1"/>
      <c r="C828" s="13"/>
      <c r="D828" s="8"/>
      <c r="E828" s="8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3.5" customHeight="1">
      <c r="A829" s="1"/>
      <c r="B829" s="1"/>
      <c r="C829" s="13"/>
      <c r="D829" s="8"/>
      <c r="E829" s="8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3.5" customHeight="1">
      <c r="A830" s="1"/>
      <c r="B830" s="1"/>
      <c r="C830" s="13"/>
      <c r="D830" s="8"/>
      <c r="E830" s="8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3.5" customHeight="1">
      <c r="A831" s="1"/>
      <c r="B831" s="1"/>
      <c r="C831" s="13"/>
      <c r="D831" s="8"/>
      <c r="E831" s="8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3.5" customHeight="1">
      <c r="A832" s="1"/>
      <c r="B832" s="1"/>
      <c r="C832" s="13"/>
      <c r="D832" s="8"/>
      <c r="E832" s="8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3.5" customHeight="1">
      <c r="A833" s="1"/>
      <c r="B833" s="1"/>
      <c r="C833" s="13"/>
      <c r="D833" s="8"/>
      <c r="E833" s="8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3.5" customHeight="1">
      <c r="A834" s="1"/>
      <c r="B834" s="1"/>
      <c r="C834" s="13"/>
      <c r="D834" s="8"/>
      <c r="E834" s="8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3.5" customHeight="1">
      <c r="A835" s="1"/>
      <c r="B835" s="1"/>
      <c r="C835" s="13"/>
      <c r="D835" s="8"/>
      <c r="E835" s="8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3.5" customHeight="1">
      <c r="A836" s="1"/>
      <c r="B836" s="1"/>
      <c r="C836" s="13"/>
      <c r="D836" s="8"/>
      <c r="E836" s="8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3.5" customHeight="1">
      <c r="A837" s="1"/>
      <c r="B837" s="1"/>
      <c r="C837" s="13"/>
      <c r="D837" s="8"/>
      <c r="E837" s="8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3.5" customHeight="1">
      <c r="A838" s="1"/>
      <c r="B838" s="1"/>
      <c r="C838" s="13"/>
      <c r="D838" s="8"/>
      <c r="E838" s="8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3.5" customHeight="1">
      <c r="A839" s="1"/>
      <c r="B839" s="1"/>
      <c r="C839" s="13"/>
      <c r="D839" s="8"/>
      <c r="E839" s="8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3.5" customHeight="1">
      <c r="A840" s="1"/>
      <c r="B840" s="1"/>
      <c r="C840" s="13"/>
      <c r="D840" s="8"/>
      <c r="E840" s="8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3.5" customHeight="1">
      <c r="A841" s="1"/>
      <c r="B841" s="1"/>
      <c r="C841" s="13"/>
      <c r="D841" s="8"/>
      <c r="E841" s="8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3.5" customHeight="1">
      <c r="A842" s="1"/>
      <c r="B842" s="1"/>
      <c r="C842" s="13"/>
      <c r="D842" s="8"/>
      <c r="E842" s="8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3.5" customHeight="1">
      <c r="A843" s="1"/>
      <c r="B843" s="1"/>
      <c r="C843" s="13"/>
      <c r="D843" s="8"/>
      <c r="E843" s="8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3.5" customHeight="1">
      <c r="A844" s="1"/>
      <c r="B844" s="1"/>
      <c r="C844" s="13"/>
      <c r="D844" s="8"/>
      <c r="E844" s="8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3.5" customHeight="1">
      <c r="A845" s="1"/>
      <c r="B845" s="1"/>
      <c r="C845" s="13"/>
      <c r="D845" s="8"/>
      <c r="E845" s="8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3.5" customHeight="1">
      <c r="A846" s="1"/>
      <c r="B846" s="1"/>
      <c r="C846" s="13"/>
      <c r="D846" s="8"/>
      <c r="E846" s="8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3.5" customHeight="1">
      <c r="A847" s="1"/>
      <c r="B847" s="1"/>
      <c r="C847" s="13"/>
      <c r="D847" s="8"/>
      <c r="E847" s="8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3.5" customHeight="1">
      <c r="A848" s="1"/>
      <c r="B848" s="1"/>
      <c r="C848" s="13"/>
      <c r="D848" s="8"/>
      <c r="E848" s="8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3.5" customHeight="1">
      <c r="A849" s="1"/>
      <c r="B849" s="1"/>
      <c r="C849" s="13"/>
      <c r="D849" s="8"/>
      <c r="E849" s="8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3.5" customHeight="1">
      <c r="A850" s="1"/>
      <c r="B850" s="1"/>
      <c r="C850" s="13"/>
      <c r="D850" s="8"/>
      <c r="E850" s="8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3.5" customHeight="1">
      <c r="A851" s="1"/>
      <c r="B851" s="1"/>
      <c r="C851" s="13"/>
      <c r="D851" s="8"/>
      <c r="E851" s="8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3.5" customHeight="1">
      <c r="A852" s="1"/>
      <c r="B852" s="1"/>
      <c r="C852" s="13"/>
      <c r="D852" s="8"/>
      <c r="E852" s="8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3.5" customHeight="1">
      <c r="A853" s="1"/>
      <c r="B853" s="1"/>
      <c r="C853" s="13"/>
      <c r="D853" s="8"/>
      <c r="E853" s="8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3.5" customHeight="1">
      <c r="A854" s="1"/>
      <c r="B854" s="1"/>
      <c r="C854" s="13"/>
      <c r="D854" s="8"/>
      <c r="E854" s="8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3.5" customHeight="1">
      <c r="A855" s="1"/>
      <c r="B855" s="1"/>
      <c r="C855" s="13"/>
      <c r="D855" s="8"/>
      <c r="E855" s="8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3.5" customHeight="1">
      <c r="A856" s="1"/>
      <c r="B856" s="1"/>
      <c r="C856" s="13"/>
      <c r="D856" s="8"/>
      <c r="E856" s="8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3.5" customHeight="1">
      <c r="A857" s="1"/>
      <c r="B857" s="1"/>
      <c r="C857" s="13"/>
      <c r="D857" s="8"/>
      <c r="E857" s="8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3.5" customHeight="1">
      <c r="A858" s="1"/>
      <c r="B858" s="1"/>
      <c r="C858" s="13"/>
      <c r="D858" s="8"/>
      <c r="E858" s="8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3.5" customHeight="1">
      <c r="A859" s="1"/>
      <c r="B859" s="1"/>
      <c r="C859" s="13"/>
      <c r="D859" s="8"/>
      <c r="E859" s="8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3.5" customHeight="1">
      <c r="A860" s="1"/>
      <c r="B860" s="1"/>
      <c r="C860" s="13"/>
      <c r="D860" s="8"/>
      <c r="E860" s="8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3.5" customHeight="1">
      <c r="A861" s="1"/>
      <c r="B861" s="1"/>
      <c r="C861" s="13"/>
      <c r="D861" s="8"/>
      <c r="E861" s="8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3.5" customHeight="1">
      <c r="A862" s="1"/>
      <c r="B862" s="1"/>
      <c r="C862" s="13"/>
      <c r="D862" s="8"/>
      <c r="E862" s="8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3.5" customHeight="1">
      <c r="A863" s="1"/>
      <c r="B863" s="1"/>
      <c r="C863" s="13"/>
      <c r="D863" s="8"/>
      <c r="E863" s="8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3.5" customHeight="1">
      <c r="A864" s="1"/>
      <c r="B864" s="1"/>
      <c r="C864" s="13"/>
      <c r="D864" s="8"/>
      <c r="E864" s="8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3.5" customHeight="1">
      <c r="A865" s="1"/>
      <c r="B865" s="1"/>
      <c r="C865" s="13"/>
      <c r="D865" s="8"/>
      <c r="E865" s="8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3.5" customHeight="1">
      <c r="A866" s="1"/>
      <c r="B866" s="1"/>
      <c r="C866" s="13"/>
      <c r="D866" s="8"/>
      <c r="E866" s="8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3.5" customHeight="1">
      <c r="A867" s="1"/>
      <c r="B867" s="1"/>
      <c r="C867" s="13"/>
      <c r="D867" s="8"/>
      <c r="E867" s="8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3.5" customHeight="1">
      <c r="A868" s="1"/>
      <c r="B868" s="1"/>
      <c r="C868" s="13"/>
      <c r="D868" s="8"/>
      <c r="E868" s="8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3.5" customHeight="1">
      <c r="A869" s="1"/>
      <c r="B869" s="1"/>
      <c r="C869" s="13"/>
      <c r="D869" s="8"/>
      <c r="E869" s="8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3.5" customHeight="1">
      <c r="A870" s="1"/>
      <c r="B870" s="1"/>
      <c r="C870" s="13"/>
      <c r="D870" s="8"/>
      <c r="E870" s="8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3.5" customHeight="1">
      <c r="A871" s="1"/>
      <c r="B871" s="1"/>
      <c r="C871" s="13"/>
      <c r="D871" s="8"/>
      <c r="E871" s="8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3.5" customHeight="1">
      <c r="A872" s="1"/>
      <c r="B872" s="1"/>
      <c r="C872" s="13"/>
      <c r="D872" s="8"/>
      <c r="E872" s="8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3.5" customHeight="1">
      <c r="A873" s="1"/>
      <c r="B873" s="1"/>
      <c r="C873" s="13"/>
      <c r="D873" s="8"/>
      <c r="E873" s="8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3.5" customHeight="1">
      <c r="A874" s="1"/>
      <c r="B874" s="1"/>
      <c r="C874" s="13"/>
      <c r="D874" s="8"/>
      <c r="E874" s="8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3.5" customHeight="1">
      <c r="A875" s="1"/>
      <c r="B875" s="1"/>
      <c r="C875" s="13"/>
      <c r="D875" s="8"/>
      <c r="E875" s="8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3.5" customHeight="1">
      <c r="A876" s="1"/>
      <c r="B876" s="1"/>
      <c r="C876" s="13"/>
      <c r="D876" s="8"/>
      <c r="E876" s="8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3.5" customHeight="1">
      <c r="A877" s="1"/>
      <c r="B877" s="1"/>
      <c r="C877" s="13"/>
      <c r="D877" s="8"/>
      <c r="E877" s="8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3.5" customHeight="1">
      <c r="A878" s="1"/>
      <c r="B878" s="1"/>
      <c r="C878" s="13"/>
      <c r="D878" s="8"/>
      <c r="E878" s="8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3.5" customHeight="1">
      <c r="A879" s="1"/>
      <c r="B879" s="1"/>
      <c r="C879" s="13"/>
      <c r="D879" s="8"/>
      <c r="E879" s="8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3.5" customHeight="1">
      <c r="A880" s="1"/>
      <c r="B880" s="1"/>
      <c r="C880" s="13"/>
      <c r="D880" s="8"/>
      <c r="E880" s="8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3.5" customHeight="1">
      <c r="A881" s="1"/>
      <c r="B881" s="1"/>
      <c r="C881" s="13"/>
      <c r="D881" s="8"/>
      <c r="E881" s="8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3.5" customHeight="1">
      <c r="A882" s="1"/>
      <c r="B882" s="1"/>
      <c r="C882" s="13"/>
      <c r="D882" s="8"/>
      <c r="E882" s="8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3.5" customHeight="1">
      <c r="A883" s="1"/>
      <c r="B883" s="1"/>
      <c r="C883" s="13"/>
      <c r="D883" s="8"/>
      <c r="E883" s="8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3.5" customHeight="1">
      <c r="A884" s="1"/>
      <c r="B884" s="1"/>
      <c r="C884" s="13"/>
      <c r="D884" s="8"/>
      <c r="E884" s="8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3.5" customHeight="1">
      <c r="A885" s="1"/>
      <c r="B885" s="1"/>
      <c r="C885" s="13"/>
      <c r="D885" s="8"/>
      <c r="E885" s="8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3.5" customHeight="1">
      <c r="A886" s="1"/>
      <c r="B886" s="1"/>
      <c r="C886" s="13"/>
      <c r="D886" s="8"/>
      <c r="E886" s="8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3.5" customHeight="1">
      <c r="A887" s="1"/>
      <c r="B887" s="1"/>
      <c r="C887" s="13"/>
      <c r="D887" s="8"/>
      <c r="E887" s="8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3.5" customHeight="1">
      <c r="A888" s="1"/>
      <c r="B888" s="1"/>
      <c r="C888" s="13"/>
      <c r="D888" s="8"/>
      <c r="E888" s="8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3.5" customHeight="1">
      <c r="A889" s="1"/>
      <c r="B889" s="1"/>
      <c r="C889" s="13"/>
      <c r="D889" s="8"/>
      <c r="E889" s="8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3.5" customHeight="1">
      <c r="A890" s="1"/>
      <c r="B890" s="1"/>
      <c r="C890" s="13"/>
      <c r="D890" s="8"/>
      <c r="E890" s="8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3.5" customHeight="1">
      <c r="A891" s="1"/>
      <c r="B891" s="1"/>
      <c r="C891" s="13"/>
      <c r="D891" s="8"/>
      <c r="E891" s="8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3.5" customHeight="1">
      <c r="A892" s="1"/>
      <c r="B892" s="1"/>
      <c r="C892" s="13"/>
      <c r="D892" s="8"/>
      <c r="E892" s="8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3.5" customHeight="1">
      <c r="A893" s="1"/>
      <c r="B893" s="1"/>
      <c r="C893" s="13"/>
      <c r="D893" s="8"/>
      <c r="E893" s="8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3.5" customHeight="1">
      <c r="A894" s="1"/>
      <c r="B894" s="1"/>
      <c r="C894" s="13"/>
      <c r="D894" s="8"/>
      <c r="E894" s="8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3.5" customHeight="1">
      <c r="A895" s="1"/>
      <c r="B895" s="1"/>
      <c r="C895" s="13"/>
      <c r="D895" s="8"/>
      <c r="E895" s="8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3.5" customHeight="1">
      <c r="A896" s="1"/>
      <c r="B896" s="1"/>
      <c r="C896" s="13"/>
      <c r="D896" s="8"/>
      <c r="E896" s="8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3.5" customHeight="1">
      <c r="A897" s="1"/>
      <c r="B897" s="1"/>
      <c r="C897" s="13"/>
      <c r="D897" s="8"/>
      <c r="E897" s="8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3.5" customHeight="1">
      <c r="A898" s="1"/>
      <c r="B898" s="1"/>
      <c r="C898" s="13"/>
      <c r="D898" s="8"/>
      <c r="E898" s="8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3.5" customHeight="1">
      <c r="A899" s="1"/>
      <c r="B899" s="1"/>
      <c r="C899" s="13"/>
      <c r="D899" s="8"/>
      <c r="E899" s="8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3.5" customHeight="1">
      <c r="A900" s="1"/>
      <c r="B900" s="1"/>
      <c r="C900" s="13"/>
      <c r="D900" s="8"/>
      <c r="E900" s="8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3.5" customHeight="1">
      <c r="A901" s="1"/>
      <c r="B901" s="1"/>
      <c r="C901" s="13"/>
      <c r="D901" s="8"/>
      <c r="E901" s="8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3.5" customHeight="1">
      <c r="A902" s="1"/>
      <c r="B902" s="1"/>
      <c r="C902" s="13"/>
      <c r="D902" s="8"/>
      <c r="E902" s="8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3.5" customHeight="1">
      <c r="A903" s="1"/>
      <c r="B903" s="1"/>
      <c r="C903" s="13"/>
      <c r="D903" s="8"/>
      <c r="E903" s="8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3.5" customHeight="1">
      <c r="A904" s="1"/>
      <c r="B904" s="1"/>
      <c r="C904" s="13"/>
      <c r="D904" s="8"/>
      <c r="E904" s="8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3.5" customHeight="1">
      <c r="A905" s="1"/>
      <c r="B905" s="1"/>
      <c r="C905" s="13"/>
      <c r="D905" s="8"/>
      <c r="E905" s="8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3.5" customHeight="1">
      <c r="A906" s="1"/>
      <c r="B906" s="1"/>
      <c r="C906" s="13"/>
      <c r="D906" s="8"/>
      <c r="E906" s="8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3.5" customHeight="1">
      <c r="A907" s="1"/>
      <c r="B907" s="1"/>
      <c r="C907" s="13"/>
      <c r="D907" s="8"/>
      <c r="E907" s="8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3.5" customHeight="1">
      <c r="A908" s="1"/>
      <c r="B908" s="1"/>
      <c r="C908" s="13"/>
      <c r="D908" s="8"/>
      <c r="E908" s="8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3.5" customHeight="1">
      <c r="A909" s="1"/>
      <c r="B909" s="1"/>
      <c r="C909" s="13"/>
      <c r="D909" s="8"/>
      <c r="E909" s="8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3.5" customHeight="1">
      <c r="A910" s="1"/>
      <c r="B910" s="1"/>
      <c r="C910" s="13"/>
      <c r="D910" s="8"/>
      <c r="E910" s="8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3.5" customHeight="1">
      <c r="A911" s="1"/>
      <c r="B911" s="1"/>
      <c r="C911" s="13"/>
      <c r="D911" s="8"/>
      <c r="E911" s="8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3.5" customHeight="1">
      <c r="A912" s="1"/>
      <c r="B912" s="1"/>
      <c r="C912" s="13"/>
      <c r="D912" s="8"/>
      <c r="E912" s="8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3.5" customHeight="1">
      <c r="A913" s="1"/>
      <c r="B913" s="1"/>
      <c r="C913" s="13"/>
      <c r="D913" s="8"/>
      <c r="E913" s="8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3.5" customHeight="1">
      <c r="A914" s="1"/>
      <c r="B914" s="1"/>
      <c r="C914" s="13"/>
      <c r="D914" s="8"/>
      <c r="E914" s="8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3.5" customHeight="1">
      <c r="A915" s="1"/>
      <c r="B915" s="1"/>
      <c r="C915" s="13"/>
      <c r="D915" s="8"/>
      <c r="E915" s="8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3.5" customHeight="1">
      <c r="A916" s="1"/>
      <c r="B916" s="1"/>
      <c r="C916" s="13"/>
      <c r="D916" s="8"/>
      <c r="E916" s="8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3.5" customHeight="1">
      <c r="A917" s="1"/>
      <c r="B917" s="1"/>
      <c r="C917" s="13"/>
      <c r="D917" s="8"/>
      <c r="E917" s="8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3.5" customHeight="1">
      <c r="A918" s="1"/>
      <c r="B918" s="1"/>
      <c r="C918" s="13"/>
      <c r="D918" s="8"/>
      <c r="E918" s="8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3.5" customHeight="1">
      <c r="A919" s="1"/>
      <c r="B919" s="1"/>
      <c r="C919" s="13"/>
      <c r="D919" s="8"/>
      <c r="E919" s="8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3.5" customHeight="1">
      <c r="A920" s="1"/>
      <c r="B920" s="1"/>
      <c r="C920" s="13"/>
      <c r="D920" s="8"/>
      <c r="E920" s="8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3.5" customHeight="1">
      <c r="A921" s="1"/>
      <c r="B921" s="1"/>
      <c r="C921" s="13"/>
      <c r="D921" s="8"/>
      <c r="E921" s="8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3.5" customHeight="1">
      <c r="A922" s="1"/>
      <c r="B922" s="1"/>
      <c r="C922" s="13"/>
      <c r="D922" s="8"/>
      <c r="E922" s="8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3.5" customHeight="1">
      <c r="A923" s="1"/>
      <c r="B923" s="1"/>
      <c r="C923" s="13"/>
      <c r="D923" s="8"/>
      <c r="E923" s="8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3.5" customHeight="1">
      <c r="A924" s="1"/>
      <c r="B924" s="1"/>
      <c r="C924" s="13"/>
      <c r="D924" s="8"/>
      <c r="E924" s="8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3.5" customHeight="1">
      <c r="A925" s="1"/>
      <c r="B925" s="1"/>
      <c r="C925" s="13"/>
      <c r="D925" s="8"/>
      <c r="E925" s="8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3.5" customHeight="1">
      <c r="A926" s="1"/>
      <c r="B926" s="1"/>
      <c r="C926" s="13"/>
      <c r="D926" s="8"/>
      <c r="E926" s="8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3.5" customHeight="1">
      <c r="A927" s="1"/>
      <c r="B927" s="1"/>
      <c r="C927" s="13"/>
      <c r="D927" s="8"/>
      <c r="E927" s="8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3.5" customHeight="1">
      <c r="A928" s="1"/>
      <c r="B928" s="1"/>
      <c r="C928" s="13"/>
      <c r="D928" s="8"/>
      <c r="E928" s="8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3.5" customHeight="1">
      <c r="A929" s="1"/>
      <c r="B929" s="1"/>
      <c r="C929" s="13"/>
      <c r="D929" s="8"/>
      <c r="E929" s="8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3.5" customHeight="1">
      <c r="A930" s="1"/>
      <c r="B930" s="1"/>
      <c r="C930" s="13"/>
      <c r="D930" s="8"/>
      <c r="E930" s="8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3.5" customHeight="1">
      <c r="A931" s="1"/>
      <c r="B931" s="1"/>
      <c r="C931" s="13"/>
      <c r="D931" s="8"/>
      <c r="E931" s="8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3.5" customHeight="1">
      <c r="A932" s="1"/>
      <c r="B932" s="1"/>
      <c r="C932" s="13"/>
      <c r="D932" s="8"/>
      <c r="E932" s="8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3.5" customHeight="1">
      <c r="A933" s="1"/>
      <c r="B933" s="1"/>
      <c r="C933" s="13"/>
      <c r="D933" s="8"/>
      <c r="E933" s="8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3.5" customHeight="1">
      <c r="A934" s="1"/>
      <c r="B934" s="1"/>
      <c r="C934" s="13"/>
      <c r="D934" s="8"/>
      <c r="E934" s="8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3.5" customHeight="1">
      <c r="A935" s="1"/>
      <c r="B935" s="1"/>
      <c r="C935" s="13"/>
      <c r="D935" s="8"/>
      <c r="E935" s="8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3.5" customHeight="1">
      <c r="A936" s="1"/>
      <c r="B936" s="1"/>
      <c r="C936" s="13"/>
      <c r="D936" s="8"/>
      <c r="E936" s="8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3.5" customHeight="1">
      <c r="A937" s="1"/>
      <c r="B937" s="1"/>
      <c r="C937" s="13"/>
      <c r="D937" s="8"/>
      <c r="E937" s="8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3.5" customHeight="1">
      <c r="A938" s="1"/>
      <c r="B938" s="1"/>
      <c r="C938" s="13"/>
      <c r="D938" s="8"/>
      <c r="E938" s="8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3.5" customHeight="1">
      <c r="A939" s="1"/>
      <c r="B939" s="1"/>
      <c r="C939" s="13"/>
      <c r="D939" s="8"/>
      <c r="E939" s="8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3.5" customHeight="1">
      <c r="A940" s="1"/>
      <c r="B940" s="1"/>
      <c r="C940" s="13"/>
      <c r="D940" s="8"/>
      <c r="E940" s="8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3.5" customHeight="1">
      <c r="A941" s="1"/>
      <c r="B941" s="1"/>
      <c r="C941" s="13"/>
      <c r="D941" s="8"/>
      <c r="E941" s="8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3.5" customHeight="1">
      <c r="A942" s="1"/>
      <c r="B942" s="1"/>
      <c r="C942" s="13"/>
      <c r="D942" s="8"/>
      <c r="E942" s="8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3.5" customHeight="1">
      <c r="A943" s="1"/>
      <c r="B943" s="1"/>
      <c r="C943" s="13"/>
      <c r="D943" s="8"/>
      <c r="E943" s="8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3.5" customHeight="1">
      <c r="A944" s="1"/>
      <c r="B944" s="1"/>
      <c r="C944" s="13"/>
      <c r="D944" s="8"/>
      <c r="E944" s="8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3.5" customHeight="1">
      <c r="A945" s="1"/>
      <c r="B945" s="1"/>
      <c r="C945" s="13"/>
      <c r="D945" s="8"/>
      <c r="E945" s="8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3.5" customHeight="1">
      <c r="A946" s="1"/>
      <c r="B946" s="1"/>
      <c r="C946" s="13"/>
      <c r="D946" s="8"/>
      <c r="E946" s="8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3.5" customHeight="1">
      <c r="A947" s="1"/>
      <c r="B947" s="1"/>
      <c r="C947" s="13"/>
      <c r="D947" s="8"/>
      <c r="E947" s="8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3.5" customHeight="1">
      <c r="A948" s="1"/>
      <c r="B948" s="1"/>
      <c r="C948" s="13"/>
      <c r="D948" s="8"/>
      <c r="E948" s="8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3.5" customHeight="1">
      <c r="A949" s="1"/>
      <c r="B949" s="1"/>
      <c r="C949" s="13"/>
      <c r="D949" s="8"/>
      <c r="E949" s="8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3.5" customHeight="1">
      <c r="A950" s="1"/>
      <c r="B950" s="1"/>
      <c r="C950" s="13"/>
      <c r="D950" s="8"/>
      <c r="E950" s="8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3.5" customHeight="1">
      <c r="A951" s="1"/>
      <c r="B951" s="1"/>
      <c r="C951" s="13"/>
      <c r="D951" s="8"/>
      <c r="E951" s="8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3.5" customHeight="1">
      <c r="A952" s="1"/>
      <c r="B952" s="1"/>
      <c r="C952" s="13"/>
      <c r="D952" s="8"/>
      <c r="E952" s="8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3.5" customHeight="1">
      <c r="A953" s="1"/>
      <c r="B953" s="1"/>
      <c r="C953" s="13"/>
      <c r="D953" s="8"/>
      <c r="E953" s="8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3.5" customHeight="1">
      <c r="A954" s="1"/>
      <c r="B954" s="1"/>
      <c r="C954" s="13"/>
      <c r="D954" s="8"/>
      <c r="E954" s="8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3.5" customHeight="1">
      <c r="A955" s="1"/>
      <c r="B955" s="1"/>
      <c r="C955" s="13"/>
      <c r="D955" s="8"/>
      <c r="E955" s="8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3.5" customHeight="1">
      <c r="A956" s="1"/>
      <c r="B956" s="1"/>
      <c r="C956" s="13"/>
      <c r="D956" s="8"/>
      <c r="E956" s="8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3.5" customHeight="1">
      <c r="A957" s="1"/>
      <c r="B957" s="1"/>
      <c r="C957" s="13"/>
      <c r="D957" s="8"/>
      <c r="E957" s="8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3.5" customHeight="1">
      <c r="A958" s="1"/>
      <c r="B958" s="1"/>
      <c r="C958" s="13"/>
      <c r="D958" s="8"/>
      <c r="E958" s="8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3.5" customHeight="1">
      <c r="A959" s="1"/>
      <c r="B959" s="1"/>
      <c r="C959" s="13"/>
      <c r="D959" s="8"/>
      <c r="E959" s="8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3.5" customHeight="1">
      <c r="A960" s="1"/>
      <c r="B960" s="1"/>
      <c r="C960" s="13"/>
      <c r="D960" s="8"/>
      <c r="E960" s="8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3.5" customHeight="1">
      <c r="A961" s="1"/>
      <c r="B961" s="1"/>
      <c r="C961" s="13"/>
      <c r="D961" s="8"/>
      <c r="E961" s="8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3.5" customHeight="1">
      <c r="A962" s="1"/>
      <c r="B962" s="1"/>
      <c r="C962" s="13"/>
      <c r="D962" s="8"/>
      <c r="E962" s="8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3.5" customHeight="1">
      <c r="A963" s="1"/>
      <c r="B963" s="1"/>
      <c r="C963" s="13"/>
      <c r="D963" s="8"/>
      <c r="E963" s="8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3.5" customHeight="1">
      <c r="A964" s="1"/>
      <c r="B964" s="1"/>
      <c r="C964" s="13"/>
      <c r="D964" s="8"/>
      <c r="E964" s="8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3.5" customHeight="1">
      <c r="A965" s="1"/>
      <c r="B965" s="1"/>
      <c r="C965" s="13"/>
      <c r="D965" s="8"/>
      <c r="E965" s="8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3.5" customHeight="1">
      <c r="A966" s="1"/>
      <c r="B966" s="1"/>
      <c r="C966" s="13"/>
      <c r="D966" s="8"/>
      <c r="E966" s="8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3.5" customHeight="1">
      <c r="A967" s="1"/>
      <c r="B967" s="1"/>
      <c r="C967" s="13"/>
      <c r="D967" s="8"/>
      <c r="E967" s="8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3.5" customHeight="1">
      <c r="A968" s="1"/>
      <c r="B968" s="1"/>
      <c r="C968" s="13"/>
      <c r="D968" s="8"/>
      <c r="E968" s="8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3.5" customHeight="1">
      <c r="A969" s="1"/>
      <c r="B969" s="1"/>
      <c r="C969" s="13"/>
      <c r="D969" s="8"/>
      <c r="E969" s="8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3.5" customHeight="1">
      <c r="A970" s="1"/>
      <c r="B970" s="1"/>
      <c r="C970" s="13"/>
      <c r="D970" s="8"/>
      <c r="E970" s="8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3.5" customHeight="1">
      <c r="A971" s="1"/>
      <c r="B971" s="1"/>
      <c r="C971" s="13"/>
      <c r="D971" s="8"/>
      <c r="E971" s="8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3.5" customHeight="1">
      <c r="A972" s="1"/>
      <c r="B972" s="1"/>
      <c r="C972" s="13"/>
      <c r="D972" s="8"/>
      <c r="E972" s="8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3.5" customHeight="1">
      <c r="A973" s="1"/>
      <c r="B973" s="1"/>
      <c r="C973" s="13"/>
      <c r="D973" s="8"/>
      <c r="E973" s="8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3.5" customHeight="1">
      <c r="A974" s="1"/>
      <c r="B974" s="1"/>
      <c r="C974" s="13"/>
      <c r="D974" s="8"/>
      <c r="E974" s="8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3.5" customHeight="1">
      <c r="A975" s="1"/>
      <c r="B975" s="1"/>
      <c r="C975" s="13"/>
      <c r="D975" s="8"/>
      <c r="E975" s="8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3.5" customHeight="1">
      <c r="A976" s="1"/>
      <c r="B976" s="1"/>
      <c r="C976" s="13"/>
      <c r="D976" s="8"/>
      <c r="E976" s="8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3.5" customHeight="1">
      <c r="A977" s="1"/>
      <c r="B977" s="1"/>
      <c r="C977" s="13"/>
      <c r="D977" s="8"/>
      <c r="E977" s="8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3.5" customHeight="1">
      <c r="A978" s="1"/>
      <c r="B978" s="1"/>
      <c r="C978" s="13"/>
      <c r="D978" s="8"/>
      <c r="E978" s="8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3.5" customHeight="1">
      <c r="A979" s="1"/>
      <c r="B979" s="1"/>
      <c r="C979" s="13"/>
      <c r="D979" s="8"/>
      <c r="E979" s="8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3.5" customHeight="1">
      <c r="A980" s="1"/>
      <c r="B980" s="1"/>
      <c r="C980" s="13"/>
      <c r="D980" s="8"/>
      <c r="E980" s="8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3.5" customHeight="1">
      <c r="A981" s="1"/>
      <c r="B981" s="1"/>
      <c r="C981" s="13"/>
      <c r="D981" s="8"/>
      <c r="E981" s="8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3.5" customHeight="1">
      <c r="A982" s="1"/>
      <c r="B982" s="1"/>
      <c r="C982" s="13"/>
      <c r="D982" s="8"/>
      <c r="E982" s="8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3.5" customHeight="1">
      <c r="A983" s="1"/>
      <c r="B983" s="1"/>
      <c r="C983" s="13"/>
      <c r="D983" s="8"/>
      <c r="E983" s="8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3.5" customHeight="1">
      <c r="A984" s="1"/>
      <c r="B984" s="1"/>
      <c r="C984" s="13"/>
      <c r="D984" s="8"/>
      <c r="E984" s="8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3.5" customHeight="1">
      <c r="A985" s="1"/>
      <c r="B985" s="1"/>
      <c r="C985" s="13"/>
      <c r="D985" s="8"/>
      <c r="E985" s="8"/>
      <c r="F985" s="5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3.5" customHeight="1">
      <c r="A986" s="1"/>
      <c r="B986" s="1"/>
      <c r="C986" s="13"/>
      <c r="D986" s="8"/>
      <c r="E986" s="8"/>
      <c r="F986" s="5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3.5" customHeight="1">
      <c r="A987" s="1"/>
      <c r="B987" s="1"/>
      <c r="C987" s="13"/>
      <c r="D987" s="8"/>
      <c r="E987" s="8"/>
      <c r="F987" s="5"/>
      <c r="G987" s="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3.5" customHeight="1">
      <c r="A988" s="1"/>
      <c r="B988" s="1"/>
      <c r="C988" s="13"/>
      <c r="D988" s="8"/>
      <c r="E988" s="8"/>
      <c r="F988" s="5"/>
      <c r="G988" s="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3.5" customHeight="1">
      <c r="A989" s="1"/>
      <c r="B989" s="1"/>
      <c r="C989" s="13"/>
      <c r="D989" s="8"/>
      <c r="E989" s="8"/>
      <c r="F989" s="5"/>
      <c r="G989" s="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3.5" customHeight="1">
      <c r="A990" s="1"/>
      <c r="B990" s="1"/>
      <c r="C990" s="13"/>
      <c r="D990" s="8"/>
      <c r="E990" s="8"/>
      <c r="F990" s="5"/>
      <c r="G990" s="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3.5" customHeight="1">
      <c r="A991" s="1"/>
      <c r="B991" s="1"/>
      <c r="C991" s="13"/>
      <c r="D991" s="8"/>
      <c r="E991" s="8"/>
      <c r="F991" s="5"/>
      <c r="G991" s="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3.5" customHeight="1">
      <c r="A992" s="1"/>
      <c r="B992" s="1"/>
      <c r="C992" s="13"/>
      <c r="D992" s="8"/>
      <c r="E992" s="8"/>
      <c r="F992" s="5"/>
      <c r="G992" s="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3.5" customHeight="1">
      <c r="A993" s="1"/>
      <c r="B993" s="1"/>
      <c r="C993" s="13"/>
      <c r="D993" s="8"/>
      <c r="E993" s="8"/>
      <c r="F993" s="5"/>
      <c r="G993" s="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3.5" customHeight="1">
      <c r="A994" s="1"/>
      <c r="B994" s="1"/>
      <c r="C994" s="13"/>
      <c r="D994" s="8"/>
      <c r="E994" s="8"/>
      <c r="F994" s="5"/>
      <c r="G994" s="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3.5" customHeight="1">
      <c r="A995" s="1"/>
      <c r="B995" s="1"/>
      <c r="C995" s="13"/>
      <c r="D995" s="8"/>
      <c r="E995" s="8"/>
      <c r="F995" s="5"/>
      <c r="G995" s="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3.5" customHeight="1">
      <c r="A996" s="1"/>
      <c r="B996" s="1"/>
      <c r="C996" s="13"/>
      <c r="D996" s="8"/>
      <c r="E996" s="8"/>
      <c r="F996" s="5"/>
      <c r="G996" s="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3.5" customHeight="1">
      <c r="A997" s="1"/>
      <c r="B997" s="1"/>
      <c r="C997" s="13"/>
      <c r="D997" s="8"/>
      <c r="E997" s="8"/>
      <c r="F997" s="5"/>
      <c r="G997" s="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3.5" customHeight="1">
      <c r="A998" s="1"/>
      <c r="B998" s="1"/>
      <c r="C998" s="13"/>
      <c r="D998" s="8"/>
      <c r="E998" s="8"/>
      <c r="F998" s="5"/>
      <c r="G998" s="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3.5" customHeight="1">
      <c r="A999" s="1"/>
      <c r="B999" s="1"/>
      <c r="C999" s="13"/>
      <c r="D999" s="8"/>
      <c r="E999" s="8"/>
      <c r="F999" s="5"/>
      <c r="G999" s="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3.5" customHeight="1">
      <c r="A1000" s="1"/>
      <c r="B1000" s="1"/>
      <c r="C1000" s="13"/>
      <c r="D1000" s="8"/>
      <c r="E1000" s="8"/>
      <c r="F1000" s="5"/>
      <c r="G1000" s="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autoFilter ref="$A$13:$G$544"/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10.14"/>
    <col customWidth="1" min="2" max="2" width="27.14"/>
    <col customWidth="1" min="3" max="3" width="35.14"/>
    <col customWidth="1" min="4" max="4" width="42.86"/>
    <col customWidth="1" min="5" max="5" width="11.14"/>
    <col customWidth="1" min="6" max="6" width="15.86"/>
    <col customWidth="1" min="7" max="7" width="24.0"/>
    <col customWidth="1" min="8" max="8" width="12.14"/>
    <col customWidth="1" min="9" max="9" width="136.86" outlineLevel="1"/>
    <col customWidth="1" min="10" max="11" width="9.14"/>
    <col customWidth="1" min="12" max="12" width="15.14"/>
    <col customWidth="1" min="13" max="13" width="29.86"/>
    <col customWidth="1" min="14" max="14" width="20.14"/>
    <col customWidth="1" min="15" max="15" width="15.14"/>
    <col customWidth="1" min="16" max="16" width="13.14" outlineLevel="1"/>
    <col customWidth="1" min="17" max="17" width="27.14" outlineLevel="1"/>
    <col customWidth="1" min="18" max="18" width="15.14" outlineLevel="1"/>
    <col customWidth="1" min="19" max="19" width="9.14"/>
    <col customWidth="1" min="20" max="23" width="31.86" outlineLevel="1"/>
    <col customWidth="1" min="24" max="43" width="9.14"/>
  </cols>
  <sheetData>
    <row r="1" ht="14.25" customHeight="1">
      <c r="A1" s="1"/>
      <c r="B1" s="1"/>
      <c r="C1" s="2" t="s">
        <v>0</v>
      </c>
      <c r="D1" s="573" t="s">
        <v>3986</v>
      </c>
      <c r="E1" s="4"/>
      <c r="F1" s="4"/>
      <c r="G1" s="5"/>
      <c r="H1" s="5"/>
      <c r="I1" s="6"/>
      <c r="J1" s="7"/>
      <c r="K1" s="6"/>
      <c r="L1" s="8"/>
      <c r="M1" s="1"/>
      <c r="N1" s="8"/>
      <c r="O1" s="8"/>
      <c r="P1" s="9"/>
      <c r="Q1" s="8"/>
      <c r="R1" s="8"/>
      <c r="S1" s="1"/>
      <c r="T1" s="8"/>
      <c r="U1" s="8"/>
      <c r="V1" s="8"/>
      <c r="W1" s="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4.25" customHeight="1">
      <c r="A2" s="1"/>
      <c r="B2" s="1"/>
      <c r="C2" s="2" t="s">
        <v>3</v>
      </c>
      <c r="D2" s="574">
        <v>80000.0</v>
      </c>
      <c r="E2" s="21"/>
      <c r="F2" s="21"/>
      <c r="G2" s="5"/>
      <c r="H2" s="5"/>
      <c r="I2" s="6"/>
      <c r="J2" s="7"/>
      <c r="K2" s="6"/>
      <c r="L2" s="8"/>
      <c r="M2" s="1"/>
      <c r="N2" s="8"/>
      <c r="O2" s="8"/>
      <c r="P2" s="9"/>
      <c r="Q2" s="8"/>
      <c r="R2" s="8"/>
      <c r="S2" s="1"/>
      <c r="T2" s="8"/>
      <c r="U2" s="8"/>
      <c r="V2" s="8"/>
      <c r="W2" s="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ht="14.25" customHeight="1">
      <c r="A3" s="1"/>
      <c r="B3" s="1"/>
      <c r="C3" s="2" t="s">
        <v>5</v>
      </c>
      <c r="D3" s="575">
        <v>9860.0</v>
      </c>
      <c r="E3" s="26"/>
      <c r="F3" s="26"/>
      <c r="G3" s="5"/>
      <c r="H3" s="5"/>
      <c r="I3" s="6"/>
      <c r="J3" s="7"/>
      <c r="K3" s="6"/>
      <c r="L3" s="8"/>
      <c r="M3" s="1"/>
      <c r="N3" s="8"/>
      <c r="O3" s="8"/>
      <c r="P3" s="9"/>
      <c r="Q3" s="8"/>
      <c r="R3" s="8"/>
      <c r="S3" s="1"/>
      <c r="T3" s="8"/>
      <c r="U3" s="8"/>
      <c r="V3" s="8"/>
      <c r="W3" s="8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ht="14.25" customHeight="1">
      <c r="A4" s="1"/>
      <c r="B4" s="1"/>
      <c r="C4" s="2" t="s">
        <v>7</v>
      </c>
      <c r="D4" s="576">
        <v>8500.0</v>
      </c>
      <c r="E4" s="26"/>
      <c r="F4" s="577"/>
      <c r="G4" s="5"/>
      <c r="H4" s="5"/>
      <c r="I4" s="6"/>
      <c r="J4" s="7"/>
      <c r="K4" s="6"/>
      <c r="L4" s="8"/>
      <c r="M4" s="1"/>
      <c r="N4" s="8"/>
      <c r="O4" s="8"/>
      <c r="P4" s="9"/>
      <c r="Q4" s="8"/>
      <c r="R4" s="8"/>
      <c r="S4" s="1"/>
      <c r="T4" s="8"/>
      <c r="U4" s="8"/>
      <c r="V4" s="8"/>
      <c r="W4" s="8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ht="14.25" customHeight="1">
      <c r="A5" s="1"/>
      <c r="B5" s="1"/>
      <c r="C5" s="2" t="s">
        <v>9</v>
      </c>
      <c r="D5" s="574">
        <v>7.06</v>
      </c>
      <c r="E5" s="34"/>
      <c r="F5" s="577"/>
      <c r="G5" s="5"/>
      <c r="H5" s="5"/>
      <c r="I5" s="6"/>
      <c r="J5" s="7"/>
      <c r="K5" s="6"/>
      <c r="L5" s="8"/>
      <c r="M5" s="1"/>
      <c r="N5" s="8"/>
      <c r="O5" s="8"/>
      <c r="P5" s="9"/>
      <c r="Q5" s="8"/>
      <c r="R5" s="8"/>
      <c r="S5" s="1"/>
      <c r="T5" s="8"/>
      <c r="U5" s="8"/>
      <c r="V5" s="8"/>
      <c r="W5" s="8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ht="14.25" customHeight="1">
      <c r="A6" s="39"/>
      <c r="B6" s="39" t="s">
        <v>11</v>
      </c>
      <c r="C6" s="2" t="s">
        <v>12</v>
      </c>
      <c r="D6" s="576">
        <v>1.16</v>
      </c>
      <c r="E6" s="42"/>
      <c r="F6" s="34"/>
      <c r="G6" s="5"/>
      <c r="H6" s="5"/>
      <c r="I6" s="13"/>
      <c r="J6" s="8"/>
      <c r="K6" s="13"/>
      <c r="L6" s="8"/>
      <c r="M6" s="1"/>
      <c r="N6" s="8"/>
      <c r="O6" s="8"/>
      <c r="P6" s="9"/>
      <c r="Q6" s="8"/>
      <c r="R6" s="8"/>
      <c r="S6" s="1"/>
      <c r="T6" s="8"/>
      <c r="U6" s="8"/>
      <c r="V6" s="8"/>
      <c r="W6" s="8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ht="14.25" customHeight="1">
      <c r="A7" s="39"/>
      <c r="B7" s="39"/>
      <c r="C7" s="2" t="s">
        <v>16</v>
      </c>
      <c r="D7" s="574">
        <v>8.189599999999999</v>
      </c>
      <c r="E7" s="42"/>
      <c r="F7" s="34"/>
      <c r="G7" s="5"/>
      <c r="H7" s="5"/>
      <c r="I7" s="13"/>
      <c r="J7" s="8"/>
      <c r="K7" s="13"/>
      <c r="L7" s="8"/>
      <c r="M7" s="1"/>
      <c r="N7" s="8"/>
      <c r="O7" s="8"/>
      <c r="P7" s="9"/>
      <c r="Q7" s="8"/>
      <c r="R7" s="8"/>
      <c r="S7" s="1"/>
      <c r="T7" s="8"/>
      <c r="U7" s="8"/>
      <c r="V7" s="8"/>
      <c r="W7" s="8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ht="14.25" customHeight="1">
      <c r="A8" s="48"/>
      <c r="B8" s="48" t="s">
        <v>4339</v>
      </c>
      <c r="C8" s="2"/>
      <c r="D8" s="574"/>
      <c r="E8" s="51"/>
      <c r="F8" s="51"/>
      <c r="G8" s="2"/>
      <c r="H8" s="2"/>
      <c r="I8" s="53"/>
      <c r="J8" s="8"/>
      <c r="K8" s="13"/>
      <c r="L8" s="8"/>
      <c r="M8" s="1"/>
      <c r="N8" s="8"/>
      <c r="O8" s="8"/>
      <c r="P8" s="9"/>
      <c r="Q8" s="8"/>
      <c r="R8" s="8"/>
      <c r="S8" s="1"/>
      <c r="T8" s="8"/>
      <c r="U8" s="8"/>
      <c r="V8" s="8"/>
      <c r="W8" s="8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ht="14.25" customHeight="1">
      <c r="A9" s="1"/>
      <c r="B9" s="1"/>
      <c r="C9" s="2"/>
      <c r="D9" s="574"/>
      <c r="E9" s="51"/>
      <c r="F9" s="51"/>
      <c r="G9" s="2"/>
      <c r="H9" s="2"/>
      <c r="I9" s="13"/>
      <c r="J9" s="8"/>
      <c r="K9" s="13"/>
      <c r="L9" s="55"/>
      <c r="M9" s="1"/>
      <c r="N9" s="8"/>
      <c r="O9" s="8"/>
      <c r="P9" s="9"/>
      <c r="Q9" s="8"/>
      <c r="R9" s="8"/>
      <c r="S9" s="1"/>
      <c r="T9" s="8"/>
      <c r="U9" s="8"/>
      <c r="V9" s="8"/>
      <c r="W9" s="8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ht="14.25" customHeight="1">
      <c r="A10" s="1"/>
      <c r="B10" s="1"/>
      <c r="C10" s="2"/>
      <c r="D10" s="574"/>
      <c r="E10" s="51"/>
      <c r="F10" s="51"/>
      <c r="G10" s="2"/>
      <c r="H10" s="2"/>
      <c r="I10" s="53"/>
      <c r="J10" s="8"/>
      <c r="K10" s="13"/>
      <c r="L10" s="55"/>
      <c r="M10" s="1"/>
      <c r="N10" s="8"/>
      <c r="O10" s="8"/>
      <c r="P10" s="9"/>
      <c r="Q10" s="8"/>
      <c r="R10" s="8"/>
      <c r="S10" s="1"/>
      <c r="T10" s="8"/>
      <c r="U10" s="8"/>
      <c r="V10" s="8"/>
      <c r="W10" s="8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14.25" customHeight="1">
      <c r="A11" s="61"/>
      <c r="B11" s="61"/>
      <c r="C11" s="2"/>
      <c r="D11" s="574"/>
      <c r="E11" s="51"/>
      <c r="F11" s="2"/>
      <c r="G11" s="62"/>
      <c r="H11" s="62"/>
      <c r="I11" s="59"/>
      <c r="J11" s="59"/>
      <c r="K11" s="59"/>
      <c r="L11" s="59"/>
      <c r="M11" s="61"/>
      <c r="N11" s="59"/>
      <c r="O11" s="59"/>
      <c r="P11" s="59"/>
      <c r="Q11" s="46"/>
      <c r="R11" s="59"/>
      <c r="S11" s="61"/>
      <c r="T11" s="46"/>
      <c r="U11" s="46"/>
      <c r="V11" s="46"/>
      <c r="W11" s="46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</row>
    <row r="12" ht="14.25" customHeight="1">
      <c r="A12" s="1"/>
      <c r="B12" s="1"/>
      <c r="C12" s="1"/>
      <c r="D12" s="13"/>
      <c r="E12" s="8"/>
      <c r="F12" s="8"/>
      <c r="G12" s="5"/>
      <c r="H12" s="5"/>
      <c r="I12" s="13"/>
      <c r="J12" s="8"/>
      <c r="K12" s="13"/>
      <c r="L12" s="8"/>
      <c r="M12" s="1"/>
      <c r="N12" s="8"/>
      <c r="O12" s="8"/>
      <c r="P12" s="9"/>
      <c r="Q12" s="8"/>
      <c r="R12" s="8"/>
      <c r="S12" s="1"/>
      <c r="T12" s="8"/>
      <c r="U12" s="8"/>
      <c r="V12" s="8"/>
      <c r="W12" s="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ht="34.5" customHeight="1">
      <c r="A13" s="78" t="s">
        <v>24</v>
      </c>
      <c r="B13" s="78" t="s">
        <v>3911</v>
      </c>
      <c r="C13" s="80" t="s">
        <v>28</v>
      </c>
      <c r="D13" s="80" t="s">
        <v>29</v>
      </c>
      <c r="E13" s="81" t="s">
        <v>30</v>
      </c>
      <c r="F13" s="81" t="s">
        <v>31</v>
      </c>
      <c r="G13" s="80" t="s">
        <v>33</v>
      </c>
      <c r="H13" s="80" t="s">
        <v>34</v>
      </c>
      <c r="I13" s="80" t="s">
        <v>36</v>
      </c>
      <c r="J13" s="81" t="s">
        <v>37</v>
      </c>
      <c r="K13" s="80" t="s">
        <v>38</v>
      </c>
      <c r="L13" s="82" t="s">
        <v>39</v>
      </c>
      <c r="M13" s="83" t="s">
        <v>40</v>
      </c>
      <c r="N13" s="81" t="s">
        <v>41</v>
      </c>
      <c r="O13" s="82" t="s">
        <v>42</v>
      </c>
      <c r="P13" s="84" t="s">
        <v>44</v>
      </c>
      <c r="Q13" s="86" t="s">
        <v>3984</v>
      </c>
      <c r="R13" s="86" t="s">
        <v>61</v>
      </c>
      <c r="S13" s="1"/>
      <c r="T13" s="86" t="s">
        <v>80</v>
      </c>
      <c r="U13" s="86" t="s">
        <v>81</v>
      </c>
      <c r="V13" s="86" t="s">
        <v>82</v>
      </c>
      <c r="W13" s="86" t="s">
        <v>83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ht="14.25" customHeight="1">
      <c r="A14" s="423" t="s">
        <v>84</v>
      </c>
      <c r="B14" s="423" t="s">
        <v>86</v>
      </c>
      <c r="C14" s="581" t="s">
        <v>87</v>
      </c>
      <c r="D14" s="582" t="s">
        <v>121</v>
      </c>
      <c r="E14" s="361" t="s">
        <v>107</v>
      </c>
      <c r="F14" s="361">
        <v>23.0</v>
      </c>
      <c r="G14" s="583" t="s">
        <v>164</v>
      </c>
      <c r="H14" s="583" t="s">
        <v>3992</v>
      </c>
      <c r="I14" s="582" t="s">
        <v>166</v>
      </c>
      <c r="J14" s="361" t="s">
        <v>106</v>
      </c>
      <c r="K14" s="585" t="s">
        <v>95</v>
      </c>
      <c r="L14" s="134">
        <v>17.5</v>
      </c>
      <c r="M14" s="423" t="s">
        <v>96</v>
      </c>
      <c r="N14" s="134" t="s">
        <v>97</v>
      </c>
      <c r="O14" s="134">
        <v>9.0</v>
      </c>
      <c r="P14" s="361" t="s">
        <v>101</v>
      </c>
      <c r="Q14" s="587">
        <v>353.5697035806931</v>
      </c>
      <c r="R14" s="126" t="s">
        <v>10</v>
      </c>
      <c r="S14" s="49"/>
      <c r="T14" s="118">
        <v>1178.5656786023103</v>
      </c>
      <c r="U14" s="118">
        <v>707.1394071613862</v>
      </c>
      <c r="V14" s="118">
        <v>589.2828393011551</v>
      </c>
      <c r="W14" s="118">
        <v>471.42627144092415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</row>
    <row r="15" ht="14.25" customHeight="1">
      <c r="A15" s="423" t="s">
        <v>84</v>
      </c>
      <c r="B15" s="423" t="s">
        <v>86</v>
      </c>
      <c r="C15" s="581" t="s">
        <v>87</v>
      </c>
      <c r="D15" s="582" t="s">
        <v>121</v>
      </c>
      <c r="E15" s="361" t="s">
        <v>107</v>
      </c>
      <c r="F15" s="361">
        <v>23.0</v>
      </c>
      <c r="G15" s="583" t="s">
        <v>169</v>
      </c>
      <c r="H15" s="583" t="s">
        <v>3993</v>
      </c>
      <c r="I15" s="582" t="s">
        <v>171</v>
      </c>
      <c r="J15" s="361" t="s">
        <v>106</v>
      </c>
      <c r="K15" s="585" t="s">
        <v>95</v>
      </c>
      <c r="L15" s="134">
        <v>35.0</v>
      </c>
      <c r="M15" s="423" t="s">
        <v>96</v>
      </c>
      <c r="N15" s="134" t="s">
        <v>97</v>
      </c>
      <c r="O15" s="134">
        <v>4.0</v>
      </c>
      <c r="P15" s="361" t="s">
        <v>101</v>
      </c>
      <c r="Q15" s="587">
        <v>724.4840490257443</v>
      </c>
      <c r="R15" s="126" t="s">
        <v>10</v>
      </c>
      <c r="S15" s="49"/>
      <c r="T15" s="118">
        <v>2414.9468300858143</v>
      </c>
      <c r="U15" s="118">
        <v>1448.9680980514886</v>
      </c>
      <c r="V15" s="118">
        <v>1207.4734150429072</v>
      </c>
      <c r="W15" s="118">
        <v>965.9787320343257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</row>
    <row r="16" ht="14.25" customHeight="1">
      <c r="A16" s="423" t="s">
        <v>179</v>
      </c>
      <c r="B16" s="423" t="s">
        <v>86</v>
      </c>
      <c r="C16" s="581" t="s">
        <v>87</v>
      </c>
      <c r="D16" s="582" t="s">
        <v>121</v>
      </c>
      <c r="E16" s="361" t="s">
        <v>107</v>
      </c>
      <c r="F16" s="361">
        <v>24.0</v>
      </c>
      <c r="G16" s="583" t="s">
        <v>187</v>
      </c>
      <c r="H16" s="583" t="s">
        <v>778</v>
      </c>
      <c r="I16" s="582" t="s">
        <v>189</v>
      </c>
      <c r="J16" s="361" t="s">
        <v>106</v>
      </c>
      <c r="K16" s="585" t="s">
        <v>95</v>
      </c>
      <c r="L16" s="134">
        <v>17.5</v>
      </c>
      <c r="M16" s="423" t="s">
        <v>96</v>
      </c>
      <c r="N16" s="134" t="s">
        <v>97</v>
      </c>
      <c r="O16" s="134">
        <v>9.0</v>
      </c>
      <c r="P16" s="361" t="s">
        <v>101</v>
      </c>
      <c r="Q16" s="587">
        <v>315.1957858024089</v>
      </c>
      <c r="R16" s="126" t="s">
        <v>10</v>
      </c>
      <c r="S16" s="49"/>
      <c r="T16" s="118">
        <v>1050.652619341363</v>
      </c>
      <c r="U16" s="118">
        <v>630.3915716048178</v>
      </c>
      <c r="V16" s="118">
        <v>525.3263096706816</v>
      </c>
      <c r="W16" s="118">
        <v>420.26104773654527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</row>
    <row r="17" ht="14.25" customHeight="1">
      <c r="A17" s="423" t="s">
        <v>179</v>
      </c>
      <c r="B17" s="423" t="s">
        <v>86</v>
      </c>
      <c r="C17" s="581" t="s">
        <v>87</v>
      </c>
      <c r="D17" s="582" t="s">
        <v>121</v>
      </c>
      <c r="E17" s="361" t="s">
        <v>107</v>
      </c>
      <c r="F17" s="361">
        <v>24.0</v>
      </c>
      <c r="G17" s="583" t="s">
        <v>191</v>
      </c>
      <c r="H17" s="583" t="s">
        <v>778</v>
      </c>
      <c r="I17" s="582" t="s">
        <v>193</v>
      </c>
      <c r="J17" s="361" t="s">
        <v>106</v>
      </c>
      <c r="K17" s="585" t="s">
        <v>95</v>
      </c>
      <c r="L17" s="134">
        <v>17.5</v>
      </c>
      <c r="M17" s="423" t="s">
        <v>177</v>
      </c>
      <c r="N17" s="134" t="s">
        <v>97</v>
      </c>
      <c r="O17" s="134">
        <v>6.8625</v>
      </c>
      <c r="P17" s="361" t="s">
        <v>101</v>
      </c>
      <c r="Q17" s="587">
        <v>320.63764646632643</v>
      </c>
      <c r="R17" s="126" t="s">
        <v>10</v>
      </c>
      <c r="S17" s="49"/>
      <c r="T17" s="118">
        <v>1068.7921548877548</v>
      </c>
      <c r="U17" s="118">
        <v>641.2752929326529</v>
      </c>
      <c r="V17" s="118">
        <v>534.3960774438774</v>
      </c>
      <c r="W17" s="118">
        <v>427.51686195510194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</row>
    <row r="18" ht="14.25" customHeight="1">
      <c r="A18" s="423" t="s">
        <v>84</v>
      </c>
      <c r="B18" s="423" t="s">
        <v>86</v>
      </c>
      <c r="C18" s="581" t="s">
        <v>87</v>
      </c>
      <c r="D18" s="582" t="s">
        <v>207</v>
      </c>
      <c r="E18" s="361" t="s">
        <v>246</v>
      </c>
      <c r="F18" s="361">
        <v>23.0</v>
      </c>
      <c r="G18" s="583" t="s">
        <v>248</v>
      </c>
      <c r="H18" s="583" t="s">
        <v>3995</v>
      </c>
      <c r="I18" s="582" t="s">
        <v>250</v>
      </c>
      <c r="J18" s="361" t="s">
        <v>106</v>
      </c>
      <c r="K18" s="585" t="s">
        <v>95</v>
      </c>
      <c r="L18" s="134">
        <v>17.8</v>
      </c>
      <c r="M18" s="423" t="s">
        <v>96</v>
      </c>
      <c r="N18" s="134" t="s">
        <v>97</v>
      </c>
      <c r="O18" s="134">
        <v>9.0</v>
      </c>
      <c r="P18" s="361" t="s">
        <v>101</v>
      </c>
      <c r="Q18" s="587">
        <v>368.81760537372537</v>
      </c>
      <c r="R18" s="126" t="s">
        <v>10</v>
      </c>
      <c r="S18" s="49"/>
      <c r="T18" s="118">
        <v>1229.392017912418</v>
      </c>
      <c r="U18" s="118">
        <v>737.6352107474507</v>
      </c>
      <c r="V18" s="118">
        <v>614.696008956209</v>
      </c>
      <c r="W18" s="118">
        <v>491.7568071649672</v>
      </c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</row>
    <row r="19" ht="14.25" customHeight="1">
      <c r="A19" s="423" t="s">
        <v>84</v>
      </c>
      <c r="B19" s="423" t="s">
        <v>86</v>
      </c>
      <c r="C19" s="581" t="s">
        <v>87</v>
      </c>
      <c r="D19" s="582" t="s">
        <v>207</v>
      </c>
      <c r="E19" s="361" t="s">
        <v>246</v>
      </c>
      <c r="F19" s="361">
        <v>23.0</v>
      </c>
      <c r="G19" s="583" t="s">
        <v>253</v>
      </c>
      <c r="H19" s="583" t="s">
        <v>3996</v>
      </c>
      <c r="I19" s="582" t="s">
        <v>255</v>
      </c>
      <c r="J19" s="361" t="s">
        <v>106</v>
      </c>
      <c r="K19" s="585" t="s">
        <v>95</v>
      </c>
      <c r="L19" s="134">
        <v>35.6</v>
      </c>
      <c r="M19" s="423" t="s">
        <v>96</v>
      </c>
      <c r="N19" s="134" t="s">
        <v>97</v>
      </c>
      <c r="O19" s="134">
        <v>4.0</v>
      </c>
      <c r="P19" s="361" t="s">
        <v>101</v>
      </c>
      <c r="Q19" s="587">
        <v>755.3327900900556</v>
      </c>
      <c r="R19" s="126" t="s">
        <v>10</v>
      </c>
      <c r="S19" s="49"/>
      <c r="T19" s="118">
        <v>2517.775966966852</v>
      </c>
      <c r="U19" s="118">
        <v>1510.6655801801112</v>
      </c>
      <c r="V19" s="118">
        <v>1258.887983483426</v>
      </c>
      <c r="W19" s="118">
        <v>1007.110386786741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</row>
    <row r="20" ht="14.25" customHeight="1">
      <c r="A20" s="423" t="s">
        <v>84</v>
      </c>
      <c r="B20" s="423" t="s">
        <v>86</v>
      </c>
      <c r="C20" s="581" t="s">
        <v>87</v>
      </c>
      <c r="D20" s="582" t="s">
        <v>207</v>
      </c>
      <c r="E20" s="361" t="s">
        <v>107</v>
      </c>
      <c r="F20" s="361">
        <v>23.0</v>
      </c>
      <c r="G20" s="583" t="s">
        <v>290</v>
      </c>
      <c r="H20" s="583" t="s">
        <v>3997</v>
      </c>
      <c r="I20" s="582" t="s">
        <v>292</v>
      </c>
      <c r="J20" s="361" t="s">
        <v>106</v>
      </c>
      <c r="K20" s="585" t="s">
        <v>95</v>
      </c>
      <c r="L20" s="134">
        <v>16.6</v>
      </c>
      <c r="M20" s="423" t="s">
        <v>96</v>
      </c>
      <c r="N20" s="134" t="s">
        <v>97</v>
      </c>
      <c r="O20" s="134">
        <v>9.0</v>
      </c>
      <c r="P20" s="361" t="s">
        <v>101</v>
      </c>
      <c r="Q20" s="587">
        <v>350.6782557292105</v>
      </c>
      <c r="R20" s="126" t="s">
        <v>10</v>
      </c>
      <c r="S20" s="49"/>
      <c r="T20" s="178">
        <v>1168.9275190973683</v>
      </c>
      <c r="U20" s="178">
        <v>701.356511458421</v>
      </c>
      <c r="V20" s="178">
        <v>584.4637595486842</v>
      </c>
      <c r="W20" s="178">
        <v>467.5710076389473</v>
      </c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</row>
    <row r="21" ht="14.25" customHeight="1">
      <c r="A21" s="423" t="s">
        <v>84</v>
      </c>
      <c r="B21" s="423" t="s">
        <v>86</v>
      </c>
      <c r="C21" s="581" t="s">
        <v>87</v>
      </c>
      <c r="D21" s="582" t="s">
        <v>207</v>
      </c>
      <c r="E21" s="361" t="s">
        <v>107</v>
      </c>
      <c r="F21" s="361">
        <v>23.0</v>
      </c>
      <c r="G21" s="583" t="s">
        <v>294</v>
      </c>
      <c r="H21" s="583" t="s">
        <v>778</v>
      </c>
      <c r="I21" s="582" t="s">
        <v>296</v>
      </c>
      <c r="J21" s="361" t="s">
        <v>162</v>
      </c>
      <c r="K21" s="585" t="s">
        <v>95</v>
      </c>
      <c r="L21" s="134">
        <v>16.6</v>
      </c>
      <c r="M21" s="423" t="s">
        <v>96</v>
      </c>
      <c r="N21" s="134" t="s">
        <v>97</v>
      </c>
      <c r="O21" s="134">
        <v>9.0</v>
      </c>
      <c r="P21" s="361" t="s">
        <v>101</v>
      </c>
      <c r="Q21" s="587">
        <v>364.36544092595665</v>
      </c>
      <c r="R21" s="126" t="s">
        <v>10</v>
      </c>
      <c r="S21" s="49"/>
      <c r="T21" s="178">
        <v>1214.551469753189</v>
      </c>
      <c r="U21" s="178">
        <v>728.7308818519133</v>
      </c>
      <c r="V21" s="178">
        <v>607.2757348765945</v>
      </c>
      <c r="W21" s="178">
        <v>485.8205879012756</v>
      </c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</row>
    <row r="22" ht="14.25" customHeight="1">
      <c r="A22" s="423" t="s">
        <v>84</v>
      </c>
      <c r="B22" s="423" t="s">
        <v>86</v>
      </c>
      <c r="C22" s="581" t="s">
        <v>87</v>
      </c>
      <c r="D22" s="582" t="s">
        <v>207</v>
      </c>
      <c r="E22" s="361" t="s">
        <v>299</v>
      </c>
      <c r="F22" s="361">
        <v>23.0</v>
      </c>
      <c r="G22" s="583" t="s">
        <v>301</v>
      </c>
      <c r="H22" s="583" t="s">
        <v>3998</v>
      </c>
      <c r="I22" s="582" t="s">
        <v>303</v>
      </c>
      <c r="J22" s="361" t="s">
        <v>106</v>
      </c>
      <c r="K22" s="585" t="s">
        <v>95</v>
      </c>
      <c r="L22" s="134">
        <v>17.8</v>
      </c>
      <c r="M22" s="423" t="s">
        <v>96</v>
      </c>
      <c r="N22" s="134" t="s">
        <v>97</v>
      </c>
      <c r="O22" s="134">
        <v>9.0</v>
      </c>
      <c r="P22" s="361" t="s">
        <v>101</v>
      </c>
      <c r="Q22" s="587">
        <v>371.61080374912547</v>
      </c>
      <c r="R22" s="126" t="s">
        <v>10</v>
      </c>
      <c r="S22" s="49"/>
      <c r="T22" s="118">
        <v>1238.7026791637516</v>
      </c>
      <c r="U22" s="118">
        <v>743.2216074982509</v>
      </c>
      <c r="V22" s="118">
        <v>619.3513395818758</v>
      </c>
      <c r="W22" s="118">
        <v>495.4810716655006</v>
      </c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</row>
    <row r="23" ht="14.25" customHeight="1">
      <c r="A23" s="423" t="s">
        <v>84</v>
      </c>
      <c r="B23" s="423" t="s">
        <v>86</v>
      </c>
      <c r="C23" s="581" t="s">
        <v>87</v>
      </c>
      <c r="D23" s="582" t="s">
        <v>207</v>
      </c>
      <c r="E23" s="361" t="s">
        <v>299</v>
      </c>
      <c r="F23" s="361">
        <v>23.0</v>
      </c>
      <c r="G23" s="583" t="s">
        <v>306</v>
      </c>
      <c r="H23" s="583" t="s">
        <v>3999</v>
      </c>
      <c r="I23" s="582" t="s">
        <v>308</v>
      </c>
      <c r="J23" s="361" t="s">
        <v>106</v>
      </c>
      <c r="K23" s="585" t="s">
        <v>95</v>
      </c>
      <c r="L23" s="134">
        <v>35.6</v>
      </c>
      <c r="M23" s="423" t="s">
        <v>96</v>
      </c>
      <c r="N23" s="134" t="s">
        <v>97</v>
      </c>
      <c r="O23" s="134">
        <v>4.0</v>
      </c>
      <c r="P23" s="361" t="s">
        <v>101</v>
      </c>
      <c r="Q23" s="587">
        <v>766.0536415973684</v>
      </c>
      <c r="R23" s="126" t="s">
        <v>10</v>
      </c>
      <c r="S23" s="49"/>
      <c r="T23" s="118">
        <v>2553.512138657895</v>
      </c>
      <c r="U23" s="118">
        <v>1532.107283194737</v>
      </c>
      <c r="V23" s="118">
        <v>1276.7560693289474</v>
      </c>
      <c r="W23" s="118">
        <v>1021.404855463158</v>
      </c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</row>
    <row r="24" ht="14.25" customHeight="1">
      <c r="A24" s="423" t="s">
        <v>84</v>
      </c>
      <c r="B24" s="423" t="s">
        <v>86</v>
      </c>
      <c r="C24" s="581" t="s">
        <v>87</v>
      </c>
      <c r="D24" s="582" t="s">
        <v>207</v>
      </c>
      <c r="E24" s="361" t="s">
        <v>299</v>
      </c>
      <c r="F24" s="361">
        <v>23.0</v>
      </c>
      <c r="G24" s="583" t="s">
        <v>311</v>
      </c>
      <c r="H24" s="583" t="s">
        <v>4000</v>
      </c>
      <c r="I24" s="582" t="s">
        <v>313</v>
      </c>
      <c r="J24" s="361" t="s">
        <v>106</v>
      </c>
      <c r="K24" s="585" t="s">
        <v>95</v>
      </c>
      <c r="L24" s="134">
        <v>17.8</v>
      </c>
      <c r="M24" s="423" t="s">
        <v>96</v>
      </c>
      <c r="N24" s="134" t="s">
        <v>97</v>
      </c>
      <c r="O24" s="134">
        <v>9.0</v>
      </c>
      <c r="P24" s="361" t="s">
        <v>101</v>
      </c>
      <c r="Q24" s="587">
        <v>371.61080374912547</v>
      </c>
      <c r="R24" s="126" t="s">
        <v>10</v>
      </c>
      <c r="S24" s="49"/>
      <c r="T24" s="118">
        <v>1238.7026791637516</v>
      </c>
      <c r="U24" s="118">
        <v>743.2216074982509</v>
      </c>
      <c r="V24" s="118">
        <v>619.3513395818758</v>
      </c>
      <c r="W24" s="118">
        <v>495.4810716655006</v>
      </c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</row>
    <row r="25" ht="14.25" customHeight="1">
      <c r="A25" s="423" t="s">
        <v>84</v>
      </c>
      <c r="B25" s="423" t="s">
        <v>86</v>
      </c>
      <c r="C25" s="581" t="s">
        <v>87</v>
      </c>
      <c r="D25" s="582" t="s">
        <v>207</v>
      </c>
      <c r="E25" s="361" t="s">
        <v>299</v>
      </c>
      <c r="F25" s="361">
        <v>23.0</v>
      </c>
      <c r="G25" s="583" t="s">
        <v>315</v>
      </c>
      <c r="H25" s="583" t="s">
        <v>4001</v>
      </c>
      <c r="I25" s="582" t="s">
        <v>317</v>
      </c>
      <c r="J25" s="361" t="s">
        <v>106</v>
      </c>
      <c r="K25" s="585" t="s">
        <v>95</v>
      </c>
      <c r="L25" s="134">
        <v>35.6</v>
      </c>
      <c r="M25" s="423" t="s">
        <v>96</v>
      </c>
      <c r="N25" s="134" t="s">
        <v>97</v>
      </c>
      <c r="O25" s="134">
        <v>4.0</v>
      </c>
      <c r="P25" s="361" t="s">
        <v>101</v>
      </c>
      <c r="Q25" s="587">
        <v>766.0536415973684</v>
      </c>
      <c r="R25" s="126" t="s">
        <v>10</v>
      </c>
      <c r="S25" s="49"/>
      <c r="T25" s="118">
        <v>2553.512138657895</v>
      </c>
      <c r="U25" s="118">
        <v>1532.107283194737</v>
      </c>
      <c r="V25" s="118">
        <v>1276.7560693289474</v>
      </c>
      <c r="W25" s="118">
        <v>1021.404855463158</v>
      </c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</row>
    <row r="26" ht="14.25" customHeight="1">
      <c r="A26" s="423" t="s">
        <v>84</v>
      </c>
      <c r="B26" s="423" t="s">
        <v>86</v>
      </c>
      <c r="C26" s="581" t="s">
        <v>87</v>
      </c>
      <c r="D26" s="582" t="s">
        <v>207</v>
      </c>
      <c r="E26" s="361" t="s">
        <v>299</v>
      </c>
      <c r="F26" s="361">
        <v>23.0</v>
      </c>
      <c r="G26" s="583" t="s">
        <v>319</v>
      </c>
      <c r="H26" s="583" t="s">
        <v>4002</v>
      </c>
      <c r="I26" s="582" t="s">
        <v>303</v>
      </c>
      <c r="J26" s="361" t="s">
        <v>106</v>
      </c>
      <c r="K26" s="585" t="s">
        <v>95</v>
      </c>
      <c r="L26" s="134">
        <v>17.8</v>
      </c>
      <c r="M26" s="423" t="s">
        <v>132</v>
      </c>
      <c r="N26" s="134" t="s">
        <v>97</v>
      </c>
      <c r="O26" s="134">
        <v>5.49</v>
      </c>
      <c r="P26" s="361" t="s">
        <v>101</v>
      </c>
      <c r="Q26" s="587">
        <v>387.74208970075136</v>
      </c>
      <c r="R26" s="126" t="s">
        <v>10</v>
      </c>
      <c r="S26" s="49"/>
      <c r="T26" s="118">
        <v>1292.473632335838</v>
      </c>
      <c r="U26" s="118">
        <v>775.4841794015027</v>
      </c>
      <c r="V26" s="118">
        <v>646.236816167919</v>
      </c>
      <c r="W26" s="118">
        <v>516.9894529343352</v>
      </c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</row>
    <row r="27" ht="14.25" customHeight="1">
      <c r="A27" s="423" t="s">
        <v>84</v>
      </c>
      <c r="B27" s="423" t="s">
        <v>86</v>
      </c>
      <c r="C27" s="581" t="s">
        <v>87</v>
      </c>
      <c r="D27" s="582" t="s">
        <v>207</v>
      </c>
      <c r="E27" s="361" t="s">
        <v>299</v>
      </c>
      <c r="F27" s="361">
        <v>23.0</v>
      </c>
      <c r="G27" s="583" t="s">
        <v>324</v>
      </c>
      <c r="H27" s="583" t="s">
        <v>4003</v>
      </c>
      <c r="I27" s="582" t="s">
        <v>326</v>
      </c>
      <c r="J27" s="361" t="s">
        <v>162</v>
      </c>
      <c r="K27" s="585" t="s">
        <v>95</v>
      </c>
      <c r="L27" s="134">
        <v>17.8</v>
      </c>
      <c r="M27" s="423" t="s">
        <v>96</v>
      </c>
      <c r="N27" s="134" t="s">
        <v>97</v>
      </c>
      <c r="O27" s="134">
        <v>9.0</v>
      </c>
      <c r="P27" s="361" t="s">
        <v>101</v>
      </c>
      <c r="Q27" s="587">
        <v>396.91154435207227</v>
      </c>
      <c r="R27" s="126" t="s">
        <v>10</v>
      </c>
      <c r="S27" s="49"/>
      <c r="T27" s="118">
        <v>1323.0384811735744</v>
      </c>
      <c r="U27" s="118">
        <v>793.8230887041447</v>
      </c>
      <c r="V27" s="118">
        <v>661.5192405867872</v>
      </c>
      <c r="W27" s="118">
        <v>529.2153924694297</v>
      </c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</row>
    <row r="28" ht="14.25" customHeight="1">
      <c r="A28" s="423" t="s">
        <v>84</v>
      </c>
      <c r="B28" s="423" t="s">
        <v>86</v>
      </c>
      <c r="C28" s="581" t="s">
        <v>87</v>
      </c>
      <c r="D28" s="582" t="s">
        <v>207</v>
      </c>
      <c r="E28" s="361" t="s">
        <v>299</v>
      </c>
      <c r="F28" s="361">
        <v>23.0</v>
      </c>
      <c r="G28" s="583" t="s">
        <v>329</v>
      </c>
      <c r="H28" s="583" t="s">
        <v>4004</v>
      </c>
      <c r="I28" s="582" t="s">
        <v>331</v>
      </c>
      <c r="J28" s="361" t="s">
        <v>162</v>
      </c>
      <c r="K28" s="585" t="s">
        <v>95</v>
      </c>
      <c r="L28" s="134">
        <v>35.6</v>
      </c>
      <c r="M28" s="423" t="s">
        <v>96</v>
      </c>
      <c r="N28" s="134" t="s">
        <v>97</v>
      </c>
      <c r="O28" s="134">
        <v>9.0</v>
      </c>
      <c r="P28" s="361" t="s">
        <v>101</v>
      </c>
      <c r="Q28" s="587">
        <v>811.7190486699783</v>
      </c>
      <c r="R28" s="126" t="s">
        <v>10</v>
      </c>
      <c r="S28" s="49"/>
      <c r="T28" s="118">
        <v>2705.730162233261</v>
      </c>
      <c r="U28" s="118">
        <v>1623.4380973399566</v>
      </c>
      <c r="V28" s="118">
        <v>1352.8650811166306</v>
      </c>
      <c r="W28" s="118">
        <v>1082.2920648933045</v>
      </c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</row>
    <row r="29" ht="14.25" customHeight="1">
      <c r="A29" s="423" t="s">
        <v>84</v>
      </c>
      <c r="B29" s="423" t="s">
        <v>86</v>
      </c>
      <c r="C29" s="581" t="s">
        <v>87</v>
      </c>
      <c r="D29" s="582" t="s">
        <v>207</v>
      </c>
      <c r="E29" s="361" t="s">
        <v>299</v>
      </c>
      <c r="F29" s="361">
        <v>23.0</v>
      </c>
      <c r="G29" s="583" t="s">
        <v>301</v>
      </c>
      <c r="H29" s="583" t="s">
        <v>3998</v>
      </c>
      <c r="I29" s="582" t="s">
        <v>303</v>
      </c>
      <c r="J29" s="361" t="s">
        <v>106</v>
      </c>
      <c r="K29" s="585" t="s">
        <v>147</v>
      </c>
      <c r="L29" s="134">
        <v>19.0</v>
      </c>
      <c r="M29" s="423" t="s">
        <v>96</v>
      </c>
      <c r="N29" s="134" t="s">
        <v>97</v>
      </c>
      <c r="O29" s="134">
        <v>9.0</v>
      </c>
      <c r="P29" s="361" t="s">
        <v>98</v>
      </c>
      <c r="Q29" s="587">
        <v>390.583021742141</v>
      </c>
      <c r="R29" s="126" t="s">
        <v>10</v>
      </c>
      <c r="S29" s="49"/>
      <c r="T29" s="118">
        <v>1301.9434058071367</v>
      </c>
      <c r="U29" s="118">
        <v>781.166043484282</v>
      </c>
      <c r="V29" s="118">
        <v>650.9717029035684</v>
      </c>
      <c r="W29" s="118">
        <v>520.7773623228547</v>
      </c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</row>
    <row r="30" ht="14.25" customHeight="1">
      <c r="A30" s="423" t="s">
        <v>84</v>
      </c>
      <c r="B30" s="423" t="s">
        <v>86</v>
      </c>
      <c r="C30" s="581" t="s">
        <v>87</v>
      </c>
      <c r="D30" s="582" t="s">
        <v>207</v>
      </c>
      <c r="E30" s="361" t="s">
        <v>299</v>
      </c>
      <c r="F30" s="361">
        <v>23.0</v>
      </c>
      <c r="G30" s="583" t="s">
        <v>306</v>
      </c>
      <c r="H30" s="583" t="s">
        <v>3999</v>
      </c>
      <c r="I30" s="582" t="s">
        <v>308</v>
      </c>
      <c r="J30" s="361" t="s">
        <v>106</v>
      </c>
      <c r="K30" s="585" t="s">
        <v>147</v>
      </c>
      <c r="L30" s="134">
        <v>37.0</v>
      </c>
      <c r="M30" s="423" t="s">
        <v>96</v>
      </c>
      <c r="N30" s="134" t="s">
        <v>97</v>
      </c>
      <c r="O30" s="134">
        <v>3.0</v>
      </c>
      <c r="P30" s="361" t="s">
        <v>98</v>
      </c>
      <c r="Q30" s="587">
        <v>819.8224241172827</v>
      </c>
      <c r="R30" s="126" t="s">
        <v>10</v>
      </c>
      <c r="S30" s="49"/>
      <c r="T30" s="118">
        <v>2732.741413724276</v>
      </c>
      <c r="U30" s="118">
        <v>1639.6448482345654</v>
      </c>
      <c r="V30" s="118">
        <v>1366.370706862138</v>
      </c>
      <c r="W30" s="118">
        <v>1093.0965654897104</v>
      </c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</row>
    <row r="31" ht="14.25" customHeight="1">
      <c r="A31" s="423" t="s">
        <v>84</v>
      </c>
      <c r="B31" s="423" t="s">
        <v>86</v>
      </c>
      <c r="C31" s="581" t="s">
        <v>87</v>
      </c>
      <c r="D31" s="582" t="s">
        <v>207</v>
      </c>
      <c r="E31" s="361" t="s">
        <v>299</v>
      </c>
      <c r="F31" s="361">
        <v>23.0</v>
      </c>
      <c r="G31" s="583" t="s">
        <v>311</v>
      </c>
      <c r="H31" s="583" t="s">
        <v>4000</v>
      </c>
      <c r="I31" s="582" t="s">
        <v>313</v>
      </c>
      <c r="J31" s="361" t="s">
        <v>106</v>
      </c>
      <c r="K31" s="585" t="s">
        <v>147</v>
      </c>
      <c r="L31" s="134">
        <v>19.0</v>
      </c>
      <c r="M31" s="423" t="s">
        <v>96</v>
      </c>
      <c r="N31" s="134" t="s">
        <v>97</v>
      </c>
      <c r="O31" s="134">
        <v>9.0</v>
      </c>
      <c r="P31" s="361" t="s">
        <v>98</v>
      </c>
      <c r="Q31" s="587">
        <v>390.583021742141</v>
      </c>
      <c r="R31" s="126" t="s">
        <v>10</v>
      </c>
      <c r="S31" s="49"/>
      <c r="T31" s="118">
        <v>1301.9434058071367</v>
      </c>
      <c r="U31" s="118">
        <v>781.166043484282</v>
      </c>
      <c r="V31" s="118">
        <v>650.9717029035684</v>
      </c>
      <c r="W31" s="118">
        <v>520.7773623228547</v>
      </c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</row>
    <row r="32" ht="14.25" customHeight="1">
      <c r="A32" s="423" t="s">
        <v>84</v>
      </c>
      <c r="B32" s="423" t="s">
        <v>86</v>
      </c>
      <c r="C32" s="581" t="s">
        <v>87</v>
      </c>
      <c r="D32" s="582" t="s">
        <v>207</v>
      </c>
      <c r="E32" s="361" t="s">
        <v>299</v>
      </c>
      <c r="F32" s="361">
        <v>23.0</v>
      </c>
      <c r="G32" s="583" t="s">
        <v>315</v>
      </c>
      <c r="H32" s="583" t="s">
        <v>4001</v>
      </c>
      <c r="I32" s="582" t="s">
        <v>317</v>
      </c>
      <c r="J32" s="361" t="s">
        <v>106</v>
      </c>
      <c r="K32" s="585" t="s">
        <v>147</v>
      </c>
      <c r="L32" s="134">
        <v>37.0</v>
      </c>
      <c r="M32" s="423" t="s">
        <v>96</v>
      </c>
      <c r="N32" s="134" t="s">
        <v>97</v>
      </c>
      <c r="O32" s="134">
        <v>3.0</v>
      </c>
      <c r="P32" s="361" t="s">
        <v>98</v>
      </c>
      <c r="Q32" s="587">
        <v>819.8224241172827</v>
      </c>
      <c r="R32" s="126" t="s">
        <v>10</v>
      </c>
      <c r="S32" s="49"/>
      <c r="T32" s="118">
        <v>2732.741413724276</v>
      </c>
      <c r="U32" s="118">
        <v>1639.6448482345654</v>
      </c>
      <c r="V32" s="118">
        <v>1366.370706862138</v>
      </c>
      <c r="W32" s="118">
        <v>1093.0965654897104</v>
      </c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</row>
    <row r="33" ht="14.25" customHeight="1">
      <c r="A33" s="582" t="s">
        <v>84</v>
      </c>
      <c r="B33" s="582" t="s">
        <v>86</v>
      </c>
      <c r="C33" s="582" t="s">
        <v>87</v>
      </c>
      <c r="D33" s="582" t="s">
        <v>207</v>
      </c>
      <c r="E33" s="361" t="s">
        <v>351</v>
      </c>
      <c r="F33" s="361">
        <v>23.0</v>
      </c>
      <c r="G33" s="583" t="s">
        <v>362</v>
      </c>
      <c r="H33" s="583" t="s">
        <v>4005</v>
      </c>
      <c r="I33" s="582" t="s">
        <v>364</v>
      </c>
      <c r="J33" s="361" t="s">
        <v>162</v>
      </c>
      <c r="K33" s="585" t="s">
        <v>95</v>
      </c>
      <c r="L33" s="134">
        <v>21.0</v>
      </c>
      <c r="M33" s="423" t="s">
        <v>96</v>
      </c>
      <c r="N33" s="134" t="s">
        <v>97</v>
      </c>
      <c r="O33" s="134">
        <v>9.0</v>
      </c>
      <c r="P33" s="361" t="s">
        <v>101</v>
      </c>
      <c r="Q33" s="587">
        <v>458.79199147249705</v>
      </c>
      <c r="R33" s="126" t="s">
        <v>10</v>
      </c>
      <c r="S33" s="49"/>
      <c r="T33" s="118">
        <v>1529.3066382416569</v>
      </c>
      <c r="U33" s="118">
        <v>917.5839829449941</v>
      </c>
      <c r="V33" s="118">
        <v>764.6533191208284</v>
      </c>
      <c r="W33" s="118">
        <v>611.7226552966628</v>
      </c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</row>
    <row r="34" ht="14.25" customHeight="1">
      <c r="A34" s="582" t="s">
        <v>84</v>
      </c>
      <c r="B34" s="582" t="s">
        <v>86</v>
      </c>
      <c r="C34" s="582" t="s">
        <v>87</v>
      </c>
      <c r="D34" s="582" t="s">
        <v>207</v>
      </c>
      <c r="E34" s="361" t="s">
        <v>351</v>
      </c>
      <c r="F34" s="361">
        <v>23.0</v>
      </c>
      <c r="G34" s="583" t="s">
        <v>366</v>
      </c>
      <c r="H34" s="583" t="s">
        <v>4006</v>
      </c>
      <c r="I34" s="582" t="s">
        <v>368</v>
      </c>
      <c r="J34" s="361" t="s">
        <v>162</v>
      </c>
      <c r="K34" s="585" t="s">
        <v>95</v>
      </c>
      <c r="L34" s="134">
        <v>42.0</v>
      </c>
      <c r="M34" s="423" t="s">
        <v>96</v>
      </c>
      <c r="N34" s="134" t="s">
        <v>97</v>
      </c>
      <c r="O34" s="134">
        <v>9.0</v>
      </c>
      <c r="P34" s="361" t="s">
        <v>101</v>
      </c>
      <c r="Q34" s="587">
        <v>928.3276716057826</v>
      </c>
      <c r="R34" s="126" t="s">
        <v>10</v>
      </c>
      <c r="S34" s="49"/>
      <c r="T34" s="118">
        <v>3094.4255720192755</v>
      </c>
      <c r="U34" s="118">
        <v>1856.6553432115652</v>
      </c>
      <c r="V34" s="118">
        <v>1547.2127860096377</v>
      </c>
      <c r="W34" s="118">
        <v>1237.7702288077103</v>
      </c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</row>
    <row r="35" ht="14.25" customHeight="1">
      <c r="A35" s="582" t="s">
        <v>84</v>
      </c>
      <c r="B35" s="582" t="s">
        <v>86</v>
      </c>
      <c r="C35" s="582" t="s">
        <v>87</v>
      </c>
      <c r="D35" s="582" t="s">
        <v>207</v>
      </c>
      <c r="E35" s="361" t="s">
        <v>351</v>
      </c>
      <c r="F35" s="361">
        <v>23.0</v>
      </c>
      <c r="G35" s="583" t="s">
        <v>362</v>
      </c>
      <c r="H35" s="583" t="s">
        <v>4005</v>
      </c>
      <c r="I35" s="582" t="s">
        <v>364</v>
      </c>
      <c r="J35" s="361" t="s">
        <v>162</v>
      </c>
      <c r="K35" s="585" t="s">
        <v>147</v>
      </c>
      <c r="L35" s="134">
        <v>23.0</v>
      </c>
      <c r="M35" s="423" t="s">
        <v>96</v>
      </c>
      <c r="N35" s="134" t="s">
        <v>97</v>
      </c>
      <c r="O35" s="134">
        <v>9.0</v>
      </c>
      <c r="P35" s="361" t="s">
        <v>98</v>
      </c>
      <c r="Q35" s="587">
        <v>482.7298850574713</v>
      </c>
      <c r="R35" s="126" t="s">
        <v>10</v>
      </c>
      <c r="S35" s="49"/>
      <c r="T35" s="118">
        <v>1609.0996168582376</v>
      </c>
      <c r="U35" s="118">
        <v>965.4597701149426</v>
      </c>
      <c r="V35" s="118">
        <v>804.5498084291188</v>
      </c>
      <c r="W35" s="118">
        <v>643.639846743295</v>
      </c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</row>
    <row r="36" ht="14.25" customHeight="1">
      <c r="A36" s="582" t="s">
        <v>84</v>
      </c>
      <c r="B36" s="582" t="s">
        <v>86</v>
      </c>
      <c r="C36" s="582" t="s">
        <v>87</v>
      </c>
      <c r="D36" s="582" t="s">
        <v>207</v>
      </c>
      <c r="E36" s="361" t="s">
        <v>351</v>
      </c>
      <c r="F36" s="361">
        <v>23.0</v>
      </c>
      <c r="G36" s="583" t="s">
        <v>366</v>
      </c>
      <c r="H36" s="583" t="s">
        <v>4006</v>
      </c>
      <c r="I36" s="582" t="s">
        <v>368</v>
      </c>
      <c r="J36" s="361" t="s">
        <v>162</v>
      </c>
      <c r="K36" s="585" t="s">
        <v>147</v>
      </c>
      <c r="L36" s="134">
        <v>46.0</v>
      </c>
      <c r="M36" s="423" t="s">
        <v>96</v>
      </c>
      <c r="N36" s="134" t="s">
        <v>97</v>
      </c>
      <c r="O36" s="134">
        <v>9.0</v>
      </c>
      <c r="P36" s="361" t="s">
        <v>98</v>
      </c>
      <c r="Q36" s="587">
        <v>982.6212679823609</v>
      </c>
      <c r="R36" s="126" t="s">
        <v>10</v>
      </c>
      <c r="S36" s="49"/>
      <c r="T36" s="118">
        <v>3275.40422660787</v>
      </c>
      <c r="U36" s="118">
        <v>1965.2425359647218</v>
      </c>
      <c r="V36" s="118">
        <v>1637.702113303935</v>
      </c>
      <c r="W36" s="118">
        <v>1310.1616906431482</v>
      </c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</row>
    <row r="37" ht="14.25" customHeight="1">
      <c r="A37" s="582" t="s">
        <v>84</v>
      </c>
      <c r="B37" s="582" t="s">
        <v>86</v>
      </c>
      <c r="C37" s="582" t="s">
        <v>87</v>
      </c>
      <c r="D37" s="582" t="s">
        <v>207</v>
      </c>
      <c r="E37" s="361" t="s">
        <v>351</v>
      </c>
      <c r="F37" s="361">
        <v>23.0</v>
      </c>
      <c r="G37" s="583" t="s">
        <v>372</v>
      </c>
      <c r="H37" s="583" t="s">
        <v>778</v>
      </c>
      <c r="I37" s="582" t="s">
        <v>374</v>
      </c>
      <c r="J37" s="361" t="s">
        <v>162</v>
      </c>
      <c r="K37" s="585" t="s">
        <v>95</v>
      </c>
      <c r="L37" s="134">
        <v>21.0</v>
      </c>
      <c r="M37" s="423" t="s">
        <v>96</v>
      </c>
      <c r="N37" s="134" t="s">
        <v>97</v>
      </c>
      <c r="O37" s="134">
        <v>9.0</v>
      </c>
      <c r="P37" s="361" t="s">
        <v>101</v>
      </c>
      <c r="Q37" s="587">
        <v>497.71657355593095</v>
      </c>
      <c r="R37" s="126" t="s">
        <v>10</v>
      </c>
      <c r="S37" s="49"/>
      <c r="T37" s="118">
        <v>1659.0552451864367</v>
      </c>
      <c r="U37" s="118">
        <v>995.4331471118619</v>
      </c>
      <c r="V37" s="118">
        <v>829.5276225932183</v>
      </c>
      <c r="W37" s="118">
        <v>663.6220980745748</v>
      </c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</row>
    <row r="38" ht="14.25" customHeight="1">
      <c r="A38" s="582" t="s">
        <v>84</v>
      </c>
      <c r="B38" s="582" t="s">
        <v>86</v>
      </c>
      <c r="C38" s="582" t="s">
        <v>87</v>
      </c>
      <c r="D38" s="582" t="s">
        <v>207</v>
      </c>
      <c r="E38" s="361" t="s">
        <v>351</v>
      </c>
      <c r="F38" s="361">
        <v>23.0</v>
      </c>
      <c r="G38" s="583" t="s">
        <v>376</v>
      </c>
      <c r="H38" s="583" t="s">
        <v>778</v>
      </c>
      <c r="I38" s="582" t="s">
        <v>378</v>
      </c>
      <c r="J38" s="361" t="s">
        <v>201</v>
      </c>
      <c r="K38" s="585" t="s">
        <v>95</v>
      </c>
      <c r="L38" s="134">
        <v>35.12</v>
      </c>
      <c r="M38" s="423" t="s">
        <v>96</v>
      </c>
      <c r="N38" s="134" t="s">
        <v>379</v>
      </c>
      <c r="O38" s="134">
        <v>6.0</v>
      </c>
      <c r="P38" s="361" t="s">
        <v>101</v>
      </c>
      <c r="Q38" s="587">
        <v>1814.392353600618</v>
      </c>
      <c r="R38" s="126" t="s">
        <v>10</v>
      </c>
      <c r="S38" s="49"/>
      <c r="T38" s="118">
        <v>6047.97451200206</v>
      </c>
      <c r="U38" s="118">
        <v>3628.784707201236</v>
      </c>
      <c r="V38" s="118">
        <v>3023.98725600103</v>
      </c>
      <c r="W38" s="118">
        <v>2419.189804800824</v>
      </c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</row>
    <row r="39" ht="14.25" customHeight="1">
      <c r="A39" s="423" t="s">
        <v>84</v>
      </c>
      <c r="B39" s="423" t="s">
        <v>86</v>
      </c>
      <c r="C39" s="581" t="s">
        <v>87</v>
      </c>
      <c r="D39" s="582" t="s">
        <v>386</v>
      </c>
      <c r="E39" s="361" t="s">
        <v>351</v>
      </c>
      <c r="F39" s="361">
        <v>23.0</v>
      </c>
      <c r="G39" s="583" t="s">
        <v>398</v>
      </c>
      <c r="H39" s="583" t="s">
        <v>4008</v>
      </c>
      <c r="I39" s="582" t="s">
        <v>400</v>
      </c>
      <c r="J39" s="361" t="s">
        <v>162</v>
      </c>
      <c r="K39" s="585" t="s">
        <v>95</v>
      </c>
      <c r="L39" s="134">
        <v>21.0</v>
      </c>
      <c r="M39" s="423" t="s">
        <v>96</v>
      </c>
      <c r="N39" s="134" t="s">
        <v>97</v>
      </c>
      <c r="O39" s="134">
        <v>6.0</v>
      </c>
      <c r="P39" s="361" t="s">
        <v>101</v>
      </c>
      <c r="Q39" s="587">
        <v>462.07656322924475</v>
      </c>
      <c r="R39" s="126" t="s">
        <v>10</v>
      </c>
      <c r="S39" s="49"/>
      <c r="T39" s="118">
        <v>1540.2552107641493</v>
      </c>
      <c r="U39" s="118">
        <v>924.1531264584895</v>
      </c>
      <c r="V39" s="118">
        <v>770.1276053820746</v>
      </c>
      <c r="W39" s="118">
        <v>616.1020843056598</v>
      </c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</row>
    <row r="40" ht="14.25" customHeight="1">
      <c r="A40" s="423" t="s">
        <v>84</v>
      </c>
      <c r="B40" s="423" t="s">
        <v>86</v>
      </c>
      <c r="C40" s="581" t="s">
        <v>87</v>
      </c>
      <c r="D40" s="582" t="s">
        <v>386</v>
      </c>
      <c r="E40" s="361" t="s">
        <v>351</v>
      </c>
      <c r="F40" s="361">
        <v>23.0</v>
      </c>
      <c r="G40" s="583" t="s">
        <v>403</v>
      </c>
      <c r="H40" s="583" t="s">
        <v>4009</v>
      </c>
      <c r="I40" s="582" t="s">
        <v>405</v>
      </c>
      <c r="J40" s="361" t="s">
        <v>162</v>
      </c>
      <c r="K40" s="585" t="s">
        <v>95</v>
      </c>
      <c r="L40" s="134">
        <v>42.0</v>
      </c>
      <c r="M40" s="423" t="s">
        <v>96</v>
      </c>
      <c r="N40" s="134" t="s">
        <v>97</v>
      </c>
      <c r="O40" s="134">
        <v>4.0</v>
      </c>
      <c r="P40" s="361" t="s">
        <v>101</v>
      </c>
      <c r="Q40" s="587">
        <v>948.3315053485558</v>
      </c>
      <c r="R40" s="126" t="s">
        <v>10</v>
      </c>
      <c r="S40" s="49"/>
      <c r="T40" s="118">
        <v>3161.1050178285195</v>
      </c>
      <c r="U40" s="118">
        <v>1896.6630106971115</v>
      </c>
      <c r="V40" s="118">
        <v>1580.5525089142598</v>
      </c>
      <c r="W40" s="118">
        <v>1264.442007131408</v>
      </c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</row>
    <row r="41" ht="14.25" customHeight="1">
      <c r="A41" s="423" t="s">
        <v>84</v>
      </c>
      <c r="B41" s="423" t="s">
        <v>86</v>
      </c>
      <c r="C41" s="581" t="s">
        <v>87</v>
      </c>
      <c r="D41" s="582" t="s">
        <v>386</v>
      </c>
      <c r="E41" s="361" t="s">
        <v>351</v>
      </c>
      <c r="F41" s="361">
        <v>23.0</v>
      </c>
      <c r="G41" s="583" t="s">
        <v>398</v>
      </c>
      <c r="H41" s="583" t="s">
        <v>4008</v>
      </c>
      <c r="I41" s="582" t="s">
        <v>400</v>
      </c>
      <c r="J41" s="361" t="s">
        <v>162</v>
      </c>
      <c r="K41" s="585" t="s">
        <v>147</v>
      </c>
      <c r="L41" s="134">
        <v>23.0</v>
      </c>
      <c r="M41" s="423" t="s">
        <v>96</v>
      </c>
      <c r="N41" s="134" t="s">
        <v>97</v>
      </c>
      <c r="O41" s="134">
        <v>8.0</v>
      </c>
      <c r="P41" s="361" t="s">
        <v>98</v>
      </c>
      <c r="Q41" s="587">
        <v>480.6258396775638</v>
      </c>
      <c r="R41" s="126" t="s">
        <v>10</v>
      </c>
      <c r="S41" s="49"/>
      <c r="T41" s="118">
        <v>1602.086132258546</v>
      </c>
      <c r="U41" s="118">
        <v>961.2516793551276</v>
      </c>
      <c r="V41" s="118">
        <v>801.043066129273</v>
      </c>
      <c r="W41" s="118">
        <v>640.8344529034184</v>
      </c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</row>
    <row r="42" ht="14.25" customHeight="1">
      <c r="A42" s="423" t="s">
        <v>84</v>
      </c>
      <c r="B42" s="423" t="s">
        <v>86</v>
      </c>
      <c r="C42" s="581" t="s">
        <v>87</v>
      </c>
      <c r="D42" s="582" t="s">
        <v>386</v>
      </c>
      <c r="E42" s="361" t="s">
        <v>351</v>
      </c>
      <c r="F42" s="361">
        <v>26.0</v>
      </c>
      <c r="G42" s="583" t="s">
        <v>422</v>
      </c>
      <c r="H42" s="583" t="s">
        <v>778</v>
      </c>
      <c r="I42" s="582" t="s">
        <v>424</v>
      </c>
      <c r="J42" s="361" t="s">
        <v>106</v>
      </c>
      <c r="K42" s="585" t="s">
        <v>95</v>
      </c>
      <c r="L42" s="134">
        <v>9.9</v>
      </c>
      <c r="M42" s="423" t="s">
        <v>96</v>
      </c>
      <c r="N42" s="134" t="s">
        <v>97</v>
      </c>
      <c r="O42" s="134">
        <v>4.0</v>
      </c>
      <c r="P42" s="361" t="s">
        <v>101</v>
      </c>
      <c r="Q42" s="587">
        <v>383.54219288575064</v>
      </c>
      <c r="R42" s="126" t="s">
        <v>10</v>
      </c>
      <c r="S42" s="49"/>
      <c r="T42" s="118">
        <v>1278.4739762858355</v>
      </c>
      <c r="U42" s="118">
        <v>767.0843857715013</v>
      </c>
      <c r="V42" s="118">
        <v>639.2369881429178</v>
      </c>
      <c r="W42" s="118">
        <v>511.38959051433426</v>
      </c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</row>
    <row r="43" ht="14.25" customHeight="1">
      <c r="A43" s="423" t="s">
        <v>84</v>
      </c>
      <c r="B43" s="423" t="s">
        <v>86</v>
      </c>
      <c r="C43" s="581" t="s">
        <v>87</v>
      </c>
      <c r="D43" s="582" t="s">
        <v>426</v>
      </c>
      <c r="E43" s="361" t="s">
        <v>351</v>
      </c>
      <c r="F43" s="361">
        <v>23.0</v>
      </c>
      <c r="G43" s="583" t="s">
        <v>428</v>
      </c>
      <c r="H43" s="583" t="s">
        <v>778</v>
      </c>
      <c r="I43" s="582" t="s">
        <v>431</v>
      </c>
      <c r="J43" s="361" t="s">
        <v>201</v>
      </c>
      <c r="K43" s="585" t="s">
        <v>95</v>
      </c>
      <c r="L43" s="134">
        <v>26.0</v>
      </c>
      <c r="M43" s="423" t="s">
        <v>96</v>
      </c>
      <c r="N43" s="134" t="s">
        <v>97</v>
      </c>
      <c r="O43" s="134">
        <v>9.0</v>
      </c>
      <c r="P43" s="361" t="s">
        <v>101</v>
      </c>
      <c r="Q43" s="587">
        <v>606.3787210351146</v>
      </c>
      <c r="R43" s="126" t="s">
        <v>10</v>
      </c>
      <c r="S43" s="49"/>
      <c r="T43" s="118">
        <v>2021.2624034503822</v>
      </c>
      <c r="U43" s="118">
        <v>1212.7574420702292</v>
      </c>
      <c r="V43" s="118">
        <v>1010.6312017251911</v>
      </c>
      <c r="W43" s="118">
        <v>808.504961380153</v>
      </c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</row>
    <row r="44" ht="14.25" customHeight="1">
      <c r="A44" s="423" t="s">
        <v>84</v>
      </c>
      <c r="B44" s="423" t="s">
        <v>86</v>
      </c>
      <c r="C44" s="581" t="s">
        <v>87</v>
      </c>
      <c r="D44" s="582" t="s">
        <v>426</v>
      </c>
      <c r="E44" s="361" t="s">
        <v>351</v>
      </c>
      <c r="F44" s="361">
        <v>23.0</v>
      </c>
      <c r="G44" s="583" t="s">
        <v>428</v>
      </c>
      <c r="H44" s="583" t="s">
        <v>778</v>
      </c>
      <c r="I44" s="582" t="s">
        <v>431</v>
      </c>
      <c r="J44" s="361" t="s">
        <v>201</v>
      </c>
      <c r="K44" s="585" t="s">
        <v>147</v>
      </c>
      <c r="L44" s="134">
        <v>25.0</v>
      </c>
      <c r="M44" s="423" t="s">
        <v>96</v>
      </c>
      <c r="N44" s="134" t="s">
        <v>97</v>
      </c>
      <c r="O44" s="134">
        <v>9.0</v>
      </c>
      <c r="P44" s="361" t="s">
        <v>98</v>
      </c>
      <c r="Q44" s="587">
        <v>568.6630369026013</v>
      </c>
      <c r="R44" s="126" t="s">
        <v>10</v>
      </c>
      <c r="S44" s="49"/>
      <c r="T44" s="118">
        <v>1895.5434563420044</v>
      </c>
      <c r="U44" s="118">
        <v>1137.3260738052027</v>
      </c>
      <c r="V44" s="118">
        <v>947.7717281710022</v>
      </c>
      <c r="W44" s="118">
        <v>758.2173825368018</v>
      </c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</row>
    <row r="45" ht="14.25" customHeight="1">
      <c r="A45" s="423" t="s">
        <v>84</v>
      </c>
      <c r="B45" s="423" t="s">
        <v>86</v>
      </c>
      <c r="C45" s="581" t="s">
        <v>87</v>
      </c>
      <c r="D45" s="582" t="s">
        <v>426</v>
      </c>
      <c r="E45" s="361" t="s">
        <v>351</v>
      </c>
      <c r="F45" s="361">
        <v>22.0</v>
      </c>
      <c r="G45" s="583" t="s">
        <v>435</v>
      </c>
      <c r="H45" s="583" t="s">
        <v>778</v>
      </c>
      <c r="I45" s="582" t="s">
        <v>437</v>
      </c>
      <c r="J45" s="361" t="s">
        <v>201</v>
      </c>
      <c r="K45" s="585" t="s">
        <v>95</v>
      </c>
      <c r="L45" s="134">
        <v>27.6</v>
      </c>
      <c r="M45" s="423" t="s">
        <v>96</v>
      </c>
      <c r="N45" s="134" t="s">
        <v>97</v>
      </c>
      <c r="O45" s="134">
        <v>9.0</v>
      </c>
      <c r="P45" s="361" t="s">
        <v>98</v>
      </c>
      <c r="Q45" s="587">
        <v>661.1491139525413</v>
      </c>
      <c r="R45" s="126" t="s">
        <v>10</v>
      </c>
      <c r="S45" s="49"/>
      <c r="T45" s="118">
        <v>2203.830379841804</v>
      </c>
      <c r="U45" s="118">
        <v>1322.2982279050825</v>
      </c>
      <c r="V45" s="118">
        <v>1101.915189920902</v>
      </c>
      <c r="W45" s="118">
        <v>881.5321519367217</v>
      </c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</row>
    <row r="46" ht="14.25" customHeight="1">
      <c r="A46" s="423" t="s">
        <v>84</v>
      </c>
      <c r="B46" s="423" t="s">
        <v>86</v>
      </c>
      <c r="C46" s="581" t="s">
        <v>87</v>
      </c>
      <c r="D46" s="582" t="s">
        <v>447</v>
      </c>
      <c r="E46" s="361" t="s">
        <v>351</v>
      </c>
      <c r="F46" s="361">
        <v>22.0</v>
      </c>
      <c r="G46" s="583" t="s">
        <v>449</v>
      </c>
      <c r="H46" s="583" t="s">
        <v>4012</v>
      </c>
      <c r="I46" s="582" t="s">
        <v>451</v>
      </c>
      <c r="J46" s="361" t="s">
        <v>201</v>
      </c>
      <c r="K46" s="585" t="s">
        <v>95</v>
      </c>
      <c r="L46" s="134">
        <v>27.6</v>
      </c>
      <c r="M46" s="423" t="s">
        <v>96</v>
      </c>
      <c r="N46" s="134" t="s">
        <v>97</v>
      </c>
      <c r="O46" s="134">
        <v>6.0</v>
      </c>
      <c r="P46" s="361" t="s">
        <v>101</v>
      </c>
      <c r="Q46" s="587">
        <v>790.1466304147267</v>
      </c>
      <c r="R46" s="126" t="s">
        <v>10</v>
      </c>
      <c r="S46" s="49"/>
      <c r="T46" s="118">
        <v>2633.8221013824223</v>
      </c>
      <c r="U46" s="118">
        <v>1580.2932608294534</v>
      </c>
      <c r="V46" s="118">
        <v>1316.9110506912111</v>
      </c>
      <c r="W46" s="118">
        <v>1053.5288405529689</v>
      </c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</row>
    <row r="47" ht="14.25" customHeight="1">
      <c r="A47" s="423" t="s">
        <v>84</v>
      </c>
      <c r="B47" s="423" t="s">
        <v>86</v>
      </c>
      <c r="C47" s="581" t="s">
        <v>87</v>
      </c>
      <c r="D47" s="582" t="s">
        <v>447</v>
      </c>
      <c r="E47" s="361" t="s">
        <v>351</v>
      </c>
      <c r="F47" s="361">
        <v>22.0</v>
      </c>
      <c r="G47" s="583" t="s">
        <v>454</v>
      </c>
      <c r="H47" s="583" t="s">
        <v>778</v>
      </c>
      <c r="I47" s="582" t="s">
        <v>456</v>
      </c>
      <c r="J47" s="361" t="s">
        <v>162</v>
      </c>
      <c r="K47" s="585" t="s">
        <v>95</v>
      </c>
      <c r="L47" s="134">
        <v>27.6</v>
      </c>
      <c r="M47" s="423" t="s">
        <v>96</v>
      </c>
      <c r="N47" s="134" t="s">
        <v>97</v>
      </c>
      <c r="O47" s="134">
        <v>6.0</v>
      </c>
      <c r="P47" s="361" t="s">
        <v>101</v>
      </c>
      <c r="Q47" s="587">
        <v>767.803609998589</v>
      </c>
      <c r="R47" s="126" t="s">
        <v>10</v>
      </c>
      <c r="S47" s="49"/>
      <c r="T47" s="118">
        <v>2559.3453666619635</v>
      </c>
      <c r="U47" s="118">
        <v>1535.607219997178</v>
      </c>
      <c r="V47" s="118">
        <v>1279.6726833309817</v>
      </c>
      <c r="W47" s="118">
        <v>1023.7381466647854</v>
      </c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</row>
    <row r="48" ht="14.25" customHeight="1">
      <c r="A48" s="423" t="s">
        <v>179</v>
      </c>
      <c r="B48" s="423" t="s">
        <v>86</v>
      </c>
      <c r="C48" s="581" t="s">
        <v>87</v>
      </c>
      <c r="D48" s="582" t="s">
        <v>467</v>
      </c>
      <c r="E48" s="361" t="s">
        <v>299</v>
      </c>
      <c r="F48" s="361" t="s">
        <v>468</v>
      </c>
      <c r="G48" s="583" t="s">
        <v>470</v>
      </c>
      <c r="H48" s="583" t="s">
        <v>4015</v>
      </c>
      <c r="I48" s="582" t="s">
        <v>472</v>
      </c>
      <c r="J48" s="361" t="s">
        <v>106</v>
      </c>
      <c r="K48" s="585" t="s">
        <v>95</v>
      </c>
      <c r="L48" s="134">
        <v>17.8</v>
      </c>
      <c r="M48" s="423" t="s">
        <v>96</v>
      </c>
      <c r="N48" s="134" t="s">
        <v>473</v>
      </c>
      <c r="O48" s="134">
        <v>8.0</v>
      </c>
      <c r="P48" s="361" t="s">
        <v>101</v>
      </c>
      <c r="Q48" s="587">
        <v>487.514652730292</v>
      </c>
      <c r="R48" s="126" t="s">
        <v>10</v>
      </c>
      <c r="S48" s="49"/>
      <c r="T48" s="118">
        <v>1625.0488424343068</v>
      </c>
      <c r="U48" s="118">
        <v>975.029305460584</v>
      </c>
      <c r="V48" s="118">
        <v>812.5244212171534</v>
      </c>
      <c r="W48" s="118">
        <v>650.0195369737228</v>
      </c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</row>
    <row r="49" ht="14.25" customHeight="1">
      <c r="A49" s="423" t="s">
        <v>179</v>
      </c>
      <c r="B49" s="423" t="s">
        <v>86</v>
      </c>
      <c r="C49" s="581" t="s">
        <v>87</v>
      </c>
      <c r="D49" s="582" t="s">
        <v>467</v>
      </c>
      <c r="E49" s="361" t="s">
        <v>299</v>
      </c>
      <c r="F49" s="361" t="s">
        <v>468</v>
      </c>
      <c r="G49" s="583" t="s">
        <v>477</v>
      </c>
      <c r="H49" s="583" t="s">
        <v>4016</v>
      </c>
      <c r="I49" s="582" t="s">
        <v>479</v>
      </c>
      <c r="J49" s="361" t="s">
        <v>106</v>
      </c>
      <c r="K49" s="585" t="s">
        <v>95</v>
      </c>
      <c r="L49" s="134">
        <v>17.8</v>
      </c>
      <c r="M49" s="423" t="s">
        <v>480</v>
      </c>
      <c r="N49" s="134" t="s">
        <v>473</v>
      </c>
      <c r="O49" s="134">
        <v>8.0</v>
      </c>
      <c r="P49" s="361" t="s">
        <v>101</v>
      </c>
      <c r="Q49" s="587">
        <v>487.514652730292</v>
      </c>
      <c r="R49" s="126" t="s">
        <v>10</v>
      </c>
      <c r="S49" s="49"/>
      <c r="T49" s="118">
        <v>1625.0488424343068</v>
      </c>
      <c r="U49" s="118">
        <v>975.029305460584</v>
      </c>
      <c r="V49" s="118">
        <v>812.5244212171534</v>
      </c>
      <c r="W49" s="118">
        <v>650.0195369737228</v>
      </c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</row>
    <row r="50" ht="14.25" customHeight="1">
      <c r="A50" s="423" t="s">
        <v>179</v>
      </c>
      <c r="B50" s="423" t="s">
        <v>86</v>
      </c>
      <c r="C50" s="581" t="s">
        <v>87</v>
      </c>
      <c r="D50" s="582" t="s">
        <v>467</v>
      </c>
      <c r="E50" s="361" t="s">
        <v>299</v>
      </c>
      <c r="F50" s="361" t="s">
        <v>468</v>
      </c>
      <c r="G50" s="583" t="s">
        <v>487</v>
      </c>
      <c r="H50" s="583" t="s">
        <v>778</v>
      </c>
      <c r="I50" s="582" t="s">
        <v>479</v>
      </c>
      <c r="J50" s="361" t="s">
        <v>162</v>
      </c>
      <c r="K50" s="585" t="s">
        <v>95</v>
      </c>
      <c r="L50" s="134">
        <v>17.8</v>
      </c>
      <c r="M50" s="423" t="s">
        <v>96</v>
      </c>
      <c r="N50" s="134" t="s">
        <v>473</v>
      </c>
      <c r="O50" s="134">
        <v>8.0</v>
      </c>
      <c r="P50" s="361" t="s">
        <v>101</v>
      </c>
      <c r="Q50" s="587">
        <v>510.6369663964052</v>
      </c>
      <c r="R50" s="126" t="s">
        <v>10</v>
      </c>
      <c r="S50" s="49"/>
      <c r="T50" s="118">
        <v>1702.123221321351</v>
      </c>
      <c r="U50" s="118">
        <v>1021.2739327928105</v>
      </c>
      <c r="V50" s="118">
        <v>851.0616106606755</v>
      </c>
      <c r="W50" s="118">
        <v>680.8492885285405</v>
      </c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</row>
    <row r="51" ht="14.25" customHeight="1">
      <c r="A51" s="423" t="s">
        <v>179</v>
      </c>
      <c r="B51" s="423" t="s">
        <v>86</v>
      </c>
      <c r="C51" s="581" t="s">
        <v>87</v>
      </c>
      <c r="D51" s="582" t="s">
        <v>467</v>
      </c>
      <c r="E51" s="361" t="s">
        <v>299</v>
      </c>
      <c r="F51" s="361" t="s">
        <v>468</v>
      </c>
      <c r="G51" s="583" t="s">
        <v>492</v>
      </c>
      <c r="H51" s="583" t="s">
        <v>778</v>
      </c>
      <c r="I51" s="582" t="s">
        <v>495</v>
      </c>
      <c r="J51" s="361" t="s">
        <v>162</v>
      </c>
      <c r="K51" s="585" t="s">
        <v>95</v>
      </c>
      <c r="L51" s="134">
        <v>17.8</v>
      </c>
      <c r="M51" s="423" t="s">
        <v>480</v>
      </c>
      <c r="N51" s="134" t="s">
        <v>473</v>
      </c>
      <c r="O51" s="134">
        <v>8.0</v>
      </c>
      <c r="P51" s="361" t="s">
        <v>101</v>
      </c>
      <c r="Q51" s="587">
        <v>510.6369663964052</v>
      </c>
      <c r="R51" s="126" t="s">
        <v>10</v>
      </c>
      <c r="S51" s="49"/>
      <c r="T51" s="118">
        <v>1702.123221321351</v>
      </c>
      <c r="U51" s="118">
        <v>1021.2739327928105</v>
      </c>
      <c r="V51" s="118">
        <v>851.0616106606755</v>
      </c>
      <c r="W51" s="118">
        <v>680.8492885285405</v>
      </c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</row>
    <row r="52" ht="14.25" customHeight="1">
      <c r="A52" s="423" t="s">
        <v>84</v>
      </c>
      <c r="B52" s="423" t="s">
        <v>86</v>
      </c>
      <c r="C52" s="581" t="s">
        <v>501</v>
      </c>
      <c r="D52" s="581" t="s">
        <v>502</v>
      </c>
      <c r="E52" s="134"/>
      <c r="F52" s="134"/>
      <c r="G52" s="358" t="s">
        <v>503</v>
      </c>
      <c r="H52" s="358" t="s">
        <v>4017</v>
      </c>
      <c r="I52" s="581" t="s">
        <v>505</v>
      </c>
      <c r="J52" s="134"/>
      <c r="K52" s="581" t="s">
        <v>95</v>
      </c>
      <c r="L52" s="134"/>
      <c r="M52" s="423" t="s">
        <v>506</v>
      </c>
      <c r="N52" s="134" t="s">
        <v>507</v>
      </c>
      <c r="O52" s="134">
        <v>8640.0</v>
      </c>
      <c r="P52" s="134" t="s">
        <v>4340</v>
      </c>
      <c r="Q52" s="498">
        <v>0.43916724920681166</v>
      </c>
      <c r="R52" s="126" t="s">
        <v>6</v>
      </c>
      <c r="S52" s="49"/>
      <c r="T52" s="224">
        <v>1.4638908306893723</v>
      </c>
      <c r="U52" s="224">
        <v>0.8783344984136233</v>
      </c>
      <c r="V52" s="224">
        <v>0.7319454153446862</v>
      </c>
      <c r="W52" s="224">
        <v>0.585556332275749</v>
      </c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</row>
    <row r="53" ht="14.25" customHeight="1">
      <c r="A53" s="423" t="s">
        <v>84</v>
      </c>
      <c r="B53" s="423" t="s">
        <v>86</v>
      </c>
      <c r="C53" s="581" t="s">
        <v>501</v>
      </c>
      <c r="D53" s="581" t="s">
        <v>502</v>
      </c>
      <c r="E53" s="134"/>
      <c r="F53" s="134"/>
      <c r="G53" s="358" t="s">
        <v>511</v>
      </c>
      <c r="H53" s="358" t="s">
        <v>4018</v>
      </c>
      <c r="I53" s="581" t="s">
        <v>513</v>
      </c>
      <c r="J53" s="134"/>
      <c r="K53" s="581" t="s">
        <v>95</v>
      </c>
      <c r="L53" s="134"/>
      <c r="M53" s="423" t="s">
        <v>514</v>
      </c>
      <c r="N53" s="134" t="s">
        <v>507</v>
      </c>
      <c r="O53" s="134">
        <v>8640.0</v>
      </c>
      <c r="P53" s="134" t="s">
        <v>4340</v>
      </c>
      <c r="Q53" s="498">
        <v>0.4730493778921053</v>
      </c>
      <c r="R53" s="126" t="s">
        <v>6</v>
      </c>
      <c r="S53" s="49"/>
      <c r="T53" s="224">
        <v>1.576831259640351</v>
      </c>
      <c r="U53" s="224">
        <v>0.9460987557842107</v>
      </c>
      <c r="V53" s="224">
        <v>0.7884156298201755</v>
      </c>
      <c r="W53" s="224">
        <v>0.6307325038561404</v>
      </c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</row>
    <row r="54" ht="14.25" customHeight="1">
      <c r="A54" s="423" t="s">
        <v>84</v>
      </c>
      <c r="B54" s="423" t="s">
        <v>86</v>
      </c>
      <c r="C54" s="581" t="s">
        <v>501</v>
      </c>
      <c r="D54" s="581" t="s">
        <v>502</v>
      </c>
      <c r="E54" s="134"/>
      <c r="F54" s="134"/>
      <c r="G54" s="358" t="s">
        <v>516</v>
      </c>
      <c r="H54" s="358" t="s">
        <v>4019</v>
      </c>
      <c r="I54" s="581" t="s">
        <v>518</v>
      </c>
      <c r="J54" s="134"/>
      <c r="K54" s="581" t="s">
        <v>95</v>
      </c>
      <c r="L54" s="134"/>
      <c r="M54" s="423" t="s">
        <v>506</v>
      </c>
      <c r="N54" s="134" t="s">
        <v>507</v>
      </c>
      <c r="O54" s="134">
        <v>11520.0</v>
      </c>
      <c r="P54" s="134" t="s">
        <v>4340</v>
      </c>
      <c r="Q54" s="498">
        <v>0.39485205388755307</v>
      </c>
      <c r="R54" s="126" t="s">
        <v>6</v>
      </c>
      <c r="S54" s="49"/>
      <c r="T54" s="224">
        <v>1.3161735129585104</v>
      </c>
      <c r="U54" s="224">
        <v>0.7897041077751062</v>
      </c>
      <c r="V54" s="224">
        <v>0.6580867564792552</v>
      </c>
      <c r="W54" s="224">
        <v>0.5264694051834041</v>
      </c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</row>
    <row r="55" ht="14.25" customHeight="1">
      <c r="A55" s="423" t="s">
        <v>84</v>
      </c>
      <c r="B55" s="423" t="s">
        <v>86</v>
      </c>
      <c r="C55" s="581" t="s">
        <v>501</v>
      </c>
      <c r="D55" s="581" t="s">
        <v>502</v>
      </c>
      <c r="E55" s="134"/>
      <c r="F55" s="134"/>
      <c r="G55" s="358" t="s">
        <v>520</v>
      </c>
      <c r="H55" s="358" t="s">
        <v>4020</v>
      </c>
      <c r="I55" s="581" t="s">
        <v>522</v>
      </c>
      <c r="J55" s="134"/>
      <c r="K55" s="581" t="s">
        <v>95</v>
      </c>
      <c r="L55" s="134"/>
      <c r="M55" s="423" t="s">
        <v>514</v>
      </c>
      <c r="N55" s="134" t="s">
        <v>507</v>
      </c>
      <c r="O55" s="134">
        <v>11520.0</v>
      </c>
      <c r="P55" s="134" t="s">
        <v>4340</v>
      </c>
      <c r="Q55" s="498">
        <v>0.41774202802596194</v>
      </c>
      <c r="R55" s="126" t="s">
        <v>6</v>
      </c>
      <c r="S55" s="49"/>
      <c r="T55" s="224">
        <v>1.3924734267532066</v>
      </c>
      <c r="U55" s="224">
        <v>0.835484056051924</v>
      </c>
      <c r="V55" s="224">
        <v>0.6962367133766033</v>
      </c>
      <c r="W55" s="224">
        <v>0.5569893707012826</v>
      </c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</row>
    <row r="56" ht="14.25" customHeight="1">
      <c r="A56" s="423" t="s">
        <v>84</v>
      </c>
      <c r="B56" s="423" t="s">
        <v>86</v>
      </c>
      <c r="C56" s="423" t="s">
        <v>501</v>
      </c>
      <c r="D56" s="581" t="s">
        <v>502</v>
      </c>
      <c r="E56" s="134"/>
      <c r="F56" s="134"/>
      <c r="G56" s="358" t="s">
        <v>524</v>
      </c>
      <c r="H56" s="358" t="s">
        <v>4021</v>
      </c>
      <c r="I56" s="581" t="s">
        <v>526</v>
      </c>
      <c r="J56" s="134"/>
      <c r="K56" s="581" t="s">
        <v>95</v>
      </c>
      <c r="L56" s="134"/>
      <c r="M56" s="423" t="s">
        <v>514</v>
      </c>
      <c r="N56" s="134" t="s">
        <v>507</v>
      </c>
      <c r="O56" s="134">
        <v>11520.0</v>
      </c>
      <c r="P56" s="134" t="s">
        <v>4340</v>
      </c>
      <c r="Q56" s="498">
        <v>0.540197887181088</v>
      </c>
      <c r="R56" s="126" t="s">
        <v>6</v>
      </c>
      <c r="S56" s="49"/>
      <c r="T56" s="224">
        <v>1.8006596239369599</v>
      </c>
      <c r="U56" s="224">
        <v>1.080395774362176</v>
      </c>
      <c r="V56" s="224">
        <v>0.9003298119684799</v>
      </c>
      <c r="W56" s="224">
        <v>0.720263849574784</v>
      </c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</row>
    <row r="57" ht="14.25" customHeight="1">
      <c r="A57" s="423" t="s">
        <v>84</v>
      </c>
      <c r="B57" s="423" t="s">
        <v>86</v>
      </c>
      <c r="C57" s="423" t="s">
        <v>501</v>
      </c>
      <c r="D57" s="581" t="s">
        <v>502</v>
      </c>
      <c r="E57" s="134"/>
      <c r="F57" s="134"/>
      <c r="G57" s="358" t="s">
        <v>528</v>
      </c>
      <c r="H57" s="358" t="s">
        <v>4022</v>
      </c>
      <c r="I57" s="581" t="s">
        <v>530</v>
      </c>
      <c r="J57" s="134"/>
      <c r="K57" s="581" t="s">
        <v>95</v>
      </c>
      <c r="L57" s="134"/>
      <c r="M57" s="423" t="s">
        <v>514</v>
      </c>
      <c r="N57" s="134" t="s">
        <v>507</v>
      </c>
      <c r="O57" s="134">
        <v>11520.0</v>
      </c>
      <c r="P57" s="134" t="s">
        <v>4340</v>
      </c>
      <c r="Q57" s="498">
        <v>0.5696632264818746</v>
      </c>
      <c r="R57" s="126" t="s">
        <v>6</v>
      </c>
      <c r="S57" s="49"/>
      <c r="T57" s="224">
        <v>1.8988774216062487</v>
      </c>
      <c r="U57" s="224">
        <v>1.1393264529637492</v>
      </c>
      <c r="V57" s="224">
        <v>0.9494387108031244</v>
      </c>
      <c r="W57" s="224">
        <v>0.7595509686424995</v>
      </c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</row>
    <row r="58" ht="14.25" customHeight="1">
      <c r="A58" s="582" t="s">
        <v>84</v>
      </c>
      <c r="B58" s="582" t="s">
        <v>86</v>
      </c>
      <c r="C58" s="582" t="s">
        <v>566</v>
      </c>
      <c r="D58" s="582" t="s">
        <v>567</v>
      </c>
      <c r="E58" s="361" t="s">
        <v>577</v>
      </c>
      <c r="F58" s="134"/>
      <c r="G58" s="584" t="s">
        <v>578</v>
      </c>
      <c r="H58" s="584" t="s">
        <v>778</v>
      </c>
      <c r="I58" s="582" t="s">
        <v>580</v>
      </c>
      <c r="J58" s="134"/>
      <c r="K58" s="581" t="s">
        <v>95</v>
      </c>
      <c r="L58" s="134"/>
      <c r="M58" s="423" t="s">
        <v>572</v>
      </c>
      <c r="N58" s="134" t="s">
        <v>573</v>
      </c>
      <c r="O58" s="134">
        <v>8064.0</v>
      </c>
      <c r="P58" s="134" t="s">
        <v>574</v>
      </c>
      <c r="Q58" s="498">
        <v>1.4580774503966545</v>
      </c>
      <c r="R58" s="126" t="s">
        <v>10</v>
      </c>
      <c r="S58" s="49"/>
      <c r="T58" s="224">
        <v>4.860258167988849</v>
      </c>
      <c r="U58" s="224">
        <v>2.916154900793309</v>
      </c>
      <c r="V58" s="224">
        <v>2.4301290839944243</v>
      </c>
      <c r="W58" s="224">
        <v>1.9441032671955396</v>
      </c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</row>
    <row r="59" ht="14.25" customHeight="1">
      <c r="A59" s="582" t="s">
        <v>84</v>
      </c>
      <c r="B59" s="582" t="s">
        <v>86</v>
      </c>
      <c r="C59" s="582" t="s">
        <v>566</v>
      </c>
      <c r="D59" s="582" t="s">
        <v>567</v>
      </c>
      <c r="E59" s="361" t="s">
        <v>581</v>
      </c>
      <c r="F59" s="134"/>
      <c r="G59" s="584" t="s">
        <v>582</v>
      </c>
      <c r="H59" s="584" t="s">
        <v>778</v>
      </c>
      <c r="I59" s="582" t="s">
        <v>584</v>
      </c>
      <c r="J59" s="134"/>
      <c r="K59" s="581" t="s">
        <v>95</v>
      </c>
      <c r="L59" s="134"/>
      <c r="M59" s="423" t="s">
        <v>572</v>
      </c>
      <c r="N59" s="134" t="s">
        <v>573</v>
      </c>
      <c r="O59" s="134">
        <v>8064.0</v>
      </c>
      <c r="P59" s="134" t="s">
        <v>574</v>
      </c>
      <c r="Q59" s="498">
        <v>0.76094411373354</v>
      </c>
      <c r="R59" s="126" t="s">
        <v>10</v>
      </c>
      <c r="S59" s="49"/>
      <c r="T59" s="224">
        <v>2.5364803791118002</v>
      </c>
      <c r="U59" s="224">
        <v>1.5218882274670802</v>
      </c>
      <c r="V59" s="224">
        <v>1.2682401895559001</v>
      </c>
      <c r="W59" s="224">
        <v>1.01459215164472</v>
      </c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</row>
    <row r="60" ht="15.75" customHeight="1">
      <c r="A60" s="582" t="s">
        <v>84</v>
      </c>
      <c r="B60" s="582" t="s">
        <v>86</v>
      </c>
      <c r="C60" s="582" t="s">
        <v>566</v>
      </c>
      <c r="D60" s="582" t="s">
        <v>567</v>
      </c>
      <c r="E60" s="361" t="s">
        <v>577</v>
      </c>
      <c r="F60" s="134"/>
      <c r="G60" s="584" t="s">
        <v>585</v>
      </c>
      <c r="H60" s="584" t="s">
        <v>778</v>
      </c>
      <c r="I60" s="582" t="s">
        <v>587</v>
      </c>
      <c r="J60" s="134"/>
      <c r="K60" s="581" t="s">
        <v>95</v>
      </c>
      <c r="L60" s="134"/>
      <c r="M60" s="423" t="s">
        <v>572</v>
      </c>
      <c r="N60" s="134" t="s">
        <v>573</v>
      </c>
      <c r="O60" s="134">
        <v>8064.0</v>
      </c>
      <c r="P60" s="134" t="s">
        <v>574</v>
      </c>
      <c r="Q60" s="498">
        <v>1.5022292325130069</v>
      </c>
      <c r="R60" s="126" t="s">
        <v>10</v>
      </c>
      <c r="S60" s="49"/>
      <c r="T60" s="224">
        <v>5.007430775043357</v>
      </c>
      <c r="U60" s="224">
        <v>3.004458465026014</v>
      </c>
      <c r="V60" s="224">
        <v>2.5037153875216784</v>
      </c>
      <c r="W60" s="224">
        <v>2.0029723100173427</v>
      </c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</row>
    <row r="61" ht="14.25" customHeight="1">
      <c r="A61" s="582" t="s">
        <v>84</v>
      </c>
      <c r="B61" s="582" t="s">
        <v>86</v>
      </c>
      <c r="C61" s="582" t="s">
        <v>566</v>
      </c>
      <c r="D61" s="582" t="s">
        <v>567</v>
      </c>
      <c r="E61" s="361" t="s">
        <v>577</v>
      </c>
      <c r="F61" s="134"/>
      <c r="G61" s="584" t="s">
        <v>589</v>
      </c>
      <c r="H61" s="584" t="s">
        <v>778</v>
      </c>
      <c r="I61" s="582" t="s">
        <v>591</v>
      </c>
      <c r="J61" s="134"/>
      <c r="K61" s="581" t="s">
        <v>95</v>
      </c>
      <c r="L61" s="134"/>
      <c r="M61" s="423" t="s">
        <v>572</v>
      </c>
      <c r="N61" s="134" t="s">
        <v>573</v>
      </c>
      <c r="O61" s="134">
        <v>8064.0</v>
      </c>
      <c r="P61" s="134" t="s">
        <v>574</v>
      </c>
      <c r="Q61" s="498">
        <v>1.3402205310454798</v>
      </c>
      <c r="R61" s="126" t="s">
        <v>10</v>
      </c>
      <c r="S61" s="49"/>
      <c r="T61" s="224">
        <v>4.467401770151599</v>
      </c>
      <c r="U61" s="224">
        <v>2.6804410620909596</v>
      </c>
      <c r="V61" s="224">
        <v>2.2337008850757996</v>
      </c>
      <c r="W61" s="224">
        <v>1.7869607080606398</v>
      </c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</row>
    <row r="62" ht="14.25" customHeight="1">
      <c r="A62" s="582" t="s">
        <v>84</v>
      </c>
      <c r="B62" s="582" t="s">
        <v>86</v>
      </c>
      <c r="C62" s="582" t="s">
        <v>566</v>
      </c>
      <c r="D62" s="582" t="s">
        <v>598</v>
      </c>
      <c r="E62" s="361" t="s">
        <v>577</v>
      </c>
      <c r="F62" s="134"/>
      <c r="G62" s="584" t="s">
        <v>599</v>
      </c>
      <c r="H62" s="584" t="s">
        <v>778</v>
      </c>
      <c r="I62" s="582" t="s">
        <v>601</v>
      </c>
      <c r="J62" s="134"/>
      <c r="K62" s="581" t="s">
        <v>95</v>
      </c>
      <c r="L62" s="134"/>
      <c r="M62" s="423" t="s">
        <v>572</v>
      </c>
      <c r="N62" s="134" t="s">
        <v>602</v>
      </c>
      <c r="O62" s="134">
        <v>8064.0</v>
      </c>
      <c r="P62" s="134"/>
      <c r="Q62" s="498">
        <v>2.904918097698307</v>
      </c>
      <c r="R62" s="126" t="s">
        <v>10</v>
      </c>
      <c r="S62" s="49"/>
      <c r="T62" s="224">
        <v>9.683060325661025</v>
      </c>
      <c r="U62" s="224">
        <v>5.809836195396614</v>
      </c>
      <c r="V62" s="224">
        <v>4.841530162830512</v>
      </c>
      <c r="W62" s="224">
        <v>3.87322413026441</v>
      </c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</row>
    <row r="63" ht="14.25" customHeight="1">
      <c r="A63" s="423" t="s">
        <v>84</v>
      </c>
      <c r="B63" s="423" t="s">
        <v>86</v>
      </c>
      <c r="C63" s="581" t="s">
        <v>566</v>
      </c>
      <c r="D63" s="582" t="s">
        <v>619</v>
      </c>
      <c r="E63" s="361" t="s">
        <v>577</v>
      </c>
      <c r="F63" s="134"/>
      <c r="G63" s="584" t="s">
        <v>638</v>
      </c>
      <c r="H63" s="584" t="s">
        <v>4025</v>
      </c>
      <c r="I63" s="582" t="s">
        <v>640</v>
      </c>
      <c r="J63" s="134"/>
      <c r="K63" s="581" t="s">
        <v>95</v>
      </c>
      <c r="L63" s="134"/>
      <c r="M63" s="423" t="s">
        <v>641</v>
      </c>
      <c r="N63" s="134" t="s">
        <v>573</v>
      </c>
      <c r="O63" s="134">
        <v>6912.0</v>
      </c>
      <c r="P63" s="134" t="s">
        <v>574</v>
      </c>
      <c r="Q63" s="498">
        <v>1.3550591392937987</v>
      </c>
      <c r="R63" s="126" t="s">
        <v>6</v>
      </c>
      <c r="S63" s="49"/>
      <c r="T63" s="224">
        <v>4.516863797645996</v>
      </c>
      <c r="U63" s="224">
        <v>2.7101182785875975</v>
      </c>
      <c r="V63" s="224">
        <v>2.258431898822998</v>
      </c>
      <c r="W63" s="224">
        <v>1.8067455190583985</v>
      </c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</row>
    <row r="64" ht="14.25" customHeight="1">
      <c r="A64" s="423" t="s">
        <v>84</v>
      </c>
      <c r="B64" s="423" t="s">
        <v>86</v>
      </c>
      <c r="C64" s="581" t="s">
        <v>566</v>
      </c>
      <c r="D64" s="582" t="s">
        <v>619</v>
      </c>
      <c r="E64" s="361" t="s">
        <v>577</v>
      </c>
      <c r="F64" s="134"/>
      <c r="G64" s="584" t="s">
        <v>647</v>
      </c>
      <c r="H64" s="584" t="s">
        <v>4026</v>
      </c>
      <c r="I64" s="582" t="s">
        <v>649</v>
      </c>
      <c r="J64" s="134"/>
      <c r="K64" s="581" t="s">
        <v>95</v>
      </c>
      <c r="L64" s="134"/>
      <c r="M64" s="423" t="s">
        <v>614</v>
      </c>
      <c r="N64" s="134" t="s">
        <v>573</v>
      </c>
      <c r="O64" s="134">
        <v>10368.0</v>
      </c>
      <c r="P64" s="134" t="s">
        <v>574</v>
      </c>
      <c r="Q64" s="498">
        <v>1.3094124250127934</v>
      </c>
      <c r="R64" s="126" t="s">
        <v>6</v>
      </c>
      <c r="S64" s="49"/>
      <c r="T64" s="224">
        <v>4.364708083375978</v>
      </c>
      <c r="U64" s="224">
        <v>2.618824850025587</v>
      </c>
      <c r="V64" s="224">
        <v>2.182354041687989</v>
      </c>
      <c r="W64" s="224">
        <v>1.7458832333503915</v>
      </c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</row>
    <row r="65" ht="14.25" customHeight="1">
      <c r="A65" s="423" t="s">
        <v>84</v>
      </c>
      <c r="B65" s="423" t="s">
        <v>86</v>
      </c>
      <c r="C65" s="581" t="s">
        <v>566</v>
      </c>
      <c r="D65" s="582" t="s">
        <v>659</v>
      </c>
      <c r="E65" s="361" t="s">
        <v>577</v>
      </c>
      <c r="F65" s="134"/>
      <c r="G65" s="584" t="s">
        <v>672</v>
      </c>
      <c r="H65" s="584" t="s">
        <v>4027</v>
      </c>
      <c r="I65" s="582" t="s">
        <v>674</v>
      </c>
      <c r="J65" s="134"/>
      <c r="K65" s="581" t="s">
        <v>95</v>
      </c>
      <c r="L65" s="134"/>
      <c r="M65" s="423" t="s">
        <v>641</v>
      </c>
      <c r="N65" s="134" t="s">
        <v>573</v>
      </c>
      <c r="O65" s="134">
        <v>6912.0</v>
      </c>
      <c r="P65" s="134" t="s">
        <v>574</v>
      </c>
      <c r="Q65" s="498">
        <v>1.4503090017154605</v>
      </c>
      <c r="R65" s="126" t="s">
        <v>6</v>
      </c>
      <c r="S65" s="49"/>
      <c r="T65" s="224">
        <v>4.834363339051535</v>
      </c>
      <c r="U65" s="224">
        <v>2.900618003430921</v>
      </c>
      <c r="V65" s="224">
        <v>2.4171816695257675</v>
      </c>
      <c r="W65" s="224">
        <v>1.933745335620614</v>
      </c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</row>
    <row r="66" ht="14.25" customHeight="1">
      <c r="A66" s="423" t="s">
        <v>84</v>
      </c>
      <c r="B66" s="423" t="s">
        <v>86</v>
      </c>
      <c r="C66" s="581" t="s">
        <v>566</v>
      </c>
      <c r="D66" s="582" t="s">
        <v>659</v>
      </c>
      <c r="E66" s="361" t="s">
        <v>577</v>
      </c>
      <c r="F66" s="134"/>
      <c r="G66" s="584" t="s">
        <v>680</v>
      </c>
      <c r="H66" s="584" t="s">
        <v>4028</v>
      </c>
      <c r="I66" s="582" t="s">
        <v>682</v>
      </c>
      <c r="J66" s="134"/>
      <c r="K66" s="581" t="s">
        <v>95</v>
      </c>
      <c r="L66" s="134"/>
      <c r="M66" s="423" t="s">
        <v>609</v>
      </c>
      <c r="N66" s="134" t="s">
        <v>573</v>
      </c>
      <c r="O66" s="134">
        <v>10368.0</v>
      </c>
      <c r="P66" s="134" t="s">
        <v>574</v>
      </c>
      <c r="Q66" s="498">
        <v>1.4088119887327286</v>
      </c>
      <c r="R66" s="126" t="s">
        <v>6</v>
      </c>
      <c r="S66" s="49"/>
      <c r="T66" s="224">
        <v>4.696039962442429</v>
      </c>
      <c r="U66" s="224">
        <v>2.8176239774654572</v>
      </c>
      <c r="V66" s="224">
        <v>2.3480199812212144</v>
      </c>
      <c r="W66" s="224">
        <v>1.8784159849769715</v>
      </c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</row>
    <row r="67" ht="14.25" customHeight="1">
      <c r="A67" s="423" t="s">
        <v>84</v>
      </c>
      <c r="B67" s="423" t="s">
        <v>86</v>
      </c>
      <c r="C67" s="581" t="s">
        <v>566</v>
      </c>
      <c r="D67" s="582" t="s">
        <v>659</v>
      </c>
      <c r="E67" s="361" t="s">
        <v>577</v>
      </c>
      <c r="F67" s="134"/>
      <c r="G67" s="584" t="s">
        <v>692</v>
      </c>
      <c r="H67" s="584" t="s">
        <v>4029</v>
      </c>
      <c r="I67" s="582" t="s">
        <v>694</v>
      </c>
      <c r="J67" s="134" t="s">
        <v>667</v>
      </c>
      <c r="K67" s="581" t="s">
        <v>95</v>
      </c>
      <c r="L67" s="134"/>
      <c r="M67" s="423" t="s">
        <v>614</v>
      </c>
      <c r="N67" s="134" t="s">
        <v>573</v>
      </c>
      <c r="O67" s="134">
        <v>10368.0</v>
      </c>
      <c r="P67" s="134" t="s">
        <v>574</v>
      </c>
      <c r="Q67" s="498">
        <v>1.6628370305715123</v>
      </c>
      <c r="R67" s="126" t="s">
        <v>6</v>
      </c>
      <c r="S67" s="49"/>
      <c r="T67" s="224">
        <v>5.542790101905041</v>
      </c>
      <c r="U67" s="224">
        <v>3.3256740611430247</v>
      </c>
      <c r="V67" s="224">
        <v>2.7713950509525205</v>
      </c>
      <c r="W67" s="224">
        <v>2.2171160407620163</v>
      </c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</row>
    <row r="68" ht="14.25" customHeight="1">
      <c r="A68" s="423" t="s">
        <v>84</v>
      </c>
      <c r="B68" s="423" t="s">
        <v>86</v>
      </c>
      <c r="C68" s="581" t="s">
        <v>566</v>
      </c>
      <c r="D68" s="582" t="s">
        <v>705</v>
      </c>
      <c r="E68" s="361" t="s">
        <v>577</v>
      </c>
      <c r="F68" s="134"/>
      <c r="G68" s="584" t="s">
        <v>706</v>
      </c>
      <c r="H68" s="584" t="s">
        <v>4030</v>
      </c>
      <c r="I68" s="582" t="s">
        <v>708</v>
      </c>
      <c r="J68" s="134"/>
      <c r="K68" s="581" t="s">
        <v>95</v>
      </c>
      <c r="L68" s="134"/>
      <c r="M68" s="423" t="s">
        <v>614</v>
      </c>
      <c r="N68" s="134" t="s">
        <v>602</v>
      </c>
      <c r="O68" s="134">
        <v>10368.0</v>
      </c>
      <c r="P68" s="134" t="s">
        <v>574</v>
      </c>
      <c r="Q68" s="498">
        <v>3.0200628434535757</v>
      </c>
      <c r="R68" s="126" t="s">
        <v>10</v>
      </c>
      <c r="S68" s="49"/>
      <c r="T68" s="224">
        <v>10.066876144845253</v>
      </c>
      <c r="U68" s="224">
        <v>6.040125686907151</v>
      </c>
      <c r="V68" s="224">
        <v>5.033438072422626</v>
      </c>
      <c r="W68" s="224">
        <v>4.0267504579381015</v>
      </c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</row>
    <row r="69" ht="14.25" customHeight="1">
      <c r="A69" s="582" t="s">
        <v>84</v>
      </c>
      <c r="B69" s="582" t="s">
        <v>86</v>
      </c>
      <c r="C69" s="582" t="s">
        <v>566</v>
      </c>
      <c r="D69" s="582" t="s">
        <v>709</v>
      </c>
      <c r="E69" s="361"/>
      <c r="F69" s="134"/>
      <c r="G69" s="584" t="s">
        <v>710</v>
      </c>
      <c r="H69" s="584" t="s">
        <v>4032</v>
      </c>
      <c r="I69" s="582" t="s">
        <v>712</v>
      </c>
      <c r="J69" s="134"/>
      <c r="K69" s="581" t="s">
        <v>95</v>
      </c>
      <c r="L69" s="134"/>
      <c r="M69" s="423" t="s">
        <v>713</v>
      </c>
      <c r="N69" s="134" t="s">
        <v>714</v>
      </c>
      <c r="O69" s="134">
        <v>86400.0</v>
      </c>
      <c r="P69" s="134" t="s">
        <v>574</v>
      </c>
      <c r="Q69" s="498">
        <v>0.04564598340322023</v>
      </c>
      <c r="R69" s="126" t="s">
        <v>10</v>
      </c>
      <c r="S69" s="49"/>
      <c r="T69" s="224">
        <v>0.1521532780107341</v>
      </c>
      <c r="U69" s="224">
        <v>0.09129196680644046</v>
      </c>
      <c r="V69" s="224">
        <v>0.07607663900536706</v>
      </c>
      <c r="W69" s="224">
        <v>0.060861311204293646</v>
      </c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</row>
    <row r="70" ht="14.25" customHeight="1">
      <c r="A70" s="582" t="s">
        <v>84</v>
      </c>
      <c r="B70" s="582" t="s">
        <v>86</v>
      </c>
      <c r="C70" s="582" t="s">
        <v>566</v>
      </c>
      <c r="D70" s="582" t="s">
        <v>709</v>
      </c>
      <c r="E70" s="361"/>
      <c r="F70" s="134"/>
      <c r="G70" s="584" t="s">
        <v>716</v>
      </c>
      <c r="H70" s="584" t="s">
        <v>4033</v>
      </c>
      <c r="I70" s="582" t="s">
        <v>718</v>
      </c>
      <c r="J70" s="134"/>
      <c r="K70" s="581" t="s">
        <v>95</v>
      </c>
      <c r="L70" s="134"/>
      <c r="M70" s="423" t="s">
        <v>713</v>
      </c>
      <c r="N70" s="134" t="s">
        <v>714</v>
      </c>
      <c r="O70" s="134">
        <v>86400.0</v>
      </c>
      <c r="P70" s="134" t="s">
        <v>574</v>
      </c>
      <c r="Q70" s="498">
        <v>0.04564598340322023</v>
      </c>
      <c r="R70" s="126" t="s">
        <v>10</v>
      </c>
      <c r="S70" s="49"/>
      <c r="T70" s="224">
        <v>0.1521532780107341</v>
      </c>
      <c r="U70" s="224">
        <v>0.09129196680644046</v>
      </c>
      <c r="V70" s="224">
        <v>0.07607663900536706</v>
      </c>
      <c r="W70" s="224">
        <v>0.060861311204293646</v>
      </c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</row>
    <row r="71" ht="14.25" customHeight="1">
      <c r="A71" s="582" t="s">
        <v>84</v>
      </c>
      <c r="B71" s="582" t="s">
        <v>86</v>
      </c>
      <c r="C71" s="582" t="s">
        <v>566</v>
      </c>
      <c r="D71" s="582" t="s">
        <v>709</v>
      </c>
      <c r="E71" s="361"/>
      <c r="F71" s="134"/>
      <c r="G71" s="584" t="s">
        <v>720</v>
      </c>
      <c r="H71" s="584" t="s">
        <v>4034</v>
      </c>
      <c r="I71" s="582" t="s">
        <v>722</v>
      </c>
      <c r="J71" s="134"/>
      <c r="K71" s="581" t="s">
        <v>95</v>
      </c>
      <c r="L71" s="134"/>
      <c r="M71" s="423" t="s">
        <v>713</v>
      </c>
      <c r="N71" s="134" t="s">
        <v>714</v>
      </c>
      <c r="O71" s="134">
        <v>86400.0</v>
      </c>
      <c r="P71" s="134" t="s">
        <v>574</v>
      </c>
      <c r="Q71" s="498">
        <v>0.04564598340322023</v>
      </c>
      <c r="R71" s="126" t="s">
        <v>10</v>
      </c>
      <c r="S71" s="49"/>
      <c r="T71" s="224">
        <v>0.1521532780107341</v>
      </c>
      <c r="U71" s="224">
        <v>0.09129196680644046</v>
      </c>
      <c r="V71" s="224">
        <v>0.07607663900536706</v>
      </c>
      <c r="W71" s="224">
        <v>0.060861311204293646</v>
      </c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</row>
    <row r="72" ht="14.25" customHeight="1">
      <c r="A72" s="582" t="s">
        <v>84</v>
      </c>
      <c r="B72" s="582" t="s">
        <v>86</v>
      </c>
      <c r="C72" s="582" t="s">
        <v>566</v>
      </c>
      <c r="D72" s="582" t="s">
        <v>709</v>
      </c>
      <c r="E72" s="361"/>
      <c r="F72" s="134"/>
      <c r="G72" s="584" t="s">
        <v>724</v>
      </c>
      <c r="H72" s="584" t="s">
        <v>4035</v>
      </c>
      <c r="I72" s="582" t="s">
        <v>726</v>
      </c>
      <c r="J72" s="134"/>
      <c r="K72" s="581" t="s">
        <v>95</v>
      </c>
      <c r="L72" s="134"/>
      <c r="M72" s="423" t="s">
        <v>713</v>
      </c>
      <c r="N72" s="134" t="s">
        <v>714</v>
      </c>
      <c r="O72" s="134">
        <v>86400.0</v>
      </c>
      <c r="P72" s="134" t="s">
        <v>574</v>
      </c>
      <c r="Q72" s="498">
        <v>0.04564598340322023</v>
      </c>
      <c r="R72" s="126" t="s">
        <v>10</v>
      </c>
      <c r="S72" s="49"/>
      <c r="T72" s="224">
        <v>0.1521532780107341</v>
      </c>
      <c r="U72" s="224">
        <v>0.09129196680644046</v>
      </c>
      <c r="V72" s="224">
        <v>0.07607663900536706</v>
      </c>
      <c r="W72" s="224">
        <v>0.060861311204293646</v>
      </c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</row>
    <row r="73" ht="14.25" customHeight="1">
      <c r="A73" s="423" t="s">
        <v>84</v>
      </c>
      <c r="B73" s="423" t="s">
        <v>86</v>
      </c>
      <c r="C73" s="581" t="s">
        <v>788</v>
      </c>
      <c r="D73" s="582" t="s">
        <v>840</v>
      </c>
      <c r="E73" s="361" t="s">
        <v>577</v>
      </c>
      <c r="F73" s="134">
        <v>26.0</v>
      </c>
      <c r="G73" s="584" t="s">
        <v>841</v>
      </c>
      <c r="H73" s="584" t="s">
        <v>4036</v>
      </c>
      <c r="I73" s="582" t="s">
        <v>843</v>
      </c>
      <c r="J73" s="134"/>
      <c r="K73" s="581" t="s">
        <v>95</v>
      </c>
      <c r="L73" s="134"/>
      <c r="M73" s="423" t="s">
        <v>794</v>
      </c>
      <c r="N73" s="134" t="s">
        <v>795</v>
      </c>
      <c r="O73" s="134">
        <v>4800.0</v>
      </c>
      <c r="P73" s="361" t="s">
        <v>796</v>
      </c>
      <c r="Q73" s="588">
        <v>0.4859237121878155</v>
      </c>
      <c r="R73" s="126" t="s">
        <v>10</v>
      </c>
      <c r="S73" s="49"/>
      <c r="T73" s="246">
        <v>1.6197457072927184</v>
      </c>
      <c r="U73" s="246">
        <v>0.971847424375631</v>
      </c>
      <c r="V73" s="246">
        <v>0.8098728536463592</v>
      </c>
      <c r="W73" s="246">
        <v>0.6478982829170874</v>
      </c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</row>
    <row r="74" ht="14.25" customHeight="1">
      <c r="A74" s="423" t="s">
        <v>84</v>
      </c>
      <c r="B74" s="423" t="s">
        <v>86</v>
      </c>
      <c r="C74" s="581" t="s">
        <v>788</v>
      </c>
      <c r="D74" s="582" t="s">
        <v>840</v>
      </c>
      <c r="E74" s="361" t="s">
        <v>577</v>
      </c>
      <c r="F74" s="134">
        <v>26.0</v>
      </c>
      <c r="G74" s="584" t="s">
        <v>845</v>
      </c>
      <c r="H74" s="584" t="s">
        <v>4037</v>
      </c>
      <c r="I74" s="582" t="s">
        <v>847</v>
      </c>
      <c r="J74" s="134"/>
      <c r="K74" s="581" t="s">
        <v>95</v>
      </c>
      <c r="L74" s="134"/>
      <c r="M74" s="423" t="s">
        <v>794</v>
      </c>
      <c r="N74" s="134" t="s">
        <v>795</v>
      </c>
      <c r="O74" s="134">
        <v>4800.0</v>
      </c>
      <c r="P74" s="361" t="s">
        <v>796</v>
      </c>
      <c r="Q74" s="588">
        <v>0.5381240638533424</v>
      </c>
      <c r="R74" s="126" t="s">
        <v>10</v>
      </c>
      <c r="S74" s="49"/>
      <c r="T74" s="246">
        <v>1.7937468795111415</v>
      </c>
      <c r="U74" s="246">
        <v>1.0762481277066849</v>
      </c>
      <c r="V74" s="246">
        <v>0.8968734397555708</v>
      </c>
      <c r="W74" s="246">
        <v>0.7174987518044567</v>
      </c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</row>
    <row r="75" ht="14.25" customHeight="1">
      <c r="A75" s="423" t="s">
        <v>84</v>
      </c>
      <c r="B75" s="423" t="s">
        <v>86</v>
      </c>
      <c r="C75" s="581" t="s">
        <v>788</v>
      </c>
      <c r="D75" s="582" t="s">
        <v>840</v>
      </c>
      <c r="E75" s="361" t="s">
        <v>577</v>
      </c>
      <c r="F75" s="134">
        <v>26.0</v>
      </c>
      <c r="G75" s="584" t="s">
        <v>849</v>
      </c>
      <c r="H75" s="584" t="s">
        <v>4038</v>
      </c>
      <c r="I75" s="582" t="s">
        <v>851</v>
      </c>
      <c r="J75" s="134"/>
      <c r="K75" s="581" t="s">
        <v>95</v>
      </c>
      <c r="L75" s="134"/>
      <c r="M75" s="423" t="s">
        <v>794</v>
      </c>
      <c r="N75" s="134" t="s">
        <v>795</v>
      </c>
      <c r="O75" s="134">
        <v>3200.0</v>
      </c>
      <c r="P75" s="361" t="s">
        <v>796</v>
      </c>
      <c r="Q75" s="588">
        <v>0.6895826719253686</v>
      </c>
      <c r="R75" s="126" t="s">
        <v>10</v>
      </c>
      <c r="S75" s="49"/>
      <c r="T75" s="246">
        <v>2.2986089064178956</v>
      </c>
      <c r="U75" s="246">
        <v>1.3791653438507374</v>
      </c>
      <c r="V75" s="246">
        <v>1.1493044532089478</v>
      </c>
      <c r="W75" s="246">
        <v>0.9194435625671583</v>
      </c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</row>
    <row r="76" ht="14.25" customHeight="1">
      <c r="A76" s="423" t="s">
        <v>84</v>
      </c>
      <c r="B76" s="423" t="s">
        <v>86</v>
      </c>
      <c r="C76" s="581" t="s">
        <v>788</v>
      </c>
      <c r="D76" s="582" t="s">
        <v>840</v>
      </c>
      <c r="E76" s="361" t="s">
        <v>577</v>
      </c>
      <c r="F76" s="134">
        <v>26.0</v>
      </c>
      <c r="G76" s="584" t="s">
        <v>853</v>
      </c>
      <c r="H76" s="584" t="s">
        <v>4039</v>
      </c>
      <c r="I76" s="582" t="s">
        <v>855</v>
      </c>
      <c r="J76" s="134"/>
      <c r="K76" s="581" t="s">
        <v>95</v>
      </c>
      <c r="L76" s="134"/>
      <c r="M76" s="423" t="s">
        <v>794</v>
      </c>
      <c r="N76" s="134" t="s">
        <v>795</v>
      </c>
      <c r="O76" s="134">
        <v>2240.0</v>
      </c>
      <c r="P76" s="361" t="s">
        <v>796</v>
      </c>
      <c r="Q76" s="588">
        <v>0.9748044994348233</v>
      </c>
      <c r="R76" s="126" t="s">
        <v>10</v>
      </c>
      <c r="S76" s="49"/>
      <c r="T76" s="246">
        <v>3.249348331449411</v>
      </c>
      <c r="U76" s="246">
        <v>1.9496089988696466</v>
      </c>
      <c r="V76" s="246">
        <v>1.6246741657247055</v>
      </c>
      <c r="W76" s="246">
        <v>1.2997393325797644</v>
      </c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</row>
    <row r="77" ht="14.25" customHeight="1">
      <c r="A77" s="423" t="s">
        <v>84</v>
      </c>
      <c r="B77" s="423" t="s">
        <v>86</v>
      </c>
      <c r="C77" s="581" t="s">
        <v>788</v>
      </c>
      <c r="D77" s="582" t="s">
        <v>840</v>
      </c>
      <c r="E77" s="361" t="s">
        <v>577</v>
      </c>
      <c r="F77" s="134">
        <v>26.0</v>
      </c>
      <c r="G77" s="584" t="s">
        <v>857</v>
      </c>
      <c r="H77" s="584" t="s">
        <v>4040</v>
      </c>
      <c r="I77" s="582" t="s">
        <v>859</v>
      </c>
      <c r="J77" s="134"/>
      <c r="K77" s="581" t="s">
        <v>95</v>
      </c>
      <c r="L77" s="134"/>
      <c r="M77" s="423" t="s">
        <v>794</v>
      </c>
      <c r="N77" s="134" t="s">
        <v>795</v>
      </c>
      <c r="O77" s="134">
        <v>1600.0</v>
      </c>
      <c r="P77" s="361" t="s">
        <v>796</v>
      </c>
      <c r="Q77" s="588">
        <v>1.2715593557682918</v>
      </c>
      <c r="R77" s="126" t="s">
        <v>10</v>
      </c>
      <c r="S77" s="49"/>
      <c r="T77" s="246">
        <v>4.238531185894306</v>
      </c>
      <c r="U77" s="246">
        <v>2.5431187115365836</v>
      </c>
      <c r="V77" s="246">
        <v>2.119265592947153</v>
      </c>
      <c r="W77" s="246">
        <v>1.6954124743577226</v>
      </c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</row>
    <row r="78" ht="14.25" customHeight="1">
      <c r="A78" s="423" t="s">
        <v>84</v>
      </c>
      <c r="B78" s="423" t="s">
        <v>86</v>
      </c>
      <c r="C78" s="581" t="s">
        <v>788</v>
      </c>
      <c r="D78" s="582" t="s">
        <v>840</v>
      </c>
      <c r="E78" s="361" t="s">
        <v>577</v>
      </c>
      <c r="F78" s="134">
        <v>26.0</v>
      </c>
      <c r="G78" s="584" t="s">
        <v>861</v>
      </c>
      <c r="H78" s="584" t="s">
        <v>4041</v>
      </c>
      <c r="I78" s="582" t="s">
        <v>863</v>
      </c>
      <c r="J78" s="134"/>
      <c r="K78" s="581" t="s">
        <v>95</v>
      </c>
      <c r="L78" s="134"/>
      <c r="M78" s="423" t="s">
        <v>794</v>
      </c>
      <c r="N78" s="134" t="s">
        <v>795</v>
      </c>
      <c r="O78" s="134">
        <v>960.0</v>
      </c>
      <c r="P78" s="361" t="s">
        <v>796</v>
      </c>
      <c r="Q78" s="588">
        <v>1.8860938466673183</v>
      </c>
      <c r="R78" s="126" t="s">
        <v>10</v>
      </c>
      <c r="S78" s="40"/>
      <c r="T78" s="246">
        <v>6.2869794888910615</v>
      </c>
      <c r="U78" s="246">
        <v>3.7721876933346365</v>
      </c>
      <c r="V78" s="246">
        <v>3.1434897444455308</v>
      </c>
      <c r="W78" s="246">
        <v>2.514791795556425</v>
      </c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</row>
    <row r="79" ht="14.25" customHeight="1">
      <c r="A79" s="423" t="s">
        <v>84</v>
      </c>
      <c r="B79" s="423" t="s">
        <v>86</v>
      </c>
      <c r="C79" s="581" t="s">
        <v>788</v>
      </c>
      <c r="D79" s="582" t="s">
        <v>840</v>
      </c>
      <c r="E79" s="361" t="s">
        <v>577</v>
      </c>
      <c r="F79" s="134">
        <v>26.0</v>
      </c>
      <c r="G79" s="584" t="s">
        <v>865</v>
      </c>
      <c r="H79" s="584" t="s">
        <v>4042</v>
      </c>
      <c r="I79" s="582" t="s">
        <v>867</v>
      </c>
      <c r="J79" s="134"/>
      <c r="K79" s="581" t="s">
        <v>95</v>
      </c>
      <c r="L79" s="134"/>
      <c r="M79" s="423" t="s">
        <v>794</v>
      </c>
      <c r="N79" s="134" t="s">
        <v>795</v>
      </c>
      <c r="O79" s="134">
        <v>640.0</v>
      </c>
      <c r="P79" s="361" t="s">
        <v>796</v>
      </c>
      <c r="Q79" s="588">
        <v>3.27223322872912</v>
      </c>
      <c r="R79" s="126" t="s">
        <v>10</v>
      </c>
      <c r="S79" s="40"/>
      <c r="T79" s="246">
        <v>10.907444095763735</v>
      </c>
      <c r="U79" s="246">
        <v>6.544466457458241</v>
      </c>
      <c r="V79" s="246">
        <v>5.453722047881867</v>
      </c>
      <c r="W79" s="246">
        <v>4.362977638305494</v>
      </c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</row>
    <row r="80" ht="14.25" customHeight="1">
      <c r="A80" s="423" t="s">
        <v>84</v>
      </c>
      <c r="B80" s="423" t="s">
        <v>86</v>
      </c>
      <c r="C80" s="581" t="s">
        <v>788</v>
      </c>
      <c r="D80" s="582" t="s">
        <v>840</v>
      </c>
      <c r="E80" s="361" t="s">
        <v>577</v>
      </c>
      <c r="F80" s="134">
        <v>26.0</v>
      </c>
      <c r="G80" s="584" t="s">
        <v>869</v>
      </c>
      <c r="H80" s="584" t="s">
        <v>4043</v>
      </c>
      <c r="I80" s="582" t="s">
        <v>871</v>
      </c>
      <c r="J80" s="134"/>
      <c r="K80" s="581" t="s">
        <v>95</v>
      </c>
      <c r="L80" s="134"/>
      <c r="M80" s="423" t="s">
        <v>794</v>
      </c>
      <c r="N80" s="134" t="s">
        <v>795</v>
      </c>
      <c r="O80" s="134">
        <v>4800.0</v>
      </c>
      <c r="P80" s="361" t="s">
        <v>796</v>
      </c>
      <c r="Q80" s="588">
        <v>0.5005749422448651</v>
      </c>
      <c r="R80" s="126" t="s">
        <v>10</v>
      </c>
      <c r="S80" s="40"/>
      <c r="T80" s="246">
        <v>1.668583140816217</v>
      </c>
      <c r="U80" s="246">
        <v>1.0011498844897302</v>
      </c>
      <c r="V80" s="246">
        <v>0.8342915704081085</v>
      </c>
      <c r="W80" s="246">
        <v>0.6674332563264869</v>
      </c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</row>
    <row r="81" ht="14.25" customHeight="1">
      <c r="A81" s="423" t="s">
        <v>84</v>
      </c>
      <c r="B81" s="423" t="s">
        <v>86</v>
      </c>
      <c r="C81" s="581" t="s">
        <v>788</v>
      </c>
      <c r="D81" s="582" t="s">
        <v>840</v>
      </c>
      <c r="E81" s="361" t="s">
        <v>577</v>
      </c>
      <c r="F81" s="134">
        <v>26.0</v>
      </c>
      <c r="G81" s="584" t="s">
        <v>872</v>
      </c>
      <c r="H81" s="584" t="s">
        <v>4044</v>
      </c>
      <c r="I81" s="582" t="s">
        <v>874</v>
      </c>
      <c r="J81" s="134"/>
      <c r="K81" s="581" t="s">
        <v>95</v>
      </c>
      <c r="L81" s="134"/>
      <c r="M81" s="423" t="s">
        <v>794</v>
      </c>
      <c r="N81" s="134" t="s">
        <v>795</v>
      </c>
      <c r="O81" s="134">
        <v>4800.0</v>
      </c>
      <c r="P81" s="361" t="s">
        <v>796</v>
      </c>
      <c r="Q81" s="588">
        <v>0.5555226808401567</v>
      </c>
      <c r="R81" s="126" t="s">
        <v>10</v>
      </c>
      <c r="S81" s="40"/>
      <c r="T81" s="246">
        <v>1.851742269467189</v>
      </c>
      <c r="U81" s="246">
        <v>1.1110453616803133</v>
      </c>
      <c r="V81" s="246">
        <v>0.9258711347335945</v>
      </c>
      <c r="W81" s="246">
        <v>0.7406969077868757</v>
      </c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</row>
    <row r="82" ht="14.25" customHeight="1">
      <c r="A82" s="423" t="s">
        <v>84</v>
      </c>
      <c r="B82" s="423" t="s">
        <v>86</v>
      </c>
      <c r="C82" s="581" t="s">
        <v>788</v>
      </c>
      <c r="D82" s="582" t="s">
        <v>840</v>
      </c>
      <c r="E82" s="361" t="s">
        <v>577</v>
      </c>
      <c r="F82" s="134">
        <v>26.0</v>
      </c>
      <c r="G82" s="584" t="s">
        <v>875</v>
      </c>
      <c r="H82" s="584" t="s">
        <v>4045</v>
      </c>
      <c r="I82" s="582" t="s">
        <v>877</v>
      </c>
      <c r="J82" s="134"/>
      <c r="K82" s="581" t="s">
        <v>95</v>
      </c>
      <c r="L82" s="134"/>
      <c r="M82" s="423" t="s">
        <v>794</v>
      </c>
      <c r="N82" s="134" t="s">
        <v>795</v>
      </c>
      <c r="O82" s="134">
        <v>3200.0</v>
      </c>
      <c r="P82" s="361" t="s">
        <v>796</v>
      </c>
      <c r="Q82" s="588">
        <v>0.7143088607690053</v>
      </c>
      <c r="R82" s="126" t="s">
        <v>10</v>
      </c>
      <c r="S82" s="49"/>
      <c r="T82" s="246">
        <v>2.3810295358966846</v>
      </c>
      <c r="U82" s="246">
        <v>1.4286177215380107</v>
      </c>
      <c r="V82" s="246">
        <v>1.1905147679483423</v>
      </c>
      <c r="W82" s="246">
        <v>0.952411814358674</v>
      </c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</row>
    <row r="83" ht="14.25" customHeight="1">
      <c r="A83" s="423" t="s">
        <v>84</v>
      </c>
      <c r="B83" s="423" t="s">
        <v>86</v>
      </c>
      <c r="C83" s="581" t="s">
        <v>788</v>
      </c>
      <c r="D83" s="582" t="s">
        <v>840</v>
      </c>
      <c r="E83" s="361" t="s">
        <v>577</v>
      </c>
      <c r="F83" s="134">
        <v>26.0</v>
      </c>
      <c r="G83" s="584" t="s">
        <v>878</v>
      </c>
      <c r="H83" s="584" t="s">
        <v>4046</v>
      </c>
      <c r="I83" s="582" t="s">
        <v>880</v>
      </c>
      <c r="J83" s="134"/>
      <c r="K83" s="581" t="s">
        <v>95</v>
      </c>
      <c r="L83" s="134"/>
      <c r="M83" s="423" t="s">
        <v>794</v>
      </c>
      <c r="N83" s="134" t="s">
        <v>795</v>
      </c>
      <c r="O83" s="134">
        <v>2240.0</v>
      </c>
      <c r="P83" s="361" t="s">
        <v>796</v>
      </c>
      <c r="Q83" s="588">
        <v>1.0137321040783969</v>
      </c>
      <c r="R83" s="126" t="s">
        <v>10</v>
      </c>
      <c r="S83" s="49"/>
      <c r="T83" s="246">
        <v>3.3791070135946564</v>
      </c>
      <c r="U83" s="246">
        <v>2.0274642081567937</v>
      </c>
      <c r="V83" s="246">
        <v>1.6895535067973282</v>
      </c>
      <c r="W83" s="246">
        <v>1.3516428054378626</v>
      </c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</row>
    <row r="84" ht="14.25" customHeight="1">
      <c r="A84" s="423" t="s">
        <v>84</v>
      </c>
      <c r="B84" s="423" t="s">
        <v>86</v>
      </c>
      <c r="C84" s="581" t="s">
        <v>788</v>
      </c>
      <c r="D84" s="582" t="s">
        <v>840</v>
      </c>
      <c r="E84" s="361" t="s">
        <v>577</v>
      </c>
      <c r="F84" s="134">
        <v>26.0</v>
      </c>
      <c r="G84" s="584" t="s">
        <v>881</v>
      </c>
      <c r="H84" s="584" t="s">
        <v>4047</v>
      </c>
      <c r="I84" s="582" t="s">
        <v>883</v>
      </c>
      <c r="J84" s="134"/>
      <c r="K84" s="581" t="s">
        <v>95</v>
      </c>
      <c r="L84" s="134"/>
      <c r="M84" s="423" t="s">
        <v>794</v>
      </c>
      <c r="N84" s="134" t="s">
        <v>795</v>
      </c>
      <c r="O84" s="134">
        <v>1600.0</v>
      </c>
      <c r="P84" s="361" t="s">
        <v>796</v>
      </c>
      <c r="Q84" s="588">
        <v>1.325140641163402</v>
      </c>
      <c r="R84" s="126" t="s">
        <v>10</v>
      </c>
      <c r="S84" s="49"/>
      <c r="T84" s="246">
        <v>4.4171354705446735</v>
      </c>
      <c r="U84" s="246">
        <v>2.650281282326804</v>
      </c>
      <c r="V84" s="246">
        <v>2.2085677352723367</v>
      </c>
      <c r="W84" s="246">
        <v>1.7668541882178694</v>
      </c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</row>
    <row r="85" ht="14.25" customHeight="1">
      <c r="A85" s="423" t="s">
        <v>84</v>
      </c>
      <c r="B85" s="423" t="s">
        <v>86</v>
      </c>
      <c r="C85" s="581" t="s">
        <v>788</v>
      </c>
      <c r="D85" s="582" t="s">
        <v>840</v>
      </c>
      <c r="E85" s="361" t="s">
        <v>577</v>
      </c>
      <c r="F85" s="134">
        <v>26.0</v>
      </c>
      <c r="G85" s="584" t="s">
        <v>884</v>
      </c>
      <c r="H85" s="584" t="s">
        <v>4048</v>
      </c>
      <c r="I85" s="582" t="s">
        <v>886</v>
      </c>
      <c r="J85" s="134"/>
      <c r="K85" s="581" t="s">
        <v>95</v>
      </c>
      <c r="L85" s="134"/>
      <c r="M85" s="423" t="s">
        <v>794</v>
      </c>
      <c r="N85" s="134" t="s">
        <v>795</v>
      </c>
      <c r="O85" s="134">
        <v>960.0</v>
      </c>
      <c r="P85" s="361" t="s">
        <v>796</v>
      </c>
      <c r="Q85" s="588">
        <v>1.9695215904432475</v>
      </c>
      <c r="R85" s="126" t="s">
        <v>10</v>
      </c>
      <c r="S85" s="49"/>
      <c r="T85" s="246">
        <v>6.565071968144158</v>
      </c>
      <c r="U85" s="246">
        <v>3.939043180886495</v>
      </c>
      <c r="V85" s="246">
        <v>3.282535984072079</v>
      </c>
      <c r="W85" s="246">
        <v>2.6260287872576633</v>
      </c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</row>
    <row r="86" ht="14.25" customHeight="1">
      <c r="A86" s="423" t="s">
        <v>84</v>
      </c>
      <c r="B86" s="423" t="s">
        <v>86</v>
      </c>
      <c r="C86" s="581" t="s">
        <v>788</v>
      </c>
      <c r="D86" s="582" t="s">
        <v>840</v>
      </c>
      <c r="E86" s="361" t="s">
        <v>577</v>
      </c>
      <c r="F86" s="134">
        <v>26.0</v>
      </c>
      <c r="G86" s="584" t="s">
        <v>887</v>
      </c>
      <c r="H86" s="584" t="s">
        <v>4049</v>
      </c>
      <c r="I86" s="582" t="s">
        <v>889</v>
      </c>
      <c r="J86" s="134"/>
      <c r="K86" s="581" t="s">
        <v>95</v>
      </c>
      <c r="L86" s="134"/>
      <c r="M86" s="423" t="s">
        <v>794</v>
      </c>
      <c r="N86" s="134" t="s">
        <v>795</v>
      </c>
      <c r="O86" s="134">
        <v>640.0</v>
      </c>
      <c r="P86" s="361" t="s">
        <v>796</v>
      </c>
      <c r="Q86" s="588">
        <v>3.425956278507075</v>
      </c>
      <c r="R86" s="126" t="s">
        <v>10</v>
      </c>
      <c r="S86" s="49"/>
      <c r="T86" s="246">
        <v>11.41985426169025</v>
      </c>
      <c r="U86" s="246">
        <v>6.85191255701415</v>
      </c>
      <c r="V86" s="246">
        <v>5.709927130845125</v>
      </c>
      <c r="W86" s="246">
        <v>4.567941704676101</v>
      </c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</row>
    <row r="87" ht="14.25" customHeight="1">
      <c r="A87" s="423" t="s">
        <v>84</v>
      </c>
      <c r="B87" s="423" t="s">
        <v>86</v>
      </c>
      <c r="C87" s="581" t="s">
        <v>788</v>
      </c>
      <c r="D87" s="582" t="s">
        <v>973</v>
      </c>
      <c r="E87" s="361" t="s">
        <v>577</v>
      </c>
      <c r="F87" s="134">
        <v>26.0</v>
      </c>
      <c r="G87" s="584" t="s">
        <v>1003</v>
      </c>
      <c r="H87" s="584" t="s">
        <v>4050</v>
      </c>
      <c r="I87" s="582" t="s">
        <v>977</v>
      </c>
      <c r="J87" s="134"/>
      <c r="K87" s="581" t="s">
        <v>95</v>
      </c>
      <c r="L87" s="134"/>
      <c r="M87" s="423" t="s">
        <v>794</v>
      </c>
      <c r="N87" s="134" t="s">
        <v>795</v>
      </c>
      <c r="O87" s="134">
        <v>3200.0</v>
      </c>
      <c r="P87" s="361" t="s">
        <v>796</v>
      </c>
      <c r="Q87" s="588">
        <v>0.5155463094113945</v>
      </c>
      <c r="R87" s="126" t="s">
        <v>10</v>
      </c>
      <c r="S87" s="49"/>
      <c r="T87" s="246">
        <v>1.7184876980379815</v>
      </c>
      <c r="U87" s="246">
        <v>1.031092618822789</v>
      </c>
      <c r="V87" s="246">
        <v>0.8592438490189908</v>
      </c>
      <c r="W87" s="246">
        <v>0.6873950792151926</v>
      </c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</row>
    <row r="88" ht="14.25" customHeight="1">
      <c r="A88" s="423" t="s">
        <v>84</v>
      </c>
      <c r="B88" s="423" t="s">
        <v>86</v>
      </c>
      <c r="C88" s="581" t="s">
        <v>788</v>
      </c>
      <c r="D88" s="582" t="s">
        <v>973</v>
      </c>
      <c r="E88" s="361" t="s">
        <v>577</v>
      </c>
      <c r="F88" s="134">
        <v>26.0</v>
      </c>
      <c r="G88" s="584" t="s">
        <v>1005</v>
      </c>
      <c r="H88" s="584" t="s">
        <v>4051</v>
      </c>
      <c r="I88" s="582" t="s">
        <v>982</v>
      </c>
      <c r="J88" s="134"/>
      <c r="K88" s="581" t="s">
        <v>95</v>
      </c>
      <c r="L88" s="134"/>
      <c r="M88" s="423" t="s">
        <v>794</v>
      </c>
      <c r="N88" s="134" t="s">
        <v>795</v>
      </c>
      <c r="O88" s="134">
        <v>2560.0</v>
      </c>
      <c r="P88" s="361" t="s">
        <v>796</v>
      </c>
      <c r="Q88" s="588">
        <v>0.5923682085273465</v>
      </c>
      <c r="R88" s="126" t="s">
        <v>10</v>
      </c>
      <c r="S88" s="49"/>
      <c r="T88" s="246">
        <v>1.9745606950911552</v>
      </c>
      <c r="U88" s="246">
        <v>1.184736417054693</v>
      </c>
      <c r="V88" s="246">
        <v>0.9872803475455776</v>
      </c>
      <c r="W88" s="246">
        <v>0.7898242780364622</v>
      </c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</row>
    <row r="89" ht="14.25" customHeight="1">
      <c r="A89" s="423" t="s">
        <v>84</v>
      </c>
      <c r="B89" s="423" t="s">
        <v>86</v>
      </c>
      <c r="C89" s="581" t="s">
        <v>788</v>
      </c>
      <c r="D89" s="582" t="s">
        <v>973</v>
      </c>
      <c r="E89" s="361" t="s">
        <v>577</v>
      </c>
      <c r="F89" s="134">
        <v>26.0</v>
      </c>
      <c r="G89" s="584" t="s">
        <v>1006</v>
      </c>
      <c r="H89" s="584" t="s">
        <v>4052</v>
      </c>
      <c r="I89" s="582" t="s">
        <v>986</v>
      </c>
      <c r="J89" s="134"/>
      <c r="K89" s="581" t="s">
        <v>95</v>
      </c>
      <c r="L89" s="134"/>
      <c r="M89" s="423" t="s">
        <v>794</v>
      </c>
      <c r="N89" s="134" t="s">
        <v>795</v>
      </c>
      <c r="O89" s="134">
        <v>1600.0</v>
      </c>
      <c r="P89" s="361" t="s">
        <v>796</v>
      </c>
      <c r="Q89" s="588">
        <v>0.7461601817741448</v>
      </c>
      <c r="R89" s="126" t="s">
        <v>10</v>
      </c>
      <c r="S89" s="49"/>
      <c r="T89" s="246">
        <v>2.487200605913816</v>
      </c>
      <c r="U89" s="246">
        <v>1.4923203635482896</v>
      </c>
      <c r="V89" s="246">
        <v>1.243600302956908</v>
      </c>
      <c r="W89" s="246">
        <v>0.9948802423655265</v>
      </c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</row>
    <row r="90" ht="14.25" customHeight="1">
      <c r="A90" s="423" t="s">
        <v>84</v>
      </c>
      <c r="B90" s="423" t="s">
        <v>86</v>
      </c>
      <c r="C90" s="581" t="s">
        <v>788</v>
      </c>
      <c r="D90" s="582" t="s">
        <v>973</v>
      </c>
      <c r="E90" s="361" t="s">
        <v>577</v>
      </c>
      <c r="F90" s="134">
        <v>26.0</v>
      </c>
      <c r="G90" s="584" t="s">
        <v>1007</v>
      </c>
      <c r="H90" s="584" t="s">
        <v>4053</v>
      </c>
      <c r="I90" s="582" t="s">
        <v>990</v>
      </c>
      <c r="J90" s="134"/>
      <c r="K90" s="581" t="s">
        <v>95</v>
      </c>
      <c r="L90" s="134"/>
      <c r="M90" s="423" t="s">
        <v>794</v>
      </c>
      <c r="N90" s="134" t="s">
        <v>795</v>
      </c>
      <c r="O90" s="134">
        <v>1280.0</v>
      </c>
      <c r="P90" s="361" t="s">
        <v>796</v>
      </c>
      <c r="Q90" s="588">
        <v>1.0464010653003275</v>
      </c>
      <c r="R90" s="126" t="s">
        <v>10</v>
      </c>
      <c r="S90" s="49"/>
      <c r="T90" s="246">
        <v>3.488003551001092</v>
      </c>
      <c r="U90" s="246">
        <v>2.092802130600655</v>
      </c>
      <c r="V90" s="246">
        <v>1.744001775500546</v>
      </c>
      <c r="W90" s="246">
        <v>1.3952014204004368</v>
      </c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</row>
    <row r="91" ht="14.25" customHeight="1">
      <c r="A91" s="423" t="s">
        <v>84</v>
      </c>
      <c r="B91" s="423" t="s">
        <v>86</v>
      </c>
      <c r="C91" s="581" t="s">
        <v>788</v>
      </c>
      <c r="D91" s="582" t="s">
        <v>973</v>
      </c>
      <c r="E91" s="361" t="s">
        <v>577</v>
      </c>
      <c r="F91" s="134">
        <v>26.0</v>
      </c>
      <c r="G91" s="584" t="s">
        <v>1008</v>
      </c>
      <c r="H91" s="584" t="s">
        <v>4054</v>
      </c>
      <c r="I91" s="582" t="s">
        <v>994</v>
      </c>
      <c r="J91" s="134"/>
      <c r="K91" s="581" t="s">
        <v>95</v>
      </c>
      <c r="L91" s="134"/>
      <c r="M91" s="423" t="s">
        <v>794</v>
      </c>
      <c r="N91" s="134" t="s">
        <v>795</v>
      </c>
      <c r="O91" s="134">
        <v>960.0</v>
      </c>
      <c r="P91" s="361" t="s">
        <v>796</v>
      </c>
      <c r="Q91" s="588">
        <v>1.3600750121660037</v>
      </c>
      <c r="R91" s="126" t="s">
        <v>10</v>
      </c>
      <c r="S91" s="49"/>
      <c r="T91" s="246">
        <v>4.533583373886679</v>
      </c>
      <c r="U91" s="246">
        <v>2.7201500243320074</v>
      </c>
      <c r="V91" s="246">
        <v>2.2667916869433395</v>
      </c>
      <c r="W91" s="246">
        <v>1.8134333495546717</v>
      </c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</row>
    <row r="92" ht="14.25" customHeight="1">
      <c r="A92" s="423" t="s">
        <v>84</v>
      </c>
      <c r="B92" s="423" t="s">
        <v>86</v>
      </c>
      <c r="C92" s="581" t="s">
        <v>788</v>
      </c>
      <c r="D92" s="582" t="s">
        <v>973</v>
      </c>
      <c r="E92" s="361" t="s">
        <v>577</v>
      </c>
      <c r="F92" s="134">
        <v>26.0</v>
      </c>
      <c r="G92" s="584" t="s">
        <v>1009</v>
      </c>
      <c r="H92" s="584" t="s">
        <v>4055</v>
      </c>
      <c r="I92" s="582" t="s">
        <v>998</v>
      </c>
      <c r="J92" s="134"/>
      <c r="K92" s="581" t="s">
        <v>95</v>
      </c>
      <c r="L92" s="134"/>
      <c r="M92" s="423" t="s">
        <v>794</v>
      </c>
      <c r="N92" s="134" t="s">
        <v>795</v>
      </c>
      <c r="O92" s="134">
        <v>640.0</v>
      </c>
      <c r="P92" s="361" t="s">
        <v>796</v>
      </c>
      <c r="Q92" s="588">
        <v>2.0417852043554072</v>
      </c>
      <c r="R92" s="126" t="s">
        <v>10</v>
      </c>
      <c r="S92" s="49"/>
      <c r="T92" s="246">
        <v>6.805950681184691</v>
      </c>
      <c r="U92" s="246">
        <v>4.0835704087108144</v>
      </c>
      <c r="V92" s="246">
        <v>3.4029753405923455</v>
      </c>
      <c r="W92" s="246">
        <v>2.7223802724738766</v>
      </c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</row>
    <row r="93" ht="14.25" customHeight="1">
      <c r="A93" s="423" t="s">
        <v>84</v>
      </c>
      <c r="B93" s="423" t="s">
        <v>86</v>
      </c>
      <c r="C93" s="581" t="s">
        <v>788</v>
      </c>
      <c r="D93" s="582" t="s">
        <v>973</v>
      </c>
      <c r="E93" s="361" t="s">
        <v>577</v>
      </c>
      <c r="F93" s="134">
        <v>26.0</v>
      </c>
      <c r="G93" s="584" t="s">
        <v>1010</v>
      </c>
      <c r="H93" s="584" t="s">
        <v>4056</v>
      </c>
      <c r="I93" s="581" t="s">
        <v>1002</v>
      </c>
      <c r="J93" s="134"/>
      <c r="K93" s="423" t="s">
        <v>95</v>
      </c>
      <c r="L93" s="134"/>
      <c r="M93" s="423" t="s">
        <v>794</v>
      </c>
      <c r="N93" s="134" t="s">
        <v>795</v>
      </c>
      <c r="O93" s="134">
        <v>220.0</v>
      </c>
      <c r="P93" s="361" t="s">
        <v>796</v>
      </c>
      <c r="Q93" s="588">
        <v>3.934489475237137</v>
      </c>
      <c r="R93" s="126" t="s">
        <v>10</v>
      </c>
      <c r="S93" s="49"/>
      <c r="T93" s="246">
        <v>13.114964917457124</v>
      </c>
      <c r="U93" s="246">
        <v>7.868978950474274</v>
      </c>
      <c r="V93" s="246">
        <v>6.557482458728562</v>
      </c>
      <c r="W93" s="246">
        <v>5.24598596698285</v>
      </c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</row>
    <row r="94" ht="14.25" customHeight="1">
      <c r="A94" s="423" t="s">
        <v>84</v>
      </c>
      <c r="B94" s="423" t="s">
        <v>86</v>
      </c>
      <c r="C94" s="581" t="s">
        <v>788</v>
      </c>
      <c r="D94" s="582" t="s">
        <v>973</v>
      </c>
      <c r="E94" s="361" t="s">
        <v>577</v>
      </c>
      <c r="F94" s="134">
        <v>26.0</v>
      </c>
      <c r="G94" s="584" t="s">
        <v>1012</v>
      </c>
      <c r="H94" s="584" t="s">
        <v>4057</v>
      </c>
      <c r="I94" s="582" t="s">
        <v>1014</v>
      </c>
      <c r="J94" s="134"/>
      <c r="K94" s="581" t="s">
        <v>95</v>
      </c>
      <c r="L94" s="134"/>
      <c r="M94" s="423" t="s">
        <v>1015</v>
      </c>
      <c r="N94" s="134" t="s">
        <v>795</v>
      </c>
      <c r="O94" s="134">
        <v>256.0</v>
      </c>
      <c r="P94" s="361" t="s">
        <v>796</v>
      </c>
      <c r="Q94" s="588">
        <v>5.576561289687919</v>
      </c>
      <c r="R94" s="126" t="s">
        <v>10</v>
      </c>
      <c r="S94" s="49"/>
      <c r="T94" s="246">
        <v>18.588537632293065</v>
      </c>
      <c r="U94" s="246">
        <v>11.153122579375838</v>
      </c>
      <c r="V94" s="246">
        <v>9.294268816146532</v>
      </c>
      <c r="W94" s="246">
        <v>7.435415052917226</v>
      </c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</row>
    <row r="95" ht="14.25" customHeight="1">
      <c r="A95" s="423" t="s">
        <v>84</v>
      </c>
      <c r="B95" s="423" t="s">
        <v>86</v>
      </c>
      <c r="C95" s="581" t="s">
        <v>788</v>
      </c>
      <c r="D95" s="582" t="s">
        <v>973</v>
      </c>
      <c r="E95" s="361" t="s">
        <v>577</v>
      </c>
      <c r="F95" s="134">
        <v>26.0</v>
      </c>
      <c r="G95" s="584" t="s">
        <v>1017</v>
      </c>
      <c r="H95" s="584" t="s">
        <v>4058</v>
      </c>
      <c r="I95" s="582" t="s">
        <v>1019</v>
      </c>
      <c r="J95" s="134"/>
      <c r="K95" s="581" t="s">
        <v>95</v>
      </c>
      <c r="L95" s="134"/>
      <c r="M95" s="423" t="s">
        <v>1015</v>
      </c>
      <c r="N95" s="134" t="s">
        <v>795</v>
      </c>
      <c r="O95" s="134">
        <v>256.0</v>
      </c>
      <c r="P95" s="361" t="s">
        <v>796</v>
      </c>
      <c r="Q95" s="588">
        <v>7.234968310891039</v>
      </c>
      <c r="R95" s="126" t="s">
        <v>10</v>
      </c>
      <c r="S95" s="49"/>
      <c r="T95" s="246">
        <v>24.116561036303466</v>
      </c>
      <c r="U95" s="246">
        <v>14.469936621782079</v>
      </c>
      <c r="V95" s="246">
        <v>12.058280518151733</v>
      </c>
      <c r="W95" s="246">
        <v>9.646624414521387</v>
      </c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</row>
    <row r="96" ht="14.25" customHeight="1">
      <c r="A96" s="423" t="s">
        <v>84</v>
      </c>
      <c r="B96" s="423" t="s">
        <v>86</v>
      </c>
      <c r="C96" s="581" t="s">
        <v>788</v>
      </c>
      <c r="D96" s="582" t="s">
        <v>973</v>
      </c>
      <c r="E96" s="361" t="s">
        <v>577</v>
      </c>
      <c r="F96" s="134">
        <v>26.0</v>
      </c>
      <c r="G96" s="584" t="s">
        <v>1021</v>
      </c>
      <c r="H96" s="584" t="s">
        <v>778</v>
      </c>
      <c r="I96" s="582" t="s">
        <v>1023</v>
      </c>
      <c r="J96" s="134"/>
      <c r="K96" s="581" t="s">
        <v>95</v>
      </c>
      <c r="L96" s="134"/>
      <c r="M96" s="423" t="s">
        <v>1015</v>
      </c>
      <c r="N96" s="134" t="s">
        <v>795</v>
      </c>
      <c r="O96" s="264">
        <v>192.0</v>
      </c>
      <c r="P96" s="361" t="s">
        <v>796</v>
      </c>
      <c r="Q96" s="588">
        <v>9.036093985684811</v>
      </c>
      <c r="R96" s="126" t="s">
        <v>10</v>
      </c>
      <c r="S96" s="49"/>
      <c r="T96" s="246">
        <v>30.12031328561604</v>
      </c>
      <c r="U96" s="246">
        <v>18.072187971369623</v>
      </c>
      <c r="V96" s="246">
        <v>15.06015664280802</v>
      </c>
      <c r="W96" s="246">
        <v>12.048125314246416</v>
      </c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</row>
    <row r="97" ht="14.25" customHeight="1">
      <c r="A97" s="423" t="s">
        <v>84</v>
      </c>
      <c r="B97" s="423" t="s">
        <v>86</v>
      </c>
      <c r="C97" s="581" t="s">
        <v>788</v>
      </c>
      <c r="D97" s="582" t="s">
        <v>973</v>
      </c>
      <c r="E97" s="361" t="s">
        <v>577</v>
      </c>
      <c r="F97" s="134">
        <v>26.0</v>
      </c>
      <c r="G97" s="584" t="s">
        <v>1024</v>
      </c>
      <c r="H97" s="584" t="s">
        <v>778</v>
      </c>
      <c r="I97" s="582" t="s">
        <v>1026</v>
      </c>
      <c r="J97" s="134"/>
      <c r="K97" s="581" t="s">
        <v>95</v>
      </c>
      <c r="L97" s="134"/>
      <c r="M97" s="423" t="s">
        <v>1015</v>
      </c>
      <c r="N97" s="134" t="s">
        <v>795</v>
      </c>
      <c r="O97" s="264">
        <v>192.0</v>
      </c>
      <c r="P97" s="361" t="s">
        <v>796</v>
      </c>
      <c r="Q97" s="588">
        <v>10.65116194546066</v>
      </c>
      <c r="R97" s="126" t="s">
        <v>10</v>
      </c>
      <c r="S97" s="49"/>
      <c r="T97" s="246">
        <v>35.50387315153553</v>
      </c>
      <c r="U97" s="246">
        <v>21.30232389092132</v>
      </c>
      <c r="V97" s="246">
        <v>17.751936575767765</v>
      </c>
      <c r="W97" s="246">
        <v>14.201549260614213</v>
      </c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</row>
    <row r="98" ht="14.25" customHeight="1">
      <c r="A98" s="423" t="s">
        <v>84</v>
      </c>
      <c r="B98" s="423" t="s">
        <v>86</v>
      </c>
      <c r="C98" s="581" t="s">
        <v>788</v>
      </c>
      <c r="D98" s="582" t="s">
        <v>973</v>
      </c>
      <c r="E98" s="361" t="s">
        <v>577</v>
      </c>
      <c r="F98" s="134">
        <v>26.0</v>
      </c>
      <c r="G98" s="584" t="s">
        <v>1027</v>
      </c>
      <c r="H98" s="584" t="s">
        <v>778</v>
      </c>
      <c r="I98" s="582" t="s">
        <v>1029</v>
      </c>
      <c r="J98" s="134"/>
      <c r="K98" s="581" t="s">
        <v>95</v>
      </c>
      <c r="L98" s="134"/>
      <c r="M98" s="423" t="s">
        <v>1015</v>
      </c>
      <c r="N98" s="134" t="s">
        <v>795</v>
      </c>
      <c r="O98" s="264">
        <v>128.0</v>
      </c>
      <c r="P98" s="361" t="s">
        <v>796</v>
      </c>
      <c r="Q98" s="588">
        <v>17.424731916948602</v>
      </c>
      <c r="R98" s="126" t="s">
        <v>10</v>
      </c>
      <c r="S98" s="49"/>
      <c r="T98" s="246">
        <v>58.08243972316201</v>
      </c>
      <c r="U98" s="246">
        <v>34.849463833897204</v>
      </c>
      <c r="V98" s="246">
        <v>29.041219861581006</v>
      </c>
      <c r="W98" s="246">
        <v>23.232975889264807</v>
      </c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</row>
    <row r="99" ht="14.25" customHeight="1">
      <c r="A99" s="423" t="s">
        <v>84</v>
      </c>
      <c r="B99" s="423" t="s">
        <v>86</v>
      </c>
      <c r="C99" s="581" t="s">
        <v>788</v>
      </c>
      <c r="D99" s="582" t="s">
        <v>973</v>
      </c>
      <c r="E99" s="361" t="s">
        <v>577</v>
      </c>
      <c r="F99" s="134">
        <v>26.0</v>
      </c>
      <c r="G99" s="584" t="s">
        <v>1030</v>
      </c>
      <c r="H99" s="584" t="s">
        <v>778</v>
      </c>
      <c r="I99" s="582" t="s">
        <v>1032</v>
      </c>
      <c r="J99" s="134"/>
      <c r="K99" s="581" t="s">
        <v>95</v>
      </c>
      <c r="L99" s="134"/>
      <c r="M99" s="423" t="s">
        <v>1015</v>
      </c>
      <c r="N99" s="134" t="s">
        <v>795</v>
      </c>
      <c r="O99" s="264">
        <v>128.0</v>
      </c>
      <c r="P99" s="361" t="s">
        <v>796</v>
      </c>
      <c r="Q99" s="588">
        <v>24.90899657002286</v>
      </c>
      <c r="R99" s="126" t="s">
        <v>10</v>
      </c>
      <c r="S99" s="49"/>
      <c r="T99" s="246">
        <v>83.02998856674287</v>
      </c>
      <c r="U99" s="246">
        <v>49.81799314004572</v>
      </c>
      <c r="V99" s="246">
        <v>41.514994283371436</v>
      </c>
      <c r="W99" s="246">
        <v>33.21199542669715</v>
      </c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</row>
    <row r="100" ht="14.25" customHeight="1">
      <c r="A100" s="423" t="s">
        <v>84</v>
      </c>
      <c r="B100" s="423" t="s">
        <v>86</v>
      </c>
      <c r="C100" s="581" t="s">
        <v>788</v>
      </c>
      <c r="D100" s="582" t="s">
        <v>973</v>
      </c>
      <c r="E100" s="361" t="s">
        <v>577</v>
      </c>
      <c r="F100" s="134">
        <v>26.0</v>
      </c>
      <c r="G100" s="584" t="s">
        <v>1033</v>
      </c>
      <c r="H100" s="584" t="s">
        <v>778</v>
      </c>
      <c r="I100" s="582" t="s">
        <v>1035</v>
      </c>
      <c r="J100" s="134"/>
      <c r="K100" s="581" t="s">
        <v>95</v>
      </c>
      <c r="L100" s="134"/>
      <c r="M100" s="423" t="s">
        <v>1015</v>
      </c>
      <c r="N100" s="134" t="s">
        <v>795</v>
      </c>
      <c r="O100" s="264">
        <v>64.0</v>
      </c>
      <c r="P100" s="361" t="s">
        <v>796</v>
      </c>
      <c r="Q100" s="588">
        <v>24.90899657002286</v>
      </c>
      <c r="R100" s="126" t="s">
        <v>10</v>
      </c>
      <c r="S100" s="49"/>
      <c r="T100" s="246">
        <v>83.02998856674287</v>
      </c>
      <c r="U100" s="246">
        <v>49.81799314004572</v>
      </c>
      <c r="V100" s="246">
        <v>41.514994283371436</v>
      </c>
      <c r="W100" s="246">
        <v>33.21199542669715</v>
      </c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</row>
    <row r="101" ht="14.25" customHeight="1">
      <c r="A101" s="423" t="s">
        <v>84</v>
      </c>
      <c r="B101" s="423" t="s">
        <v>86</v>
      </c>
      <c r="C101" s="581" t="s">
        <v>788</v>
      </c>
      <c r="D101" s="582" t="s">
        <v>1135</v>
      </c>
      <c r="E101" s="361" t="s">
        <v>577</v>
      </c>
      <c r="F101" s="134">
        <v>26.0</v>
      </c>
      <c r="G101" s="584" t="s">
        <v>1136</v>
      </c>
      <c r="H101" s="584" t="s">
        <v>4059</v>
      </c>
      <c r="I101" s="582" t="s">
        <v>1138</v>
      </c>
      <c r="J101" s="134"/>
      <c r="K101" s="581" t="s">
        <v>95</v>
      </c>
      <c r="L101" s="134"/>
      <c r="M101" s="423" t="s">
        <v>794</v>
      </c>
      <c r="N101" s="134" t="s">
        <v>795</v>
      </c>
      <c r="O101" s="134">
        <v>4800.0</v>
      </c>
      <c r="P101" s="134" t="s">
        <v>796</v>
      </c>
      <c r="Q101" s="588">
        <v>0.0</v>
      </c>
      <c r="R101" s="126" t="s">
        <v>10</v>
      </c>
      <c r="S101" s="49"/>
      <c r="T101" s="246">
        <v>0.0</v>
      </c>
      <c r="U101" s="246">
        <v>0.0</v>
      </c>
      <c r="V101" s="246">
        <v>0.0</v>
      </c>
      <c r="W101" s="246">
        <v>0.0</v>
      </c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</row>
    <row r="102" ht="14.25" customHeight="1">
      <c r="A102" s="423" t="s">
        <v>84</v>
      </c>
      <c r="B102" s="423" t="s">
        <v>86</v>
      </c>
      <c r="C102" s="581" t="s">
        <v>788</v>
      </c>
      <c r="D102" s="582" t="s">
        <v>1135</v>
      </c>
      <c r="E102" s="361" t="s">
        <v>577</v>
      </c>
      <c r="F102" s="134">
        <v>26.0</v>
      </c>
      <c r="G102" s="584" t="s">
        <v>1140</v>
      </c>
      <c r="H102" s="584" t="s">
        <v>4060</v>
      </c>
      <c r="I102" s="582" t="s">
        <v>1142</v>
      </c>
      <c r="J102" s="134"/>
      <c r="K102" s="581" t="s">
        <v>95</v>
      </c>
      <c r="L102" s="134"/>
      <c r="M102" s="423" t="s">
        <v>794</v>
      </c>
      <c r="N102" s="134" t="s">
        <v>795</v>
      </c>
      <c r="O102" s="134">
        <v>4800.0</v>
      </c>
      <c r="P102" s="134" t="s">
        <v>796</v>
      </c>
      <c r="Q102" s="588">
        <v>3.869782112996069</v>
      </c>
      <c r="R102" s="126" t="s">
        <v>10</v>
      </c>
      <c r="S102" s="49"/>
      <c r="T102" s="246">
        <v>12.899273709986897</v>
      </c>
      <c r="U102" s="246">
        <v>7.739564225992138</v>
      </c>
      <c r="V102" s="246">
        <v>6.449636854993448</v>
      </c>
      <c r="W102" s="246">
        <v>5.159709483994759</v>
      </c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</row>
    <row r="103" ht="14.25" customHeight="1">
      <c r="A103" s="423" t="s">
        <v>84</v>
      </c>
      <c r="B103" s="423" t="s">
        <v>86</v>
      </c>
      <c r="C103" s="581" t="s">
        <v>788</v>
      </c>
      <c r="D103" s="582" t="s">
        <v>1135</v>
      </c>
      <c r="E103" s="361" t="s">
        <v>577</v>
      </c>
      <c r="F103" s="134">
        <v>26.0</v>
      </c>
      <c r="G103" s="584" t="s">
        <v>1146</v>
      </c>
      <c r="H103" s="584" t="s">
        <v>4061</v>
      </c>
      <c r="I103" s="582" t="s">
        <v>1148</v>
      </c>
      <c r="J103" s="134"/>
      <c r="K103" s="581" t="s">
        <v>95</v>
      </c>
      <c r="L103" s="134"/>
      <c r="M103" s="423" t="s">
        <v>794</v>
      </c>
      <c r="N103" s="134" t="s">
        <v>795</v>
      </c>
      <c r="O103" s="134">
        <v>3200.0</v>
      </c>
      <c r="P103" s="134" t="s">
        <v>796</v>
      </c>
      <c r="Q103" s="588">
        <v>4.395874204953709</v>
      </c>
      <c r="R103" s="126" t="s">
        <v>10</v>
      </c>
      <c r="S103" s="49"/>
      <c r="T103" s="246">
        <v>14.652914016512364</v>
      </c>
      <c r="U103" s="246">
        <v>8.791748409907418</v>
      </c>
      <c r="V103" s="246">
        <v>7.326457008256182</v>
      </c>
      <c r="W103" s="246">
        <v>5.861165606604946</v>
      </c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</row>
    <row r="104" ht="14.25" customHeight="1">
      <c r="A104" s="423" t="s">
        <v>84</v>
      </c>
      <c r="B104" s="423" t="s">
        <v>86</v>
      </c>
      <c r="C104" s="581" t="s">
        <v>788</v>
      </c>
      <c r="D104" s="582" t="s">
        <v>1135</v>
      </c>
      <c r="E104" s="361" t="s">
        <v>577</v>
      </c>
      <c r="F104" s="134">
        <v>26.0</v>
      </c>
      <c r="G104" s="584" t="s">
        <v>1149</v>
      </c>
      <c r="H104" s="584" t="s">
        <v>4062</v>
      </c>
      <c r="I104" s="582" t="s">
        <v>1151</v>
      </c>
      <c r="J104" s="134"/>
      <c r="K104" s="581" t="s">
        <v>95</v>
      </c>
      <c r="L104" s="134"/>
      <c r="M104" s="423" t="s">
        <v>794</v>
      </c>
      <c r="N104" s="134" t="s">
        <v>795</v>
      </c>
      <c r="O104" s="134">
        <v>2240.0</v>
      </c>
      <c r="P104" s="134" t="s">
        <v>796</v>
      </c>
      <c r="Q104" s="588">
        <v>5.437724394159998</v>
      </c>
      <c r="R104" s="126" t="s">
        <v>10</v>
      </c>
      <c r="S104" s="49"/>
      <c r="T104" s="246">
        <v>18.12574798053333</v>
      </c>
      <c r="U104" s="246">
        <v>10.875448788319998</v>
      </c>
      <c r="V104" s="246">
        <v>9.062873990266665</v>
      </c>
      <c r="W104" s="246">
        <v>7.250299192213332</v>
      </c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</row>
    <row r="105" ht="14.25" customHeight="1">
      <c r="A105" s="423" t="s">
        <v>84</v>
      </c>
      <c r="B105" s="423" t="s">
        <v>86</v>
      </c>
      <c r="C105" s="581" t="s">
        <v>788</v>
      </c>
      <c r="D105" s="582" t="s">
        <v>1135</v>
      </c>
      <c r="E105" s="361" t="s">
        <v>577</v>
      </c>
      <c r="F105" s="134">
        <v>26.0</v>
      </c>
      <c r="G105" s="584" t="s">
        <v>1152</v>
      </c>
      <c r="H105" s="584" t="s">
        <v>4063</v>
      </c>
      <c r="I105" s="582" t="s">
        <v>1154</v>
      </c>
      <c r="J105" s="134"/>
      <c r="K105" s="581" t="s">
        <v>95</v>
      </c>
      <c r="L105" s="134"/>
      <c r="M105" s="423" t="s">
        <v>794</v>
      </c>
      <c r="N105" s="134" t="s">
        <v>795</v>
      </c>
      <c r="O105" s="134">
        <v>1600.0</v>
      </c>
      <c r="P105" s="134" t="s">
        <v>796</v>
      </c>
      <c r="Q105" s="588">
        <v>6.524238397208386</v>
      </c>
      <c r="R105" s="126" t="s">
        <v>10</v>
      </c>
      <c r="S105" s="49"/>
      <c r="T105" s="246">
        <v>21.747461324027952</v>
      </c>
      <c r="U105" s="246">
        <v>13.048476794416771</v>
      </c>
      <c r="V105" s="246">
        <v>10.873730662013976</v>
      </c>
      <c r="W105" s="246">
        <v>8.698984529611181</v>
      </c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</row>
    <row r="106" ht="14.25" customHeight="1">
      <c r="A106" s="423" t="s">
        <v>84</v>
      </c>
      <c r="B106" s="423" t="s">
        <v>86</v>
      </c>
      <c r="C106" s="581" t="s">
        <v>788</v>
      </c>
      <c r="D106" s="582" t="s">
        <v>1135</v>
      </c>
      <c r="E106" s="361" t="s">
        <v>577</v>
      </c>
      <c r="F106" s="134">
        <v>26.0</v>
      </c>
      <c r="G106" s="584" t="s">
        <v>1155</v>
      </c>
      <c r="H106" s="584" t="s">
        <v>4064</v>
      </c>
      <c r="I106" s="582" t="s">
        <v>1157</v>
      </c>
      <c r="J106" s="134"/>
      <c r="K106" s="581" t="s">
        <v>95</v>
      </c>
      <c r="L106" s="134"/>
      <c r="M106" s="423" t="s">
        <v>794</v>
      </c>
      <c r="N106" s="134" t="s">
        <v>795</v>
      </c>
      <c r="O106" s="134">
        <v>960.0</v>
      </c>
      <c r="P106" s="134" t="s">
        <v>796</v>
      </c>
      <c r="Q106" s="588">
        <v>8.321559593196794</v>
      </c>
      <c r="R106" s="126" t="s">
        <v>10</v>
      </c>
      <c r="S106" s="49"/>
      <c r="T106" s="246">
        <v>27.738531977322648</v>
      </c>
      <c r="U106" s="246">
        <v>16.643119186393587</v>
      </c>
      <c r="V106" s="246">
        <v>13.869265988661324</v>
      </c>
      <c r="W106" s="246">
        <v>11.09541279092906</v>
      </c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</row>
    <row r="107" ht="12.75" customHeight="1">
      <c r="A107" s="423" t="s">
        <v>84</v>
      </c>
      <c r="B107" s="423" t="s">
        <v>86</v>
      </c>
      <c r="C107" s="423" t="s">
        <v>1158</v>
      </c>
      <c r="D107" s="581" t="s">
        <v>1158</v>
      </c>
      <c r="E107" s="361" t="s">
        <v>1159</v>
      </c>
      <c r="F107" s="134"/>
      <c r="G107" s="584" t="s">
        <v>1173</v>
      </c>
      <c r="H107" s="584" t="s">
        <v>4065</v>
      </c>
      <c r="I107" s="589" t="s">
        <v>1175</v>
      </c>
      <c r="J107" s="134"/>
      <c r="K107" s="581" t="s">
        <v>95</v>
      </c>
      <c r="L107" s="134"/>
      <c r="M107" s="423" t="s">
        <v>554</v>
      </c>
      <c r="N107" s="134" t="s">
        <v>1176</v>
      </c>
      <c r="O107" s="134">
        <v>240.0</v>
      </c>
      <c r="P107" s="134" t="s">
        <v>1650</v>
      </c>
      <c r="Q107" s="498">
        <v>5.895977709243315</v>
      </c>
      <c r="R107" s="126" t="s">
        <v>10</v>
      </c>
      <c r="S107" s="49"/>
      <c r="T107" s="224">
        <v>19.65325903081105</v>
      </c>
      <c r="U107" s="224">
        <v>11.79195541848663</v>
      </c>
      <c r="V107" s="224">
        <v>9.826629515405525</v>
      </c>
      <c r="W107" s="224">
        <v>7.86130361232442</v>
      </c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</row>
    <row r="108" ht="14.25" customHeight="1">
      <c r="A108" s="423" t="s">
        <v>84</v>
      </c>
      <c r="B108" s="423" t="s">
        <v>86</v>
      </c>
      <c r="C108" s="423" t="s">
        <v>1158</v>
      </c>
      <c r="D108" s="581" t="s">
        <v>1158</v>
      </c>
      <c r="E108" s="361" t="s">
        <v>1159</v>
      </c>
      <c r="F108" s="134"/>
      <c r="G108" s="584" t="s">
        <v>1179</v>
      </c>
      <c r="H108" s="584" t="s">
        <v>4066</v>
      </c>
      <c r="I108" s="582" t="s">
        <v>1181</v>
      </c>
      <c r="J108" s="134"/>
      <c r="K108" s="581" t="s">
        <v>95</v>
      </c>
      <c r="L108" s="134"/>
      <c r="M108" s="423" t="s">
        <v>554</v>
      </c>
      <c r="N108" s="134" t="s">
        <v>1176</v>
      </c>
      <c r="O108" s="134">
        <v>320.0</v>
      </c>
      <c r="P108" s="134" t="s">
        <v>1650</v>
      </c>
      <c r="Q108" s="498">
        <v>11.94825705113143</v>
      </c>
      <c r="R108" s="126" t="s">
        <v>10</v>
      </c>
      <c r="S108" s="49"/>
      <c r="T108" s="224">
        <v>39.82752350377143</v>
      </c>
      <c r="U108" s="224">
        <v>23.89651410226286</v>
      </c>
      <c r="V108" s="224">
        <v>19.913761751885716</v>
      </c>
      <c r="W108" s="224">
        <v>15.931009401508573</v>
      </c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</row>
    <row r="109" ht="14.25" customHeight="1">
      <c r="A109" s="423" t="s">
        <v>84</v>
      </c>
      <c r="B109" s="423" t="s">
        <v>86</v>
      </c>
      <c r="C109" s="423" t="s">
        <v>1158</v>
      </c>
      <c r="D109" s="581" t="s">
        <v>1158</v>
      </c>
      <c r="E109" s="361" t="s">
        <v>1159</v>
      </c>
      <c r="F109" s="134"/>
      <c r="G109" s="584" t="s">
        <v>1189</v>
      </c>
      <c r="H109" s="584" t="s">
        <v>4067</v>
      </c>
      <c r="I109" s="582" t="s">
        <v>1167</v>
      </c>
      <c r="J109" s="134"/>
      <c r="K109" s="581" t="s">
        <v>95</v>
      </c>
      <c r="L109" s="134"/>
      <c r="M109" s="423" t="s">
        <v>554</v>
      </c>
      <c r="N109" s="134" t="s">
        <v>1176</v>
      </c>
      <c r="O109" s="134">
        <v>240.0</v>
      </c>
      <c r="P109" s="134" t="s">
        <v>1650</v>
      </c>
      <c r="Q109" s="498">
        <v>6.00025156114892</v>
      </c>
      <c r="R109" s="126" t="s">
        <v>10</v>
      </c>
      <c r="S109" s="49"/>
      <c r="T109" s="224">
        <v>20.000838537163066</v>
      </c>
      <c r="U109" s="224">
        <v>12.00050312229784</v>
      </c>
      <c r="V109" s="224">
        <v>10.000419268581533</v>
      </c>
      <c r="W109" s="224">
        <v>8.000335414865226</v>
      </c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</row>
    <row r="110" ht="14.25" customHeight="1">
      <c r="A110" s="423" t="s">
        <v>84</v>
      </c>
      <c r="B110" s="423" t="s">
        <v>86</v>
      </c>
      <c r="C110" s="423" t="s">
        <v>1158</v>
      </c>
      <c r="D110" s="581" t="s">
        <v>1158</v>
      </c>
      <c r="E110" s="361" t="s">
        <v>1159</v>
      </c>
      <c r="F110" s="134"/>
      <c r="G110" s="584" t="s">
        <v>1196</v>
      </c>
      <c r="H110" s="584" t="s">
        <v>4068</v>
      </c>
      <c r="I110" s="582" t="s">
        <v>1198</v>
      </c>
      <c r="J110" s="134"/>
      <c r="K110" s="581" t="s">
        <v>95</v>
      </c>
      <c r="L110" s="134"/>
      <c r="M110" s="423" t="s">
        <v>554</v>
      </c>
      <c r="N110" s="134" t="s">
        <v>1176</v>
      </c>
      <c r="O110" s="134">
        <v>240.0</v>
      </c>
      <c r="P110" s="134" t="s">
        <v>1650</v>
      </c>
      <c r="Q110" s="498">
        <v>8.637527632154967</v>
      </c>
      <c r="R110" s="126" t="s">
        <v>10</v>
      </c>
      <c r="S110" s="49"/>
      <c r="T110" s="224">
        <v>28.791758773849892</v>
      </c>
      <c r="U110" s="224">
        <v>17.275055264309934</v>
      </c>
      <c r="V110" s="224">
        <v>14.395879386924946</v>
      </c>
      <c r="W110" s="224">
        <v>11.516703509539958</v>
      </c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</row>
    <row r="111" ht="14.25" customHeight="1">
      <c r="A111" s="582" t="s">
        <v>84</v>
      </c>
      <c r="B111" s="582" t="s">
        <v>86</v>
      </c>
      <c r="C111" s="582" t="s">
        <v>1158</v>
      </c>
      <c r="D111" s="582" t="s">
        <v>1158</v>
      </c>
      <c r="E111" s="361" t="s">
        <v>581</v>
      </c>
      <c r="F111" s="134"/>
      <c r="G111" s="584" t="s">
        <v>1208</v>
      </c>
      <c r="H111" s="584" t="s">
        <v>4069</v>
      </c>
      <c r="I111" s="582" t="s">
        <v>1206</v>
      </c>
      <c r="J111" s="134"/>
      <c r="K111" s="581" t="s">
        <v>95</v>
      </c>
      <c r="L111" s="134"/>
      <c r="M111" s="423" t="s">
        <v>554</v>
      </c>
      <c r="N111" s="134" t="s">
        <v>1176</v>
      </c>
      <c r="O111" s="134">
        <v>120.0</v>
      </c>
      <c r="P111" s="134" t="s">
        <v>1650</v>
      </c>
      <c r="Q111" s="498">
        <v>24.194349820368384</v>
      </c>
      <c r="R111" s="126" t="s">
        <v>10</v>
      </c>
      <c r="S111" s="49"/>
      <c r="T111" s="224">
        <v>80.64783273456128</v>
      </c>
      <c r="U111" s="224">
        <v>48.38869964073677</v>
      </c>
      <c r="V111" s="224">
        <v>40.32391636728064</v>
      </c>
      <c r="W111" s="224">
        <v>32.25913309382451</v>
      </c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</row>
    <row r="112" ht="14.25" customHeight="1">
      <c r="A112" s="582" t="s">
        <v>84</v>
      </c>
      <c r="B112" s="582" t="s">
        <v>86</v>
      </c>
      <c r="C112" s="582" t="s">
        <v>1211</v>
      </c>
      <c r="D112" s="582" t="s">
        <v>1212</v>
      </c>
      <c r="E112" s="361"/>
      <c r="F112" s="134">
        <v>24.0</v>
      </c>
      <c r="G112" s="584" t="s">
        <v>4071</v>
      </c>
      <c r="H112" s="584" t="s">
        <v>778</v>
      </c>
      <c r="I112" s="582" t="s">
        <v>4341</v>
      </c>
      <c r="J112" s="134" t="s">
        <v>201</v>
      </c>
      <c r="K112" s="581" t="s">
        <v>147</v>
      </c>
      <c r="L112" s="285">
        <v>22.3</v>
      </c>
      <c r="M112" s="423" t="s">
        <v>96</v>
      </c>
      <c r="N112" s="134"/>
      <c r="O112" s="285">
        <v>3.0</v>
      </c>
      <c r="P112" s="134"/>
      <c r="Q112" s="587">
        <v>1114.1937119675458</v>
      </c>
      <c r="R112" s="126" t="s">
        <v>13</v>
      </c>
      <c r="S112" s="49"/>
      <c r="T112" s="118">
        <v>3713.9790398918194</v>
      </c>
      <c r="U112" s="118">
        <v>2228.3874239350916</v>
      </c>
      <c r="V112" s="118">
        <v>1856.9895199459097</v>
      </c>
      <c r="W112" s="118">
        <v>1485.5916159567278</v>
      </c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</row>
    <row r="113" ht="14.25" customHeight="1">
      <c r="A113" s="582" t="s">
        <v>84</v>
      </c>
      <c r="B113" s="582" t="s">
        <v>86</v>
      </c>
      <c r="C113" s="582" t="s">
        <v>1211</v>
      </c>
      <c r="D113" s="582" t="s">
        <v>1212</v>
      </c>
      <c r="E113" s="361"/>
      <c r="F113" s="134">
        <v>24.0</v>
      </c>
      <c r="G113" s="584" t="s">
        <v>1220</v>
      </c>
      <c r="H113" s="584" t="s">
        <v>778</v>
      </c>
      <c r="I113" s="582" t="s">
        <v>4342</v>
      </c>
      <c r="J113" s="134" t="s">
        <v>201</v>
      </c>
      <c r="K113" s="581" t="s">
        <v>147</v>
      </c>
      <c r="L113" s="285">
        <v>43.5</v>
      </c>
      <c r="M113" s="423" t="s">
        <v>96</v>
      </c>
      <c r="N113" s="134"/>
      <c r="O113" s="285">
        <v>2.0</v>
      </c>
      <c r="P113" s="134"/>
      <c r="Q113" s="587">
        <v>1771.3844570252188</v>
      </c>
      <c r="R113" s="126" t="s">
        <v>13</v>
      </c>
      <c r="S113" s="49"/>
      <c r="T113" s="118">
        <v>5904.61485675073</v>
      </c>
      <c r="U113" s="118">
        <v>3542.7689140504376</v>
      </c>
      <c r="V113" s="118">
        <v>2952.307428375365</v>
      </c>
      <c r="W113" s="118">
        <v>2361.845942700292</v>
      </c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</row>
    <row r="114" ht="14.25" customHeight="1">
      <c r="A114" s="582" t="s">
        <v>84</v>
      </c>
      <c r="B114" s="582" t="s">
        <v>86</v>
      </c>
      <c r="C114" s="582" t="s">
        <v>1211</v>
      </c>
      <c r="D114" s="582" t="s">
        <v>1212</v>
      </c>
      <c r="E114" s="361"/>
      <c r="F114" s="134">
        <v>24.0</v>
      </c>
      <c r="G114" s="584" t="s">
        <v>1225</v>
      </c>
      <c r="H114" s="584" t="s">
        <v>778</v>
      </c>
      <c r="I114" s="582" t="s">
        <v>4343</v>
      </c>
      <c r="J114" s="134" t="s">
        <v>201</v>
      </c>
      <c r="K114" s="581" t="s">
        <v>147</v>
      </c>
      <c r="L114" s="285">
        <v>64.9</v>
      </c>
      <c r="M114" s="423" t="s">
        <v>96</v>
      </c>
      <c r="N114" s="134"/>
      <c r="O114" s="285">
        <v>2.0</v>
      </c>
      <c r="P114" s="134"/>
      <c r="Q114" s="587">
        <v>2330.787442099846</v>
      </c>
      <c r="R114" s="126" t="s">
        <v>13</v>
      </c>
      <c r="S114" s="49"/>
      <c r="T114" s="118">
        <v>7769.291473666153</v>
      </c>
      <c r="U114" s="118">
        <v>4661.574884199692</v>
      </c>
      <c r="V114" s="118">
        <v>3884.6457368330766</v>
      </c>
      <c r="W114" s="118">
        <v>3107.7165894664613</v>
      </c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</row>
    <row r="115" ht="14.25" customHeight="1">
      <c r="A115" s="582" t="s">
        <v>84</v>
      </c>
      <c r="B115" s="582" t="s">
        <v>86</v>
      </c>
      <c r="C115" s="582" t="s">
        <v>1211</v>
      </c>
      <c r="D115" s="582" t="s">
        <v>1212</v>
      </c>
      <c r="E115" s="361"/>
      <c r="F115" s="134">
        <v>24.0</v>
      </c>
      <c r="G115" s="584" t="s">
        <v>1235</v>
      </c>
      <c r="H115" s="584" t="s">
        <v>778</v>
      </c>
      <c r="I115" s="582" t="s">
        <v>4344</v>
      </c>
      <c r="J115" s="134" t="s">
        <v>201</v>
      </c>
      <c r="K115" s="581" t="s">
        <v>147</v>
      </c>
      <c r="L115" s="285">
        <v>248.3</v>
      </c>
      <c r="M115" s="423" t="s">
        <v>96</v>
      </c>
      <c r="N115" s="134"/>
      <c r="O115" s="285">
        <v>1.0</v>
      </c>
      <c r="P115" s="134"/>
      <c r="Q115" s="587">
        <v>6675.753988677305</v>
      </c>
      <c r="R115" s="126" t="s">
        <v>13</v>
      </c>
      <c r="S115" s="49"/>
      <c r="T115" s="118">
        <v>22252.513295591016</v>
      </c>
      <c r="U115" s="118">
        <v>13351.50797735461</v>
      </c>
      <c r="V115" s="118">
        <v>11126.256647795508</v>
      </c>
      <c r="W115" s="118">
        <v>8901.005318236406</v>
      </c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</row>
    <row r="116" ht="14.25" customHeight="1">
      <c r="A116" s="582" t="s">
        <v>84</v>
      </c>
      <c r="B116" s="582" t="s">
        <v>86</v>
      </c>
      <c r="C116" s="582" t="s">
        <v>1211</v>
      </c>
      <c r="D116" s="582" t="s">
        <v>1212</v>
      </c>
      <c r="E116" s="361"/>
      <c r="F116" s="134">
        <v>24.0</v>
      </c>
      <c r="G116" s="584" t="s">
        <v>1239</v>
      </c>
      <c r="H116" s="584" t="s">
        <v>778</v>
      </c>
      <c r="I116" s="582" t="s">
        <v>4345</v>
      </c>
      <c r="J116" s="134" t="s">
        <v>201</v>
      </c>
      <c r="K116" s="581" t="s">
        <v>147</v>
      </c>
      <c r="L116" s="285">
        <v>496.4</v>
      </c>
      <c r="M116" s="423" t="s">
        <v>96</v>
      </c>
      <c r="N116" s="134"/>
      <c r="O116" s="285">
        <v>1.0</v>
      </c>
      <c r="P116" s="134"/>
      <c r="Q116" s="587">
        <v>12081.276376737005</v>
      </c>
      <c r="R116" s="126" t="s">
        <v>13</v>
      </c>
      <c r="S116" s="49"/>
      <c r="T116" s="118">
        <v>40270.92125579002</v>
      </c>
      <c r="U116" s="118">
        <v>24162.55275347401</v>
      </c>
      <c r="V116" s="118">
        <v>20135.46062789501</v>
      </c>
      <c r="W116" s="118">
        <v>16108.368502316007</v>
      </c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</row>
    <row r="117" ht="14.25" customHeight="1">
      <c r="A117" s="582" t="s">
        <v>84</v>
      </c>
      <c r="B117" s="582" t="s">
        <v>86</v>
      </c>
      <c r="C117" s="582" t="s">
        <v>1211</v>
      </c>
      <c r="D117" s="582" t="s">
        <v>1212</v>
      </c>
      <c r="E117" s="361"/>
      <c r="F117" s="134">
        <v>20.0</v>
      </c>
      <c r="G117" s="584" t="s">
        <v>1243</v>
      </c>
      <c r="H117" s="584" t="s">
        <v>778</v>
      </c>
      <c r="I117" s="582" t="s">
        <v>4346</v>
      </c>
      <c r="J117" s="134" t="s">
        <v>201</v>
      </c>
      <c r="K117" s="581" t="s">
        <v>147</v>
      </c>
      <c r="L117" s="285">
        <v>55.1</v>
      </c>
      <c r="M117" s="423" t="s">
        <v>96</v>
      </c>
      <c r="N117" s="134"/>
      <c r="O117" s="285">
        <v>2.0</v>
      </c>
      <c r="P117" s="134"/>
      <c r="Q117" s="587">
        <v>1818.6108374384237</v>
      </c>
      <c r="R117" s="126" t="s">
        <v>13</v>
      </c>
      <c r="S117" s="49"/>
      <c r="T117" s="118">
        <v>6062.036124794746</v>
      </c>
      <c r="U117" s="118">
        <v>3637.2216748768474</v>
      </c>
      <c r="V117" s="118">
        <v>3031.018062397373</v>
      </c>
      <c r="W117" s="118">
        <v>2424.8144499178984</v>
      </c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</row>
    <row r="118" ht="14.25" customHeight="1">
      <c r="A118" s="582" t="s">
        <v>84</v>
      </c>
      <c r="B118" s="582" t="s">
        <v>86</v>
      </c>
      <c r="C118" s="582" t="s">
        <v>1211</v>
      </c>
      <c r="D118" s="582" t="s">
        <v>1212</v>
      </c>
      <c r="E118" s="361"/>
      <c r="F118" s="134">
        <v>20.0</v>
      </c>
      <c r="G118" s="584" t="s">
        <v>1247</v>
      </c>
      <c r="H118" s="584" t="s">
        <v>778</v>
      </c>
      <c r="I118" s="582" t="s">
        <v>4347</v>
      </c>
      <c r="J118" s="134" t="s">
        <v>201</v>
      </c>
      <c r="K118" s="581" t="s">
        <v>147</v>
      </c>
      <c r="L118" s="285">
        <v>109.3</v>
      </c>
      <c r="M118" s="423" t="s">
        <v>96</v>
      </c>
      <c r="N118" s="134"/>
      <c r="O118" s="285">
        <v>1.0</v>
      </c>
      <c r="P118" s="134"/>
      <c r="Q118" s="587">
        <v>3046.793103448276</v>
      </c>
      <c r="R118" s="126" t="s">
        <v>13</v>
      </c>
      <c r="S118" s="49"/>
      <c r="T118" s="118">
        <v>10155.977011494253</v>
      </c>
      <c r="U118" s="118">
        <v>6093.586206896552</v>
      </c>
      <c r="V118" s="118">
        <v>5077.9885057471265</v>
      </c>
      <c r="W118" s="118">
        <v>4062.3908045977014</v>
      </c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</row>
    <row r="119" ht="14.25" customHeight="1">
      <c r="A119" s="582" t="s">
        <v>84</v>
      </c>
      <c r="B119" s="582" t="s">
        <v>86</v>
      </c>
      <c r="C119" s="582" t="s">
        <v>1211</v>
      </c>
      <c r="D119" s="582" t="s">
        <v>1212</v>
      </c>
      <c r="E119" s="361"/>
      <c r="F119" s="134">
        <v>20.0</v>
      </c>
      <c r="G119" s="584" t="s">
        <v>1251</v>
      </c>
      <c r="H119" s="584" t="s">
        <v>778</v>
      </c>
      <c r="I119" s="582" t="s">
        <v>4348</v>
      </c>
      <c r="J119" s="134" t="s">
        <v>201</v>
      </c>
      <c r="K119" s="581" t="s">
        <v>147</v>
      </c>
      <c r="L119" s="285">
        <v>164.1</v>
      </c>
      <c r="M119" s="423" t="s">
        <v>96</v>
      </c>
      <c r="N119" s="134"/>
      <c r="O119" s="285">
        <v>1.0</v>
      </c>
      <c r="P119" s="134"/>
      <c r="Q119" s="587">
        <v>4097.6502463054185</v>
      </c>
      <c r="R119" s="126" t="s">
        <v>13</v>
      </c>
      <c r="S119" s="49"/>
      <c r="T119" s="118">
        <v>13658.834154351396</v>
      </c>
      <c r="U119" s="118">
        <v>8195.300492610837</v>
      </c>
      <c r="V119" s="118">
        <v>6829.417077175698</v>
      </c>
      <c r="W119" s="118">
        <v>5463.533661740559</v>
      </c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</row>
    <row r="120" ht="14.25" customHeight="1">
      <c r="A120" s="582" t="s">
        <v>84</v>
      </c>
      <c r="B120" s="582" t="s">
        <v>86</v>
      </c>
      <c r="C120" s="582" t="s">
        <v>1211</v>
      </c>
      <c r="D120" s="582" t="s">
        <v>1212</v>
      </c>
      <c r="E120" s="361"/>
      <c r="F120" s="134">
        <v>20.0</v>
      </c>
      <c r="G120" s="584" t="s">
        <v>1259</v>
      </c>
      <c r="H120" s="584" t="s">
        <v>778</v>
      </c>
      <c r="I120" s="582" t="s">
        <v>4349</v>
      </c>
      <c r="J120" s="134" t="s">
        <v>201</v>
      </c>
      <c r="K120" s="581" t="s">
        <v>147</v>
      </c>
      <c r="L120" s="285">
        <v>633.3</v>
      </c>
      <c r="M120" s="423" t="s">
        <v>96</v>
      </c>
      <c r="N120" s="134"/>
      <c r="O120" s="285">
        <v>1.0</v>
      </c>
      <c r="P120" s="134"/>
      <c r="Q120" s="587">
        <v>13375.364532019703</v>
      </c>
      <c r="R120" s="126" t="s">
        <v>13</v>
      </c>
      <c r="S120" s="49"/>
      <c r="T120" s="118">
        <v>44584.54844006568</v>
      </c>
      <c r="U120" s="118">
        <v>26750.729064039406</v>
      </c>
      <c r="V120" s="118">
        <v>22292.27422003284</v>
      </c>
      <c r="W120" s="118">
        <v>17833.819376026273</v>
      </c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</row>
    <row r="121" ht="14.25" customHeight="1">
      <c r="A121" s="582" t="s">
        <v>84</v>
      </c>
      <c r="B121" s="582" t="s">
        <v>86</v>
      </c>
      <c r="C121" s="582" t="s">
        <v>1211</v>
      </c>
      <c r="D121" s="582" t="s">
        <v>1212</v>
      </c>
      <c r="E121" s="361"/>
      <c r="F121" s="134">
        <v>20.0</v>
      </c>
      <c r="G121" s="584" t="s">
        <v>1263</v>
      </c>
      <c r="H121" s="584" t="s">
        <v>778</v>
      </c>
      <c r="I121" s="582" t="s">
        <v>4350</v>
      </c>
      <c r="J121" s="134" t="s">
        <v>201</v>
      </c>
      <c r="K121" s="581" t="s">
        <v>147</v>
      </c>
      <c r="L121" s="285">
        <v>1265.9</v>
      </c>
      <c r="M121" s="423" t="s">
        <v>96</v>
      </c>
      <c r="N121" s="134"/>
      <c r="O121" s="285">
        <v>1.0</v>
      </c>
      <c r="P121" s="134"/>
      <c r="Q121" s="587">
        <v>25542.793103448283</v>
      </c>
      <c r="R121" s="126" t="s">
        <v>13</v>
      </c>
      <c r="S121" s="49"/>
      <c r="T121" s="118">
        <v>85142.64367816095</v>
      </c>
      <c r="U121" s="118">
        <v>51085.58620689657</v>
      </c>
      <c r="V121" s="118">
        <v>42571.321839080476</v>
      </c>
      <c r="W121" s="118">
        <v>34057.05747126438</v>
      </c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</row>
    <row r="122" ht="14.25" customHeight="1">
      <c r="A122" s="423" t="s">
        <v>84</v>
      </c>
      <c r="B122" s="423" t="s">
        <v>1266</v>
      </c>
      <c r="C122" s="423" t="s">
        <v>1267</v>
      </c>
      <c r="D122" s="581" t="s">
        <v>1267</v>
      </c>
      <c r="E122" s="134" t="s">
        <v>1268</v>
      </c>
      <c r="F122" s="134"/>
      <c r="G122" s="584" t="s">
        <v>1269</v>
      </c>
      <c r="H122" s="584" t="s">
        <v>4072</v>
      </c>
      <c r="I122" s="423" t="s">
        <v>1271</v>
      </c>
      <c r="J122" s="134"/>
      <c r="K122" s="581" t="s">
        <v>95</v>
      </c>
      <c r="L122" s="134"/>
      <c r="M122" s="581" t="s">
        <v>1272</v>
      </c>
      <c r="N122" s="134" t="s">
        <v>555</v>
      </c>
      <c r="O122" s="134">
        <v>51840.0</v>
      </c>
      <c r="P122" s="134" t="s">
        <v>4351</v>
      </c>
      <c r="Q122" s="498">
        <v>0.36197232923574757</v>
      </c>
      <c r="R122" s="126" t="s">
        <v>10</v>
      </c>
      <c r="S122" s="49"/>
      <c r="T122" s="224">
        <v>1.2065744307858253</v>
      </c>
      <c r="U122" s="224">
        <v>0.7239446584714951</v>
      </c>
      <c r="V122" s="224">
        <v>0.6032872153929126</v>
      </c>
      <c r="W122" s="224">
        <v>0.48262977231433013</v>
      </c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</row>
    <row r="123" ht="14.25" customHeight="1">
      <c r="A123" s="423" t="s">
        <v>84</v>
      </c>
      <c r="B123" s="423" t="s">
        <v>1266</v>
      </c>
      <c r="C123" s="423" t="s">
        <v>1267</v>
      </c>
      <c r="D123" s="581" t="s">
        <v>1267</v>
      </c>
      <c r="E123" s="134" t="s">
        <v>1268</v>
      </c>
      <c r="F123" s="134"/>
      <c r="G123" s="584" t="s">
        <v>1276</v>
      </c>
      <c r="H123" s="584" t="s">
        <v>4073</v>
      </c>
      <c r="I123" s="423" t="s">
        <v>1278</v>
      </c>
      <c r="J123" s="134"/>
      <c r="K123" s="581" t="s">
        <v>95</v>
      </c>
      <c r="L123" s="134"/>
      <c r="M123" s="581" t="s">
        <v>1272</v>
      </c>
      <c r="N123" s="134" t="s">
        <v>555</v>
      </c>
      <c r="O123" s="134">
        <v>51840.0</v>
      </c>
      <c r="P123" s="134" t="s">
        <v>4351</v>
      </c>
      <c r="Q123" s="498">
        <v>0.36197232923574757</v>
      </c>
      <c r="R123" s="126" t="s">
        <v>10</v>
      </c>
      <c r="S123" s="49"/>
      <c r="T123" s="224">
        <v>1.2065744307858253</v>
      </c>
      <c r="U123" s="224">
        <v>0.7239446584714951</v>
      </c>
      <c r="V123" s="224">
        <v>0.6032872153929126</v>
      </c>
      <c r="W123" s="224">
        <v>0.48262977231433013</v>
      </c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</row>
    <row r="124" ht="14.25" customHeight="1">
      <c r="A124" s="423" t="s">
        <v>84</v>
      </c>
      <c r="B124" s="423" t="s">
        <v>1266</v>
      </c>
      <c r="C124" s="423" t="s">
        <v>1267</v>
      </c>
      <c r="D124" s="581" t="s">
        <v>1267</v>
      </c>
      <c r="E124" s="134" t="s">
        <v>1280</v>
      </c>
      <c r="F124" s="134"/>
      <c r="G124" s="584" t="s">
        <v>1281</v>
      </c>
      <c r="H124" s="584" t="s">
        <v>778</v>
      </c>
      <c r="I124" s="423" t="s">
        <v>1283</v>
      </c>
      <c r="J124" s="134"/>
      <c r="K124" s="581" t="s">
        <v>95</v>
      </c>
      <c r="L124" s="134"/>
      <c r="M124" s="581" t="s">
        <v>1272</v>
      </c>
      <c r="N124" s="134" t="s">
        <v>555</v>
      </c>
      <c r="O124" s="134">
        <v>51840.0</v>
      </c>
      <c r="P124" s="134" t="s">
        <v>4351</v>
      </c>
      <c r="Q124" s="498">
        <v>0.36197232923574757</v>
      </c>
      <c r="R124" s="126" t="s">
        <v>10</v>
      </c>
      <c r="S124" s="49"/>
      <c r="T124" s="224">
        <v>1.2065744307858253</v>
      </c>
      <c r="U124" s="224">
        <v>0.7239446584714951</v>
      </c>
      <c r="V124" s="224">
        <v>0.6032872153929126</v>
      </c>
      <c r="W124" s="224">
        <v>0.48262977231433013</v>
      </c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</row>
    <row r="125" ht="14.25" customHeight="1">
      <c r="A125" s="423" t="s">
        <v>84</v>
      </c>
      <c r="B125" s="423" t="s">
        <v>1266</v>
      </c>
      <c r="C125" s="423" t="s">
        <v>1267</v>
      </c>
      <c r="D125" s="581" t="s">
        <v>1267</v>
      </c>
      <c r="E125" s="134" t="s">
        <v>1280</v>
      </c>
      <c r="F125" s="134"/>
      <c r="G125" s="584" t="s">
        <v>1284</v>
      </c>
      <c r="H125" s="584" t="s">
        <v>778</v>
      </c>
      <c r="I125" s="423" t="s">
        <v>1286</v>
      </c>
      <c r="J125" s="134"/>
      <c r="K125" s="581" t="s">
        <v>95</v>
      </c>
      <c r="L125" s="134"/>
      <c r="M125" s="581" t="s">
        <v>1287</v>
      </c>
      <c r="N125" s="134" t="s">
        <v>555</v>
      </c>
      <c r="O125" s="134">
        <v>25920.0</v>
      </c>
      <c r="P125" s="134" t="s">
        <v>4351</v>
      </c>
      <c r="Q125" s="498">
        <v>0.7239446584714951</v>
      </c>
      <c r="R125" s="126" t="s">
        <v>10</v>
      </c>
      <c r="S125" s="49"/>
      <c r="T125" s="224">
        <v>2.4131488615716505</v>
      </c>
      <c r="U125" s="224">
        <v>1.4478893169429903</v>
      </c>
      <c r="V125" s="224">
        <v>1.2065744307858253</v>
      </c>
      <c r="W125" s="224">
        <v>0.9652595446286603</v>
      </c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</row>
    <row r="126" ht="14.25" customHeight="1">
      <c r="A126" s="423" t="s">
        <v>84</v>
      </c>
      <c r="B126" s="423" t="s">
        <v>1266</v>
      </c>
      <c r="C126" s="423" t="s">
        <v>1267</v>
      </c>
      <c r="D126" s="581" t="s">
        <v>1267</v>
      </c>
      <c r="E126" s="134" t="s">
        <v>1288</v>
      </c>
      <c r="F126" s="134"/>
      <c r="G126" s="584" t="s">
        <v>1289</v>
      </c>
      <c r="H126" s="584" t="s">
        <v>4074</v>
      </c>
      <c r="I126" s="423" t="s">
        <v>1291</v>
      </c>
      <c r="J126" s="134"/>
      <c r="K126" s="581" t="s">
        <v>95</v>
      </c>
      <c r="L126" s="134"/>
      <c r="M126" s="581" t="s">
        <v>1287</v>
      </c>
      <c r="N126" s="134" t="s">
        <v>555</v>
      </c>
      <c r="O126" s="134">
        <v>25920.0</v>
      </c>
      <c r="P126" s="134" t="s">
        <v>4351</v>
      </c>
      <c r="Q126" s="498">
        <v>0.2750252255034265</v>
      </c>
      <c r="R126" s="126" t="s">
        <v>10</v>
      </c>
      <c r="S126" s="49"/>
      <c r="T126" s="224">
        <v>0.9167507516780884</v>
      </c>
      <c r="U126" s="224">
        <v>0.550050451006853</v>
      </c>
      <c r="V126" s="224">
        <v>0.4583753758390442</v>
      </c>
      <c r="W126" s="224">
        <v>0.3667003006712354</v>
      </c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</row>
    <row r="127" ht="14.25" customHeight="1">
      <c r="A127" s="423" t="s">
        <v>84</v>
      </c>
      <c r="B127" s="423" t="s">
        <v>1266</v>
      </c>
      <c r="C127" s="423" t="s">
        <v>1267</v>
      </c>
      <c r="D127" s="581" t="s">
        <v>1267</v>
      </c>
      <c r="E127" s="134" t="s">
        <v>1288</v>
      </c>
      <c r="F127" s="134"/>
      <c r="G127" s="584" t="s">
        <v>1293</v>
      </c>
      <c r="H127" s="584" t="s">
        <v>4075</v>
      </c>
      <c r="I127" s="423" t="s">
        <v>1295</v>
      </c>
      <c r="J127" s="134"/>
      <c r="K127" s="581" t="s">
        <v>95</v>
      </c>
      <c r="L127" s="134"/>
      <c r="M127" s="581" t="s">
        <v>1287</v>
      </c>
      <c r="N127" s="134" t="s">
        <v>555</v>
      </c>
      <c r="O127" s="134">
        <v>25920.0</v>
      </c>
      <c r="P127" s="134" t="s">
        <v>4351</v>
      </c>
      <c r="Q127" s="498">
        <v>0.2750252255034265</v>
      </c>
      <c r="R127" s="126" t="s">
        <v>10</v>
      </c>
      <c r="S127" s="49"/>
      <c r="T127" s="224">
        <v>0.9167507516780884</v>
      </c>
      <c r="U127" s="224">
        <v>0.550050451006853</v>
      </c>
      <c r="V127" s="224">
        <v>0.4583753758390442</v>
      </c>
      <c r="W127" s="224">
        <v>0.3667003006712354</v>
      </c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</row>
    <row r="128" ht="14.25" customHeight="1">
      <c r="A128" s="423" t="s">
        <v>84</v>
      </c>
      <c r="B128" s="423" t="s">
        <v>1266</v>
      </c>
      <c r="C128" s="423" t="s">
        <v>1267</v>
      </c>
      <c r="D128" s="581" t="s">
        <v>1267</v>
      </c>
      <c r="E128" s="134" t="s">
        <v>1297</v>
      </c>
      <c r="F128" s="134"/>
      <c r="G128" s="584" t="s">
        <v>1298</v>
      </c>
      <c r="H128" s="584" t="s">
        <v>778</v>
      </c>
      <c r="I128" s="423" t="s">
        <v>1300</v>
      </c>
      <c r="J128" s="134"/>
      <c r="K128" s="581" t="s">
        <v>95</v>
      </c>
      <c r="L128" s="134"/>
      <c r="M128" s="581" t="s">
        <v>1287</v>
      </c>
      <c r="N128" s="134" t="s">
        <v>555</v>
      </c>
      <c r="O128" s="134">
        <v>25920.0</v>
      </c>
      <c r="P128" s="134" t="s">
        <v>4351</v>
      </c>
      <c r="Q128" s="498">
        <v>0.2750252255034265</v>
      </c>
      <c r="R128" s="126" t="s">
        <v>10</v>
      </c>
      <c r="S128" s="49"/>
      <c r="T128" s="224">
        <v>0.9167507516780884</v>
      </c>
      <c r="U128" s="224">
        <v>0.550050451006853</v>
      </c>
      <c r="V128" s="224">
        <v>0.4583753758390442</v>
      </c>
      <c r="W128" s="224">
        <v>0.3667003006712354</v>
      </c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</row>
    <row r="129" ht="14.25" customHeight="1">
      <c r="A129" s="423" t="s">
        <v>84</v>
      </c>
      <c r="B129" s="423" t="s">
        <v>1266</v>
      </c>
      <c r="C129" s="423" t="s">
        <v>1267</v>
      </c>
      <c r="D129" s="581" t="s">
        <v>1267</v>
      </c>
      <c r="E129" s="134" t="s">
        <v>1288</v>
      </c>
      <c r="F129" s="134"/>
      <c r="G129" s="584" t="s">
        <v>1301</v>
      </c>
      <c r="H129" s="584" t="s">
        <v>778</v>
      </c>
      <c r="I129" s="423" t="s">
        <v>1303</v>
      </c>
      <c r="J129" s="134"/>
      <c r="K129" s="581" t="s">
        <v>95</v>
      </c>
      <c r="L129" s="134"/>
      <c r="M129" s="581" t="s">
        <v>1287</v>
      </c>
      <c r="N129" s="134" t="s">
        <v>555</v>
      </c>
      <c r="O129" s="134">
        <v>25920.0</v>
      </c>
      <c r="P129" s="134" t="s">
        <v>4351</v>
      </c>
      <c r="Q129" s="498">
        <v>0.26</v>
      </c>
      <c r="R129" s="126" t="s">
        <v>10</v>
      </c>
      <c r="S129" s="49"/>
      <c r="T129" s="224">
        <v>0.8666666666666667</v>
      </c>
      <c r="U129" s="224">
        <v>0.52</v>
      </c>
      <c r="V129" s="224">
        <v>0.43333333333333335</v>
      </c>
      <c r="W129" s="224">
        <v>0.3466666666666667</v>
      </c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</row>
    <row r="130" ht="14.25" customHeight="1">
      <c r="A130" s="423" t="s">
        <v>84</v>
      </c>
      <c r="B130" s="423" t="s">
        <v>1266</v>
      </c>
      <c r="C130" s="423" t="s">
        <v>1267</v>
      </c>
      <c r="D130" s="581" t="s">
        <v>1267</v>
      </c>
      <c r="E130" s="134" t="s">
        <v>1288</v>
      </c>
      <c r="F130" s="134"/>
      <c r="G130" s="584" t="s">
        <v>1304</v>
      </c>
      <c r="H130" s="584" t="s">
        <v>778</v>
      </c>
      <c r="I130" s="423" t="s">
        <v>1303</v>
      </c>
      <c r="J130" s="134"/>
      <c r="K130" s="581" t="s">
        <v>95</v>
      </c>
      <c r="L130" s="134"/>
      <c r="M130" s="581" t="s">
        <v>1287</v>
      </c>
      <c r="N130" s="134" t="s">
        <v>555</v>
      </c>
      <c r="O130" s="134">
        <v>25920.0</v>
      </c>
      <c r="P130" s="134" t="s">
        <v>4351</v>
      </c>
      <c r="Q130" s="498">
        <v>0.26</v>
      </c>
      <c r="R130" s="126" t="s">
        <v>10</v>
      </c>
      <c r="S130" s="49"/>
      <c r="T130" s="224">
        <v>0.8666666666666667</v>
      </c>
      <c r="U130" s="224">
        <v>0.52</v>
      </c>
      <c r="V130" s="224">
        <v>0.43333333333333335</v>
      </c>
      <c r="W130" s="224">
        <v>0.3466666666666667</v>
      </c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</row>
    <row r="131" ht="14.25" customHeight="1">
      <c r="A131" s="423" t="s">
        <v>84</v>
      </c>
      <c r="B131" s="423" t="s">
        <v>1266</v>
      </c>
      <c r="C131" s="423" t="s">
        <v>1306</v>
      </c>
      <c r="D131" s="581" t="s">
        <v>1307</v>
      </c>
      <c r="E131" s="134"/>
      <c r="F131" s="134"/>
      <c r="G131" s="583" t="s">
        <v>1308</v>
      </c>
      <c r="H131" s="583" t="s">
        <v>4076</v>
      </c>
      <c r="I131" s="423" t="s">
        <v>1310</v>
      </c>
      <c r="J131" s="134"/>
      <c r="K131" s="581" t="s">
        <v>95</v>
      </c>
      <c r="L131" s="134"/>
      <c r="M131" s="581" t="s">
        <v>554</v>
      </c>
      <c r="N131" s="134" t="s">
        <v>1176</v>
      </c>
      <c r="O131" s="134">
        <v>1800.0</v>
      </c>
      <c r="P131" s="134" t="s">
        <v>1650</v>
      </c>
      <c r="Q131" s="498">
        <v>1.0241142194937254</v>
      </c>
      <c r="R131" s="126" t="s">
        <v>10</v>
      </c>
      <c r="S131" s="49"/>
      <c r="T131" s="224">
        <v>3.413714064979085</v>
      </c>
      <c r="U131" s="224">
        <v>2.0482284389874508</v>
      </c>
      <c r="V131" s="224">
        <v>1.7068570324895425</v>
      </c>
      <c r="W131" s="224">
        <v>1.3654856259916341</v>
      </c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</row>
    <row r="132" ht="14.25" customHeight="1">
      <c r="A132" s="423" t="s">
        <v>84</v>
      </c>
      <c r="B132" s="423" t="s">
        <v>1266</v>
      </c>
      <c r="C132" s="423" t="s">
        <v>1306</v>
      </c>
      <c r="D132" s="581" t="s">
        <v>1307</v>
      </c>
      <c r="E132" s="134"/>
      <c r="F132" s="134"/>
      <c r="G132" s="583" t="s">
        <v>1313</v>
      </c>
      <c r="H132" s="583" t="s">
        <v>4077</v>
      </c>
      <c r="I132" s="423" t="s">
        <v>1315</v>
      </c>
      <c r="J132" s="134"/>
      <c r="K132" s="581" t="s">
        <v>95</v>
      </c>
      <c r="L132" s="134"/>
      <c r="M132" s="581" t="s">
        <v>554</v>
      </c>
      <c r="N132" s="134" t="s">
        <v>1176</v>
      </c>
      <c r="O132" s="134">
        <v>90000.0</v>
      </c>
      <c r="P132" s="134" t="s">
        <v>1650</v>
      </c>
      <c r="Q132" s="498">
        <v>0.02675465540758107</v>
      </c>
      <c r="R132" s="126" t="s">
        <v>10</v>
      </c>
      <c r="S132" s="49"/>
      <c r="T132" s="224">
        <v>0.0891821846919369</v>
      </c>
      <c r="U132" s="224">
        <v>0.05350931081516214</v>
      </c>
      <c r="V132" s="224">
        <v>0.04459109234596845</v>
      </c>
      <c r="W132" s="224">
        <v>0.03567287387677476</v>
      </c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</row>
    <row r="133" ht="14.25" customHeight="1">
      <c r="A133" s="423" t="s">
        <v>84</v>
      </c>
      <c r="B133" s="423" t="s">
        <v>1266</v>
      </c>
      <c r="C133" s="423" t="s">
        <v>1317</v>
      </c>
      <c r="D133" s="581" t="s">
        <v>1318</v>
      </c>
      <c r="E133" s="134" t="s">
        <v>1319</v>
      </c>
      <c r="F133" s="134"/>
      <c r="G133" s="584" t="s">
        <v>1320</v>
      </c>
      <c r="H133" s="584" t="s">
        <v>4078</v>
      </c>
      <c r="I133" s="423" t="s">
        <v>1322</v>
      </c>
      <c r="J133" s="134"/>
      <c r="K133" s="581" t="s">
        <v>95</v>
      </c>
      <c r="L133" s="134"/>
      <c r="M133" s="581" t="s">
        <v>1323</v>
      </c>
      <c r="N133" s="134" t="s">
        <v>1324</v>
      </c>
      <c r="O133" s="134">
        <v>2160.0</v>
      </c>
      <c r="P133" s="134">
        <v>8.5447E9</v>
      </c>
      <c r="Q133" s="498">
        <v>1.8027074776596412</v>
      </c>
      <c r="R133" s="126" t="s">
        <v>10</v>
      </c>
      <c r="S133" s="49"/>
      <c r="T133" s="224">
        <v>6.009024925532137</v>
      </c>
      <c r="U133" s="224">
        <v>3.605414955319282</v>
      </c>
      <c r="V133" s="224">
        <v>3.0045124627660686</v>
      </c>
      <c r="W133" s="224">
        <v>2.4036099702128553</v>
      </c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</row>
    <row r="134" ht="14.25" customHeight="1">
      <c r="A134" s="423" t="s">
        <v>84</v>
      </c>
      <c r="B134" s="423" t="s">
        <v>1266</v>
      </c>
      <c r="C134" s="423" t="s">
        <v>1317</v>
      </c>
      <c r="D134" s="581" t="s">
        <v>1318</v>
      </c>
      <c r="E134" s="134" t="s">
        <v>1319</v>
      </c>
      <c r="F134" s="134"/>
      <c r="G134" s="584" t="s">
        <v>1325</v>
      </c>
      <c r="H134" s="584" t="s">
        <v>4079</v>
      </c>
      <c r="I134" s="423" t="s">
        <v>1327</v>
      </c>
      <c r="J134" s="134"/>
      <c r="K134" s="581" t="s">
        <v>95</v>
      </c>
      <c r="L134" s="134"/>
      <c r="M134" s="581" t="s">
        <v>1323</v>
      </c>
      <c r="N134" s="134" t="s">
        <v>1324</v>
      </c>
      <c r="O134" s="134">
        <v>1920.0</v>
      </c>
      <c r="P134" s="134">
        <v>8.5447E9</v>
      </c>
      <c r="Q134" s="498">
        <v>1.98539856623513</v>
      </c>
      <c r="R134" s="126" t="s">
        <v>10</v>
      </c>
      <c r="S134" s="49"/>
      <c r="T134" s="224">
        <v>6.617995220783767</v>
      </c>
      <c r="U134" s="224">
        <v>3.97079713247026</v>
      </c>
      <c r="V134" s="224">
        <v>3.3089976103918834</v>
      </c>
      <c r="W134" s="224">
        <v>2.647198088313507</v>
      </c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</row>
    <row r="135" ht="14.25" customHeight="1">
      <c r="A135" s="423" t="s">
        <v>84</v>
      </c>
      <c r="B135" s="423" t="s">
        <v>1266</v>
      </c>
      <c r="C135" s="423" t="s">
        <v>1317</v>
      </c>
      <c r="D135" s="581" t="s">
        <v>1318</v>
      </c>
      <c r="E135" s="134" t="s">
        <v>1319</v>
      </c>
      <c r="F135" s="134"/>
      <c r="G135" s="584" t="s">
        <v>1328</v>
      </c>
      <c r="H135" s="584" t="s">
        <v>4080</v>
      </c>
      <c r="I135" s="423" t="s">
        <v>1330</v>
      </c>
      <c r="J135" s="134"/>
      <c r="K135" s="581" t="s">
        <v>95</v>
      </c>
      <c r="L135" s="134"/>
      <c r="M135" s="581" t="s">
        <v>1323</v>
      </c>
      <c r="N135" s="134" t="s">
        <v>1324</v>
      </c>
      <c r="O135" s="134">
        <v>1920.0</v>
      </c>
      <c r="P135" s="134">
        <v>8.5447E9</v>
      </c>
      <c r="Q135" s="498">
        <v>2.1577836284948684</v>
      </c>
      <c r="R135" s="126" t="s">
        <v>10</v>
      </c>
      <c r="S135" s="49"/>
      <c r="T135" s="224">
        <v>7.192612094982895</v>
      </c>
      <c r="U135" s="224">
        <v>4.315567256989737</v>
      </c>
      <c r="V135" s="224">
        <v>3.5963060474914474</v>
      </c>
      <c r="W135" s="224">
        <v>2.877044837993158</v>
      </c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</row>
    <row r="136" ht="14.25" customHeight="1">
      <c r="A136" s="423" t="s">
        <v>84</v>
      </c>
      <c r="B136" s="423" t="s">
        <v>1266</v>
      </c>
      <c r="C136" s="423" t="s">
        <v>1317</v>
      </c>
      <c r="D136" s="581" t="s">
        <v>1318</v>
      </c>
      <c r="E136" s="134" t="s">
        <v>1319</v>
      </c>
      <c r="F136" s="134"/>
      <c r="G136" s="584" t="s">
        <v>1331</v>
      </c>
      <c r="H136" s="584" t="s">
        <v>4081</v>
      </c>
      <c r="I136" s="423" t="s">
        <v>1333</v>
      </c>
      <c r="J136" s="134"/>
      <c r="K136" s="581" t="s">
        <v>95</v>
      </c>
      <c r="L136" s="134"/>
      <c r="M136" s="581" t="s">
        <v>1323</v>
      </c>
      <c r="N136" s="134" t="s">
        <v>1324</v>
      </c>
      <c r="O136" s="134">
        <v>1440.0</v>
      </c>
      <c r="P136" s="134">
        <v>8.5447E9</v>
      </c>
      <c r="Q136" s="498">
        <v>2.5191064101066174</v>
      </c>
      <c r="R136" s="126" t="s">
        <v>10</v>
      </c>
      <c r="S136" s="49"/>
      <c r="T136" s="224">
        <v>8.397021367022058</v>
      </c>
      <c r="U136" s="224">
        <v>5.038212820213235</v>
      </c>
      <c r="V136" s="224">
        <v>4.198510683511029</v>
      </c>
      <c r="W136" s="224">
        <v>3.3588085468088233</v>
      </c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</row>
    <row r="137" ht="14.25" customHeight="1">
      <c r="A137" s="423" t="s">
        <v>84</v>
      </c>
      <c r="B137" s="423" t="s">
        <v>1266</v>
      </c>
      <c r="C137" s="423" t="s">
        <v>1317</v>
      </c>
      <c r="D137" s="581" t="s">
        <v>1318</v>
      </c>
      <c r="E137" s="134" t="s">
        <v>1319</v>
      </c>
      <c r="F137" s="134"/>
      <c r="G137" s="584" t="s">
        <v>1334</v>
      </c>
      <c r="H137" s="584" t="s">
        <v>778</v>
      </c>
      <c r="I137" s="423" t="s">
        <v>1336</v>
      </c>
      <c r="J137" s="134"/>
      <c r="K137" s="581" t="s">
        <v>95</v>
      </c>
      <c r="L137" s="134"/>
      <c r="M137" s="581" t="s">
        <v>1323</v>
      </c>
      <c r="N137" s="134" t="s">
        <v>1324</v>
      </c>
      <c r="O137" s="134">
        <v>720.0</v>
      </c>
      <c r="P137" s="134">
        <v>8.5447E9</v>
      </c>
      <c r="Q137" s="498">
        <v>3.7381421423377077</v>
      </c>
      <c r="R137" s="126" t="s">
        <v>10</v>
      </c>
      <c r="S137" s="49"/>
      <c r="T137" s="224">
        <v>12.46047380779236</v>
      </c>
      <c r="U137" s="224">
        <v>7.476284284675415</v>
      </c>
      <c r="V137" s="224">
        <v>6.23023690389618</v>
      </c>
      <c r="W137" s="224">
        <v>4.984189523116944</v>
      </c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</row>
    <row r="138" ht="14.25" customHeight="1">
      <c r="A138" s="423" t="s">
        <v>84</v>
      </c>
      <c r="B138" s="423" t="s">
        <v>1266</v>
      </c>
      <c r="C138" s="423" t="s">
        <v>1317</v>
      </c>
      <c r="D138" s="581" t="s">
        <v>1318</v>
      </c>
      <c r="E138" s="134" t="s">
        <v>1319</v>
      </c>
      <c r="F138" s="134"/>
      <c r="G138" s="584" t="s">
        <v>1337</v>
      </c>
      <c r="H138" s="584" t="s">
        <v>778</v>
      </c>
      <c r="I138" s="423" t="s">
        <v>1339</v>
      </c>
      <c r="J138" s="134"/>
      <c r="K138" s="581" t="s">
        <v>95</v>
      </c>
      <c r="L138" s="134"/>
      <c r="M138" s="581" t="s">
        <v>1323</v>
      </c>
      <c r="N138" s="134" t="s">
        <v>1324</v>
      </c>
      <c r="O138" s="134">
        <v>480.0</v>
      </c>
      <c r="P138" s="134">
        <v>8.5447E9</v>
      </c>
      <c r="Q138" s="498">
        <v>4.845845855192718</v>
      </c>
      <c r="R138" s="126" t="s">
        <v>10</v>
      </c>
      <c r="S138" s="49"/>
      <c r="T138" s="224">
        <v>16.152819517309062</v>
      </c>
      <c r="U138" s="224">
        <v>9.691691710385436</v>
      </c>
      <c r="V138" s="224">
        <v>8.076409758654531</v>
      </c>
      <c r="W138" s="224">
        <v>6.461127806923625</v>
      </c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</row>
    <row r="139" ht="14.25" customHeight="1">
      <c r="A139" s="423" t="s">
        <v>84</v>
      </c>
      <c r="B139" s="423" t="s">
        <v>1266</v>
      </c>
      <c r="C139" s="423" t="s">
        <v>1317</v>
      </c>
      <c r="D139" s="581" t="s">
        <v>1340</v>
      </c>
      <c r="E139" s="134" t="s">
        <v>1319</v>
      </c>
      <c r="F139" s="134"/>
      <c r="G139" s="584" t="s">
        <v>1341</v>
      </c>
      <c r="H139" s="584" t="s">
        <v>4082</v>
      </c>
      <c r="I139" s="423" t="s">
        <v>1343</v>
      </c>
      <c r="J139" s="134"/>
      <c r="K139" s="581" t="s">
        <v>95</v>
      </c>
      <c r="L139" s="134"/>
      <c r="M139" s="581" t="s">
        <v>1323</v>
      </c>
      <c r="N139" s="134" t="s">
        <v>1324</v>
      </c>
      <c r="O139" s="134">
        <v>2160.0</v>
      </c>
      <c r="P139" s="134">
        <v>8.5447E9</v>
      </c>
      <c r="Q139" s="498">
        <v>1.8027074776596412</v>
      </c>
      <c r="R139" s="126" t="s">
        <v>10</v>
      </c>
      <c r="S139" s="49"/>
      <c r="T139" s="224">
        <v>6.009024925532137</v>
      </c>
      <c r="U139" s="224">
        <v>3.605414955319282</v>
      </c>
      <c r="V139" s="224">
        <v>3.0045124627660686</v>
      </c>
      <c r="W139" s="224">
        <v>2.4036099702128553</v>
      </c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</row>
    <row r="140" ht="14.25" customHeight="1">
      <c r="A140" s="423" t="s">
        <v>84</v>
      </c>
      <c r="B140" s="423" t="s">
        <v>1266</v>
      </c>
      <c r="C140" s="423" t="s">
        <v>1317</v>
      </c>
      <c r="D140" s="581" t="s">
        <v>1340</v>
      </c>
      <c r="E140" s="134" t="s">
        <v>1319</v>
      </c>
      <c r="F140" s="134"/>
      <c r="G140" s="584" t="s">
        <v>1345</v>
      </c>
      <c r="H140" s="584" t="s">
        <v>4083</v>
      </c>
      <c r="I140" s="423" t="s">
        <v>1347</v>
      </c>
      <c r="J140" s="134"/>
      <c r="K140" s="581" t="s">
        <v>95</v>
      </c>
      <c r="L140" s="134"/>
      <c r="M140" s="581" t="s">
        <v>1323</v>
      </c>
      <c r="N140" s="134" t="s">
        <v>1324</v>
      </c>
      <c r="O140" s="134">
        <v>1920.0</v>
      </c>
      <c r="P140" s="134">
        <v>8.5447E9</v>
      </c>
      <c r="Q140" s="498">
        <v>1.98539856623513</v>
      </c>
      <c r="R140" s="126" t="s">
        <v>10</v>
      </c>
      <c r="S140" s="49"/>
      <c r="T140" s="224">
        <v>6.617995220783767</v>
      </c>
      <c r="U140" s="224">
        <v>3.97079713247026</v>
      </c>
      <c r="V140" s="224">
        <v>3.3089976103918834</v>
      </c>
      <c r="W140" s="224">
        <v>2.647198088313507</v>
      </c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</row>
    <row r="141" ht="14.25" customHeight="1">
      <c r="A141" s="423" t="s">
        <v>84</v>
      </c>
      <c r="B141" s="423" t="s">
        <v>1266</v>
      </c>
      <c r="C141" s="423" t="s">
        <v>1317</v>
      </c>
      <c r="D141" s="581" t="s">
        <v>1340</v>
      </c>
      <c r="E141" s="134" t="s">
        <v>1319</v>
      </c>
      <c r="F141" s="134"/>
      <c r="G141" s="584" t="s">
        <v>1348</v>
      </c>
      <c r="H141" s="584" t="s">
        <v>4084</v>
      </c>
      <c r="I141" s="423" t="s">
        <v>1350</v>
      </c>
      <c r="J141" s="134"/>
      <c r="K141" s="581" t="s">
        <v>95</v>
      </c>
      <c r="L141" s="134"/>
      <c r="M141" s="581" t="s">
        <v>1323</v>
      </c>
      <c r="N141" s="134" t="s">
        <v>1324</v>
      </c>
      <c r="O141" s="134">
        <v>1920.0</v>
      </c>
      <c r="P141" s="134">
        <v>8.5447E9</v>
      </c>
      <c r="Q141" s="498">
        <v>2.1577836284948684</v>
      </c>
      <c r="R141" s="126" t="s">
        <v>10</v>
      </c>
      <c r="S141" s="49"/>
      <c r="T141" s="224">
        <v>7.192612094982895</v>
      </c>
      <c r="U141" s="224">
        <v>4.315567256989737</v>
      </c>
      <c r="V141" s="224">
        <v>3.5963060474914474</v>
      </c>
      <c r="W141" s="224">
        <v>2.877044837993158</v>
      </c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</row>
    <row r="142" ht="14.25" customHeight="1">
      <c r="A142" s="423" t="s">
        <v>84</v>
      </c>
      <c r="B142" s="423" t="s">
        <v>1266</v>
      </c>
      <c r="C142" s="423" t="s">
        <v>1317</v>
      </c>
      <c r="D142" s="581" t="s">
        <v>1340</v>
      </c>
      <c r="E142" s="134" t="s">
        <v>1319</v>
      </c>
      <c r="F142" s="134"/>
      <c r="G142" s="584" t="s">
        <v>1352</v>
      </c>
      <c r="H142" s="584" t="s">
        <v>4085</v>
      </c>
      <c r="I142" s="423" t="s">
        <v>1354</v>
      </c>
      <c r="J142" s="134"/>
      <c r="K142" s="581" t="s">
        <v>95</v>
      </c>
      <c r="L142" s="134"/>
      <c r="M142" s="581" t="s">
        <v>1323</v>
      </c>
      <c r="N142" s="134" t="s">
        <v>1324</v>
      </c>
      <c r="O142" s="134">
        <v>1440.0</v>
      </c>
      <c r="P142" s="134">
        <v>8.5447E9</v>
      </c>
      <c r="Q142" s="498">
        <v>2.5191064101066174</v>
      </c>
      <c r="R142" s="126" t="s">
        <v>10</v>
      </c>
      <c r="S142" s="49"/>
      <c r="T142" s="224">
        <v>8.397021367022058</v>
      </c>
      <c r="U142" s="224">
        <v>5.038212820213235</v>
      </c>
      <c r="V142" s="224">
        <v>4.198510683511029</v>
      </c>
      <c r="W142" s="224">
        <v>3.3588085468088233</v>
      </c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</row>
    <row r="143" ht="14.25" customHeight="1">
      <c r="A143" s="423" t="s">
        <v>84</v>
      </c>
      <c r="B143" s="423" t="s">
        <v>1266</v>
      </c>
      <c r="C143" s="423" t="s">
        <v>1317</v>
      </c>
      <c r="D143" s="581" t="s">
        <v>1340</v>
      </c>
      <c r="E143" s="134" t="s">
        <v>1319</v>
      </c>
      <c r="F143" s="134"/>
      <c r="G143" s="584" t="s">
        <v>1355</v>
      </c>
      <c r="H143" s="584" t="s">
        <v>778</v>
      </c>
      <c r="I143" s="423" t="s">
        <v>1358</v>
      </c>
      <c r="J143" s="134"/>
      <c r="K143" s="581" t="s">
        <v>95</v>
      </c>
      <c r="L143" s="134"/>
      <c r="M143" s="581" t="s">
        <v>1323</v>
      </c>
      <c r="N143" s="134" t="s">
        <v>1324</v>
      </c>
      <c r="O143" s="134">
        <v>720.0</v>
      </c>
      <c r="P143" s="134">
        <v>8.5447E9</v>
      </c>
      <c r="Q143" s="498">
        <v>3.7381421423377077</v>
      </c>
      <c r="R143" s="126" t="s">
        <v>10</v>
      </c>
      <c r="S143" s="49"/>
      <c r="T143" s="224">
        <v>12.46047380779236</v>
      </c>
      <c r="U143" s="224">
        <v>7.476284284675415</v>
      </c>
      <c r="V143" s="224">
        <v>6.23023690389618</v>
      </c>
      <c r="W143" s="224">
        <v>4.984189523116944</v>
      </c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</row>
    <row r="144" ht="14.25" customHeight="1">
      <c r="A144" s="423" t="s">
        <v>84</v>
      </c>
      <c r="B144" s="423" t="s">
        <v>1266</v>
      </c>
      <c r="C144" s="423" t="s">
        <v>1317</v>
      </c>
      <c r="D144" s="581" t="s">
        <v>1340</v>
      </c>
      <c r="E144" s="134" t="s">
        <v>1319</v>
      </c>
      <c r="F144" s="134"/>
      <c r="G144" s="584" t="s">
        <v>1359</v>
      </c>
      <c r="H144" s="584" t="s">
        <v>778</v>
      </c>
      <c r="I144" s="423" t="s">
        <v>1362</v>
      </c>
      <c r="J144" s="134"/>
      <c r="K144" s="581" t="s">
        <v>95</v>
      </c>
      <c r="L144" s="134"/>
      <c r="M144" s="581" t="s">
        <v>1323</v>
      </c>
      <c r="N144" s="134" t="s">
        <v>1324</v>
      </c>
      <c r="O144" s="134">
        <v>480.0</v>
      </c>
      <c r="P144" s="134">
        <v>8.5447E9</v>
      </c>
      <c r="Q144" s="498">
        <v>4.845845855192718</v>
      </c>
      <c r="R144" s="126" t="s">
        <v>10</v>
      </c>
      <c r="S144" s="49"/>
      <c r="T144" s="224">
        <v>16.152819517309062</v>
      </c>
      <c r="U144" s="224">
        <v>9.691691710385436</v>
      </c>
      <c r="V144" s="224">
        <v>8.076409758654531</v>
      </c>
      <c r="W144" s="224">
        <v>6.461127806923625</v>
      </c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</row>
    <row r="145" ht="14.25" customHeight="1">
      <c r="A145" s="423" t="s">
        <v>84</v>
      </c>
      <c r="B145" s="423" t="s">
        <v>1266</v>
      </c>
      <c r="C145" s="423" t="s">
        <v>1317</v>
      </c>
      <c r="D145" s="581" t="s">
        <v>1367</v>
      </c>
      <c r="E145" s="134" t="s">
        <v>1319</v>
      </c>
      <c r="F145" s="134"/>
      <c r="G145" s="584" t="s">
        <v>1368</v>
      </c>
      <c r="H145" s="584" t="s">
        <v>4086</v>
      </c>
      <c r="I145" s="423" t="s">
        <v>1370</v>
      </c>
      <c r="J145" s="134"/>
      <c r="K145" s="581" t="s">
        <v>95</v>
      </c>
      <c r="L145" s="134"/>
      <c r="M145" s="581" t="s">
        <v>1323</v>
      </c>
      <c r="N145" s="134" t="s">
        <v>1324</v>
      </c>
      <c r="O145" s="134">
        <v>2160.0</v>
      </c>
      <c r="P145" s="134">
        <v>8.5447E9</v>
      </c>
      <c r="Q145" s="498">
        <v>1.8027074776596412</v>
      </c>
      <c r="R145" s="126" t="s">
        <v>10</v>
      </c>
      <c r="S145" s="49"/>
      <c r="T145" s="224">
        <v>6.009024925532137</v>
      </c>
      <c r="U145" s="224">
        <v>3.605414955319282</v>
      </c>
      <c r="V145" s="224">
        <v>3.0045124627660686</v>
      </c>
      <c r="W145" s="224">
        <v>2.4036099702128553</v>
      </c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</row>
    <row r="146" ht="14.25" customHeight="1">
      <c r="A146" s="423" t="s">
        <v>84</v>
      </c>
      <c r="B146" s="423" t="s">
        <v>1266</v>
      </c>
      <c r="C146" s="423" t="s">
        <v>1317</v>
      </c>
      <c r="D146" s="581" t="s">
        <v>1367</v>
      </c>
      <c r="E146" s="134" t="s">
        <v>1319</v>
      </c>
      <c r="F146" s="134"/>
      <c r="G146" s="584" t="s">
        <v>1372</v>
      </c>
      <c r="H146" s="584" t="s">
        <v>4087</v>
      </c>
      <c r="I146" s="423" t="s">
        <v>1374</v>
      </c>
      <c r="J146" s="134"/>
      <c r="K146" s="581" t="s">
        <v>95</v>
      </c>
      <c r="L146" s="134"/>
      <c r="M146" s="581" t="s">
        <v>1323</v>
      </c>
      <c r="N146" s="134" t="s">
        <v>1324</v>
      </c>
      <c r="O146" s="134">
        <v>1920.0</v>
      </c>
      <c r="P146" s="134">
        <v>8.5447E9</v>
      </c>
      <c r="Q146" s="498">
        <v>1.98539856623513</v>
      </c>
      <c r="R146" s="126" t="s">
        <v>10</v>
      </c>
      <c r="S146" s="49"/>
      <c r="T146" s="224">
        <v>6.617995220783767</v>
      </c>
      <c r="U146" s="224">
        <v>3.97079713247026</v>
      </c>
      <c r="V146" s="224">
        <v>3.3089976103918834</v>
      </c>
      <c r="W146" s="224">
        <v>2.647198088313507</v>
      </c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</row>
    <row r="147" ht="14.25" customHeight="1">
      <c r="A147" s="423" t="s">
        <v>84</v>
      </c>
      <c r="B147" s="423" t="s">
        <v>1266</v>
      </c>
      <c r="C147" s="423" t="s">
        <v>1317</v>
      </c>
      <c r="D147" s="581" t="s">
        <v>1367</v>
      </c>
      <c r="E147" s="134" t="s">
        <v>1319</v>
      </c>
      <c r="F147" s="134"/>
      <c r="G147" s="584" t="s">
        <v>1375</v>
      </c>
      <c r="H147" s="584" t="s">
        <v>4088</v>
      </c>
      <c r="I147" s="423" t="s">
        <v>1377</v>
      </c>
      <c r="J147" s="134"/>
      <c r="K147" s="581" t="s">
        <v>95</v>
      </c>
      <c r="L147" s="134"/>
      <c r="M147" s="581" t="s">
        <v>1323</v>
      </c>
      <c r="N147" s="134" t="s">
        <v>1324</v>
      </c>
      <c r="O147" s="134">
        <v>1920.0</v>
      </c>
      <c r="P147" s="134">
        <v>8.5447E9</v>
      </c>
      <c r="Q147" s="498">
        <v>2.1577836284948684</v>
      </c>
      <c r="R147" s="126" t="s">
        <v>10</v>
      </c>
      <c r="S147" s="49"/>
      <c r="T147" s="224">
        <v>7.192612094982895</v>
      </c>
      <c r="U147" s="224">
        <v>4.315567256989737</v>
      </c>
      <c r="V147" s="224">
        <v>3.5963060474914474</v>
      </c>
      <c r="W147" s="224">
        <v>2.877044837993158</v>
      </c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</row>
    <row r="148" ht="14.25" customHeight="1">
      <c r="A148" s="423" t="s">
        <v>84</v>
      </c>
      <c r="B148" s="423" t="s">
        <v>1266</v>
      </c>
      <c r="C148" s="423" t="s">
        <v>1317</v>
      </c>
      <c r="D148" s="581" t="s">
        <v>1367</v>
      </c>
      <c r="E148" s="134" t="s">
        <v>1319</v>
      </c>
      <c r="F148" s="134"/>
      <c r="G148" s="584" t="s">
        <v>1379</v>
      </c>
      <c r="H148" s="584" t="s">
        <v>4089</v>
      </c>
      <c r="I148" s="423" t="s">
        <v>1381</v>
      </c>
      <c r="J148" s="134"/>
      <c r="K148" s="581" t="s">
        <v>95</v>
      </c>
      <c r="L148" s="134"/>
      <c r="M148" s="581" t="s">
        <v>1323</v>
      </c>
      <c r="N148" s="134" t="s">
        <v>1324</v>
      </c>
      <c r="O148" s="134">
        <v>1440.0</v>
      </c>
      <c r="P148" s="134">
        <v>8.5447E9</v>
      </c>
      <c r="Q148" s="498">
        <v>2.5191064101066174</v>
      </c>
      <c r="R148" s="126" t="s">
        <v>10</v>
      </c>
      <c r="S148" s="49"/>
      <c r="T148" s="224">
        <v>8.397021367022058</v>
      </c>
      <c r="U148" s="224">
        <v>5.038212820213235</v>
      </c>
      <c r="V148" s="224">
        <v>4.198510683511029</v>
      </c>
      <c r="W148" s="224">
        <v>3.3588085468088233</v>
      </c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</row>
    <row r="149" ht="14.25" customHeight="1">
      <c r="A149" s="423" t="s">
        <v>84</v>
      </c>
      <c r="B149" s="423" t="s">
        <v>1266</v>
      </c>
      <c r="C149" s="423" t="s">
        <v>1317</v>
      </c>
      <c r="D149" s="581" t="s">
        <v>1367</v>
      </c>
      <c r="E149" s="134" t="s">
        <v>1319</v>
      </c>
      <c r="F149" s="134"/>
      <c r="G149" s="584" t="s">
        <v>1383</v>
      </c>
      <c r="H149" s="584" t="s">
        <v>778</v>
      </c>
      <c r="I149" s="423" t="s">
        <v>1386</v>
      </c>
      <c r="J149" s="134"/>
      <c r="K149" s="581" t="s">
        <v>95</v>
      </c>
      <c r="L149" s="134"/>
      <c r="M149" s="581" t="s">
        <v>1323</v>
      </c>
      <c r="N149" s="134" t="s">
        <v>1324</v>
      </c>
      <c r="O149" s="134">
        <v>720.0</v>
      </c>
      <c r="P149" s="134">
        <v>8.5447E9</v>
      </c>
      <c r="Q149" s="498">
        <v>3.7381421423377077</v>
      </c>
      <c r="R149" s="126" t="s">
        <v>10</v>
      </c>
      <c r="S149" s="49"/>
      <c r="T149" s="224">
        <v>12.46047380779236</v>
      </c>
      <c r="U149" s="224">
        <v>7.476284284675415</v>
      </c>
      <c r="V149" s="224">
        <v>6.23023690389618</v>
      </c>
      <c r="W149" s="224">
        <v>4.984189523116944</v>
      </c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</row>
    <row r="150" ht="14.25" customHeight="1">
      <c r="A150" s="423" t="s">
        <v>84</v>
      </c>
      <c r="B150" s="423" t="s">
        <v>1266</v>
      </c>
      <c r="C150" s="423" t="s">
        <v>1317</v>
      </c>
      <c r="D150" s="581" t="s">
        <v>1367</v>
      </c>
      <c r="E150" s="134" t="s">
        <v>1319</v>
      </c>
      <c r="F150" s="134"/>
      <c r="G150" s="584" t="s">
        <v>1387</v>
      </c>
      <c r="H150" s="584" t="s">
        <v>778</v>
      </c>
      <c r="I150" s="423" t="s">
        <v>1390</v>
      </c>
      <c r="J150" s="134"/>
      <c r="K150" s="581" t="s">
        <v>95</v>
      </c>
      <c r="L150" s="134"/>
      <c r="M150" s="581" t="s">
        <v>1323</v>
      </c>
      <c r="N150" s="134" t="s">
        <v>1324</v>
      </c>
      <c r="O150" s="134">
        <v>480.0</v>
      </c>
      <c r="P150" s="134">
        <v>8.5447E9</v>
      </c>
      <c r="Q150" s="498">
        <v>4.845845855192718</v>
      </c>
      <c r="R150" s="126" t="s">
        <v>10</v>
      </c>
      <c r="S150" s="49"/>
      <c r="T150" s="224">
        <v>16.152819517309062</v>
      </c>
      <c r="U150" s="224">
        <v>9.691691710385436</v>
      </c>
      <c r="V150" s="224">
        <v>8.076409758654531</v>
      </c>
      <c r="W150" s="224">
        <v>6.461127806923625</v>
      </c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</row>
    <row r="151" ht="14.25" customHeight="1">
      <c r="A151" s="423" t="s">
        <v>84</v>
      </c>
      <c r="B151" s="423" t="s">
        <v>1266</v>
      </c>
      <c r="C151" s="423" t="s">
        <v>1317</v>
      </c>
      <c r="D151" s="581" t="s">
        <v>1318</v>
      </c>
      <c r="E151" s="134" t="s">
        <v>1395</v>
      </c>
      <c r="F151" s="134"/>
      <c r="G151" s="584" t="s">
        <v>1396</v>
      </c>
      <c r="H151" s="584" t="s">
        <v>4090</v>
      </c>
      <c r="I151" s="423" t="s">
        <v>1398</v>
      </c>
      <c r="J151" s="134"/>
      <c r="K151" s="581" t="s">
        <v>95</v>
      </c>
      <c r="L151" s="134"/>
      <c r="M151" s="581" t="s">
        <v>1323</v>
      </c>
      <c r="N151" s="134" t="s">
        <v>1324</v>
      </c>
      <c r="O151" s="134">
        <v>2160.0</v>
      </c>
      <c r="P151" s="134">
        <v>8.5447E9</v>
      </c>
      <c r="Q151" s="498">
        <v>1.926609241158828</v>
      </c>
      <c r="R151" s="126" t="s">
        <v>10</v>
      </c>
      <c r="S151" s="49"/>
      <c r="T151" s="224">
        <v>6.422030803862761</v>
      </c>
      <c r="U151" s="224">
        <v>3.853218482317656</v>
      </c>
      <c r="V151" s="224">
        <v>3.2110154019313804</v>
      </c>
      <c r="W151" s="224">
        <v>2.5688123215451046</v>
      </c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</row>
    <row r="152" ht="14.25" customHeight="1">
      <c r="A152" s="423" t="s">
        <v>84</v>
      </c>
      <c r="B152" s="423" t="s">
        <v>1266</v>
      </c>
      <c r="C152" s="423" t="s">
        <v>1317</v>
      </c>
      <c r="D152" s="581" t="s">
        <v>1318</v>
      </c>
      <c r="E152" s="134" t="s">
        <v>1395</v>
      </c>
      <c r="F152" s="134"/>
      <c r="G152" s="584" t="s">
        <v>1399</v>
      </c>
      <c r="H152" s="584" t="s">
        <v>4091</v>
      </c>
      <c r="I152" s="423" t="s">
        <v>1401</v>
      </c>
      <c r="J152" s="134"/>
      <c r="K152" s="581" t="s">
        <v>95</v>
      </c>
      <c r="L152" s="134"/>
      <c r="M152" s="581" t="s">
        <v>1323</v>
      </c>
      <c r="N152" s="134" t="s">
        <v>1324</v>
      </c>
      <c r="O152" s="134">
        <v>1920.0</v>
      </c>
      <c r="P152" s="134">
        <v>8.5447E9</v>
      </c>
      <c r="Q152" s="498">
        <v>2.2206323491103976</v>
      </c>
      <c r="R152" s="126" t="s">
        <v>10</v>
      </c>
      <c r="S152" s="49"/>
      <c r="T152" s="224">
        <v>7.402107830367992</v>
      </c>
      <c r="U152" s="224">
        <v>4.441264698220795</v>
      </c>
      <c r="V152" s="224">
        <v>3.701053915183996</v>
      </c>
      <c r="W152" s="224">
        <v>2.960843132147197</v>
      </c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</row>
    <row r="153" ht="14.25" customHeight="1">
      <c r="A153" s="423" t="s">
        <v>84</v>
      </c>
      <c r="B153" s="423" t="s">
        <v>1266</v>
      </c>
      <c r="C153" s="423" t="s">
        <v>1317</v>
      </c>
      <c r="D153" s="581" t="s">
        <v>1318</v>
      </c>
      <c r="E153" s="134" t="s">
        <v>1395</v>
      </c>
      <c r="F153" s="134"/>
      <c r="G153" s="584" t="s">
        <v>1402</v>
      </c>
      <c r="H153" s="584" t="s">
        <v>4092</v>
      </c>
      <c r="I153" s="423" t="s">
        <v>1404</v>
      </c>
      <c r="J153" s="134"/>
      <c r="K153" s="581" t="s">
        <v>95</v>
      </c>
      <c r="L153" s="134"/>
      <c r="M153" s="581" t="s">
        <v>1323</v>
      </c>
      <c r="N153" s="134" t="s">
        <v>1324</v>
      </c>
      <c r="O153" s="134">
        <v>1920.0</v>
      </c>
      <c r="P153" s="134">
        <v>8.5447E9</v>
      </c>
      <c r="Q153" s="498">
        <v>2.516919174869323</v>
      </c>
      <c r="R153" s="126" t="s">
        <v>10</v>
      </c>
      <c r="S153" s="49"/>
      <c r="T153" s="224">
        <v>8.389730582897744</v>
      </c>
      <c r="U153" s="224">
        <v>5.033838349738646</v>
      </c>
      <c r="V153" s="224">
        <v>4.194865291448872</v>
      </c>
      <c r="W153" s="224">
        <v>3.355892233159098</v>
      </c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</row>
    <row r="154" ht="14.25" customHeight="1">
      <c r="A154" s="423" t="s">
        <v>84</v>
      </c>
      <c r="B154" s="423" t="s">
        <v>1266</v>
      </c>
      <c r="C154" s="423" t="s">
        <v>1317</v>
      </c>
      <c r="D154" s="581" t="s">
        <v>1318</v>
      </c>
      <c r="E154" s="134" t="s">
        <v>1395</v>
      </c>
      <c r="F154" s="134"/>
      <c r="G154" s="584" t="s">
        <v>1405</v>
      </c>
      <c r="H154" s="584" t="s">
        <v>4093</v>
      </c>
      <c r="I154" s="423" t="s">
        <v>1407</v>
      </c>
      <c r="J154" s="134"/>
      <c r="K154" s="581" t="s">
        <v>95</v>
      </c>
      <c r="L154" s="134"/>
      <c r="M154" s="581" t="s">
        <v>1323</v>
      </c>
      <c r="N154" s="134" t="s">
        <v>1324</v>
      </c>
      <c r="O154" s="134">
        <v>1440.0</v>
      </c>
      <c r="P154" s="134">
        <v>8.5447E9</v>
      </c>
      <c r="Q154" s="498">
        <v>3.1260454834794467</v>
      </c>
      <c r="R154" s="126" t="s">
        <v>10</v>
      </c>
      <c r="S154" s="49"/>
      <c r="T154" s="224">
        <v>10.420151611598156</v>
      </c>
      <c r="U154" s="224">
        <v>6.252090966958893</v>
      </c>
      <c r="V154" s="224">
        <v>5.210075805799078</v>
      </c>
      <c r="W154" s="224">
        <v>4.1680606446392625</v>
      </c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</row>
    <row r="155" ht="14.25" customHeight="1">
      <c r="A155" s="423" t="s">
        <v>84</v>
      </c>
      <c r="B155" s="423" t="s">
        <v>1266</v>
      </c>
      <c r="C155" s="423" t="s">
        <v>1317</v>
      </c>
      <c r="D155" s="581" t="s">
        <v>1318</v>
      </c>
      <c r="E155" s="134" t="s">
        <v>1395</v>
      </c>
      <c r="F155" s="134"/>
      <c r="G155" s="584" t="s">
        <v>1408</v>
      </c>
      <c r="H155" s="584" t="s">
        <v>778</v>
      </c>
      <c r="I155" s="423" t="s">
        <v>1410</v>
      </c>
      <c r="J155" s="134"/>
      <c r="K155" s="581" t="s">
        <v>95</v>
      </c>
      <c r="L155" s="134"/>
      <c r="M155" s="581" t="s">
        <v>1323</v>
      </c>
      <c r="N155" s="134" t="s">
        <v>1324</v>
      </c>
      <c r="O155" s="134">
        <v>720.0</v>
      </c>
      <c r="P155" s="134">
        <v>8.5447E9</v>
      </c>
      <c r="Q155" s="498">
        <v>4.779635226823627</v>
      </c>
      <c r="R155" s="126" t="s">
        <v>10</v>
      </c>
      <c r="S155" s="49"/>
      <c r="T155" s="224">
        <v>15.932117422745424</v>
      </c>
      <c r="U155" s="224">
        <v>9.559270453647255</v>
      </c>
      <c r="V155" s="224">
        <v>7.966058711372712</v>
      </c>
      <c r="W155" s="224">
        <v>6.37284696909817</v>
      </c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</row>
    <row r="156" ht="14.25" customHeight="1">
      <c r="A156" s="423" t="s">
        <v>84</v>
      </c>
      <c r="B156" s="423" t="s">
        <v>1266</v>
      </c>
      <c r="C156" s="423" t="s">
        <v>1317</v>
      </c>
      <c r="D156" s="581" t="s">
        <v>1318</v>
      </c>
      <c r="E156" s="134" t="s">
        <v>1395</v>
      </c>
      <c r="F156" s="134"/>
      <c r="G156" s="584" t="s">
        <v>1411</v>
      </c>
      <c r="H156" s="584" t="s">
        <v>778</v>
      </c>
      <c r="I156" s="423" t="s">
        <v>1413</v>
      </c>
      <c r="J156" s="134"/>
      <c r="K156" s="581" t="s">
        <v>95</v>
      </c>
      <c r="L156" s="134"/>
      <c r="M156" s="581" t="s">
        <v>1323</v>
      </c>
      <c r="N156" s="134" t="s">
        <v>1324</v>
      </c>
      <c r="O156" s="134">
        <v>480.0</v>
      </c>
      <c r="P156" s="134">
        <v>8.5447E9</v>
      </c>
      <c r="Q156" s="498">
        <v>6.408085481921596</v>
      </c>
      <c r="R156" s="126" t="s">
        <v>10</v>
      </c>
      <c r="S156" s="49"/>
      <c r="T156" s="224">
        <v>21.360284939738655</v>
      </c>
      <c r="U156" s="224">
        <v>12.816170963843193</v>
      </c>
      <c r="V156" s="224">
        <v>10.680142469869327</v>
      </c>
      <c r="W156" s="224">
        <v>8.544113975895462</v>
      </c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</row>
    <row r="157" ht="14.25" customHeight="1">
      <c r="A157" s="423" t="s">
        <v>84</v>
      </c>
      <c r="B157" s="423" t="s">
        <v>1266</v>
      </c>
      <c r="C157" s="423" t="s">
        <v>1317</v>
      </c>
      <c r="D157" s="581" t="s">
        <v>1340</v>
      </c>
      <c r="E157" s="134" t="s">
        <v>1395</v>
      </c>
      <c r="F157" s="134"/>
      <c r="G157" s="584" t="s">
        <v>1414</v>
      </c>
      <c r="H157" s="584" t="s">
        <v>4094</v>
      </c>
      <c r="I157" s="423" t="s">
        <v>1416</v>
      </c>
      <c r="J157" s="134"/>
      <c r="K157" s="581" t="s">
        <v>95</v>
      </c>
      <c r="L157" s="134"/>
      <c r="M157" s="581" t="s">
        <v>1323</v>
      </c>
      <c r="N157" s="134" t="s">
        <v>1324</v>
      </c>
      <c r="O157" s="134">
        <v>2160.0</v>
      </c>
      <c r="P157" s="134">
        <v>8.5447E9</v>
      </c>
      <c r="Q157" s="498">
        <v>1.926609241158828</v>
      </c>
      <c r="R157" s="126" t="s">
        <v>10</v>
      </c>
      <c r="S157" s="49"/>
      <c r="T157" s="224">
        <v>6.422030803862761</v>
      </c>
      <c r="U157" s="224">
        <v>3.853218482317656</v>
      </c>
      <c r="V157" s="224">
        <v>3.2110154019313804</v>
      </c>
      <c r="W157" s="224">
        <v>2.5688123215451046</v>
      </c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</row>
    <row r="158" ht="14.25" customHeight="1">
      <c r="A158" s="423" t="s">
        <v>84</v>
      </c>
      <c r="B158" s="423" t="s">
        <v>1266</v>
      </c>
      <c r="C158" s="423" t="s">
        <v>1317</v>
      </c>
      <c r="D158" s="581" t="s">
        <v>1340</v>
      </c>
      <c r="E158" s="134" t="s">
        <v>1395</v>
      </c>
      <c r="F158" s="134"/>
      <c r="G158" s="584" t="s">
        <v>1417</v>
      </c>
      <c r="H158" s="584" t="s">
        <v>4095</v>
      </c>
      <c r="I158" s="423" t="s">
        <v>1419</v>
      </c>
      <c r="J158" s="134"/>
      <c r="K158" s="581" t="s">
        <v>95</v>
      </c>
      <c r="L158" s="134"/>
      <c r="M158" s="581" t="s">
        <v>1323</v>
      </c>
      <c r="N158" s="134" t="s">
        <v>1324</v>
      </c>
      <c r="O158" s="134">
        <v>1920.0</v>
      </c>
      <c r="P158" s="134">
        <v>8.5447E9</v>
      </c>
      <c r="Q158" s="498">
        <v>2.2206323491103976</v>
      </c>
      <c r="R158" s="126" t="s">
        <v>10</v>
      </c>
      <c r="S158" s="49"/>
      <c r="T158" s="224">
        <v>7.402107830367992</v>
      </c>
      <c r="U158" s="224">
        <v>4.441264698220795</v>
      </c>
      <c r="V158" s="224">
        <v>3.701053915183996</v>
      </c>
      <c r="W158" s="224">
        <v>2.960843132147197</v>
      </c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</row>
    <row r="159" ht="14.25" customHeight="1">
      <c r="A159" s="423" t="s">
        <v>84</v>
      </c>
      <c r="B159" s="423" t="s">
        <v>1266</v>
      </c>
      <c r="C159" s="423" t="s">
        <v>1317</v>
      </c>
      <c r="D159" s="581" t="s">
        <v>1340</v>
      </c>
      <c r="E159" s="134" t="s">
        <v>1395</v>
      </c>
      <c r="F159" s="134"/>
      <c r="G159" s="584" t="s">
        <v>1420</v>
      </c>
      <c r="H159" s="584" t="s">
        <v>4096</v>
      </c>
      <c r="I159" s="423" t="s">
        <v>1422</v>
      </c>
      <c r="J159" s="134"/>
      <c r="K159" s="581" t="s">
        <v>95</v>
      </c>
      <c r="L159" s="134"/>
      <c r="M159" s="581" t="s">
        <v>1323</v>
      </c>
      <c r="N159" s="134" t="s">
        <v>1324</v>
      </c>
      <c r="O159" s="134">
        <v>1920.0</v>
      </c>
      <c r="P159" s="134">
        <v>8.5447E9</v>
      </c>
      <c r="Q159" s="498">
        <v>2.516919174869323</v>
      </c>
      <c r="R159" s="126" t="s">
        <v>10</v>
      </c>
      <c r="S159" s="49"/>
      <c r="T159" s="224">
        <v>8.389730582897744</v>
      </c>
      <c r="U159" s="224">
        <v>5.033838349738646</v>
      </c>
      <c r="V159" s="224">
        <v>4.194865291448872</v>
      </c>
      <c r="W159" s="224">
        <v>3.355892233159098</v>
      </c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</row>
    <row r="160" ht="14.25" customHeight="1">
      <c r="A160" s="423" t="s">
        <v>84</v>
      </c>
      <c r="B160" s="423" t="s">
        <v>1266</v>
      </c>
      <c r="C160" s="423" t="s">
        <v>1317</v>
      </c>
      <c r="D160" s="581" t="s">
        <v>1340</v>
      </c>
      <c r="E160" s="134" t="s">
        <v>1395</v>
      </c>
      <c r="F160" s="134"/>
      <c r="G160" s="584" t="s">
        <v>1423</v>
      </c>
      <c r="H160" s="584" t="s">
        <v>4097</v>
      </c>
      <c r="I160" s="423" t="s">
        <v>1425</v>
      </c>
      <c r="J160" s="134"/>
      <c r="K160" s="581" t="s">
        <v>95</v>
      </c>
      <c r="L160" s="134"/>
      <c r="M160" s="581" t="s">
        <v>1323</v>
      </c>
      <c r="N160" s="134" t="s">
        <v>1324</v>
      </c>
      <c r="O160" s="134">
        <v>1440.0</v>
      </c>
      <c r="P160" s="134">
        <v>8.5447E9</v>
      </c>
      <c r="Q160" s="498">
        <v>3.1260454834794467</v>
      </c>
      <c r="R160" s="126" t="s">
        <v>10</v>
      </c>
      <c r="S160" s="49"/>
      <c r="T160" s="224">
        <v>10.420151611598156</v>
      </c>
      <c r="U160" s="224">
        <v>6.252090966958893</v>
      </c>
      <c r="V160" s="224">
        <v>5.210075805799078</v>
      </c>
      <c r="W160" s="224">
        <v>4.1680606446392625</v>
      </c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</row>
    <row r="161" ht="14.25" customHeight="1">
      <c r="A161" s="423" t="s">
        <v>84</v>
      </c>
      <c r="B161" s="423" t="s">
        <v>1266</v>
      </c>
      <c r="C161" s="423" t="s">
        <v>1317</v>
      </c>
      <c r="D161" s="581" t="s">
        <v>1340</v>
      </c>
      <c r="E161" s="134" t="s">
        <v>1395</v>
      </c>
      <c r="F161" s="134"/>
      <c r="G161" s="584" t="s">
        <v>1426</v>
      </c>
      <c r="H161" s="584" t="s">
        <v>778</v>
      </c>
      <c r="I161" s="423" t="s">
        <v>1429</v>
      </c>
      <c r="J161" s="134"/>
      <c r="K161" s="581" t="s">
        <v>95</v>
      </c>
      <c r="L161" s="134"/>
      <c r="M161" s="581" t="s">
        <v>1323</v>
      </c>
      <c r="N161" s="134" t="s">
        <v>1324</v>
      </c>
      <c r="O161" s="134">
        <v>720.0</v>
      </c>
      <c r="P161" s="134">
        <v>8.5447E9</v>
      </c>
      <c r="Q161" s="498">
        <v>4.779635226823627</v>
      </c>
      <c r="R161" s="126" t="s">
        <v>10</v>
      </c>
      <c r="S161" s="49"/>
      <c r="T161" s="224">
        <v>15.932117422745424</v>
      </c>
      <c r="U161" s="224">
        <v>9.559270453647255</v>
      </c>
      <c r="V161" s="224">
        <v>7.966058711372712</v>
      </c>
      <c r="W161" s="224">
        <v>6.37284696909817</v>
      </c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</row>
    <row r="162" ht="14.25" customHeight="1">
      <c r="A162" s="423" t="s">
        <v>84</v>
      </c>
      <c r="B162" s="423" t="s">
        <v>1266</v>
      </c>
      <c r="C162" s="423" t="s">
        <v>1317</v>
      </c>
      <c r="D162" s="581" t="s">
        <v>1340</v>
      </c>
      <c r="E162" s="134" t="s">
        <v>1395</v>
      </c>
      <c r="F162" s="134"/>
      <c r="G162" s="584" t="s">
        <v>1430</v>
      </c>
      <c r="H162" s="584" t="s">
        <v>778</v>
      </c>
      <c r="I162" s="423" t="s">
        <v>1433</v>
      </c>
      <c r="J162" s="134"/>
      <c r="K162" s="581" t="s">
        <v>95</v>
      </c>
      <c r="L162" s="134"/>
      <c r="M162" s="581" t="s">
        <v>1323</v>
      </c>
      <c r="N162" s="134" t="s">
        <v>1324</v>
      </c>
      <c r="O162" s="134">
        <v>480.0</v>
      </c>
      <c r="P162" s="134">
        <v>8.5447E9</v>
      </c>
      <c r="Q162" s="498">
        <v>6.408085481921596</v>
      </c>
      <c r="R162" s="126" t="s">
        <v>10</v>
      </c>
      <c r="S162" s="49"/>
      <c r="T162" s="224">
        <v>21.360284939738655</v>
      </c>
      <c r="U162" s="224">
        <v>12.816170963843193</v>
      </c>
      <c r="V162" s="224">
        <v>10.680142469869327</v>
      </c>
      <c r="W162" s="224">
        <v>8.544113975895462</v>
      </c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</row>
    <row r="163" ht="14.25" customHeight="1">
      <c r="A163" s="423" t="s">
        <v>84</v>
      </c>
      <c r="B163" s="423" t="s">
        <v>1266</v>
      </c>
      <c r="C163" s="423" t="s">
        <v>1317</v>
      </c>
      <c r="D163" s="581" t="s">
        <v>1367</v>
      </c>
      <c r="E163" s="134" t="s">
        <v>1395</v>
      </c>
      <c r="F163" s="134"/>
      <c r="G163" s="584" t="s">
        <v>1438</v>
      </c>
      <c r="H163" s="584" t="s">
        <v>4098</v>
      </c>
      <c r="I163" s="423" t="s">
        <v>1440</v>
      </c>
      <c r="J163" s="134"/>
      <c r="K163" s="581" t="s">
        <v>95</v>
      </c>
      <c r="L163" s="134"/>
      <c r="M163" s="581" t="s">
        <v>1323</v>
      </c>
      <c r="N163" s="134" t="s">
        <v>1324</v>
      </c>
      <c r="O163" s="134">
        <v>2160.0</v>
      </c>
      <c r="P163" s="134">
        <v>8.5447E9</v>
      </c>
      <c r="Q163" s="498">
        <v>1.926609241158828</v>
      </c>
      <c r="R163" s="126" t="s">
        <v>10</v>
      </c>
      <c r="S163" s="49"/>
      <c r="T163" s="224">
        <v>6.422030803862761</v>
      </c>
      <c r="U163" s="224">
        <v>3.853218482317656</v>
      </c>
      <c r="V163" s="224">
        <v>3.2110154019313804</v>
      </c>
      <c r="W163" s="224">
        <v>2.5688123215451046</v>
      </c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</row>
    <row r="164" ht="14.25" customHeight="1">
      <c r="A164" s="423" t="s">
        <v>84</v>
      </c>
      <c r="B164" s="423" t="s">
        <v>1266</v>
      </c>
      <c r="C164" s="423" t="s">
        <v>1317</v>
      </c>
      <c r="D164" s="581" t="s">
        <v>1367</v>
      </c>
      <c r="E164" s="134" t="s">
        <v>1395</v>
      </c>
      <c r="F164" s="134"/>
      <c r="G164" s="584" t="s">
        <v>1442</v>
      </c>
      <c r="H164" s="584" t="s">
        <v>4099</v>
      </c>
      <c r="I164" s="423" t="s">
        <v>1444</v>
      </c>
      <c r="J164" s="134"/>
      <c r="K164" s="581" t="s">
        <v>95</v>
      </c>
      <c r="L164" s="134"/>
      <c r="M164" s="581" t="s">
        <v>1323</v>
      </c>
      <c r="N164" s="134" t="s">
        <v>1324</v>
      </c>
      <c r="O164" s="134">
        <v>1920.0</v>
      </c>
      <c r="P164" s="134">
        <v>8.5447E9</v>
      </c>
      <c r="Q164" s="498">
        <v>2.2206323491103976</v>
      </c>
      <c r="R164" s="126" t="s">
        <v>10</v>
      </c>
      <c r="S164" s="49"/>
      <c r="T164" s="224">
        <v>7.402107830367992</v>
      </c>
      <c r="U164" s="224">
        <v>4.441264698220795</v>
      </c>
      <c r="V164" s="224">
        <v>3.701053915183996</v>
      </c>
      <c r="W164" s="224">
        <v>2.960843132147197</v>
      </c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</row>
    <row r="165" ht="14.25" customHeight="1">
      <c r="A165" s="423" t="s">
        <v>84</v>
      </c>
      <c r="B165" s="423" t="s">
        <v>1266</v>
      </c>
      <c r="C165" s="423" t="s">
        <v>1317</v>
      </c>
      <c r="D165" s="581" t="s">
        <v>1367</v>
      </c>
      <c r="E165" s="134" t="s">
        <v>1395</v>
      </c>
      <c r="F165" s="134"/>
      <c r="G165" s="584" t="s">
        <v>1446</v>
      </c>
      <c r="H165" s="584" t="s">
        <v>4100</v>
      </c>
      <c r="I165" s="423" t="s">
        <v>1448</v>
      </c>
      <c r="J165" s="134"/>
      <c r="K165" s="581" t="s">
        <v>95</v>
      </c>
      <c r="L165" s="134"/>
      <c r="M165" s="581" t="s">
        <v>1323</v>
      </c>
      <c r="N165" s="134" t="s">
        <v>1324</v>
      </c>
      <c r="O165" s="134">
        <v>1920.0</v>
      </c>
      <c r="P165" s="134">
        <v>8.5447E9</v>
      </c>
      <c r="Q165" s="498">
        <v>2.516919174869323</v>
      </c>
      <c r="R165" s="126" t="s">
        <v>10</v>
      </c>
      <c r="S165" s="49"/>
      <c r="T165" s="224">
        <v>8.389730582897744</v>
      </c>
      <c r="U165" s="224">
        <v>5.033838349738646</v>
      </c>
      <c r="V165" s="224">
        <v>4.194865291448872</v>
      </c>
      <c r="W165" s="224">
        <v>3.355892233159098</v>
      </c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</row>
    <row r="166" ht="14.25" customHeight="1">
      <c r="A166" s="423" t="s">
        <v>84</v>
      </c>
      <c r="B166" s="423" t="s">
        <v>1266</v>
      </c>
      <c r="C166" s="423" t="s">
        <v>1317</v>
      </c>
      <c r="D166" s="581" t="s">
        <v>1367</v>
      </c>
      <c r="E166" s="134" t="s">
        <v>1395</v>
      </c>
      <c r="F166" s="134"/>
      <c r="G166" s="584" t="s">
        <v>1450</v>
      </c>
      <c r="H166" s="584" t="s">
        <v>4101</v>
      </c>
      <c r="I166" s="423" t="s">
        <v>1452</v>
      </c>
      <c r="J166" s="134"/>
      <c r="K166" s="581" t="s">
        <v>95</v>
      </c>
      <c r="L166" s="134"/>
      <c r="M166" s="581" t="s">
        <v>1323</v>
      </c>
      <c r="N166" s="134" t="s">
        <v>1324</v>
      </c>
      <c r="O166" s="134">
        <v>1440.0</v>
      </c>
      <c r="P166" s="134">
        <v>8.5447E9</v>
      </c>
      <c r="Q166" s="498">
        <v>3.1260454834794467</v>
      </c>
      <c r="R166" s="126" t="s">
        <v>10</v>
      </c>
      <c r="S166" s="49"/>
      <c r="T166" s="224">
        <v>10.420151611598156</v>
      </c>
      <c r="U166" s="224">
        <v>6.252090966958893</v>
      </c>
      <c r="V166" s="224">
        <v>5.210075805799078</v>
      </c>
      <c r="W166" s="224">
        <v>4.1680606446392625</v>
      </c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</row>
    <row r="167" ht="14.25" customHeight="1">
      <c r="A167" s="423" t="s">
        <v>84</v>
      </c>
      <c r="B167" s="423" t="s">
        <v>1266</v>
      </c>
      <c r="C167" s="423" t="s">
        <v>1317</v>
      </c>
      <c r="D167" s="581" t="s">
        <v>1367</v>
      </c>
      <c r="E167" s="134" t="s">
        <v>1395</v>
      </c>
      <c r="F167" s="134"/>
      <c r="G167" s="584" t="s">
        <v>1454</v>
      </c>
      <c r="H167" s="584" t="s">
        <v>778</v>
      </c>
      <c r="I167" s="423" t="s">
        <v>1457</v>
      </c>
      <c r="J167" s="134"/>
      <c r="K167" s="581" t="s">
        <v>95</v>
      </c>
      <c r="L167" s="134"/>
      <c r="M167" s="581" t="s">
        <v>1323</v>
      </c>
      <c r="N167" s="134" t="s">
        <v>1324</v>
      </c>
      <c r="O167" s="134">
        <v>720.0</v>
      </c>
      <c r="P167" s="134">
        <v>8.5447E9</v>
      </c>
      <c r="Q167" s="498">
        <v>4.779635226823627</v>
      </c>
      <c r="R167" s="126" t="s">
        <v>10</v>
      </c>
      <c r="S167" s="49"/>
      <c r="T167" s="224">
        <v>15.932117422745424</v>
      </c>
      <c r="U167" s="224">
        <v>9.559270453647255</v>
      </c>
      <c r="V167" s="224">
        <v>7.966058711372712</v>
      </c>
      <c r="W167" s="224">
        <v>6.37284696909817</v>
      </c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</row>
    <row r="168" ht="14.25" customHeight="1">
      <c r="A168" s="423" t="s">
        <v>84</v>
      </c>
      <c r="B168" s="423" t="s">
        <v>1266</v>
      </c>
      <c r="C168" s="423" t="s">
        <v>1317</v>
      </c>
      <c r="D168" s="581" t="s">
        <v>1367</v>
      </c>
      <c r="E168" s="134" t="s">
        <v>1395</v>
      </c>
      <c r="F168" s="134"/>
      <c r="G168" s="584" t="s">
        <v>1458</v>
      </c>
      <c r="H168" s="584" t="s">
        <v>778</v>
      </c>
      <c r="I168" s="423" t="s">
        <v>1461</v>
      </c>
      <c r="J168" s="134"/>
      <c r="K168" s="581" t="s">
        <v>95</v>
      </c>
      <c r="L168" s="134"/>
      <c r="M168" s="581" t="s">
        <v>1323</v>
      </c>
      <c r="N168" s="134" t="s">
        <v>1324</v>
      </c>
      <c r="O168" s="134">
        <v>480.0</v>
      </c>
      <c r="P168" s="134">
        <v>8.5447E9</v>
      </c>
      <c r="Q168" s="498">
        <v>6.408085481921596</v>
      </c>
      <c r="R168" s="126" t="s">
        <v>10</v>
      </c>
      <c r="S168" s="49"/>
      <c r="T168" s="224">
        <v>21.360284939738655</v>
      </c>
      <c r="U168" s="224">
        <v>12.816170963843193</v>
      </c>
      <c r="V168" s="224">
        <v>10.680142469869327</v>
      </c>
      <c r="W168" s="224">
        <v>8.544113975895462</v>
      </c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</row>
    <row r="169" ht="14.25" customHeight="1">
      <c r="A169" s="423" t="s">
        <v>84</v>
      </c>
      <c r="B169" s="423" t="s">
        <v>1266</v>
      </c>
      <c r="C169" s="423" t="s">
        <v>1317</v>
      </c>
      <c r="D169" s="581" t="s">
        <v>1318</v>
      </c>
      <c r="E169" s="134" t="s">
        <v>1465</v>
      </c>
      <c r="F169" s="134"/>
      <c r="G169" s="584" t="s">
        <v>1466</v>
      </c>
      <c r="H169" s="584" t="s">
        <v>4102</v>
      </c>
      <c r="I169" s="423" t="s">
        <v>1468</v>
      </c>
      <c r="J169" s="134"/>
      <c r="K169" s="581" t="s">
        <v>95</v>
      </c>
      <c r="L169" s="134"/>
      <c r="M169" s="581" t="s">
        <v>1323</v>
      </c>
      <c r="N169" s="134" t="s">
        <v>1324</v>
      </c>
      <c r="O169" s="134">
        <v>2160.0</v>
      </c>
      <c r="P169" s="134">
        <v>8.5447E9</v>
      </c>
      <c r="Q169" s="498">
        <v>1.9643184735281463</v>
      </c>
      <c r="R169" s="126" t="s">
        <v>10</v>
      </c>
      <c r="S169" s="49"/>
      <c r="T169" s="224">
        <v>6.547728245093821</v>
      </c>
      <c r="U169" s="224">
        <v>3.9286369470562925</v>
      </c>
      <c r="V169" s="224">
        <v>3.2738641225469105</v>
      </c>
      <c r="W169" s="224">
        <v>2.6190912980375285</v>
      </c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</row>
    <row r="170" ht="14.25" customHeight="1">
      <c r="A170" s="423" t="s">
        <v>84</v>
      </c>
      <c r="B170" s="423" t="s">
        <v>1266</v>
      </c>
      <c r="C170" s="423" t="s">
        <v>1317</v>
      </c>
      <c r="D170" s="581" t="s">
        <v>1318</v>
      </c>
      <c r="E170" s="134" t="s">
        <v>1465</v>
      </c>
      <c r="F170" s="134"/>
      <c r="G170" s="584" t="s">
        <v>1469</v>
      </c>
      <c r="H170" s="584" t="s">
        <v>4103</v>
      </c>
      <c r="I170" s="423" t="s">
        <v>1471</v>
      </c>
      <c r="J170" s="134"/>
      <c r="K170" s="581" t="s">
        <v>95</v>
      </c>
      <c r="L170" s="134"/>
      <c r="M170" s="581" t="s">
        <v>1323</v>
      </c>
      <c r="N170" s="134" t="s">
        <v>1324</v>
      </c>
      <c r="O170" s="134">
        <v>1920.0</v>
      </c>
      <c r="P170" s="134">
        <v>8.5447E9</v>
      </c>
      <c r="Q170" s="498">
        <v>2.4810056202318775</v>
      </c>
      <c r="R170" s="126" t="s">
        <v>10</v>
      </c>
      <c r="S170" s="49"/>
      <c r="T170" s="224">
        <v>8.270018734106259</v>
      </c>
      <c r="U170" s="224">
        <v>4.962011240463755</v>
      </c>
      <c r="V170" s="224">
        <v>4.135009367053129</v>
      </c>
      <c r="W170" s="224">
        <v>3.3080074936425037</v>
      </c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</row>
    <row r="171" ht="14.25" customHeight="1">
      <c r="A171" s="423" t="s">
        <v>84</v>
      </c>
      <c r="B171" s="423" t="s">
        <v>1266</v>
      </c>
      <c r="C171" s="423" t="s">
        <v>1317</v>
      </c>
      <c r="D171" s="581" t="s">
        <v>1318</v>
      </c>
      <c r="E171" s="134" t="s">
        <v>1465</v>
      </c>
      <c r="F171" s="134"/>
      <c r="G171" s="584" t="s">
        <v>1472</v>
      </c>
      <c r="H171" s="584" t="s">
        <v>4104</v>
      </c>
      <c r="I171" s="423" t="s">
        <v>1474</v>
      </c>
      <c r="J171" s="134"/>
      <c r="K171" s="581" t="s">
        <v>95</v>
      </c>
      <c r="L171" s="134"/>
      <c r="M171" s="581" t="s">
        <v>1323</v>
      </c>
      <c r="N171" s="134" t="s">
        <v>1324</v>
      </c>
      <c r="O171" s="134">
        <v>1920.0</v>
      </c>
      <c r="P171" s="134">
        <v>8.5447E9</v>
      </c>
      <c r="Q171" s="498">
        <v>2.9891824183517315</v>
      </c>
      <c r="R171" s="126" t="s">
        <v>10</v>
      </c>
      <c r="S171" s="49"/>
      <c r="T171" s="224">
        <v>9.963941394505772</v>
      </c>
      <c r="U171" s="224">
        <v>5.978364836703463</v>
      </c>
      <c r="V171" s="224">
        <v>4.981970697252886</v>
      </c>
      <c r="W171" s="224">
        <v>3.9855765578023092</v>
      </c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</row>
    <row r="172" ht="14.25" customHeight="1">
      <c r="A172" s="423" t="s">
        <v>84</v>
      </c>
      <c r="B172" s="423" t="s">
        <v>1266</v>
      </c>
      <c r="C172" s="423" t="s">
        <v>1317</v>
      </c>
      <c r="D172" s="581" t="s">
        <v>1318</v>
      </c>
      <c r="E172" s="134" t="s">
        <v>1465</v>
      </c>
      <c r="F172" s="134"/>
      <c r="G172" s="584" t="s">
        <v>1475</v>
      </c>
      <c r="H172" s="584" t="s">
        <v>4105</v>
      </c>
      <c r="I172" s="423" t="s">
        <v>1477</v>
      </c>
      <c r="J172" s="134"/>
      <c r="K172" s="581" t="s">
        <v>95</v>
      </c>
      <c r="L172" s="134"/>
      <c r="M172" s="581" t="s">
        <v>1323</v>
      </c>
      <c r="N172" s="134" t="s">
        <v>1324</v>
      </c>
      <c r="O172" s="134">
        <v>1440.0</v>
      </c>
      <c r="P172" s="134">
        <v>8.5447E9</v>
      </c>
      <c r="Q172" s="498">
        <v>4.029271382611201</v>
      </c>
      <c r="R172" s="126" t="s">
        <v>10</v>
      </c>
      <c r="S172" s="49"/>
      <c r="T172" s="224">
        <v>13.430904608704004</v>
      </c>
      <c r="U172" s="224">
        <v>8.058542765222402</v>
      </c>
      <c r="V172" s="224">
        <v>6.715452304352002</v>
      </c>
      <c r="W172" s="224">
        <v>5.3723618434816025</v>
      </c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</row>
    <row r="173" ht="14.25" customHeight="1">
      <c r="A173" s="423" t="s">
        <v>84</v>
      </c>
      <c r="B173" s="423" t="s">
        <v>1266</v>
      </c>
      <c r="C173" s="423" t="s">
        <v>1317</v>
      </c>
      <c r="D173" s="581" t="s">
        <v>1318</v>
      </c>
      <c r="E173" s="134" t="s">
        <v>1465</v>
      </c>
      <c r="F173" s="134"/>
      <c r="G173" s="584" t="s">
        <v>1478</v>
      </c>
      <c r="H173" s="584" t="s">
        <v>778</v>
      </c>
      <c r="I173" s="423" t="s">
        <v>1480</v>
      </c>
      <c r="J173" s="134"/>
      <c r="K173" s="581" t="s">
        <v>95</v>
      </c>
      <c r="L173" s="134"/>
      <c r="M173" s="581" t="s">
        <v>1323</v>
      </c>
      <c r="N173" s="134" t="s">
        <v>1324</v>
      </c>
      <c r="O173" s="134">
        <v>720.0</v>
      </c>
      <c r="P173" s="134">
        <v>8.5447E9</v>
      </c>
      <c r="Q173" s="498">
        <v>6.95240528238908</v>
      </c>
      <c r="R173" s="126" t="s">
        <v>10</v>
      </c>
      <c r="S173" s="49"/>
      <c r="T173" s="224">
        <v>23.174684274630266</v>
      </c>
      <c r="U173" s="224">
        <v>13.90481056477816</v>
      </c>
      <c r="V173" s="224">
        <v>11.587342137315133</v>
      </c>
      <c r="W173" s="224">
        <v>9.269873709852106</v>
      </c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</row>
    <row r="174" ht="14.25" customHeight="1">
      <c r="A174" s="423" t="s">
        <v>84</v>
      </c>
      <c r="B174" s="423" t="s">
        <v>1266</v>
      </c>
      <c r="C174" s="423" t="s">
        <v>1317</v>
      </c>
      <c r="D174" s="581" t="s">
        <v>1318</v>
      </c>
      <c r="E174" s="134" t="s">
        <v>1465</v>
      </c>
      <c r="F174" s="134"/>
      <c r="G174" s="584" t="s">
        <v>1481</v>
      </c>
      <c r="H174" s="584" t="s">
        <v>778</v>
      </c>
      <c r="I174" s="423" t="s">
        <v>1483</v>
      </c>
      <c r="J174" s="134"/>
      <c r="K174" s="581" t="s">
        <v>95</v>
      </c>
      <c r="L174" s="134"/>
      <c r="M174" s="581" t="s">
        <v>1323</v>
      </c>
      <c r="N174" s="134" t="s">
        <v>1324</v>
      </c>
      <c r="O174" s="134">
        <v>480.0</v>
      </c>
      <c r="P174" s="134">
        <v>8.5447E9</v>
      </c>
      <c r="Q174" s="498">
        <v>9.667240565269774</v>
      </c>
      <c r="R174" s="126" t="s">
        <v>10</v>
      </c>
      <c r="S174" s="49"/>
      <c r="T174" s="224">
        <v>32.224135217565916</v>
      </c>
      <c r="U174" s="224">
        <v>19.334481130539547</v>
      </c>
      <c r="V174" s="224">
        <v>16.112067608782958</v>
      </c>
      <c r="W174" s="224">
        <v>12.889654087026367</v>
      </c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</row>
    <row r="175" ht="14.25" customHeight="1">
      <c r="A175" s="423" t="s">
        <v>84</v>
      </c>
      <c r="B175" s="423" t="s">
        <v>1266</v>
      </c>
      <c r="C175" s="423" t="s">
        <v>1317</v>
      </c>
      <c r="D175" s="581" t="s">
        <v>1340</v>
      </c>
      <c r="E175" s="134" t="s">
        <v>1465</v>
      </c>
      <c r="F175" s="134"/>
      <c r="G175" s="584" t="s">
        <v>1484</v>
      </c>
      <c r="H175" s="584" t="s">
        <v>4106</v>
      </c>
      <c r="I175" s="423" t="s">
        <v>1486</v>
      </c>
      <c r="J175" s="134"/>
      <c r="K175" s="581" t="s">
        <v>95</v>
      </c>
      <c r="L175" s="134"/>
      <c r="M175" s="581" t="s">
        <v>1323</v>
      </c>
      <c r="N175" s="134" t="s">
        <v>1324</v>
      </c>
      <c r="O175" s="134">
        <v>2160.0</v>
      </c>
      <c r="P175" s="134">
        <v>8.5447E9</v>
      </c>
      <c r="Q175" s="498">
        <v>1.9643184735281463</v>
      </c>
      <c r="R175" s="126" t="s">
        <v>10</v>
      </c>
      <c r="S175" s="49"/>
      <c r="T175" s="224">
        <v>6.547728245093821</v>
      </c>
      <c r="U175" s="224">
        <v>3.9286369470562925</v>
      </c>
      <c r="V175" s="224">
        <v>3.2738641225469105</v>
      </c>
      <c r="W175" s="224">
        <v>2.6190912980375285</v>
      </c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</row>
    <row r="176" ht="14.25" customHeight="1">
      <c r="A176" s="423" t="s">
        <v>84</v>
      </c>
      <c r="B176" s="423" t="s">
        <v>1266</v>
      </c>
      <c r="C176" s="423" t="s">
        <v>1317</v>
      </c>
      <c r="D176" s="581" t="s">
        <v>1340</v>
      </c>
      <c r="E176" s="134" t="s">
        <v>1465</v>
      </c>
      <c r="F176" s="134"/>
      <c r="G176" s="584" t="s">
        <v>1487</v>
      </c>
      <c r="H176" s="584" t="s">
        <v>4107</v>
      </c>
      <c r="I176" s="423" t="s">
        <v>1489</v>
      </c>
      <c r="J176" s="134"/>
      <c r="K176" s="581" t="s">
        <v>95</v>
      </c>
      <c r="L176" s="134"/>
      <c r="M176" s="581" t="s">
        <v>1323</v>
      </c>
      <c r="N176" s="134" t="s">
        <v>1324</v>
      </c>
      <c r="O176" s="134">
        <v>1920.0</v>
      </c>
      <c r="P176" s="134">
        <v>8.5447E9</v>
      </c>
      <c r="Q176" s="498">
        <v>2.4810056202318775</v>
      </c>
      <c r="R176" s="126" t="s">
        <v>10</v>
      </c>
      <c r="S176" s="49"/>
      <c r="T176" s="224">
        <v>8.270018734106259</v>
      </c>
      <c r="U176" s="224">
        <v>4.962011240463755</v>
      </c>
      <c r="V176" s="224">
        <v>4.135009367053129</v>
      </c>
      <c r="W176" s="224">
        <v>3.3080074936425037</v>
      </c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</row>
    <row r="177" ht="14.25" customHeight="1">
      <c r="A177" s="423" t="s">
        <v>84</v>
      </c>
      <c r="B177" s="423" t="s">
        <v>1266</v>
      </c>
      <c r="C177" s="423" t="s">
        <v>1317</v>
      </c>
      <c r="D177" s="581" t="s">
        <v>1340</v>
      </c>
      <c r="E177" s="134" t="s">
        <v>1465</v>
      </c>
      <c r="F177" s="134"/>
      <c r="G177" s="584" t="s">
        <v>1490</v>
      </c>
      <c r="H177" s="584" t="s">
        <v>4108</v>
      </c>
      <c r="I177" s="423" t="s">
        <v>1492</v>
      </c>
      <c r="J177" s="134"/>
      <c r="K177" s="581" t="s">
        <v>95</v>
      </c>
      <c r="L177" s="134"/>
      <c r="M177" s="581" t="s">
        <v>1323</v>
      </c>
      <c r="N177" s="134" t="s">
        <v>1324</v>
      </c>
      <c r="O177" s="134">
        <v>1920.0</v>
      </c>
      <c r="P177" s="134">
        <v>8.5447E9</v>
      </c>
      <c r="Q177" s="498">
        <v>2.9891824183517315</v>
      </c>
      <c r="R177" s="126" t="s">
        <v>10</v>
      </c>
      <c r="S177" s="49"/>
      <c r="T177" s="224">
        <v>9.963941394505772</v>
      </c>
      <c r="U177" s="224">
        <v>5.978364836703463</v>
      </c>
      <c r="V177" s="224">
        <v>4.981970697252886</v>
      </c>
      <c r="W177" s="224">
        <v>3.9855765578023092</v>
      </c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</row>
    <row r="178" ht="14.25" customHeight="1">
      <c r="A178" s="423" t="s">
        <v>84</v>
      </c>
      <c r="B178" s="423" t="s">
        <v>1266</v>
      </c>
      <c r="C178" s="423" t="s">
        <v>1317</v>
      </c>
      <c r="D178" s="581" t="s">
        <v>1340</v>
      </c>
      <c r="E178" s="134" t="s">
        <v>1465</v>
      </c>
      <c r="F178" s="134"/>
      <c r="G178" s="584" t="s">
        <v>1493</v>
      </c>
      <c r="H178" s="584" t="s">
        <v>4109</v>
      </c>
      <c r="I178" s="423" t="s">
        <v>1495</v>
      </c>
      <c r="J178" s="134"/>
      <c r="K178" s="581" t="s">
        <v>95</v>
      </c>
      <c r="L178" s="134"/>
      <c r="M178" s="581" t="s">
        <v>1323</v>
      </c>
      <c r="N178" s="134" t="s">
        <v>1324</v>
      </c>
      <c r="O178" s="134">
        <v>1440.0</v>
      </c>
      <c r="P178" s="134">
        <v>8.5447E9</v>
      </c>
      <c r="Q178" s="498">
        <v>4.029271382611201</v>
      </c>
      <c r="R178" s="126" t="s">
        <v>10</v>
      </c>
      <c r="S178" s="49"/>
      <c r="T178" s="224">
        <v>13.430904608704004</v>
      </c>
      <c r="U178" s="224">
        <v>8.058542765222402</v>
      </c>
      <c r="V178" s="224">
        <v>6.715452304352002</v>
      </c>
      <c r="W178" s="224">
        <v>5.3723618434816025</v>
      </c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</row>
    <row r="179" ht="14.25" customHeight="1">
      <c r="A179" s="423" t="s">
        <v>84</v>
      </c>
      <c r="B179" s="423" t="s">
        <v>1266</v>
      </c>
      <c r="C179" s="423" t="s">
        <v>1317</v>
      </c>
      <c r="D179" s="581" t="s">
        <v>1340</v>
      </c>
      <c r="E179" s="134" t="s">
        <v>1465</v>
      </c>
      <c r="F179" s="134"/>
      <c r="G179" s="584" t="s">
        <v>1496</v>
      </c>
      <c r="H179" s="584" t="s">
        <v>778</v>
      </c>
      <c r="I179" s="423" t="s">
        <v>1498</v>
      </c>
      <c r="J179" s="134"/>
      <c r="K179" s="581" t="s">
        <v>95</v>
      </c>
      <c r="L179" s="134"/>
      <c r="M179" s="581" t="s">
        <v>1323</v>
      </c>
      <c r="N179" s="134" t="s">
        <v>1324</v>
      </c>
      <c r="O179" s="134">
        <v>720.0</v>
      </c>
      <c r="P179" s="134">
        <v>8.5447E9</v>
      </c>
      <c r="Q179" s="498">
        <v>6.95240528238908</v>
      </c>
      <c r="R179" s="126" t="s">
        <v>10</v>
      </c>
      <c r="S179" s="49"/>
      <c r="T179" s="224">
        <v>23.174684274630266</v>
      </c>
      <c r="U179" s="224">
        <v>13.90481056477816</v>
      </c>
      <c r="V179" s="224">
        <v>11.587342137315133</v>
      </c>
      <c r="W179" s="224">
        <v>9.269873709852106</v>
      </c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</row>
    <row r="180" ht="14.25" customHeight="1">
      <c r="A180" s="423" t="s">
        <v>84</v>
      </c>
      <c r="B180" s="423" t="s">
        <v>1266</v>
      </c>
      <c r="C180" s="423" t="s">
        <v>1317</v>
      </c>
      <c r="D180" s="581" t="s">
        <v>1340</v>
      </c>
      <c r="E180" s="134" t="s">
        <v>1465</v>
      </c>
      <c r="F180" s="134"/>
      <c r="G180" s="584" t="s">
        <v>1499</v>
      </c>
      <c r="H180" s="584" t="s">
        <v>778</v>
      </c>
      <c r="I180" s="423" t="s">
        <v>1501</v>
      </c>
      <c r="J180" s="134"/>
      <c r="K180" s="581" t="s">
        <v>95</v>
      </c>
      <c r="L180" s="134"/>
      <c r="M180" s="581" t="s">
        <v>1323</v>
      </c>
      <c r="N180" s="134" t="s">
        <v>1324</v>
      </c>
      <c r="O180" s="134">
        <v>480.0</v>
      </c>
      <c r="P180" s="134">
        <v>8.5447E9</v>
      </c>
      <c r="Q180" s="498">
        <v>9.667240565269774</v>
      </c>
      <c r="R180" s="126" t="s">
        <v>10</v>
      </c>
      <c r="S180" s="49"/>
      <c r="T180" s="224">
        <v>32.224135217565916</v>
      </c>
      <c r="U180" s="224">
        <v>19.334481130539547</v>
      </c>
      <c r="V180" s="224">
        <v>16.112067608782958</v>
      </c>
      <c r="W180" s="224">
        <v>12.889654087026367</v>
      </c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</row>
    <row r="181" ht="14.25" customHeight="1">
      <c r="A181" s="423" t="s">
        <v>84</v>
      </c>
      <c r="B181" s="423" t="s">
        <v>1266</v>
      </c>
      <c r="C181" s="423" t="s">
        <v>1317</v>
      </c>
      <c r="D181" s="581" t="s">
        <v>1367</v>
      </c>
      <c r="E181" s="134" t="s">
        <v>1465</v>
      </c>
      <c r="F181" s="134"/>
      <c r="G181" s="584" t="s">
        <v>1502</v>
      </c>
      <c r="H181" s="584" t="s">
        <v>4110</v>
      </c>
      <c r="I181" s="423" t="s">
        <v>1504</v>
      </c>
      <c r="J181" s="134"/>
      <c r="K181" s="581" t="s">
        <v>95</v>
      </c>
      <c r="L181" s="134"/>
      <c r="M181" s="581" t="s">
        <v>1323</v>
      </c>
      <c r="N181" s="134" t="s">
        <v>1324</v>
      </c>
      <c r="O181" s="134">
        <v>2160.0</v>
      </c>
      <c r="P181" s="134">
        <v>8.5447E9</v>
      </c>
      <c r="Q181" s="498">
        <v>1.9643184735281463</v>
      </c>
      <c r="R181" s="126" t="s">
        <v>10</v>
      </c>
      <c r="S181" s="49"/>
      <c r="T181" s="224">
        <v>6.547728245093821</v>
      </c>
      <c r="U181" s="224">
        <v>3.9286369470562925</v>
      </c>
      <c r="V181" s="224">
        <v>3.2738641225469105</v>
      </c>
      <c r="W181" s="224">
        <v>2.6190912980375285</v>
      </c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</row>
    <row r="182" ht="14.25" customHeight="1">
      <c r="A182" s="423" t="s">
        <v>84</v>
      </c>
      <c r="B182" s="423" t="s">
        <v>1266</v>
      </c>
      <c r="C182" s="423" t="s">
        <v>1317</v>
      </c>
      <c r="D182" s="581" t="s">
        <v>1367</v>
      </c>
      <c r="E182" s="134" t="s">
        <v>1465</v>
      </c>
      <c r="F182" s="134"/>
      <c r="G182" s="584" t="s">
        <v>1505</v>
      </c>
      <c r="H182" s="584" t="s">
        <v>4111</v>
      </c>
      <c r="I182" s="423" t="s">
        <v>1507</v>
      </c>
      <c r="J182" s="134"/>
      <c r="K182" s="581" t="s">
        <v>95</v>
      </c>
      <c r="L182" s="134"/>
      <c r="M182" s="581" t="s">
        <v>1323</v>
      </c>
      <c r="N182" s="134" t="s">
        <v>1324</v>
      </c>
      <c r="O182" s="134">
        <v>1920.0</v>
      </c>
      <c r="P182" s="134">
        <v>8.5447E9</v>
      </c>
      <c r="Q182" s="498">
        <v>2.4810056202318775</v>
      </c>
      <c r="R182" s="126" t="s">
        <v>10</v>
      </c>
      <c r="S182" s="49"/>
      <c r="T182" s="224">
        <v>8.270018734106259</v>
      </c>
      <c r="U182" s="224">
        <v>4.962011240463755</v>
      </c>
      <c r="V182" s="224">
        <v>4.135009367053129</v>
      </c>
      <c r="W182" s="224">
        <v>3.3080074936425037</v>
      </c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</row>
    <row r="183" ht="14.25" customHeight="1">
      <c r="A183" s="423" t="s">
        <v>84</v>
      </c>
      <c r="B183" s="423" t="s">
        <v>1266</v>
      </c>
      <c r="C183" s="423" t="s">
        <v>1317</v>
      </c>
      <c r="D183" s="581" t="s">
        <v>1367</v>
      </c>
      <c r="E183" s="134" t="s">
        <v>1465</v>
      </c>
      <c r="F183" s="134"/>
      <c r="G183" s="584" t="s">
        <v>1508</v>
      </c>
      <c r="H183" s="584" t="s">
        <v>4112</v>
      </c>
      <c r="I183" s="423" t="s">
        <v>1510</v>
      </c>
      <c r="J183" s="134"/>
      <c r="K183" s="581" t="s">
        <v>95</v>
      </c>
      <c r="L183" s="134"/>
      <c r="M183" s="581" t="s">
        <v>1323</v>
      </c>
      <c r="N183" s="134" t="s">
        <v>1324</v>
      </c>
      <c r="O183" s="134">
        <v>1920.0</v>
      </c>
      <c r="P183" s="134">
        <v>8.5447E9</v>
      </c>
      <c r="Q183" s="498">
        <v>2.9891824183517315</v>
      </c>
      <c r="R183" s="126" t="s">
        <v>10</v>
      </c>
      <c r="S183" s="49"/>
      <c r="T183" s="224">
        <v>9.963941394505772</v>
      </c>
      <c r="U183" s="224">
        <v>5.978364836703463</v>
      </c>
      <c r="V183" s="224">
        <v>4.981970697252886</v>
      </c>
      <c r="W183" s="224">
        <v>3.9855765578023092</v>
      </c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</row>
    <row r="184" ht="14.25" customHeight="1">
      <c r="A184" s="423" t="s">
        <v>84</v>
      </c>
      <c r="B184" s="423" t="s">
        <v>1266</v>
      </c>
      <c r="C184" s="423" t="s">
        <v>1317</v>
      </c>
      <c r="D184" s="581" t="s">
        <v>1367</v>
      </c>
      <c r="E184" s="134" t="s">
        <v>1465</v>
      </c>
      <c r="F184" s="134"/>
      <c r="G184" s="584" t="s">
        <v>1511</v>
      </c>
      <c r="H184" s="584" t="s">
        <v>4113</v>
      </c>
      <c r="I184" s="423" t="s">
        <v>1513</v>
      </c>
      <c r="J184" s="134"/>
      <c r="K184" s="581" t="s">
        <v>95</v>
      </c>
      <c r="L184" s="134"/>
      <c r="M184" s="581" t="s">
        <v>1323</v>
      </c>
      <c r="N184" s="134" t="s">
        <v>1324</v>
      </c>
      <c r="O184" s="134">
        <v>1440.0</v>
      </c>
      <c r="P184" s="134">
        <v>8.5447E9</v>
      </c>
      <c r="Q184" s="498">
        <v>4.029271382611201</v>
      </c>
      <c r="R184" s="126" t="s">
        <v>10</v>
      </c>
      <c r="S184" s="49"/>
      <c r="T184" s="224">
        <v>13.430904608704004</v>
      </c>
      <c r="U184" s="224">
        <v>8.058542765222402</v>
      </c>
      <c r="V184" s="224">
        <v>6.715452304352002</v>
      </c>
      <c r="W184" s="224">
        <v>5.3723618434816025</v>
      </c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</row>
    <row r="185" ht="14.25" customHeight="1">
      <c r="A185" s="423" t="s">
        <v>84</v>
      </c>
      <c r="B185" s="423" t="s">
        <v>1266</v>
      </c>
      <c r="C185" s="423" t="s">
        <v>1317</v>
      </c>
      <c r="D185" s="581" t="s">
        <v>1367</v>
      </c>
      <c r="E185" s="134" t="s">
        <v>1465</v>
      </c>
      <c r="F185" s="134"/>
      <c r="G185" s="584" t="s">
        <v>1514</v>
      </c>
      <c r="H185" s="584" t="s">
        <v>778</v>
      </c>
      <c r="I185" s="423" t="s">
        <v>1516</v>
      </c>
      <c r="J185" s="134"/>
      <c r="K185" s="581" t="s">
        <v>95</v>
      </c>
      <c r="L185" s="134"/>
      <c r="M185" s="581" t="s">
        <v>1323</v>
      </c>
      <c r="N185" s="134" t="s">
        <v>1324</v>
      </c>
      <c r="O185" s="134">
        <v>720.0</v>
      </c>
      <c r="P185" s="134">
        <v>8.5447E9</v>
      </c>
      <c r="Q185" s="498">
        <v>6.95240528238908</v>
      </c>
      <c r="R185" s="126" t="s">
        <v>10</v>
      </c>
      <c r="S185" s="49"/>
      <c r="T185" s="224">
        <v>23.174684274630266</v>
      </c>
      <c r="U185" s="224">
        <v>13.90481056477816</v>
      </c>
      <c r="V185" s="224">
        <v>11.587342137315133</v>
      </c>
      <c r="W185" s="224">
        <v>9.269873709852106</v>
      </c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</row>
    <row r="186" ht="14.25" customHeight="1">
      <c r="A186" s="423" t="s">
        <v>84</v>
      </c>
      <c r="B186" s="423" t="s">
        <v>1266</v>
      </c>
      <c r="C186" s="423" t="s">
        <v>1317</v>
      </c>
      <c r="D186" s="581" t="s">
        <v>1367</v>
      </c>
      <c r="E186" s="134" t="s">
        <v>1465</v>
      </c>
      <c r="F186" s="134"/>
      <c r="G186" s="584" t="s">
        <v>1517</v>
      </c>
      <c r="H186" s="584" t="s">
        <v>778</v>
      </c>
      <c r="I186" s="423" t="s">
        <v>1519</v>
      </c>
      <c r="J186" s="134"/>
      <c r="K186" s="581" t="s">
        <v>95</v>
      </c>
      <c r="L186" s="134"/>
      <c r="M186" s="581" t="s">
        <v>1323</v>
      </c>
      <c r="N186" s="134" t="s">
        <v>1324</v>
      </c>
      <c r="O186" s="134">
        <v>480.0</v>
      </c>
      <c r="P186" s="134">
        <v>8.5447E9</v>
      </c>
      <c r="Q186" s="498">
        <v>9.667240565269774</v>
      </c>
      <c r="R186" s="126" t="s">
        <v>10</v>
      </c>
      <c r="S186" s="49"/>
      <c r="T186" s="224">
        <v>32.224135217565916</v>
      </c>
      <c r="U186" s="224">
        <v>19.334481130539547</v>
      </c>
      <c r="V186" s="224">
        <v>16.112067608782958</v>
      </c>
      <c r="W186" s="224">
        <v>12.889654087026367</v>
      </c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</row>
    <row r="187" ht="14.25" customHeight="1">
      <c r="A187" s="423" t="s">
        <v>84</v>
      </c>
      <c r="B187" s="423" t="s">
        <v>1266</v>
      </c>
      <c r="C187" s="423" t="s">
        <v>1317</v>
      </c>
      <c r="D187" s="581" t="s">
        <v>1318</v>
      </c>
      <c r="E187" s="134" t="s">
        <v>1520</v>
      </c>
      <c r="F187" s="134"/>
      <c r="G187" s="584" t="s">
        <v>1521</v>
      </c>
      <c r="H187" s="584" t="s">
        <v>4114</v>
      </c>
      <c r="I187" s="423" t="s">
        <v>1523</v>
      </c>
      <c r="J187" s="134"/>
      <c r="K187" s="581" t="s">
        <v>95</v>
      </c>
      <c r="L187" s="134"/>
      <c r="M187" s="581" t="s">
        <v>1323</v>
      </c>
      <c r="N187" s="134" t="s">
        <v>1324</v>
      </c>
      <c r="O187" s="134">
        <v>2160.0</v>
      </c>
      <c r="P187" s="134">
        <v>8.5447E9</v>
      </c>
      <c r="Q187" s="498">
        <v>2.7328685427694794</v>
      </c>
      <c r="R187" s="126" t="s">
        <v>10</v>
      </c>
      <c r="S187" s="49"/>
      <c r="T187" s="224">
        <v>9.109561809231598</v>
      </c>
      <c r="U187" s="224">
        <v>5.465737085538959</v>
      </c>
      <c r="V187" s="224">
        <v>4.554780904615799</v>
      </c>
      <c r="W187" s="224">
        <v>3.6438247236926395</v>
      </c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</row>
    <row r="188" ht="14.25" customHeight="1">
      <c r="A188" s="423" t="s">
        <v>84</v>
      </c>
      <c r="B188" s="423" t="s">
        <v>1266</v>
      </c>
      <c r="C188" s="423" t="s">
        <v>1317</v>
      </c>
      <c r="D188" s="581" t="s">
        <v>1318</v>
      </c>
      <c r="E188" s="134" t="s">
        <v>1520</v>
      </c>
      <c r="F188" s="134"/>
      <c r="G188" s="584" t="s">
        <v>1524</v>
      </c>
      <c r="H188" s="584" t="s">
        <v>4115</v>
      </c>
      <c r="I188" s="423" t="s">
        <v>1526</v>
      </c>
      <c r="J188" s="134"/>
      <c r="K188" s="581" t="s">
        <v>95</v>
      </c>
      <c r="L188" s="134"/>
      <c r="M188" s="581" t="s">
        <v>1323</v>
      </c>
      <c r="N188" s="134" t="s">
        <v>1324</v>
      </c>
      <c r="O188" s="134">
        <v>1920.0</v>
      </c>
      <c r="P188" s="134">
        <v>8.5447E9</v>
      </c>
      <c r="Q188" s="498">
        <v>2.8401411666063323</v>
      </c>
      <c r="R188" s="126" t="s">
        <v>10</v>
      </c>
      <c r="S188" s="49"/>
      <c r="T188" s="224">
        <v>9.467137222021108</v>
      </c>
      <c r="U188" s="224">
        <v>5.680282333212665</v>
      </c>
      <c r="V188" s="224">
        <v>4.733568611010554</v>
      </c>
      <c r="W188" s="224">
        <v>3.7868548888084437</v>
      </c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</row>
    <row r="189" ht="14.25" customHeight="1">
      <c r="A189" s="423" t="s">
        <v>84</v>
      </c>
      <c r="B189" s="423" t="s">
        <v>1266</v>
      </c>
      <c r="C189" s="423" t="s">
        <v>1317</v>
      </c>
      <c r="D189" s="581" t="s">
        <v>1318</v>
      </c>
      <c r="E189" s="134" t="s">
        <v>1520</v>
      </c>
      <c r="F189" s="134"/>
      <c r="G189" s="584" t="s">
        <v>1527</v>
      </c>
      <c r="H189" s="584" t="s">
        <v>4116</v>
      </c>
      <c r="I189" s="423" t="s">
        <v>1529</v>
      </c>
      <c r="J189" s="134"/>
      <c r="K189" s="581" t="s">
        <v>95</v>
      </c>
      <c r="L189" s="134"/>
      <c r="M189" s="581" t="s">
        <v>1323</v>
      </c>
      <c r="N189" s="134" t="s">
        <v>1324</v>
      </c>
      <c r="O189" s="134">
        <v>1920.0</v>
      </c>
      <c r="P189" s="134">
        <v>8.5447E9</v>
      </c>
      <c r="Q189" s="498">
        <v>2.9389034418593076</v>
      </c>
      <c r="R189" s="126" t="s">
        <v>10</v>
      </c>
      <c r="S189" s="49"/>
      <c r="T189" s="224">
        <v>9.796344806197693</v>
      </c>
      <c r="U189" s="224">
        <v>5.877806883718615</v>
      </c>
      <c r="V189" s="224">
        <v>4.8981724030988465</v>
      </c>
      <c r="W189" s="224">
        <v>3.9185379224790773</v>
      </c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</row>
    <row r="190" ht="14.25" customHeight="1">
      <c r="A190" s="423" t="s">
        <v>84</v>
      </c>
      <c r="B190" s="423" t="s">
        <v>1266</v>
      </c>
      <c r="C190" s="423" t="s">
        <v>1317</v>
      </c>
      <c r="D190" s="581" t="s">
        <v>1318</v>
      </c>
      <c r="E190" s="134" t="s">
        <v>1520</v>
      </c>
      <c r="F190" s="134"/>
      <c r="G190" s="584" t="s">
        <v>1530</v>
      </c>
      <c r="H190" s="584" t="s">
        <v>4117</v>
      </c>
      <c r="I190" s="423" t="s">
        <v>1532</v>
      </c>
      <c r="J190" s="134"/>
      <c r="K190" s="581" t="s">
        <v>95</v>
      </c>
      <c r="L190" s="134"/>
      <c r="M190" s="581" t="s">
        <v>1323</v>
      </c>
      <c r="N190" s="134" t="s">
        <v>1324</v>
      </c>
      <c r="O190" s="134">
        <v>1440.0</v>
      </c>
      <c r="P190" s="134">
        <v>8.5447E9</v>
      </c>
      <c r="Q190" s="498">
        <v>3.151184971725659</v>
      </c>
      <c r="R190" s="126" t="s">
        <v>10</v>
      </c>
      <c r="S190" s="49"/>
      <c r="T190" s="224">
        <v>10.503949905752197</v>
      </c>
      <c r="U190" s="224">
        <v>6.3023699434513185</v>
      </c>
      <c r="V190" s="224">
        <v>5.251974952876099</v>
      </c>
      <c r="W190" s="224">
        <v>4.201579962300879</v>
      </c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</row>
    <row r="191" ht="14.25" customHeight="1">
      <c r="A191" s="423" t="s">
        <v>84</v>
      </c>
      <c r="B191" s="423" t="s">
        <v>1266</v>
      </c>
      <c r="C191" s="423" t="s">
        <v>1317</v>
      </c>
      <c r="D191" s="581" t="s">
        <v>1318</v>
      </c>
      <c r="E191" s="134" t="s">
        <v>1520</v>
      </c>
      <c r="F191" s="134"/>
      <c r="G191" s="584" t="s">
        <v>1533</v>
      </c>
      <c r="H191" s="584" t="s">
        <v>778</v>
      </c>
      <c r="I191" s="423" t="s">
        <v>1535</v>
      </c>
      <c r="J191" s="134"/>
      <c r="K191" s="581" t="s">
        <v>95</v>
      </c>
      <c r="L191" s="134"/>
      <c r="M191" s="581" t="s">
        <v>1323</v>
      </c>
      <c r="N191" s="134" t="s">
        <v>1324</v>
      </c>
      <c r="O191" s="134">
        <v>720.0</v>
      </c>
      <c r="P191" s="134">
        <v>8.5447E9</v>
      </c>
      <c r="Q191" s="498">
        <v>3.655540966671584</v>
      </c>
      <c r="R191" s="126" t="s">
        <v>10</v>
      </c>
      <c r="S191" s="49"/>
      <c r="T191" s="224">
        <v>12.185136555571948</v>
      </c>
      <c r="U191" s="224">
        <v>7.311081933343168</v>
      </c>
      <c r="V191" s="224">
        <v>6.092568277785974</v>
      </c>
      <c r="W191" s="224">
        <v>4.87405462222878</v>
      </c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</row>
    <row r="192" ht="14.25" customHeight="1">
      <c r="A192" s="423" t="s">
        <v>84</v>
      </c>
      <c r="B192" s="423" t="s">
        <v>1266</v>
      </c>
      <c r="C192" s="423" t="s">
        <v>1317</v>
      </c>
      <c r="D192" s="581" t="s">
        <v>1318</v>
      </c>
      <c r="E192" s="134" t="s">
        <v>1520</v>
      </c>
      <c r="F192" s="134"/>
      <c r="G192" s="584" t="s">
        <v>1536</v>
      </c>
      <c r="H192" s="584" t="s">
        <v>778</v>
      </c>
      <c r="I192" s="423" t="s">
        <v>1538</v>
      </c>
      <c r="J192" s="134"/>
      <c r="K192" s="581" t="s">
        <v>95</v>
      </c>
      <c r="L192" s="134"/>
      <c r="M192" s="581" t="s">
        <v>1323</v>
      </c>
      <c r="N192" s="134" t="s">
        <v>1324</v>
      </c>
      <c r="O192" s="134">
        <v>480.0</v>
      </c>
      <c r="P192" s="134">
        <v>8.5447E9</v>
      </c>
      <c r="Q192" s="498">
        <v>4.269433303261717</v>
      </c>
      <c r="R192" s="126" t="s">
        <v>10</v>
      </c>
      <c r="S192" s="49"/>
      <c r="T192" s="224">
        <v>14.231444344205725</v>
      </c>
      <c r="U192" s="224">
        <v>8.538866606523435</v>
      </c>
      <c r="V192" s="224">
        <v>7.1157221721028625</v>
      </c>
      <c r="W192" s="224">
        <v>5.69257773768229</v>
      </c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</row>
    <row r="193" ht="14.25" customHeight="1">
      <c r="A193" s="423" t="s">
        <v>84</v>
      </c>
      <c r="B193" s="423" t="s">
        <v>1266</v>
      </c>
      <c r="C193" s="423" t="s">
        <v>1317</v>
      </c>
      <c r="D193" s="581" t="s">
        <v>1340</v>
      </c>
      <c r="E193" s="134" t="s">
        <v>1520</v>
      </c>
      <c r="F193" s="134"/>
      <c r="G193" s="584" t="s">
        <v>1539</v>
      </c>
      <c r="H193" s="584" t="s">
        <v>4118</v>
      </c>
      <c r="I193" s="423" t="s">
        <v>1541</v>
      </c>
      <c r="J193" s="134"/>
      <c r="K193" s="581" t="s">
        <v>95</v>
      </c>
      <c r="L193" s="134"/>
      <c r="M193" s="581" t="s">
        <v>1323</v>
      </c>
      <c r="N193" s="134" t="s">
        <v>1324</v>
      </c>
      <c r="O193" s="134">
        <v>2160.0</v>
      </c>
      <c r="P193" s="134">
        <v>8.5447E9</v>
      </c>
      <c r="Q193" s="498">
        <v>2.7328685427694794</v>
      </c>
      <c r="R193" s="126" t="s">
        <v>10</v>
      </c>
      <c r="S193" s="49"/>
      <c r="T193" s="224">
        <v>9.109561809231598</v>
      </c>
      <c r="U193" s="224">
        <v>5.465737085538959</v>
      </c>
      <c r="V193" s="224">
        <v>4.554780904615799</v>
      </c>
      <c r="W193" s="224">
        <v>3.6438247236926395</v>
      </c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</row>
    <row r="194" ht="14.25" customHeight="1">
      <c r="A194" s="423" t="s">
        <v>84</v>
      </c>
      <c r="B194" s="423" t="s">
        <v>1266</v>
      </c>
      <c r="C194" s="423" t="s">
        <v>1317</v>
      </c>
      <c r="D194" s="581" t="s">
        <v>1340</v>
      </c>
      <c r="E194" s="134" t="s">
        <v>1520</v>
      </c>
      <c r="F194" s="134"/>
      <c r="G194" s="584" t="s">
        <v>1543</v>
      </c>
      <c r="H194" s="584" t="s">
        <v>4119</v>
      </c>
      <c r="I194" s="423" t="s">
        <v>1545</v>
      </c>
      <c r="J194" s="134"/>
      <c r="K194" s="581" t="s">
        <v>95</v>
      </c>
      <c r="L194" s="134"/>
      <c r="M194" s="581" t="s">
        <v>1323</v>
      </c>
      <c r="N194" s="134" t="s">
        <v>1324</v>
      </c>
      <c r="O194" s="134">
        <v>1920.0</v>
      </c>
      <c r="P194" s="134">
        <v>8.5447E9</v>
      </c>
      <c r="Q194" s="498">
        <v>2.8401411666063323</v>
      </c>
      <c r="R194" s="126" t="s">
        <v>10</v>
      </c>
      <c r="S194" s="49"/>
      <c r="T194" s="224">
        <v>9.467137222021108</v>
      </c>
      <c r="U194" s="224">
        <v>5.680282333212665</v>
      </c>
      <c r="V194" s="224">
        <v>4.733568611010554</v>
      </c>
      <c r="W194" s="224">
        <v>3.7868548888084437</v>
      </c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</row>
    <row r="195" ht="14.25" customHeight="1">
      <c r="A195" s="423" t="s">
        <v>84</v>
      </c>
      <c r="B195" s="423" t="s">
        <v>1266</v>
      </c>
      <c r="C195" s="423" t="s">
        <v>1317</v>
      </c>
      <c r="D195" s="581" t="s">
        <v>1340</v>
      </c>
      <c r="E195" s="134" t="s">
        <v>1520</v>
      </c>
      <c r="F195" s="134"/>
      <c r="G195" s="584" t="s">
        <v>1546</v>
      </c>
      <c r="H195" s="584" t="s">
        <v>4120</v>
      </c>
      <c r="I195" s="423" t="s">
        <v>1548</v>
      </c>
      <c r="J195" s="134"/>
      <c r="K195" s="581" t="s">
        <v>95</v>
      </c>
      <c r="L195" s="134"/>
      <c r="M195" s="581" t="s">
        <v>1323</v>
      </c>
      <c r="N195" s="134" t="s">
        <v>1324</v>
      </c>
      <c r="O195" s="134">
        <v>1920.0</v>
      </c>
      <c r="P195" s="134">
        <v>8.5447E9</v>
      </c>
      <c r="Q195" s="498">
        <v>2.9389034418593076</v>
      </c>
      <c r="R195" s="126" t="s">
        <v>10</v>
      </c>
      <c r="S195" s="49"/>
      <c r="T195" s="224">
        <v>9.796344806197693</v>
      </c>
      <c r="U195" s="224">
        <v>5.877806883718615</v>
      </c>
      <c r="V195" s="224">
        <v>4.8981724030988465</v>
      </c>
      <c r="W195" s="224">
        <v>3.9185379224790773</v>
      </c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</row>
    <row r="196" ht="14.25" customHeight="1">
      <c r="A196" s="423" t="s">
        <v>84</v>
      </c>
      <c r="B196" s="423" t="s">
        <v>1266</v>
      </c>
      <c r="C196" s="423" t="s">
        <v>1317</v>
      </c>
      <c r="D196" s="581" t="s">
        <v>1340</v>
      </c>
      <c r="E196" s="134" t="s">
        <v>1520</v>
      </c>
      <c r="F196" s="134"/>
      <c r="G196" s="584" t="s">
        <v>1549</v>
      </c>
      <c r="H196" s="584" t="s">
        <v>4121</v>
      </c>
      <c r="I196" s="423" t="s">
        <v>1551</v>
      </c>
      <c r="J196" s="134"/>
      <c r="K196" s="581" t="s">
        <v>95</v>
      </c>
      <c r="L196" s="134"/>
      <c r="M196" s="581" t="s">
        <v>1323</v>
      </c>
      <c r="N196" s="134" t="s">
        <v>1324</v>
      </c>
      <c r="O196" s="134">
        <v>1440.0</v>
      </c>
      <c r="P196" s="134">
        <v>8.5447E9</v>
      </c>
      <c r="Q196" s="498">
        <v>3.151184971725659</v>
      </c>
      <c r="R196" s="126" t="s">
        <v>10</v>
      </c>
      <c r="S196" s="49"/>
      <c r="T196" s="224">
        <v>10.503949905752197</v>
      </c>
      <c r="U196" s="224">
        <v>6.3023699434513185</v>
      </c>
      <c r="V196" s="224">
        <v>5.251974952876099</v>
      </c>
      <c r="W196" s="224">
        <v>4.201579962300879</v>
      </c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</row>
    <row r="197" ht="14.25" customHeight="1">
      <c r="A197" s="423" t="s">
        <v>84</v>
      </c>
      <c r="B197" s="423" t="s">
        <v>1266</v>
      </c>
      <c r="C197" s="423" t="s">
        <v>1317</v>
      </c>
      <c r="D197" s="581" t="s">
        <v>1340</v>
      </c>
      <c r="E197" s="134" t="s">
        <v>1520</v>
      </c>
      <c r="F197" s="134"/>
      <c r="G197" s="584" t="s">
        <v>1552</v>
      </c>
      <c r="H197" s="584" t="s">
        <v>778</v>
      </c>
      <c r="I197" s="423" t="s">
        <v>1555</v>
      </c>
      <c r="J197" s="134"/>
      <c r="K197" s="581" t="s">
        <v>95</v>
      </c>
      <c r="L197" s="134"/>
      <c r="M197" s="581" t="s">
        <v>1323</v>
      </c>
      <c r="N197" s="134" t="s">
        <v>1324</v>
      </c>
      <c r="O197" s="134">
        <v>720.0</v>
      </c>
      <c r="P197" s="134">
        <v>8.5447E9</v>
      </c>
      <c r="Q197" s="498">
        <v>3.655540966671584</v>
      </c>
      <c r="R197" s="126" t="s">
        <v>10</v>
      </c>
      <c r="S197" s="49"/>
      <c r="T197" s="224">
        <v>12.185136555571948</v>
      </c>
      <c r="U197" s="224">
        <v>7.311081933343168</v>
      </c>
      <c r="V197" s="224">
        <v>6.092568277785974</v>
      </c>
      <c r="W197" s="224">
        <v>4.87405462222878</v>
      </c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</row>
    <row r="198" ht="14.25" customHeight="1">
      <c r="A198" s="423" t="s">
        <v>84</v>
      </c>
      <c r="B198" s="423" t="s">
        <v>1266</v>
      </c>
      <c r="C198" s="423" t="s">
        <v>1317</v>
      </c>
      <c r="D198" s="581" t="s">
        <v>1340</v>
      </c>
      <c r="E198" s="134" t="s">
        <v>1520</v>
      </c>
      <c r="F198" s="134"/>
      <c r="G198" s="584" t="s">
        <v>1556</v>
      </c>
      <c r="H198" s="584" t="s">
        <v>778</v>
      </c>
      <c r="I198" s="423" t="s">
        <v>1559</v>
      </c>
      <c r="J198" s="134"/>
      <c r="K198" s="581" t="s">
        <v>95</v>
      </c>
      <c r="L198" s="134"/>
      <c r="M198" s="581" t="s">
        <v>1323</v>
      </c>
      <c r="N198" s="134" t="s">
        <v>1324</v>
      </c>
      <c r="O198" s="134">
        <v>480.0</v>
      </c>
      <c r="P198" s="134">
        <v>8.5447E9</v>
      </c>
      <c r="Q198" s="498">
        <v>4.269433303261717</v>
      </c>
      <c r="R198" s="126" t="s">
        <v>10</v>
      </c>
      <c r="S198" s="49"/>
      <c r="T198" s="224">
        <v>14.231444344205725</v>
      </c>
      <c r="U198" s="224">
        <v>8.538866606523435</v>
      </c>
      <c r="V198" s="224">
        <v>7.1157221721028625</v>
      </c>
      <c r="W198" s="224">
        <v>5.69257773768229</v>
      </c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</row>
    <row r="199" ht="14.25" customHeight="1">
      <c r="A199" s="423" t="s">
        <v>84</v>
      </c>
      <c r="B199" s="423" t="s">
        <v>1266</v>
      </c>
      <c r="C199" s="423" t="s">
        <v>1317</v>
      </c>
      <c r="D199" s="581" t="s">
        <v>1367</v>
      </c>
      <c r="E199" s="134" t="s">
        <v>1520</v>
      </c>
      <c r="F199" s="134"/>
      <c r="G199" s="584" t="s">
        <v>1564</v>
      </c>
      <c r="H199" s="584" t="s">
        <v>4122</v>
      </c>
      <c r="I199" s="423" t="s">
        <v>1566</v>
      </c>
      <c r="J199" s="134"/>
      <c r="K199" s="581" t="s">
        <v>95</v>
      </c>
      <c r="L199" s="134"/>
      <c r="M199" s="581" t="s">
        <v>1323</v>
      </c>
      <c r="N199" s="134" t="s">
        <v>1324</v>
      </c>
      <c r="O199" s="134">
        <v>2160.0</v>
      </c>
      <c r="P199" s="134">
        <v>8.5447E9</v>
      </c>
      <c r="Q199" s="498">
        <v>2.7328685427694794</v>
      </c>
      <c r="R199" s="126" t="s">
        <v>10</v>
      </c>
      <c r="S199" s="49"/>
      <c r="T199" s="224">
        <v>9.109561809231598</v>
      </c>
      <c r="U199" s="224">
        <v>5.465737085538959</v>
      </c>
      <c r="V199" s="224">
        <v>4.554780904615799</v>
      </c>
      <c r="W199" s="224">
        <v>3.6438247236926395</v>
      </c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</row>
    <row r="200" ht="14.25" customHeight="1">
      <c r="A200" s="423" t="s">
        <v>84</v>
      </c>
      <c r="B200" s="423" t="s">
        <v>1266</v>
      </c>
      <c r="C200" s="423" t="s">
        <v>1317</v>
      </c>
      <c r="D200" s="581" t="s">
        <v>1367</v>
      </c>
      <c r="E200" s="134" t="s">
        <v>1520</v>
      </c>
      <c r="F200" s="134"/>
      <c r="G200" s="584" t="s">
        <v>1568</v>
      </c>
      <c r="H200" s="584" t="s">
        <v>4123</v>
      </c>
      <c r="I200" s="423" t="s">
        <v>1570</v>
      </c>
      <c r="J200" s="134"/>
      <c r="K200" s="581" t="s">
        <v>95</v>
      </c>
      <c r="L200" s="134"/>
      <c r="M200" s="581" t="s">
        <v>1323</v>
      </c>
      <c r="N200" s="134" t="s">
        <v>1324</v>
      </c>
      <c r="O200" s="134">
        <v>1920.0</v>
      </c>
      <c r="P200" s="134">
        <v>8.5447E9</v>
      </c>
      <c r="Q200" s="498">
        <v>2.8401411666063323</v>
      </c>
      <c r="R200" s="126" t="s">
        <v>10</v>
      </c>
      <c r="S200" s="49"/>
      <c r="T200" s="224">
        <v>9.467137222021108</v>
      </c>
      <c r="U200" s="224">
        <v>5.680282333212665</v>
      </c>
      <c r="V200" s="224">
        <v>4.733568611010554</v>
      </c>
      <c r="W200" s="224">
        <v>3.7868548888084437</v>
      </c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</row>
    <row r="201" ht="14.25" customHeight="1">
      <c r="A201" s="423" t="s">
        <v>84</v>
      </c>
      <c r="B201" s="423" t="s">
        <v>1266</v>
      </c>
      <c r="C201" s="423" t="s">
        <v>1317</v>
      </c>
      <c r="D201" s="581" t="s">
        <v>1367</v>
      </c>
      <c r="E201" s="134" t="s">
        <v>1520</v>
      </c>
      <c r="F201" s="134"/>
      <c r="G201" s="584" t="s">
        <v>1571</v>
      </c>
      <c r="H201" s="584" t="s">
        <v>4124</v>
      </c>
      <c r="I201" s="423" t="s">
        <v>1573</v>
      </c>
      <c r="J201" s="134"/>
      <c r="K201" s="581" t="s">
        <v>95</v>
      </c>
      <c r="L201" s="134"/>
      <c r="M201" s="581" t="s">
        <v>1323</v>
      </c>
      <c r="N201" s="134" t="s">
        <v>1324</v>
      </c>
      <c r="O201" s="134">
        <v>1920.0</v>
      </c>
      <c r="P201" s="134">
        <v>8.5447E9</v>
      </c>
      <c r="Q201" s="498">
        <v>2.9389034418593076</v>
      </c>
      <c r="R201" s="126" t="s">
        <v>10</v>
      </c>
      <c r="S201" s="49"/>
      <c r="T201" s="224">
        <v>9.796344806197693</v>
      </c>
      <c r="U201" s="224">
        <v>5.877806883718615</v>
      </c>
      <c r="V201" s="224">
        <v>4.8981724030988465</v>
      </c>
      <c r="W201" s="224">
        <v>3.9185379224790773</v>
      </c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</row>
    <row r="202" ht="14.25" customHeight="1">
      <c r="A202" s="423" t="s">
        <v>84</v>
      </c>
      <c r="B202" s="423" t="s">
        <v>1266</v>
      </c>
      <c r="C202" s="423" t="s">
        <v>1317</v>
      </c>
      <c r="D202" s="581" t="s">
        <v>1367</v>
      </c>
      <c r="E202" s="134" t="s">
        <v>1520</v>
      </c>
      <c r="F202" s="134"/>
      <c r="G202" s="584" t="s">
        <v>1575</v>
      </c>
      <c r="H202" s="584" t="s">
        <v>4125</v>
      </c>
      <c r="I202" s="423" t="s">
        <v>1577</v>
      </c>
      <c r="J202" s="134"/>
      <c r="K202" s="581" t="s">
        <v>95</v>
      </c>
      <c r="L202" s="134"/>
      <c r="M202" s="581" t="s">
        <v>1323</v>
      </c>
      <c r="N202" s="134" t="s">
        <v>1324</v>
      </c>
      <c r="O202" s="134">
        <v>1440.0</v>
      </c>
      <c r="P202" s="134">
        <v>8.5447E9</v>
      </c>
      <c r="Q202" s="498">
        <v>3.151184971725659</v>
      </c>
      <c r="R202" s="126" t="s">
        <v>10</v>
      </c>
      <c r="S202" s="49"/>
      <c r="T202" s="224">
        <v>10.503949905752197</v>
      </c>
      <c r="U202" s="224">
        <v>6.3023699434513185</v>
      </c>
      <c r="V202" s="224">
        <v>5.251974952876099</v>
      </c>
      <c r="W202" s="224">
        <v>4.201579962300879</v>
      </c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</row>
    <row r="203" ht="14.25" customHeight="1">
      <c r="A203" s="423" t="s">
        <v>84</v>
      </c>
      <c r="B203" s="423" t="s">
        <v>1266</v>
      </c>
      <c r="C203" s="423" t="s">
        <v>1317</v>
      </c>
      <c r="D203" s="581" t="s">
        <v>1367</v>
      </c>
      <c r="E203" s="134" t="s">
        <v>1520</v>
      </c>
      <c r="F203" s="134"/>
      <c r="G203" s="584" t="s">
        <v>1579</v>
      </c>
      <c r="H203" s="584" t="s">
        <v>778</v>
      </c>
      <c r="I203" s="423" t="s">
        <v>1582</v>
      </c>
      <c r="J203" s="134"/>
      <c r="K203" s="581" t="s">
        <v>95</v>
      </c>
      <c r="L203" s="134"/>
      <c r="M203" s="581" t="s">
        <v>1323</v>
      </c>
      <c r="N203" s="134" t="s">
        <v>1324</v>
      </c>
      <c r="O203" s="134">
        <v>720.0</v>
      </c>
      <c r="P203" s="134">
        <v>8.5447E9</v>
      </c>
      <c r="Q203" s="498">
        <v>3.655540966671584</v>
      </c>
      <c r="R203" s="126" t="s">
        <v>10</v>
      </c>
      <c r="S203" s="49"/>
      <c r="T203" s="224">
        <v>12.185136555571948</v>
      </c>
      <c r="U203" s="224">
        <v>7.311081933343168</v>
      </c>
      <c r="V203" s="224">
        <v>6.092568277785974</v>
      </c>
      <c r="W203" s="224">
        <v>4.87405462222878</v>
      </c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</row>
    <row r="204" ht="14.25" customHeight="1">
      <c r="A204" s="423" t="s">
        <v>84</v>
      </c>
      <c r="B204" s="423" t="s">
        <v>1266</v>
      </c>
      <c r="C204" s="423" t="s">
        <v>1317</v>
      </c>
      <c r="D204" s="581" t="s">
        <v>1367</v>
      </c>
      <c r="E204" s="134" t="s">
        <v>1520</v>
      </c>
      <c r="F204" s="134"/>
      <c r="G204" s="584" t="s">
        <v>1583</v>
      </c>
      <c r="H204" s="584" t="s">
        <v>778</v>
      </c>
      <c r="I204" s="423" t="s">
        <v>1586</v>
      </c>
      <c r="J204" s="134"/>
      <c r="K204" s="581" t="s">
        <v>95</v>
      </c>
      <c r="L204" s="134"/>
      <c r="M204" s="581" t="s">
        <v>1323</v>
      </c>
      <c r="N204" s="134" t="s">
        <v>1324</v>
      </c>
      <c r="O204" s="134">
        <v>480.0</v>
      </c>
      <c r="P204" s="134">
        <v>8.5447E9</v>
      </c>
      <c r="Q204" s="498">
        <v>4.269433303261717</v>
      </c>
      <c r="R204" s="126" t="s">
        <v>10</v>
      </c>
      <c r="S204" s="49"/>
      <c r="T204" s="224">
        <v>14.231444344205725</v>
      </c>
      <c r="U204" s="224">
        <v>8.538866606523435</v>
      </c>
      <c r="V204" s="224">
        <v>7.1157221721028625</v>
      </c>
      <c r="W204" s="224">
        <v>5.69257773768229</v>
      </c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</row>
    <row r="205" ht="14.25" customHeight="1">
      <c r="A205" s="423" t="s">
        <v>84</v>
      </c>
      <c r="B205" s="423" t="s">
        <v>1266</v>
      </c>
      <c r="C205" s="423" t="s">
        <v>1317</v>
      </c>
      <c r="D205" s="581" t="s">
        <v>1367</v>
      </c>
      <c r="E205" s="134" t="s">
        <v>1520</v>
      </c>
      <c r="F205" s="134"/>
      <c r="G205" s="584" t="s">
        <v>1564</v>
      </c>
      <c r="H205" s="584" t="s">
        <v>4122</v>
      </c>
      <c r="I205" s="423" t="s">
        <v>1566</v>
      </c>
      <c r="J205" s="134"/>
      <c r="K205" s="581" t="s">
        <v>95</v>
      </c>
      <c r="L205" s="134"/>
      <c r="M205" s="581" t="s">
        <v>1323</v>
      </c>
      <c r="N205" s="134" t="s">
        <v>1324</v>
      </c>
      <c r="O205" s="134">
        <v>2160.0</v>
      </c>
      <c r="P205" s="134">
        <v>8.5447E9</v>
      </c>
      <c r="Q205" s="498">
        <v>2.7328685427694794</v>
      </c>
      <c r="R205" s="126" t="s">
        <v>10</v>
      </c>
      <c r="S205" s="49"/>
      <c r="T205" s="224">
        <v>9.109561809231598</v>
      </c>
      <c r="U205" s="224">
        <v>5.465737085538959</v>
      </c>
      <c r="V205" s="224">
        <v>4.554780904615799</v>
      </c>
      <c r="W205" s="224">
        <v>3.6438247236926395</v>
      </c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</row>
    <row r="206" ht="14.25" customHeight="1">
      <c r="A206" s="423" t="s">
        <v>84</v>
      </c>
      <c r="B206" s="423" t="s">
        <v>1266</v>
      </c>
      <c r="C206" s="423" t="s">
        <v>1317</v>
      </c>
      <c r="D206" s="581" t="s">
        <v>1367</v>
      </c>
      <c r="E206" s="134" t="s">
        <v>1520</v>
      </c>
      <c r="F206" s="134"/>
      <c r="G206" s="584" t="s">
        <v>1568</v>
      </c>
      <c r="H206" s="584" t="s">
        <v>4123</v>
      </c>
      <c r="I206" s="423" t="s">
        <v>1570</v>
      </c>
      <c r="J206" s="134"/>
      <c r="K206" s="581" t="s">
        <v>95</v>
      </c>
      <c r="L206" s="134"/>
      <c r="M206" s="581" t="s">
        <v>1323</v>
      </c>
      <c r="N206" s="134" t="s">
        <v>1324</v>
      </c>
      <c r="O206" s="134">
        <v>1920.0</v>
      </c>
      <c r="P206" s="134">
        <v>8.5447E9</v>
      </c>
      <c r="Q206" s="498">
        <v>2.8401411666063323</v>
      </c>
      <c r="R206" s="126" t="s">
        <v>10</v>
      </c>
      <c r="S206" s="49"/>
      <c r="T206" s="224">
        <v>9.467137222021108</v>
      </c>
      <c r="U206" s="224">
        <v>5.680282333212665</v>
      </c>
      <c r="V206" s="224">
        <v>4.733568611010554</v>
      </c>
      <c r="W206" s="224">
        <v>3.7868548888084437</v>
      </c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</row>
    <row r="207" ht="14.25" customHeight="1">
      <c r="A207" s="423" t="s">
        <v>84</v>
      </c>
      <c r="B207" s="423" t="s">
        <v>1266</v>
      </c>
      <c r="C207" s="423" t="s">
        <v>1317</v>
      </c>
      <c r="D207" s="581" t="s">
        <v>1367</v>
      </c>
      <c r="E207" s="134" t="s">
        <v>1520</v>
      </c>
      <c r="F207" s="134"/>
      <c r="G207" s="584" t="s">
        <v>1571</v>
      </c>
      <c r="H207" s="584" t="s">
        <v>4124</v>
      </c>
      <c r="I207" s="423" t="s">
        <v>1573</v>
      </c>
      <c r="J207" s="134"/>
      <c r="K207" s="581" t="s">
        <v>95</v>
      </c>
      <c r="L207" s="134"/>
      <c r="M207" s="581" t="s">
        <v>1323</v>
      </c>
      <c r="N207" s="134" t="s">
        <v>1324</v>
      </c>
      <c r="O207" s="134">
        <v>1920.0</v>
      </c>
      <c r="P207" s="134">
        <v>8.5447E9</v>
      </c>
      <c r="Q207" s="498">
        <v>2.9389034418593076</v>
      </c>
      <c r="R207" s="126" t="s">
        <v>10</v>
      </c>
      <c r="S207" s="49"/>
      <c r="T207" s="224">
        <v>9.796344806197693</v>
      </c>
      <c r="U207" s="224">
        <v>5.877806883718615</v>
      </c>
      <c r="V207" s="224">
        <v>4.8981724030988465</v>
      </c>
      <c r="W207" s="224">
        <v>3.9185379224790773</v>
      </c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</row>
    <row r="208" ht="14.25" customHeight="1">
      <c r="A208" s="423" t="s">
        <v>84</v>
      </c>
      <c r="B208" s="423" t="s">
        <v>1266</v>
      </c>
      <c r="C208" s="423" t="s">
        <v>1317</v>
      </c>
      <c r="D208" s="581" t="s">
        <v>1367</v>
      </c>
      <c r="E208" s="134" t="s">
        <v>1520</v>
      </c>
      <c r="F208" s="134"/>
      <c r="G208" s="584" t="s">
        <v>1575</v>
      </c>
      <c r="H208" s="584" t="s">
        <v>4125</v>
      </c>
      <c r="I208" s="423" t="s">
        <v>1577</v>
      </c>
      <c r="J208" s="134"/>
      <c r="K208" s="581" t="s">
        <v>95</v>
      </c>
      <c r="L208" s="134"/>
      <c r="M208" s="581" t="s">
        <v>1323</v>
      </c>
      <c r="N208" s="134" t="s">
        <v>1324</v>
      </c>
      <c r="O208" s="134">
        <v>1440.0</v>
      </c>
      <c r="P208" s="134">
        <v>8.5447E9</v>
      </c>
      <c r="Q208" s="498">
        <v>3.151184971725659</v>
      </c>
      <c r="R208" s="126" t="s">
        <v>10</v>
      </c>
      <c r="S208" s="49"/>
      <c r="T208" s="224">
        <v>10.503949905752197</v>
      </c>
      <c r="U208" s="224">
        <v>6.3023699434513185</v>
      </c>
      <c r="V208" s="224">
        <v>5.251974952876099</v>
      </c>
      <c r="W208" s="224">
        <v>4.201579962300879</v>
      </c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</row>
    <row r="209" ht="14.25" customHeight="1">
      <c r="A209" s="423" t="s">
        <v>84</v>
      </c>
      <c r="B209" s="423" t="s">
        <v>1266</v>
      </c>
      <c r="C209" s="423" t="s">
        <v>1317</v>
      </c>
      <c r="D209" s="581" t="s">
        <v>1367</v>
      </c>
      <c r="E209" s="134" t="s">
        <v>1520</v>
      </c>
      <c r="F209" s="134"/>
      <c r="G209" s="584" t="s">
        <v>1579</v>
      </c>
      <c r="H209" s="584" t="s">
        <v>778</v>
      </c>
      <c r="I209" s="423" t="s">
        <v>1582</v>
      </c>
      <c r="J209" s="134"/>
      <c r="K209" s="581" t="s">
        <v>95</v>
      </c>
      <c r="L209" s="134"/>
      <c r="M209" s="581" t="s">
        <v>1323</v>
      </c>
      <c r="N209" s="134" t="s">
        <v>1324</v>
      </c>
      <c r="O209" s="134">
        <v>720.0</v>
      </c>
      <c r="P209" s="134">
        <v>8.5447E9</v>
      </c>
      <c r="Q209" s="498">
        <v>3.655540966671584</v>
      </c>
      <c r="R209" s="126" t="s">
        <v>10</v>
      </c>
      <c r="S209" s="49"/>
      <c r="T209" s="224">
        <v>12.185136555571948</v>
      </c>
      <c r="U209" s="224">
        <v>7.311081933343168</v>
      </c>
      <c r="V209" s="224">
        <v>6.092568277785974</v>
      </c>
      <c r="W209" s="224">
        <v>4.87405462222878</v>
      </c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</row>
    <row r="210" ht="14.25" customHeight="1">
      <c r="A210" s="423" t="s">
        <v>84</v>
      </c>
      <c r="B210" s="423" t="s">
        <v>1266</v>
      </c>
      <c r="C210" s="423" t="s">
        <v>1317</v>
      </c>
      <c r="D210" s="581" t="s">
        <v>1318</v>
      </c>
      <c r="E210" s="134" t="s">
        <v>1591</v>
      </c>
      <c r="F210" s="134"/>
      <c r="G210" s="584" t="s">
        <v>1521</v>
      </c>
      <c r="H210" s="584" t="s">
        <v>4114</v>
      </c>
      <c r="I210" s="423" t="s">
        <v>1523</v>
      </c>
      <c r="J210" s="134"/>
      <c r="K210" s="581" t="s">
        <v>95</v>
      </c>
      <c r="L210" s="134"/>
      <c r="M210" s="581" t="s">
        <v>1323</v>
      </c>
      <c r="N210" s="134" t="s">
        <v>1324</v>
      </c>
      <c r="O210" s="134">
        <v>2160.0</v>
      </c>
      <c r="P210" s="134">
        <v>8.5447E9</v>
      </c>
      <c r="Q210" s="498">
        <v>2.7418469314288405</v>
      </c>
      <c r="R210" s="126" t="s">
        <v>10</v>
      </c>
      <c r="S210" s="49"/>
      <c r="T210" s="224">
        <v>9.139489771429469</v>
      </c>
      <c r="U210" s="224">
        <v>5.483693862857681</v>
      </c>
      <c r="V210" s="224">
        <v>4.5697448857147345</v>
      </c>
      <c r="W210" s="224">
        <v>3.655795908571788</v>
      </c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</row>
    <row r="211" ht="14.25" customHeight="1">
      <c r="A211" s="423" t="s">
        <v>84</v>
      </c>
      <c r="B211" s="423" t="s">
        <v>1266</v>
      </c>
      <c r="C211" s="423" t="s">
        <v>1317</v>
      </c>
      <c r="D211" s="581" t="s">
        <v>1318</v>
      </c>
      <c r="E211" s="134" t="s">
        <v>1591</v>
      </c>
      <c r="F211" s="134"/>
      <c r="G211" s="584" t="s">
        <v>1524</v>
      </c>
      <c r="H211" s="584" t="s">
        <v>4115</v>
      </c>
      <c r="I211" s="423" t="s">
        <v>1526</v>
      </c>
      <c r="J211" s="134"/>
      <c r="K211" s="581" t="s">
        <v>95</v>
      </c>
      <c r="L211" s="134"/>
      <c r="M211" s="581" t="s">
        <v>1323</v>
      </c>
      <c r="N211" s="134" t="s">
        <v>1324</v>
      </c>
      <c r="O211" s="134">
        <v>1920.0</v>
      </c>
      <c r="P211" s="134">
        <v>8.5447E9</v>
      </c>
      <c r="Q211" s="498">
        <v>2.858097943925055</v>
      </c>
      <c r="R211" s="126" t="s">
        <v>10</v>
      </c>
      <c r="S211" s="49"/>
      <c r="T211" s="224">
        <v>9.52699314641685</v>
      </c>
      <c r="U211" s="224">
        <v>5.71619588785011</v>
      </c>
      <c r="V211" s="224">
        <v>4.763496573208425</v>
      </c>
      <c r="W211" s="224">
        <v>3.81079725856674</v>
      </c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</row>
    <row r="212" ht="14.25" customHeight="1">
      <c r="A212" s="423" t="s">
        <v>84</v>
      </c>
      <c r="B212" s="423" t="s">
        <v>1266</v>
      </c>
      <c r="C212" s="423" t="s">
        <v>1317</v>
      </c>
      <c r="D212" s="581" t="s">
        <v>1318</v>
      </c>
      <c r="E212" s="134" t="s">
        <v>1591</v>
      </c>
      <c r="F212" s="134"/>
      <c r="G212" s="584" t="s">
        <v>1527</v>
      </c>
      <c r="H212" s="584" t="s">
        <v>4116</v>
      </c>
      <c r="I212" s="423" t="s">
        <v>1529</v>
      </c>
      <c r="J212" s="134"/>
      <c r="K212" s="581" t="s">
        <v>95</v>
      </c>
      <c r="L212" s="134"/>
      <c r="M212" s="581" t="s">
        <v>1323</v>
      </c>
      <c r="N212" s="134" t="s">
        <v>1324</v>
      </c>
      <c r="O212" s="134">
        <v>1920.0</v>
      </c>
      <c r="P212" s="134">
        <v>8.5447E9</v>
      </c>
      <c r="Q212" s="498">
        <v>2.965838607837392</v>
      </c>
      <c r="R212" s="126" t="s">
        <v>10</v>
      </c>
      <c r="S212" s="49"/>
      <c r="T212" s="224">
        <v>9.886128692791308</v>
      </c>
      <c r="U212" s="224">
        <v>5.931677215674784</v>
      </c>
      <c r="V212" s="224">
        <v>4.943064346395654</v>
      </c>
      <c r="W212" s="224">
        <v>3.9544514771165233</v>
      </c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</row>
    <row r="213" ht="14.25" customHeight="1">
      <c r="A213" s="423" t="s">
        <v>84</v>
      </c>
      <c r="B213" s="423" t="s">
        <v>1266</v>
      </c>
      <c r="C213" s="423" t="s">
        <v>1317</v>
      </c>
      <c r="D213" s="581" t="s">
        <v>1318</v>
      </c>
      <c r="E213" s="134" t="s">
        <v>1591</v>
      </c>
      <c r="F213" s="134"/>
      <c r="G213" s="584" t="s">
        <v>1530</v>
      </c>
      <c r="H213" s="584" t="s">
        <v>4117</v>
      </c>
      <c r="I213" s="423" t="s">
        <v>1532</v>
      </c>
      <c r="J213" s="134"/>
      <c r="K213" s="581" t="s">
        <v>95</v>
      </c>
      <c r="L213" s="134"/>
      <c r="M213" s="581" t="s">
        <v>1323</v>
      </c>
      <c r="N213" s="134" t="s">
        <v>1324</v>
      </c>
      <c r="O213" s="134">
        <v>1440.0</v>
      </c>
      <c r="P213" s="134">
        <v>8.5447E9</v>
      </c>
      <c r="Q213" s="498">
        <v>3.196076915022465</v>
      </c>
      <c r="R213" s="126" t="s">
        <v>10</v>
      </c>
      <c r="S213" s="49"/>
      <c r="T213" s="224">
        <v>10.65358971674155</v>
      </c>
      <c r="U213" s="224">
        <v>6.39215383004493</v>
      </c>
      <c r="V213" s="224">
        <v>5.326794858370775</v>
      </c>
      <c r="W213" s="224">
        <v>4.26143588669662</v>
      </c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</row>
    <row r="214" ht="14.25" customHeight="1">
      <c r="A214" s="423" t="s">
        <v>84</v>
      </c>
      <c r="B214" s="423" t="s">
        <v>1266</v>
      </c>
      <c r="C214" s="423" t="s">
        <v>1317</v>
      </c>
      <c r="D214" s="581" t="s">
        <v>1318</v>
      </c>
      <c r="E214" s="134" t="s">
        <v>1591</v>
      </c>
      <c r="F214" s="134"/>
      <c r="G214" s="584" t="s">
        <v>1533</v>
      </c>
      <c r="H214" s="584" t="s">
        <v>778</v>
      </c>
      <c r="I214" s="423" t="s">
        <v>1535</v>
      </c>
      <c r="J214" s="134"/>
      <c r="K214" s="581" t="s">
        <v>95</v>
      </c>
      <c r="L214" s="134"/>
      <c r="M214" s="581" t="s">
        <v>1323</v>
      </c>
      <c r="N214" s="134" t="s">
        <v>1324</v>
      </c>
      <c r="O214" s="134">
        <v>720.0</v>
      </c>
      <c r="P214" s="134">
        <v>8.5447E9</v>
      </c>
      <c r="Q214" s="498">
        <v>3.745324853265197</v>
      </c>
      <c r="R214" s="126" t="s">
        <v>10</v>
      </c>
      <c r="S214" s="49"/>
      <c r="T214" s="224">
        <v>12.484416177550656</v>
      </c>
      <c r="U214" s="224">
        <v>7.490649706530394</v>
      </c>
      <c r="V214" s="224">
        <v>6.242208088775328</v>
      </c>
      <c r="W214" s="224">
        <v>4.993766471020263</v>
      </c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</row>
    <row r="215" ht="14.25" customHeight="1">
      <c r="A215" s="423" t="s">
        <v>84</v>
      </c>
      <c r="B215" s="423" t="s">
        <v>1266</v>
      </c>
      <c r="C215" s="423" t="s">
        <v>1317</v>
      </c>
      <c r="D215" s="581" t="s">
        <v>1318</v>
      </c>
      <c r="E215" s="134" t="s">
        <v>1591</v>
      </c>
      <c r="F215" s="134"/>
      <c r="G215" s="584" t="s">
        <v>1536</v>
      </c>
      <c r="H215" s="584" t="s">
        <v>778</v>
      </c>
      <c r="I215" s="423" t="s">
        <v>1538</v>
      </c>
      <c r="J215" s="134"/>
      <c r="K215" s="581" t="s">
        <v>95</v>
      </c>
      <c r="L215" s="134"/>
      <c r="M215" s="581" t="s">
        <v>1323</v>
      </c>
      <c r="N215" s="134" t="s">
        <v>1324</v>
      </c>
      <c r="O215" s="134">
        <v>480.0</v>
      </c>
      <c r="P215" s="134">
        <v>8.5447E9</v>
      </c>
      <c r="Q215" s="498">
        <v>4.404109133152138</v>
      </c>
      <c r="R215" s="126" t="s">
        <v>10</v>
      </c>
      <c r="S215" s="49"/>
      <c r="T215" s="224">
        <v>14.680363777173795</v>
      </c>
      <c r="U215" s="224">
        <v>8.808218266304277</v>
      </c>
      <c r="V215" s="224">
        <v>7.340181888586898</v>
      </c>
      <c r="W215" s="224">
        <v>5.872145510869519</v>
      </c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</row>
    <row r="216" ht="14.25" customHeight="1">
      <c r="A216" s="423" t="s">
        <v>84</v>
      </c>
      <c r="B216" s="423" t="s">
        <v>1266</v>
      </c>
      <c r="C216" s="423" t="s">
        <v>1317</v>
      </c>
      <c r="D216" s="581" t="s">
        <v>1340</v>
      </c>
      <c r="E216" s="134" t="s">
        <v>1591</v>
      </c>
      <c r="F216" s="134"/>
      <c r="G216" s="584" t="s">
        <v>1539</v>
      </c>
      <c r="H216" s="584" t="s">
        <v>4118</v>
      </c>
      <c r="I216" s="423" t="s">
        <v>1541</v>
      </c>
      <c r="J216" s="134"/>
      <c r="K216" s="581" t="s">
        <v>95</v>
      </c>
      <c r="L216" s="134"/>
      <c r="M216" s="581" t="s">
        <v>1323</v>
      </c>
      <c r="N216" s="134" t="s">
        <v>1324</v>
      </c>
      <c r="O216" s="134">
        <v>2160.0</v>
      </c>
      <c r="P216" s="134">
        <v>8.5447E9</v>
      </c>
      <c r="Q216" s="498">
        <v>2.7418469314288405</v>
      </c>
      <c r="R216" s="126" t="s">
        <v>10</v>
      </c>
      <c r="S216" s="49"/>
      <c r="T216" s="224">
        <v>9.139489771429469</v>
      </c>
      <c r="U216" s="224">
        <v>5.483693862857681</v>
      </c>
      <c r="V216" s="224">
        <v>4.5697448857147345</v>
      </c>
      <c r="W216" s="224">
        <v>3.655795908571788</v>
      </c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</row>
    <row r="217" ht="14.25" customHeight="1">
      <c r="A217" s="423" t="s">
        <v>84</v>
      </c>
      <c r="B217" s="423" t="s">
        <v>1266</v>
      </c>
      <c r="C217" s="423" t="s">
        <v>1317</v>
      </c>
      <c r="D217" s="581" t="s">
        <v>1340</v>
      </c>
      <c r="E217" s="134" t="s">
        <v>1591</v>
      </c>
      <c r="F217" s="134"/>
      <c r="G217" s="584" t="s">
        <v>1543</v>
      </c>
      <c r="H217" s="584" t="s">
        <v>4119</v>
      </c>
      <c r="I217" s="423" t="s">
        <v>1545</v>
      </c>
      <c r="J217" s="134"/>
      <c r="K217" s="581" t="s">
        <v>95</v>
      </c>
      <c r="L217" s="134"/>
      <c r="M217" s="581" t="s">
        <v>1323</v>
      </c>
      <c r="N217" s="134" t="s">
        <v>1324</v>
      </c>
      <c r="O217" s="134">
        <v>1920.0</v>
      </c>
      <c r="P217" s="134">
        <v>8.5447E9</v>
      </c>
      <c r="Q217" s="498">
        <v>2.858097943925055</v>
      </c>
      <c r="R217" s="126" t="s">
        <v>10</v>
      </c>
      <c r="S217" s="49"/>
      <c r="T217" s="224">
        <v>9.52699314641685</v>
      </c>
      <c r="U217" s="224">
        <v>5.71619588785011</v>
      </c>
      <c r="V217" s="224">
        <v>4.763496573208425</v>
      </c>
      <c r="W217" s="224">
        <v>3.81079725856674</v>
      </c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</row>
    <row r="218" ht="14.25" customHeight="1">
      <c r="A218" s="423" t="s">
        <v>84</v>
      </c>
      <c r="B218" s="423" t="s">
        <v>1266</v>
      </c>
      <c r="C218" s="423" t="s">
        <v>1317</v>
      </c>
      <c r="D218" s="581" t="s">
        <v>1340</v>
      </c>
      <c r="E218" s="134" t="s">
        <v>1591</v>
      </c>
      <c r="F218" s="134"/>
      <c r="G218" s="584" t="s">
        <v>1546</v>
      </c>
      <c r="H218" s="584" t="s">
        <v>4120</v>
      </c>
      <c r="I218" s="423" t="s">
        <v>1548</v>
      </c>
      <c r="J218" s="134"/>
      <c r="K218" s="581" t="s">
        <v>95</v>
      </c>
      <c r="L218" s="134"/>
      <c r="M218" s="581" t="s">
        <v>1323</v>
      </c>
      <c r="N218" s="134" t="s">
        <v>1324</v>
      </c>
      <c r="O218" s="134">
        <v>1920.0</v>
      </c>
      <c r="P218" s="134">
        <v>8.5447E9</v>
      </c>
      <c r="Q218" s="498">
        <v>2.965838607837392</v>
      </c>
      <c r="R218" s="126" t="s">
        <v>10</v>
      </c>
      <c r="S218" s="49"/>
      <c r="T218" s="224">
        <v>9.886128692791308</v>
      </c>
      <c r="U218" s="224">
        <v>5.931677215674784</v>
      </c>
      <c r="V218" s="224">
        <v>4.943064346395654</v>
      </c>
      <c r="W218" s="224">
        <v>3.9544514771165233</v>
      </c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</row>
    <row r="219" ht="14.25" customHeight="1">
      <c r="A219" s="423" t="s">
        <v>84</v>
      </c>
      <c r="B219" s="423" t="s">
        <v>1266</v>
      </c>
      <c r="C219" s="423" t="s">
        <v>1317</v>
      </c>
      <c r="D219" s="581" t="s">
        <v>1340</v>
      </c>
      <c r="E219" s="134" t="s">
        <v>1591</v>
      </c>
      <c r="F219" s="134"/>
      <c r="G219" s="584" t="s">
        <v>1549</v>
      </c>
      <c r="H219" s="584" t="s">
        <v>4121</v>
      </c>
      <c r="I219" s="423" t="s">
        <v>1551</v>
      </c>
      <c r="J219" s="134"/>
      <c r="K219" s="581" t="s">
        <v>95</v>
      </c>
      <c r="L219" s="134"/>
      <c r="M219" s="581" t="s">
        <v>1323</v>
      </c>
      <c r="N219" s="134" t="s">
        <v>1324</v>
      </c>
      <c r="O219" s="134">
        <v>1440.0</v>
      </c>
      <c r="P219" s="134">
        <v>8.5447E9</v>
      </c>
      <c r="Q219" s="498">
        <v>3.196076915022465</v>
      </c>
      <c r="R219" s="126" t="s">
        <v>10</v>
      </c>
      <c r="S219" s="49"/>
      <c r="T219" s="224">
        <v>10.65358971674155</v>
      </c>
      <c r="U219" s="224">
        <v>6.39215383004493</v>
      </c>
      <c r="V219" s="224">
        <v>5.326794858370775</v>
      </c>
      <c r="W219" s="224">
        <v>4.26143588669662</v>
      </c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</row>
    <row r="220" ht="14.25" customHeight="1">
      <c r="A220" s="423" t="s">
        <v>84</v>
      </c>
      <c r="B220" s="423" t="s">
        <v>1266</v>
      </c>
      <c r="C220" s="423" t="s">
        <v>1317</v>
      </c>
      <c r="D220" s="581" t="s">
        <v>1340</v>
      </c>
      <c r="E220" s="134" t="s">
        <v>1591</v>
      </c>
      <c r="F220" s="134"/>
      <c r="G220" s="584" t="s">
        <v>1552</v>
      </c>
      <c r="H220" s="584" t="s">
        <v>778</v>
      </c>
      <c r="I220" s="423" t="s">
        <v>1555</v>
      </c>
      <c r="J220" s="134"/>
      <c r="K220" s="581" t="s">
        <v>95</v>
      </c>
      <c r="L220" s="134"/>
      <c r="M220" s="581" t="s">
        <v>1323</v>
      </c>
      <c r="N220" s="134" t="s">
        <v>1324</v>
      </c>
      <c r="O220" s="134">
        <v>720.0</v>
      </c>
      <c r="P220" s="134">
        <v>8.5447E9</v>
      </c>
      <c r="Q220" s="498">
        <v>3.745324853265197</v>
      </c>
      <c r="R220" s="126" t="s">
        <v>10</v>
      </c>
      <c r="S220" s="49"/>
      <c r="T220" s="224">
        <v>12.484416177550656</v>
      </c>
      <c r="U220" s="224">
        <v>7.490649706530394</v>
      </c>
      <c r="V220" s="224">
        <v>6.242208088775328</v>
      </c>
      <c r="W220" s="224">
        <v>4.993766471020263</v>
      </c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</row>
    <row r="221" ht="14.25" customHeight="1">
      <c r="A221" s="423" t="s">
        <v>84</v>
      </c>
      <c r="B221" s="423" t="s">
        <v>1266</v>
      </c>
      <c r="C221" s="423" t="s">
        <v>1317</v>
      </c>
      <c r="D221" s="581" t="s">
        <v>1340</v>
      </c>
      <c r="E221" s="134" t="s">
        <v>1591</v>
      </c>
      <c r="F221" s="134"/>
      <c r="G221" s="584" t="s">
        <v>1556</v>
      </c>
      <c r="H221" s="584" t="s">
        <v>778</v>
      </c>
      <c r="I221" s="423" t="s">
        <v>1559</v>
      </c>
      <c r="J221" s="134"/>
      <c r="K221" s="581" t="s">
        <v>95</v>
      </c>
      <c r="L221" s="134"/>
      <c r="M221" s="581" t="s">
        <v>1323</v>
      </c>
      <c r="N221" s="134" t="s">
        <v>1324</v>
      </c>
      <c r="O221" s="134">
        <v>480.0</v>
      </c>
      <c r="P221" s="134">
        <v>8.5447E9</v>
      </c>
      <c r="Q221" s="498">
        <v>4.404109133152138</v>
      </c>
      <c r="R221" s="126" t="s">
        <v>10</v>
      </c>
      <c r="S221" s="49"/>
      <c r="T221" s="224">
        <v>14.680363777173795</v>
      </c>
      <c r="U221" s="224">
        <v>8.808218266304277</v>
      </c>
      <c r="V221" s="224">
        <v>7.340181888586898</v>
      </c>
      <c r="W221" s="224">
        <v>5.872145510869519</v>
      </c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</row>
    <row r="222" ht="14.25" customHeight="1">
      <c r="A222" s="423" t="s">
        <v>84</v>
      </c>
      <c r="B222" s="423" t="s">
        <v>1266</v>
      </c>
      <c r="C222" s="423" t="s">
        <v>1317</v>
      </c>
      <c r="D222" s="581" t="s">
        <v>1367</v>
      </c>
      <c r="E222" s="134" t="s">
        <v>1591</v>
      </c>
      <c r="F222" s="134"/>
      <c r="G222" s="584" t="s">
        <v>1564</v>
      </c>
      <c r="H222" s="584" t="s">
        <v>4122</v>
      </c>
      <c r="I222" s="423" t="s">
        <v>1566</v>
      </c>
      <c r="J222" s="134"/>
      <c r="K222" s="581" t="s">
        <v>95</v>
      </c>
      <c r="L222" s="134"/>
      <c r="M222" s="581" t="s">
        <v>1323</v>
      </c>
      <c r="N222" s="134" t="s">
        <v>1324</v>
      </c>
      <c r="O222" s="134">
        <v>2160.0</v>
      </c>
      <c r="P222" s="134">
        <v>8.5447E9</v>
      </c>
      <c r="Q222" s="498">
        <v>2.7418469314288405</v>
      </c>
      <c r="R222" s="126" t="s">
        <v>10</v>
      </c>
      <c r="S222" s="49"/>
      <c r="T222" s="224">
        <v>9.139489771429469</v>
      </c>
      <c r="U222" s="224">
        <v>5.483693862857681</v>
      </c>
      <c r="V222" s="224">
        <v>4.5697448857147345</v>
      </c>
      <c r="W222" s="224">
        <v>3.655795908571788</v>
      </c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</row>
    <row r="223" ht="14.25" customHeight="1">
      <c r="A223" s="423" t="s">
        <v>84</v>
      </c>
      <c r="B223" s="423" t="s">
        <v>1266</v>
      </c>
      <c r="C223" s="423" t="s">
        <v>1317</v>
      </c>
      <c r="D223" s="581" t="s">
        <v>1367</v>
      </c>
      <c r="E223" s="134" t="s">
        <v>1591</v>
      </c>
      <c r="F223" s="134"/>
      <c r="G223" s="584" t="s">
        <v>1568</v>
      </c>
      <c r="H223" s="584" t="s">
        <v>4123</v>
      </c>
      <c r="I223" s="423" t="s">
        <v>1570</v>
      </c>
      <c r="J223" s="134"/>
      <c r="K223" s="581" t="s">
        <v>95</v>
      </c>
      <c r="L223" s="134"/>
      <c r="M223" s="581" t="s">
        <v>1323</v>
      </c>
      <c r="N223" s="134" t="s">
        <v>1324</v>
      </c>
      <c r="O223" s="134">
        <v>1920.0</v>
      </c>
      <c r="P223" s="134">
        <v>8.5447E9</v>
      </c>
      <c r="Q223" s="498">
        <v>2.858097943925055</v>
      </c>
      <c r="R223" s="126" t="s">
        <v>10</v>
      </c>
      <c r="S223" s="49"/>
      <c r="T223" s="224">
        <v>9.52699314641685</v>
      </c>
      <c r="U223" s="224">
        <v>5.71619588785011</v>
      </c>
      <c r="V223" s="224">
        <v>4.763496573208425</v>
      </c>
      <c r="W223" s="224">
        <v>3.81079725856674</v>
      </c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</row>
    <row r="224" ht="14.25" customHeight="1">
      <c r="A224" s="423" t="s">
        <v>84</v>
      </c>
      <c r="B224" s="423" t="s">
        <v>1266</v>
      </c>
      <c r="C224" s="423" t="s">
        <v>1317</v>
      </c>
      <c r="D224" s="581" t="s">
        <v>1367</v>
      </c>
      <c r="E224" s="134" t="s">
        <v>1591</v>
      </c>
      <c r="F224" s="134"/>
      <c r="G224" s="584" t="s">
        <v>1571</v>
      </c>
      <c r="H224" s="584" t="s">
        <v>4124</v>
      </c>
      <c r="I224" s="423" t="s">
        <v>1573</v>
      </c>
      <c r="J224" s="134"/>
      <c r="K224" s="581" t="s">
        <v>95</v>
      </c>
      <c r="L224" s="134"/>
      <c r="M224" s="581" t="s">
        <v>1323</v>
      </c>
      <c r="N224" s="134" t="s">
        <v>1324</v>
      </c>
      <c r="O224" s="134">
        <v>1920.0</v>
      </c>
      <c r="P224" s="134">
        <v>8.5447E9</v>
      </c>
      <c r="Q224" s="498">
        <v>2.965838607837392</v>
      </c>
      <c r="R224" s="126" t="s">
        <v>10</v>
      </c>
      <c r="S224" s="49"/>
      <c r="T224" s="224">
        <v>9.886128692791308</v>
      </c>
      <c r="U224" s="224">
        <v>5.931677215674784</v>
      </c>
      <c r="V224" s="224">
        <v>4.943064346395654</v>
      </c>
      <c r="W224" s="224">
        <v>3.9544514771165233</v>
      </c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</row>
    <row r="225" ht="14.25" customHeight="1">
      <c r="A225" s="423" t="s">
        <v>84</v>
      </c>
      <c r="B225" s="423" t="s">
        <v>1266</v>
      </c>
      <c r="C225" s="423" t="s">
        <v>1317</v>
      </c>
      <c r="D225" s="581" t="s">
        <v>1367</v>
      </c>
      <c r="E225" s="134" t="s">
        <v>1591</v>
      </c>
      <c r="F225" s="134"/>
      <c r="G225" s="584" t="s">
        <v>1575</v>
      </c>
      <c r="H225" s="584" t="s">
        <v>4125</v>
      </c>
      <c r="I225" s="423" t="s">
        <v>1577</v>
      </c>
      <c r="J225" s="134"/>
      <c r="K225" s="581" t="s">
        <v>95</v>
      </c>
      <c r="L225" s="134"/>
      <c r="M225" s="581" t="s">
        <v>1323</v>
      </c>
      <c r="N225" s="134" t="s">
        <v>1324</v>
      </c>
      <c r="O225" s="134">
        <v>1440.0</v>
      </c>
      <c r="P225" s="134">
        <v>8.5447E9</v>
      </c>
      <c r="Q225" s="498">
        <v>3.196076915022465</v>
      </c>
      <c r="R225" s="126" t="s">
        <v>10</v>
      </c>
      <c r="S225" s="49"/>
      <c r="T225" s="224">
        <v>10.65358971674155</v>
      </c>
      <c r="U225" s="224">
        <v>6.39215383004493</v>
      </c>
      <c r="V225" s="224">
        <v>5.326794858370775</v>
      </c>
      <c r="W225" s="224">
        <v>4.26143588669662</v>
      </c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</row>
    <row r="226" ht="14.25" customHeight="1">
      <c r="A226" s="423" t="s">
        <v>84</v>
      </c>
      <c r="B226" s="423" t="s">
        <v>1266</v>
      </c>
      <c r="C226" s="423" t="s">
        <v>1317</v>
      </c>
      <c r="D226" s="581" t="s">
        <v>1367</v>
      </c>
      <c r="E226" s="134" t="s">
        <v>1591</v>
      </c>
      <c r="F226" s="134"/>
      <c r="G226" s="584" t="s">
        <v>1579</v>
      </c>
      <c r="H226" s="584" t="s">
        <v>778</v>
      </c>
      <c r="I226" s="423" t="s">
        <v>1582</v>
      </c>
      <c r="J226" s="134"/>
      <c r="K226" s="581" t="s">
        <v>95</v>
      </c>
      <c r="L226" s="134"/>
      <c r="M226" s="581" t="s">
        <v>1323</v>
      </c>
      <c r="N226" s="134" t="s">
        <v>1324</v>
      </c>
      <c r="O226" s="134">
        <v>720.0</v>
      </c>
      <c r="P226" s="134">
        <v>8.5447E9</v>
      </c>
      <c r="Q226" s="498">
        <v>3.745324853265197</v>
      </c>
      <c r="R226" s="126" t="s">
        <v>10</v>
      </c>
      <c r="S226" s="49"/>
      <c r="T226" s="224">
        <v>12.484416177550656</v>
      </c>
      <c r="U226" s="224">
        <v>7.490649706530394</v>
      </c>
      <c r="V226" s="224">
        <v>6.242208088775328</v>
      </c>
      <c r="W226" s="224">
        <v>4.993766471020263</v>
      </c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</row>
    <row r="227" ht="14.25" customHeight="1">
      <c r="A227" s="423" t="s">
        <v>84</v>
      </c>
      <c r="B227" s="423" t="s">
        <v>1266</v>
      </c>
      <c r="C227" s="423" t="s">
        <v>1317</v>
      </c>
      <c r="D227" s="581" t="s">
        <v>1367</v>
      </c>
      <c r="E227" s="134" t="s">
        <v>1591</v>
      </c>
      <c r="F227" s="134"/>
      <c r="G227" s="584" t="s">
        <v>1583</v>
      </c>
      <c r="H227" s="584" t="s">
        <v>778</v>
      </c>
      <c r="I227" s="423" t="s">
        <v>1586</v>
      </c>
      <c r="J227" s="134"/>
      <c r="K227" s="581" t="s">
        <v>95</v>
      </c>
      <c r="L227" s="134"/>
      <c r="M227" s="581" t="s">
        <v>1323</v>
      </c>
      <c r="N227" s="134" t="s">
        <v>1324</v>
      </c>
      <c r="O227" s="134">
        <v>480.0</v>
      </c>
      <c r="P227" s="134">
        <v>8.5447E9</v>
      </c>
      <c r="Q227" s="498">
        <v>4.404109133152138</v>
      </c>
      <c r="R227" s="126" t="s">
        <v>10</v>
      </c>
      <c r="S227" s="49"/>
      <c r="T227" s="224">
        <v>14.680363777173795</v>
      </c>
      <c r="U227" s="224">
        <v>8.808218266304277</v>
      </c>
      <c r="V227" s="224">
        <v>7.340181888586898</v>
      </c>
      <c r="W227" s="224">
        <v>5.872145510869519</v>
      </c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</row>
    <row r="228" ht="14.25" customHeight="1">
      <c r="A228" s="423" t="s">
        <v>84</v>
      </c>
      <c r="B228" s="423" t="s">
        <v>1266</v>
      </c>
      <c r="C228" s="423" t="s">
        <v>1317</v>
      </c>
      <c r="D228" s="581" t="s">
        <v>1367</v>
      </c>
      <c r="E228" s="134" t="s">
        <v>1591</v>
      </c>
      <c r="F228" s="134"/>
      <c r="G228" s="584" t="s">
        <v>1564</v>
      </c>
      <c r="H228" s="584" t="s">
        <v>4122</v>
      </c>
      <c r="I228" s="423" t="s">
        <v>1566</v>
      </c>
      <c r="J228" s="134"/>
      <c r="K228" s="581" t="s">
        <v>95</v>
      </c>
      <c r="L228" s="134"/>
      <c r="M228" s="581" t="s">
        <v>1323</v>
      </c>
      <c r="N228" s="134" t="s">
        <v>1324</v>
      </c>
      <c r="O228" s="134">
        <v>2160.0</v>
      </c>
      <c r="P228" s="134">
        <v>8.5447E9</v>
      </c>
      <c r="Q228" s="498">
        <v>2.7418469314288405</v>
      </c>
      <c r="R228" s="126" t="s">
        <v>10</v>
      </c>
      <c r="S228" s="49"/>
      <c r="T228" s="224">
        <v>9.139489771429469</v>
      </c>
      <c r="U228" s="224">
        <v>5.483693862857681</v>
      </c>
      <c r="V228" s="224">
        <v>4.5697448857147345</v>
      </c>
      <c r="W228" s="224">
        <v>3.655795908571788</v>
      </c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</row>
    <row r="229" ht="14.25" customHeight="1">
      <c r="A229" s="423" t="s">
        <v>84</v>
      </c>
      <c r="B229" s="423" t="s">
        <v>1266</v>
      </c>
      <c r="C229" s="423" t="s">
        <v>1317</v>
      </c>
      <c r="D229" s="581" t="s">
        <v>1367</v>
      </c>
      <c r="E229" s="134" t="s">
        <v>1591</v>
      </c>
      <c r="F229" s="134"/>
      <c r="G229" s="584" t="s">
        <v>1568</v>
      </c>
      <c r="H229" s="584" t="s">
        <v>4123</v>
      </c>
      <c r="I229" s="423" t="s">
        <v>1570</v>
      </c>
      <c r="J229" s="134"/>
      <c r="K229" s="581" t="s">
        <v>95</v>
      </c>
      <c r="L229" s="134"/>
      <c r="M229" s="581" t="s">
        <v>1323</v>
      </c>
      <c r="N229" s="134" t="s">
        <v>1324</v>
      </c>
      <c r="O229" s="134">
        <v>1920.0</v>
      </c>
      <c r="P229" s="134">
        <v>8.5447E9</v>
      </c>
      <c r="Q229" s="498">
        <v>2.858097943925055</v>
      </c>
      <c r="R229" s="126" t="s">
        <v>10</v>
      </c>
      <c r="S229" s="49"/>
      <c r="T229" s="224">
        <v>9.52699314641685</v>
      </c>
      <c r="U229" s="224">
        <v>5.71619588785011</v>
      </c>
      <c r="V229" s="224">
        <v>4.763496573208425</v>
      </c>
      <c r="W229" s="224">
        <v>3.81079725856674</v>
      </c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</row>
    <row r="230" ht="14.25" customHeight="1">
      <c r="A230" s="423" t="s">
        <v>84</v>
      </c>
      <c r="B230" s="423" t="s">
        <v>1266</v>
      </c>
      <c r="C230" s="423" t="s">
        <v>1317</v>
      </c>
      <c r="D230" s="581" t="s">
        <v>1367</v>
      </c>
      <c r="E230" s="134" t="s">
        <v>1591</v>
      </c>
      <c r="F230" s="134"/>
      <c r="G230" s="584" t="s">
        <v>1571</v>
      </c>
      <c r="H230" s="584" t="s">
        <v>4124</v>
      </c>
      <c r="I230" s="423" t="s">
        <v>1573</v>
      </c>
      <c r="J230" s="134"/>
      <c r="K230" s="581" t="s">
        <v>95</v>
      </c>
      <c r="L230" s="134"/>
      <c r="M230" s="581" t="s">
        <v>1323</v>
      </c>
      <c r="N230" s="134" t="s">
        <v>1324</v>
      </c>
      <c r="O230" s="134">
        <v>1920.0</v>
      </c>
      <c r="P230" s="134">
        <v>8.5447E9</v>
      </c>
      <c r="Q230" s="498">
        <v>2.965838607837392</v>
      </c>
      <c r="R230" s="126" t="s">
        <v>10</v>
      </c>
      <c r="S230" s="49"/>
      <c r="T230" s="224">
        <v>9.886128692791308</v>
      </c>
      <c r="U230" s="224">
        <v>5.931677215674784</v>
      </c>
      <c r="V230" s="224">
        <v>4.943064346395654</v>
      </c>
      <c r="W230" s="224">
        <v>3.9544514771165233</v>
      </c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</row>
    <row r="231" ht="14.25" customHeight="1">
      <c r="A231" s="423" t="s">
        <v>84</v>
      </c>
      <c r="B231" s="423" t="s">
        <v>1266</v>
      </c>
      <c r="C231" s="423" t="s">
        <v>1317</v>
      </c>
      <c r="D231" s="581" t="s">
        <v>1367</v>
      </c>
      <c r="E231" s="134" t="s">
        <v>1591</v>
      </c>
      <c r="F231" s="134"/>
      <c r="G231" s="584" t="s">
        <v>1575</v>
      </c>
      <c r="H231" s="584" t="s">
        <v>4125</v>
      </c>
      <c r="I231" s="423" t="s">
        <v>1577</v>
      </c>
      <c r="J231" s="134"/>
      <c r="K231" s="581" t="s">
        <v>95</v>
      </c>
      <c r="L231" s="134"/>
      <c r="M231" s="581" t="s">
        <v>1323</v>
      </c>
      <c r="N231" s="134" t="s">
        <v>1324</v>
      </c>
      <c r="O231" s="134">
        <v>1440.0</v>
      </c>
      <c r="P231" s="134">
        <v>8.5447E9</v>
      </c>
      <c r="Q231" s="498">
        <v>3.196076915022465</v>
      </c>
      <c r="R231" s="126" t="s">
        <v>10</v>
      </c>
      <c r="S231" s="49"/>
      <c r="T231" s="224">
        <v>10.65358971674155</v>
      </c>
      <c r="U231" s="224">
        <v>6.39215383004493</v>
      </c>
      <c r="V231" s="224">
        <v>5.326794858370775</v>
      </c>
      <c r="W231" s="224">
        <v>4.26143588669662</v>
      </c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</row>
    <row r="232" ht="14.25" customHeight="1">
      <c r="A232" s="423" t="s">
        <v>84</v>
      </c>
      <c r="B232" s="423" t="s">
        <v>1266</v>
      </c>
      <c r="C232" s="423" t="s">
        <v>1317</v>
      </c>
      <c r="D232" s="581" t="s">
        <v>1367</v>
      </c>
      <c r="E232" s="134" t="s">
        <v>1591</v>
      </c>
      <c r="F232" s="134"/>
      <c r="G232" s="584" t="s">
        <v>1579</v>
      </c>
      <c r="H232" s="584" t="s">
        <v>778</v>
      </c>
      <c r="I232" s="423" t="s">
        <v>1582</v>
      </c>
      <c r="J232" s="134"/>
      <c r="K232" s="581" t="s">
        <v>95</v>
      </c>
      <c r="L232" s="134"/>
      <c r="M232" s="581" t="s">
        <v>1323</v>
      </c>
      <c r="N232" s="134" t="s">
        <v>1324</v>
      </c>
      <c r="O232" s="134">
        <v>720.0</v>
      </c>
      <c r="P232" s="134">
        <v>8.5447E9</v>
      </c>
      <c r="Q232" s="498">
        <v>3.745324853265197</v>
      </c>
      <c r="R232" s="126" t="s">
        <v>10</v>
      </c>
      <c r="S232" s="49"/>
      <c r="T232" s="224">
        <v>12.484416177550656</v>
      </c>
      <c r="U232" s="224">
        <v>7.490649706530394</v>
      </c>
      <c r="V232" s="224">
        <v>6.242208088775328</v>
      </c>
      <c r="W232" s="224">
        <v>4.993766471020263</v>
      </c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</row>
    <row r="233" ht="14.25" customHeight="1">
      <c r="A233" s="423" t="s">
        <v>84</v>
      </c>
      <c r="B233" s="423" t="s">
        <v>1266</v>
      </c>
      <c r="C233" s="423" t="s">
        <v>1633</v>
      </c>
      <c r="D233" s="581" t="s">
        <v>1633</v>
      </c>
      <c r="E233" s="134"/>
      <c r="F233" s="134"/>
      <c r="G233" s="584" t="s">
        <v>1634</v>
      </c>
      <c r="H233" s="584" t="s">
        <v>4126</v>
      </c>
      <c r="I233" s="423" t="s">
        <v>3949</v>
      </c>
      <c r="J233" s="134"/>
      <c r="K233" s="581" t="s">
        <v>95</v>
      </c>
      <c r="L233" s="134"/>
      <c r="M233" s="581" t="s">
        <v>554</v>
      </c>
      <c r="N233" s="134" t="s">
        <v>1637</v>
      </c>
      <c r="O233" s="134">
        <v>90.0</v>
      </c>
      <c r="P233" s="134" t="s">
        <v>1650</v>
      </c>
      <c r="Q233" s="498">
        <v>15.214383637701019</v>
      </c>
      <c r="R233" s="126" t="s">
        <v>6</v>
      </c>
      <c r="S233" s="49"/>
      <c r="T233" s="224">
        <v>50.714612125670065</v>
      </c>
      <c r="U233" s="224">
        <v>30.428767275402038</v>
      </c>
      <c r="V233" s="224">
        <v>25.357306062835033</v>
      </c>
      <c r="W233" s="224">
        <v>20.285844850268028</v>
      </c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</row>
    <row r="234" ht="14.25" customHeight="1">
      <c r="A234" s="423" t="s">
        <v>84</v>
      </c>
      <c r="B234" s="423" t="s">
        <v>1266</v>
      </c>
      <c r="C234" s="423" t="s">
        <v>1633</v>
      </c>
      <c r="D234" s="581" t="s">
        <v>1633</v>
      </c>
      <c r="E234" s="134"/>
      <c r="F234" s="134"/>
      <c r="G234" s="584" t="s">
        <v>1639</v>
      </c>
      <c r="H234" s="584" t="s">
        <v>4127</v>
      </c>
      <c r="I234" s="423" t="s">
        <v>2964</v>
      </c>
      <c r="J234" s="134"/>
      <c r="K234" s="581" t="s">
        <v>95</v>
      </c>
      <c r="L234" s="134"/>
      <c r="M234" s="581" t="s">
        <v>554</v>
      </c>
      <c r="N234" s="134" t="s">
        <v>1637</v>
      </c>
      <c r="O234" s="134">
        <v>90.0</v>
      </c>
      <c r="P234" s="134" t="s">
        <v>1650</v>
      </c>
      <c r="Q234" s="498">
        <v>13.873463446238675</v>
      </c>
      <c r="R234" s="126" t="s">
        <v>6</v>
      </c>
      <c r="S234" s="49"/>
      <c r="T234" s="224">
        <v>46.24487815412892</v>
      </c>
      <c r="U234" s="224">
        <v>27.74692689247735</v>
      </c>
      <c r="V234" s="224">
        <v>23.12243907706446</v>
      </c>
      <c r="W234" s="224">
        <v>18.49795126165157</v>
      </c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</row>
    <row r="235" ht="14.25" customHeight="1">
      <c r="A235" s="423" t="s">
        <v>84</v>
      </c>
      <c r="B235" s="423" t="s">
        <v>1266</v>
      </c>
      <c r="C235" s="423" t="s">
        <v>1633</v>
      </c>
      <c r="D235" s="581" t="s">
        <v>1633</v>
      </c>
      <c r="E235" s="134"/>
      <c r="F235" s="134"/>
      <c r="G235" s="584" t="s">
        <v>1713</v>
      </c>
      <c r="H235" s="584" t="s">
        <v>778</v>
      </c>
      <c r="I235" s="423" t="s">
        <v>4352</v>
      </c>
      <c r="J235" s="134"/>
      <c r="K235" s="581" t="s">
        <v>95</v>
      </c>
      <c r="L235" s="134"/>
      <c r="M235" s="581" t="s">
        <v>554</v>
      </c>
      <c r="N235" s="134" t="s">
        <v>1637</v>
      </c>
      <c r="O235" s="134">
        <v>90.0</v>
      </c>
      <c r="P235" s="134" t="s">
        <v>1650</v>
      </c>
      <c r="Q235" s="498">
        <v>24.315093879010117</v>
      </c>
      <c r="R235" s="126" t="s">
        <v>6</v>
      </c>
      <c r="S235" s="49"/>
      <c r="T235" s="224">
        <v>81.05031293003373</v>
      </c>
      <c r="U235" s="224">
        <v>48.630187758020234</v>
      </c>
      <c r="V235" s="224">
        <v>40.52515646501686</v>
      </c>
      <c r="W235" s="224">
        <v>32.42012517201349</v>
      </c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</row>
    <row r="236" ht="14.25" customHeight="1">
      <c r="A236" s="423" t="s">
        <v>84</v>
      </c>
      <c r="B236" s="423" t="s">
        <v>1266</v>
      </c>
      <c r="C236" s="423" t="s">
        <v>1633</v>
      </c>
      <c r="D236" s="581" t="s">
        <v>1633</v>
      </c>
      <c r="E236" s="134"/>
      <c r="F236" s="134"/>
      <c r="G236" s="584" t="s">
        <v>1718</v>
      </c>
      <c r="H236" s="584" t="s">
        <v>778</v>
      </c>
      <c r="I236" s="423" t="s">
        <v>4353</v>
      </c>
      <c r="J236" s="134"/>
      <c r="K236" s="581" t="s">
        <v>95</v>
      </c>
      <c r="L236" s="134"/>
      <c r="M236" s="581" t="s">
        <v>554</v>
      </c>
      <c r="N236" s="134" t="s">
        <v>1637</v>
      </c>
      <c r="O236" s="134">
        <v>90.0</v>
      </c>
      <c r="P236" s="134" t="s">
        <v>1650</v>
      </c>
      <c r="Q236" s="498">
        <v>28.843789203056033</v>
      </c>
      <c r="R236" s="126" t="s">
        <v>6</v>
      </c>
      <c r="S236" s="49"/>
      <c r="T236" s="224">
        <v>96.14596401018679</v>
      </c>
      <c r="U236" s="224">
        <v>57.68757840611207</v>
      </c>
      <c r="V236" s="224">
        <v>48.072982005093394</v>
      </c>
      <c r="W236" s="224">
        <v>38.45838560407472</v>
      </c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</row>
    <row r="237" ht="14.25" customHeight="1">
      <c r="A237" s="423" t="s">
        <v>84</v>
      </c>
      <c r="B237" s="423" t="s">
        <v>1266</v>
      </c>
      <c r="C237" s="423" t="s">
        <v>1633</v>
      </c>
      <c r="D237" s="581" t="s">
        <v>1633</v>
      </c>
      <c r="E237" s="134"/>
      <c r="F237" s="134"/>
      <c r="G237" s="584" t="s">
        <v>1722</v>
      </c>
      <c r="H237" s="584" t="s">
        <v>778</v>
      </c>
      <c r="I237" s="423" t="s">
        <v>4354</v>
      </c>
      <c r="J237" s="134"/>
      <c r="K237" s="581" t="s">
        <v>95</v>
      </c>
      <c r="L237" s="134"/>
      <c r="M237" s="581" t="s">
        <v>554</v>
      </c>
      <c r="N237" s="134" t="s">
        <v>1637</v>
      </c>
      <c r="O237" s="134">
        <v>90.0</v>
      </c>
      <c r="P237" s="134" t="s">
        <v>1650</v>
      </c>
      <c r="Q237" s="498">
        <v>38.10200891208117</v>
      </c>
      <c r="R237" s="126" t="s">
        <v>6</v>
      </c>
      <c r="S237" s="49"/>
      <c r="T237" s="224">
        <v>127.0066963736039</v>
      </c>
      <c r="U237" s="224">
        <v>76.20401782416234</v>
      </c>
      <c r="V237" s="224">
        <v>63.50334818680195</v>
      </c>
      <c r="W237" s="224">
        <v>50.802678549441566</v>
      </c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</row>
    <row r="238" ht="14.25" customHeight="1">
      <c r="A238" s="423" t="s">
        <v>84</v>
      </c>
      <c r="B238" s="423" t="s">
        <v>1266</v>
      </c>
      <c r="C238" s="423" t="s">
        <v>1633</v>
      </c>
      <c r="D238" s="581" t="s">
        <v>1633</v>
      </c>
      <c r="E238" s="134"/>
      <c r="F238" s="134"/>
      <c r="G238" s="584" t="s">
        <v>1726</v>
      </c>
      <c r="H238" s="584" t="s">
        <v>778</v>
      </c>
      <c r="I238" s="423" t="s">
        <v>4355</v>
      </c>
      <c r="J238" s="134"/>
      <c r="K238" s="581" t="s">
        <v>95</v>
      </c>
      <c r="L238" s="134"/>
      <c r="M238" s="581" t="s">
        <v>554</v>
      </c>
      <c r="N238" s="134" t="s">
        <v>1637</v>
      </c>
      <c r="O238" s="134">
        <v>90.0</v>
      </c>
      <c r="P238" s="134" t="s">
        <v>1650</v>
      </c>
      <c r="Q238" s="498">
        <v>56.63853123622478</v>
      </c>
      <c r="R238" s="126" t="s">
        <v>6</v>
      </c>
      <c r="S238" s="49"/>
      <c r="T238" s="224">
        <v>188.79510412074927</v>
      </c>
      <c r="U238" s="224">
        <v>113.27706247244956</v>
      </c>
      <c r="V238" s="224">
        <v>94.39755206037464</v>
      </c>
      <c r="W238" s="224">
        <v>75.51804164829971</v>
      </c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</row>
    <row r="239" ht="14.25" customHeight="1">
      <c r="A239" s="423" t="s">
        <v>84</v>
      </c>
      <c r="B239" s="423" t="s">
        <v>1266</v>
      </c>
      <c r="C239" s="423" t="s">
        <v>1633</v>
      </c>
      <c r="D239" s="581" t="s">
        <v>1633</v>
      </c>
      <c r="E239" s="134"/>
      <c r="F239" s="134"/>
      <c r="G239" s="584" t="s">
        <v>1742</v>
      </c>
      <c r="H239" s="584" t="s">
        <v>778</v>
      </c>
      <c r="I239" s="423" t="s">
        <v>4356</v>
      </c>
      <c r="J239" s="134"/>
      <c r="K239" s="581" t="s">
        <v>95</v>
      </c>
      <c r="L239" s="134"/>
      <c r="M239" s="581" t="s">
        <v>554</v>
      </c>
      <c r="N239" s="134" t="s">
        <v>1637</v>
      </c>
      <c r="O239" s="134">
        <v>90.0</v>
      </c>
      <c r="P239" s="134" t="s">
        <v>1650</v>
      </c>
      <c r="Q239" s="498">
        <v>25.483919013641923</v>
      </c>
      <c r="R239" s="126" t="s">
        <v>6</v>
      </c>
      <c r="S239" s="49"/>
      <c r="T239" s="224">
        <v>84.94639671213974</v>
      </c>
      <c r="U239" s="224">
        <v>50.96783802728385</v>
      </c>
      <c r="V239" s="224">
        <v>42.47319835606987</v>
      </c>
      <c r="W239" s="224">
        <v>33.9785586848559</v>
      </c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</row>
    <row r="240" ht="14.25" customHeight="1">
      <c r="A240" s="423" t="s">
        <v>84</v>
      </c>
      <c r="B240" s="423" t="s">
        <v>1266</v>
      </c>
      <c r="C240" s="423" t="s">
        <v>1633</v>
      </c>
      <c r="D240" s="581" t="s">
        <v>1633</v>
      </c>
      <c r="E240" s="134"/>
      <c r="F240" s="134"/>
      <c r="G240" s="584" t="s">
        <v>1745</v>
      </c>
      <c r="H240" s="584" t="s">
        <v>778</v>
      </c>
      <c r="I240" s="423" t="s">
        <v>4357</v>
      </c>
      <c r="J240" s="134"/>
      <c r="K240" s="581" t="s">
        <v>95</v>
      </c>
      <c r="L240" s="134"/>
      <c r="M240" s="581" t="s">
        <v>554</v>
      </c>
      <c r="N240" s="134" t="s">
        <v>1637</v>
      </c>
      <c r="O240" s="134">
        <v>90.0</v>
      </c>
      <c r="P240" s="134" t="s">
        <v>1650</v>
      </c>
      <c r="Q240" s="498">
        <v>31.18143947231965</v>
      </c>
      <c r="R240" s="126" t="s">
        <v>6</v>
      </c>
      <c r="S240" s="49"/>
      <c r="T240" s="224">
        <v>103.93813157439884</v>
      </c>
      <c r="U240" s="224">
        <v>62.3628789446393</v>
      </c>
      <c r="V240" s="224">
        <v>51.96906578719942</v>
      </c>
      <c r="W240" s="224">
        <v>41.57525262975954</v>
      </c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</row>
    <row r="241" ht="14.25" customHeight="1">
      <c r="A241" s="423" t="s">
        <v>84</v>
      </c>
      <c r="B241" s="423" t="s">
        <v>1266</v>
      </c>
      <c r="C241" s="423" t="s">
        <v>1633</v>
      </c>
      <c r="D241" s="581" t="s">
        <v>1633</v>
      </c>
      <c r="E241" s="134"/>
      <c r="F241" s="134"/>
      <c r="G241" s="584" t="s">
        <v>1749</v>
      </c>
      <c r="H241" s="584" t="s">
        <v>778</v>
      </c>
      <c r="I241" s="423" t="s">
        <v>4358</v>
      </c>
      <c r="J241" s="134"/>
      <c r="K241" s="581" t="s">
        <v>95</v>
      </c>
      <c r="L241" s="134"/>
      <c r="M241" s="581" t="s">
        <v>554</v>
      </c>
      <c r="N241" s="134" t="s">
        <v>1637</v>
      </c>
      <c r="O241" s="134">
        <v>90.0</v>
      </c>
      <c r="P241" s="134" t="s">
        <v>1650</v>
      </c>
      <c r="Q241" s="498">
        <v>42.7773094506084</v>
      </c>
      <c r="R241" s="126" t="s">
        <v>6</v>
      </c>
      <c r="S241" s="49"/>
      <c r="T241" s="224">
        <v>142.59103150202802</v>
      </c>
      <c r="U241" s="224">
        <v>85.55461890121681</v>
      </c>
      <c r="V241" s="224">
        <v>71.29551575101401</v>
      </c>
      <c r="W241" s="224">
        <v>57.03641260081121</v>
      </c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</row>
    <row r="242" ht="14.25" customHeight="1">
      <c r="A242" s="423" t="s">
        <v>84</v>
      </c>
      <c r="B242" s="423" t="s">
        <v>1266</v>
      </c>
      <c r="C242" s="423" t="s">
        <v>1633</v>
      </c>
      <c r="D242" s="581" t="s">
        <v>1633</v>
      </c>
      <c r="E242" s="134"/>
      <c r="F242" s="134"/>
      <c r="G242" s="584" t="s">
        <v>1753</v>
      </c>
      <c r="H242" s="584" t="s">
        <v>778</v>
      </c>
      <c r="I242" s="423" t="s">
        <v>4359</v>
      </c>
      <c r="J242" s="134"/>
      <c r="K242" s="581" t="s">
        <v>95</v>
      </c>
      <c r="L242" s="134"/>
      <c r="M242" s="581" t="s">
        <v>554</v>
      </c>
      <c r="N242" s="134" t="s">
        <v>1637</v>
      </c>
      <c r="O242" s="134">
        <v>90.0</v>
      </c>
      <c r="P242" s="134" t="s">
        <v>1650</v>
      </c>
      <c r="Q242" s="498">
        <v>65.98913231327926</v>
      </c>
      <c r="R242" s="126" t="s">
        <v>6</v>
      </c>
      <c r="S242" s="49"/>
      <c r="T242" s="224">
        <v>219.96377437759753</v>
      </c>
      <c r="U242" s="224">
        <v>131.9782646265585</v>
      </c>
      <c r="V242" s="224">
        <v>109.98188718879877</v>
      </c>
      <c r="W242" s="224">
        <v>87.98550975103902</v>
      </c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</row>
    <row r="243" ht="14.25" customHeight="1">
      <c r="A243" s="423" t="s">
        <v>84</v>
      </c>
      <c r="B243" s="423" t="s">
        <v>1266</v>
      </c>
      <c r="C243" s="423" t="s">
        <v>1633</v>
      </c>
      <c r="D243" s="581" t="s">
        <v>1633</v>
      </c>
      <c r="E243" s="134" t="s">
        <v>1340</v>
      </c>
      <c r="F243" s="134"/>
      <c r="G243" s="584" t="s">
        <v>1758</v>
      </c>
      <c r="H243" s="584" t="s">
        <v>4128</v>
      </c>
      <c r="I243" s="423" t="s">
        <v>1760</v>
      </c>
      <c r="J243" s="134"/>
      <c r="K243" s="581" t="s">
        <v>95</v>
      </c>
      <c r="L243" s="134"/>
      <c r="M243" s="581" t="s">
        <v>554</v>
      </c>
      <c r="N243" s="134" t="s">
        <v>1176</v>
      </c>
      <c r="O243" s="134">
        <v>540.0</v>
      </c>
      <c r="P243" s="134" t="s">
        <v>1650</v>
      </c>
      <c r="Q243" s="498">
        <v>4.090200806035524</v>
      </c>
      <c r="R243" s="126" t="s">
        <v>6</v>
      </c>
      <c r="S243" s="49"/>
      <c r="T243" s="224">
        <v>13.634002686785081</v>
      </c>
      <c r="U243" s="224">
        <v>8.180401612071048</v>
      </c>
      <c r="V243" s="224">
        <v>6.8170013433925405</v>
      </c>
      <c r="W243" s="224">
        <v>5.453601074714033</v>
      </c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</row>
    <row r="244" ht="14.25" customHeight="1">
      <c r="A244" s="423" t="s">
        <v>84</v>
      </c>
      <c r="B244" s="423" t="s">
        <v>1266</v>
      </c>
      <c r="C244" s="423" t="s">
        <v>1633</v>
      </c>
      <c r="D244" s="581" t="s">
        <v>1633</v>
      </c>
      <c r="E244" s="134" t="s">
        <v>1340</v>
      </c>
      <c r="F244" s="134"/>
      <c r="G244" s="584" t="s">
        <v>1762</v>
      </c>
      <c r="H244" s="584" t="s">
        <v>4129</v>
      </c>
      <c r="I244" s="423" t="s">
        <v>1764</v>
      </c>
      <c r="J244" s="134"/>
      <c r="K244" s="581" t="s">
        <v>95</v>
      </c>
      <c r="L244" s="134"/>
      <c r="M244" s="581" t="s">
        <v>554</v>
      </c>
      <c r="N244" s="134" t="s">
        <v>1176</v>
      </c>
      <c r="O244" s="134">
        <v>540.0</v>
      </c>
      <c r="P244" s="134" t="s">
        <v>1650</v>
      </c>
      <c r="Q244" s="498">
        <v>3.0453279295713602</v>
      </c>
      <c r="R244" s="126" t="s">
        <v>6</v>
      </c>
      <c r="S244" s="49"/>
      <c r="T244" s="224">
        <v>10.1510930985712</v>
      </c>
      <c r="U244" s="224">
        <v>6.0906558591427205</v>
      </c>
      <c r="V244" s="224">
        <v>5.0755465492856</v>
      </c>
      <c r="W244" s="224">
        <v>4.06043723942848</v>
      </c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</row>
    <row r="245" ht="14.25" customHeight="1">
      <c r="A245" s="423" t="s">
        <v>84</v>
      </c>
      <c r="B245" s="423" t="s">
        <v>1266</v>
      </c>
      <c r="C245" s="423" t="s">
        <v>1633</v>
      </c>
      <c r="D245" s="581" t="s">
        <v>1633</v>
      </c>
      <c r="E245" s="134" t="s">
        <v>1340</v>
      </c>
      <c r="F245" s="134"/>
      <c r="G245" s="584" t="s">
        <v>1766</v>
      </c>
      <c r="H245" s="584" t="s">
        <v>4130</v>
      </c>
      <c r="I245" s="423" t="s">
        <v>1768</v>
      </c>
      <c r="J245" s="134"/>
      <c r="K245" s="581" t="s">
        <v>95</v>
      </c>
      <c r="L245" s="134"/>
      <c r="M245" s="581" t="s">
        <v>554</v>
      </c>
      <c r="N245" s="134" t="s">
        <v>1176</v>
      </c>
      <c r="O245" s="134">
        <v>540.0</v>
      </c>
      <c r="P245" s="134" t="s">
        <v>1650</v>
      </c>
      <c r="Q245" s="498">
        <v>3.0453279295713602</v>
      </c>
      <c r="R245" s="126" t="s">
        <v>6</v>
      </c>
      <c r="S245" s="49"/>
      <c r="T245" s="224">
        <v>10.1510930985712</v>
      </c>
      <c r="U245" s="224">
        <v>6.0906558591427205</v>
      </c>
      <c r="V245" s="224">
        <v>5.0755465492856</v>
      </c>
      <c r="W245" s="224">
        <v>4.06043723942848</v>
      </c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</row>
    <row r="246" ht="14.25" customHeight="1">
      <c r="A246" s="423" t="s">
        <v>84</v>
      </c>
      <c r="B246" s="423" t="s">
        <v>1266</v>
      </c>
      <c r="C246" s="423" t="s">
        <v>1633</v>
      </c>
      <c r="D246" s="581" t="s">
        <v>1633</v>
      </c>
      <c r="E246" s="134" t="s">
        <v>1340</v>
      </c>
      <c r="F246" s="134"/>
      <c r="G246" s="584" t="s">
        <v>1770</v>
      </c>
      <c r="H246" s="584" t="s">
        <v>4131</v>
      </c>
      <c r="I246" s="423" t="s">
        <v>1772</v>
      </c>
      <c r="J246" s="134"/>
      <c r="K246" s="581" t="s">
        <v>95</v>
      </c>
      <c r="L246" s="134"/>
      <c r="M246" s="581" t="s">
        <v>554</v>
      </c>
      <c r="N246" s="134" t="s">
        <v>1176</v>
      </c>
      <c r="O246" s="134">
        <v>540.0</v>
      </c>
      <c r="P246" s="134" t="s">
        <v>1650</v>
      </c>
      <c r="Q246" s="498">
        <v>2.5228914913392786</v>
      </c>
      <c r="R246" s="126" t="s">
        <v>6</v>
      </c>
      <c r="S246" s="49"/>
      <c r="T246" s="224">
        <v>8.409638304464263</v>
      </c>
      <c r="U246" s="224">
        <v>5.045782982678557</v>
      </c>
      <c r="V246" s="224">
        <v>4.204819152232131</v>
      </c>
      <c r="W246" s="224">
        <v>3.3638553217857052</v>
      </c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</row>
    <row r="247" ht="14.25" customHeight="1">
      <c r="A247" s="423" t="s">
        <v>84</v>
      </c>
      <c r="B247" s="423" t="s">
        <v>1266</v>
      </c>
      <c r="C247" s="423" t="s">
        <v>1633</v>
      </c>
      <c r="D247" s="581" t="s">
        <v>1633</v>
      </c>
      <c r="E247" s="134" t="s">
        <v>1663</v>
      </c>
      <c r="F247" s="134"/>
      <c r="G247" s="584" t="s">
        <v>1774</v>
      </c>
      <c r="H247" s="584" t="s">
        <v>4132</v>
      </c>
      <c r="I247" s="423" t="s">
        <v>1776</v>
      </c>
      <c r="J247" s="134"/>
      <c r="K247" s="581" t="s">
        <v>95</v>
      </c>
      <c r="L247" s="134"/>
      <c r="M247" s="581" t="s">
        <v>554</v>
      </c>
      <c r="N247" s="134" t="s">
        <v>1176</v>
      </c>
      <c r="O247" s="134">
        <v>540.0</v>
      </c>
      <c r="P247" s="134" t="s">
        <v>1650</v>
      </c>
      <c r="Q247" s="498">
        <v>3.0453279295713602</v>
      </c>
      <c r="R247" s="126" t="s">
        <v>6</v>
      </c>
      <c r="S247" s="49"/>
      <c r="T247" s="224">
        <v>10.1510930985712</v>
      </c>
      <c r="U247" s="224">
        <v>6.0906558591427205</v>
      </c>
      <c r="V247" s="224">
        <v>5.0755465492856</v>
      </c>
      <c r="W247" s="224">
        <v>4.06043723942848</v>
      </c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</row>
    <row r="248" ht="14.25" customHeight="1">
      <c r="A248" s="423" t="s">
        <v>84</v>
      </c>
      <c r="B248" s="423" t="s">
        <v>1266</v>
      </c>
      <c r="C248" s="423" t="s">
        <v>1633</v>
      </c>
      <c r="D248" s="581" t="s">
        <v>1633</v>
      </c>
      <c r="E248" s="134" t="s">
        <v>1288</v>
      </c>
      <c r="F248" s="423"/>
      <c r="G248" s="583" t="s">
        <v>1793</v>
      </c>
      <c r="H248" s="583" t="s">
        <v>4133</v>
      </c>
      <c r="I248" s="582" t="s">
        <v>1795</v>
      </c>
      <c r="J248" s="134"/>
      <c r="K248" s="581" t="s">
        <v>95</v>
      </c>
      <c r="L248" s="581"/>
      <c r="M248" s="581" t="s">
        <v>554</v>
      </c>
      <c r="N248" s="134" t="s">
        <v>1176</v>
      </c>
      <c r="O248" s="134">
        <v>540.0</v>
      </c>
      <c r="P248" s="134" t="s">
        <v>1650</v>
      </c>
      <c r="Q248" s="498">
        <v>8.269692311892175</v>
      </c>
      <c r="R248" s="126" t="s">
        <v>6</v>
      </c>
      <c r="S248" s="49"/>
      <c r="T248" s="224">
        <v>27.565641039640585</v>
      </c>
      <c r="U248" s="224">
        <v>16.53938462378435</v>
      </c>
      <c r="V248" s="224">
        <v>13.782820519820293</v>
      </c>
      <c r="W248" s="224">
        <v>11.026256415856235</v>
      </c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</row>
    <row r="249" ht="14.25" customHeight="1">
      <c r="A249" s="423" t="s">
        <v>84</v>
      </c>
      <c r="B249" s="423" t="s">
        <v>1266</v>
      </c>
      <c r="C249" s="423" t="s">
        <v>1633</v>
      </c>
      <c r="D249" s="581" t="s">
        <v>1633</v>
      </c>
      <c r="E249" s="134" t="s">
        <v>1288</v>
      </c>
      <c r="F249" s="423"/>
      <c r="G249" s="583" t="s">
        <v>1798</v>
      </c>
      <c r="H249" s="583" t="s">
        <v>4134</v>
      </c>
      <c r="I249" s="582" t="s">
        <v>1800</v>
      </c>
      <c r="J249" s="134"/>
      <c r="K249" s="581" t="s">
        <v>95</v>
      </c>
      <c r="L249" s="581"/>
      <c r="M249" s="581" t="s">
        <v>554</v>
      </c>
      <c r="N249" s="134" t="s">
        <v>1176</v>
      </c>
      <c r="O249" s="134">
        <v>540.0</v>
      </c>
      <c r="P249" s="134" t="s">
        <v>1650</v>
      </c>
      <c r="Q249" s="498">
        <v>6.179946558963849</v>
      </c>
      <c r="R249" s="126" t="s">
        <v>6</v>
      </c>
      <c r="S249" s="49"/>
      <c r="T249" s="224">
        <v>20.59982186321283</v>
      </c>
      <c r="U249" s="224">
        <v>12.3598931179277</v>
      </c>
      <c r="V249" s="224">
        <v>10.299910931606416</v>
      </c>
      <c r="W249" s="224">
        <v>8.239928745285132</v>
      </c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</row>
    <row r="250" ht="14.25" customHeight="1">
      <c r="A250" s="423" t="s">
        <v>84</v>
      </c>
      <c r="B250" s="423" t="s">
        <v>1266</v>
      </c>
      <c r="C250" s="423" t="s">
        <v>1633</v>
      </c>
      <c r="D250" s="581" t="s">
        <v>1633</v>
      </c>
      <c r="E250" s="134" t="s">
        <v>1268</v>
      </c>
      <c r="F250" s="423"/>
      <c r="G250" s="583" t="s">
        <v>1802</v>
      </c>
      <c r="H250" s="583" t="s">
        <v>4135</v>
      </c>
      <c r="I250" s="582" t="s">
        <v>1804</v>
      </c>
      <c r="J250" s="134"/>
      <c r="K250" s="581" t="s">
        <v>95</v>
      </c>
      <c r="L250" s="581"/>
      <c r="M250" s="581" t="s">
        <v>554</v>
      </c>
      <c r="N250" s="134" t="s">
        <v>1176</v>
      </c>
      <c r="O250" s="134">
        <v>540.0</v>
      </c>
      <c r="P250" s="134" t="s">
        <v>1650</v>
      </c>
      <c r="Q250" s="498">
        <v>10.3594380648205</v>
      </c>
      <c r="R250" s="126" t="s">
        <v>6</v>
      </c>
      <c r="S250" s="49"/>
      <c r="T250" s="224">
        <v>34.53146021606833</v>
      </c>
      <c r="U250" s="224">
        <v>20.718876129641</v>
      </c>
      <c r="V250" s="224">
        <v>17.265730108034166</v>
      </c>
      <c r="W250" s="224">
        <v>13.812584086427334</v>
      </c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</row>
    <row r="251" ht="14.25" customHeight="1">
      <c r="A251" s="423" t="s">
        <v>84</v>
      </c>
      <c r="B251" s="423" t="s">
        <v>1266</v>
      </c>
      <c r="C251" s="423" t="s">
        <v>1633</v>
      </c>
      <c r="D251" s="581" t="s">
        <v>1633</v>
      </c>
      <c r="E251" s="134" t="s">
        <v>1268</v>
      </c>
      <c r="F251" s="423"/>
      <c r="G251" s="583" t="s">
        <v>1806</v>
      </c>
      <c r="H251" s="583" t="s">
        <v>4136</v>
      </c>
      <c r="I251" s="582" t="s">
        <v>1808</v>
      </c>
      <c r="J251" s="134"/>
      <c r="K251" s="581" t="s">
        <v>95</v>
      </c>
      <c r="L251" s="581"/>
      <c r="M251" s="581" t="s">
        <v>554</v>
      </c>
      <c r="N251" s="134" t="s">
        <v>1176</v>
      </c>
      <c r="O251" s="134">
        <v>540.0</v>
      </c>
      <c r="P251" s="134" t="s">
        <v>1650</v>
      </c>
      <c r="Q251" s="498">
        <v>6.702382997195931</v>
      </c>
      <c r="R251" s="126" t="s">
        <v>6</v>
      </c>
      <c r="S251" s="49"/>
      <c r="T251" s="224">
        <v>22.34127665731977</v>
      </c>
      <c r="U251" s="224">
        <v>13.404765994391862</v>
      </c>
      <c r="V251" s="224">
        <v>11.170638328659885</v>
      </c>
      <c r="W251" s="224">
        <v>8.936510662927908</v>
      </c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</row>
    <row r="252" ht="14.25" customHeight="1">
      <c r="A252" s="423" t="s">
        <v>84</v>
      </c>
      <c r="B252" s="423" t="s">
        <v>1266</v>
      </c>
      <c r="C252" s="423" t="s">
        <v>1633</v>
      </c>
      <c r="D252" s="581" t="s">
        <v>1633</v>
      </c>
      <c r="E252" s="134" t="s">
        <v>1288</v>
      </c>
      <c r="F252" s="423"/>
      <c r="G252" s="583" t="s">
        <v>1810</v>
      </c>
      <c r="H252" s="583" t="s">
        <v>4137</v>
      </c>
      <c r="I252" s="582" t="s">
        <v>1812</v>
      </c>
      <c r="J252" s="134"/>
      <c r="K252" s="581" t="s">
        <v>95</v>
      </c>
      <c r="L252" s="581"/>
      <c r="M252" s="581" t="s">
        <v>554</v>
      </c>
      <c r="N252" s="134" t="s">
        <v>1176</v>
      </c>
      <c r="O252" s="134">
        <v>540.0</v>
      </c>
      <c r="P252" s="134" t="s">
        <v>1650</v>
      </c>
      <c r="Q252" s="498">
        <v>8.269692311892175</v>
      </c>
      <c r="R252" s="126" t="s">
        <v>6</v>
      </c>
      <c r="S252" s="49"/>
      <c r="T252" s="224">
        <v>27.565641039640585</v>
      </c>
      <c r="U252" s="224">
        <v>16.53938462378435</v>
      </c>
      <c r="V252" s="224">
        <v>13.782820519820293</v>
      </c>
      <c r="W252" s="224">
        <v>11.026256415856235</v>
      </c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</row>
    <row r="253" ht="14.25" customHeight="1">
      <c r="A253" s="423" t="s">
        <v>84</v>
      </c>
      <c r="B253" s="423" t="s">
        <v>1266</v>
      </c>
      <c r="C253" s="423" t="s">
        <v>1633</v>
      </c>
      <c r="D253" s="581" t="s">
        <v>1633</v>
      </c>
      <c r="E253" s="134" t="s">
        <v>1288</v>
      </c>
      <c r="F253" s="423"/>
      <c r="G253" s="583" t="s">
        <v>1814</v>
      </c>
      <c r="H253" s="583" t="s">
        <v>4138</v>
      </c>
      <c r="I253" s="582" t="s">
        <v>1816</v>
      </c>
      <c r="J253" s="134"/>
      <c r="K253" s="581" t="s">
        <v>95</v>
      </c>
      <c r="L253" s="581"/>
      <c r="M253" s="581" t="s">
        <v>554</v>
      </c>
      <c r="N253" s="134" t="s">
        <v>1176</v>
      </c>
      <c r="O253" s="134">
        <v>540.0</v>
      </c>
      <c r="P253" s="134" t="s">
        <v>1650</v>
      </c>
      <c r="Q253" s="498">
        <v>6.179946558963849</v>
      </c>
      <c r="R253" s="126" t="s">
        <v>6</v>
      </c>
      <c r="S253" s="49"/>
      <c r="T253" s="224">
        <v>20.59982186321283</v>
      </c>
      <c r="U253" s="224">
        <v>12.3598931179277</v>
      </c>
      <c r="V253" s="224">
        <v>10.299910931606416</v>
      </c>
      <c r="W253" s="224">
        <v>8.239928745285132</v>
      </c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</row>
    <row r="254" ht="14.25" customHeight="1">
      <c r="A254" s="423" t="s">
        <v>84</v>
      </c>
      <c r="B254" s="423" t="s">
        <v>1266</v>
      </c>
      <c r="C254" s="423" t="s">
        <v>1633</v>
      </c>
      <c r="D254" s="581" t="s">
        <v>1633</v>
      </c>
      <c r="E254" s="134" t="s">
        <v>1268</v>
      </c>
      <c r="F254" s="423"/>
      <c r="G254" s="583" t="s">
        <v>1818</v>
      </c>
      <c r="H254" s="583" t="s">
        <v>4139</v>
      </c>
      <c r="I254" s="582" t="s">
        <v>1820</v>
      </c>
      <c r="J254" s="134"/>
      <c r="K254" s="581" t="s">
        <v>95</v>
      </c>
      <c r="L254" s="581"/>
      <c r="M254" s="581" t="s">
        <v>554</v>
      </c>
      <c r="N254" s="134" t="s">
        <v>1176</v>
      </c>
      <c r="O254" s="134">
        <v>540.0</v>
      </c>
      <c r="P254" s="134" t="s">
        <v>1650</v>
      </c>
      <c r="Q254" s="498">
        <v>10.3594380648205</v>
      </c>
      <c r="R254" s="126" t="s">
        <v>6</v>
      </c>
      <c r="S254" s="49"/>
      <c r="T254" s="224">
        <v>34.53146021606833</v>
      </c>
      <c r="U254" s="224">
        <v>20.718876129641</v>
      </c>
      <c r="V254" s="224">
        <v>17.265730108034166</v>
      </c>
      <c r="W254" s="224">
        <v>13.812584086427334</v>
      </c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</row>
    <row r="255" ht="14.25" customHeight="1">
      <c r="A255" s="423" t="s">
        <v>84</v>
      </c>
      <c r="B255" s="423" t="s">
        <v>1266</v>
      </c>
      <c r="C255" s="423" t="s">
        <v>1633</v>
      </c>
      <c r="D255" s="581" t="s">
        <v>1633</v>
      </c>
      <c r="E255" s="134" t="s">
        <v>1268</v>
      </c>
      <c r="F255" s="423"/>
      <c r="G255" s="583" t="s">
        <v>1822</v>
      </c>
      <c r="H255" s="583" t="s">
        <v>4140</v>
      </c>
      <c r="I255" s="582" t="s">
        <v>1824</v>
      </c>
      <c r="J255" s="134"/>
      <c r="K255" s="581" t="s">
        <v>95</v>
      </c>
      <c r="L255" s="134"/>
      <c r="M255" s="581" t="s">
        <v>554</v>
      </c>
      <c r="N255" s="134" t="s">
        <v>1176</v>
      </c>
      <c r="O255" s="134">
        <v>540.0</v>
      </c>
      <c r="P255" s="134" t="s">
        <v>1650</v>
      </c>
      <c r="Q255" s="498">
        <v>6.702382997195931</v>
      </c>
      <c r="R255" s="126" t="s">
        <v>6</v>
      </c>
      <c r="S255" s="49"/>
      <c r="T255" s="224">
        <v>22.34127665731977</v>
      </c>
      <c r="U255" s="224">
        <v>13.404765994391862</v>
      </c>
      <c r="V255" s="224">
        <v>11.170638328659885</v>
      </c>
      <c r="W255" s="224">
        <v>8.936510662927908</v>
      </c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</row>
    <row r="256" ht="14.25" customHeight="1">
      <c r="A256" s="423" t="s">
        <v>84</v>
      </c>
      <c r="B256" s="423" t="s">
        <v>1266</v>
      </c>
      <c r="C256" s="423" t="s">
        <v>1826</v>
      </c>
      <c r="D256" s="581" t="s">
        <v>1288</v>
      </c>
      <c r="E256" s="134" t="s">
        <v>1319</v>
      </c>
      <c r="F256" s="134"/>
      <c r="G256" s="584" t="s">
        <v>1827</v>
      </c>
      <c r="H256" s="584" t="s">
        <v>4141</v>
      </c>
      <c r="I256" s="423" t="s">
        <v>1829</v>
      </c>
      <c r="J256" s="134"/>
      <c r="K256" s="581" t="s">
        <v>95</v>
      </c>
      <c r="L256" s="134"/>
      <c r="M256" s="581" t="s">
        <v>1323</v>
      </c>
      <c r="N256" s="134" t="s">
        <v>1176</v>
      </c>
      <c r="O256" s="134">
        <v>10800.0</v>
      </c>
      <c r="P256" s="134">
        <v>8.5447E9</v>
      </c>
      <c r="Q256" s="498">
        <v>0.4328400699713096</v>
      </c>
      <c r="R256" s="126" t="s">
        <v>10</v>
      </c>
      <c r="S256" s="49"/>
      <c r="T256" s="224">
        <v>1.4428002332376986</v>
      </c>
      <c r="U256" s="224">
        <v>0.8656801399426192</v>
      </c>
      <c r="V256" s="224">
        <v>0.7214001166188493</v>
      </c>
      <c r="W256" s="224">
        <v>0.5771200932950794</v>
      </c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</row>
    <row r="257" ht="14.25" customHeight="1">
      <c r="A257" s="423" t="s">
        <v>84</v>
      </c>
      <c r="B257" s="423" t="s">
        <v>1266</v>
      </c>
      <c r="C257" s="423" t="s">
        <v>1826</v>
      </c>
      <c r="D257" s="581" t="s">
        <v>1268</v>
      </c>
      <c r="E257" s="134" t="s">
        <v>1319</v>
      </c>
      <c r="F257" s="134"/>
      <c r="G257" s="584" t="s">
        <v>1830</v>
      </c>
      <c r="H257" s="584" t="s">
        <v>4142</v>
      </c>
      <c r="I257" s="423" t="s">
        <v>1832</v>
      </c>
      <c r="J257" s="134"/>
      <c r="K257" s="581" t="s">
        <v>95</v>
      </c>
      <c r="L257" s="134"/>
      <c r="M257" s="581" t="s">
        <v>1323</v>
      </c>
      <c r="N257" s="134" t="s">
        <v>1176</v>
      </c>
      <c r="O257" s="134">
        <v>10800.0</v>
      </c>
      <c r="P257" s="134">
        <v>8.5447E9</v>
      </c>
      <c r="Q257" s="498">
        <v>0.4328400699713096</v>
      </c>
      <c r="R257" s="126" t="s">
        <v>10</v>
      </c>
      <c r="S257" s="49"/>
      <c r="T257" s="224">
        <v>1.4428002332376986</v>
      </c>
      <c r="U257" s="224">
        <v>0.8656801399426192</v>
      </c>
      <c r="V257" s="224">
        <v>0.7214001166188493</v>
      </c>
      <c r="W257" s="224">
        <v>0.5771200932950794</v>
      </c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</row>
    <row r="258" ht="14.25" customHeight="1">
      <c r="A258" s="423" t="s">
        <v>84</v>
      </c>
      <c r="B258" s="423" t="s">
        <v>1266</v>
      </c>
      <c r="C258" s="423" t="s">
        <v>1826</v>
      </c>
      <c r="D258" s="581" t="s">
        <v>1288</v>
      </c>
      <c r="E258" s="134" t="s">
        <v>1395</v>
      </c>
      <c r="F258" s="134"/>
      <c r="G258" s="584" t="s">
        <v>1833</v>
      </c>
      <c r="H258" s="584" t="s">
        <v>4143</v>
      </c>
      <c r="I258" s="423" t="s">
        <v>1835</v>
      </c>
      <c r="J258" s="134"/>
      <c r="K258" s="581" t="s">
        <v>95</v>
      </c>
      <c r="L258" s="134"/>
      <c r="M258" s="581" t="s">
        <v>1323</v>
      </c>
      <c r="N258" s="134" t="s">
        <v>1176</v>
      </c>
      <c r="O258" s="134">
        <v>10800.0</v>
      </c>
      <c r="P258" s="134">
        <v>8.5447E9</v>
      </c>
      <c r="Q258" s="498">
        <v>0.5488408514502585</v>
      </c>
      <c r="R258" s="126" t="s">
        <v>10</v>
      </c>
      <c r="S258" s="49"/>
      <c r="T258" s="224">
        <v>1.8294695048341951</v>
      </c>
      <c r="U258" s="224">
        <v>1.097681702900517</v>
      </c>
      <c r="V258" s="224">
        <v>0.9147347524170976</v>
      </c>
      <c r="W258" s="224">
        <v>0.7317878019336781</v>
      </c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</row>
    <row r="259" ht="14.25" customHeight="1">
      <c r="A259" s="423" t="s">
        <v>84</v>
      </c>
      <c r="B259" s="423" t="s">
        <v>1266</v>
      </c>
      <c r="C259" s="423" t="s">
        <v>1826</v>
      </c>
      <c r="D259" s="581" t="s">
        <v>1268</v>
      </c>
      <c r="E259" s="134" t="s">
        <v>1395</v>
      </c>
      <c r="F259" s="134"/>
      <c r="G259" s="584" t="s">
        <v>1836</v>
      </c>
      <c r="H259" s="584" t="s">
        <v>4144</v>
      </c>
      <c r="I259" s="423" t="s">
        <v>1838</v>
      </c>
      <c r="J259" s="134"/>
      <c r="K259" s="581" t="s">
        <v>95</v>
      </c>
      <c r="L259" s="134"/>
      <c r="M259" s="581" t="s">
        <v>1323</v>
      </c>
      <c r="N259" s="134" t="s">
        <v>1176</v>
      </c>
      <c r="O259" s="134">
        <v>10800.0</v>
      </c>
      <c r="P259" s="134">
        <v>8.5447E9</v>
      </c>
      <c r="Q259" s="498">
        <v>0.5488408514502585</v>
      </c>
      <c r="R259" s="126" t="s">
        <v>10</v>
      </c>
      <c r="S259" s="49"/>
      <c r="T259" s="224">
        <v>1.8294695048341951</v>
      </c>
      <c r="U259" s="224">
        <v>1.097681702900517</v>
      </c>
      <c r="V259" s="224">
        <v>0.9147347524170976</v>
      </c>
      <c r="W259" s="224">
        <v>0.7317878019336781</v>
      </c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</row>
    <row r="260" ht="14.25" customHeight="1">
      <c r="A260" s="423" t="s">
        <v>84</v>
      </c>
      <c r="B260" s="423" t="s">
        <v>1266</v>
      </c>
      <c r="C260" s="423" t="s">
        <v>1826</v>
      </c>
      <c r="D260" s="581" t="s">
        <v>1288</v>
      </c>
      <c r="E260" s="134" t="s">
        <v>1520</v>
      </c>
      <c r="F260" s="134"/>
      <c r="G260" s="584" t="s">
        <v>1845</v>
      </c>
      <c r="H260" s="584" t="s">
        <v>4145</v>
      </c>
      <c r="I260" s="423" t="s">
        <v>1847</v>
      </c>
      <c r="J260" s="134"/>
      <c r="K260" s="581" t="s">
        <v>95</v>
      </c>
      <c r="L260" s="134"/>
      <c r="M260" s="581" t="s">
        <v>1323</v>
      </c>
      <c r="N260" s="134" t="s">
        <v>1176</v>
      </c>
      <c r="O260" s="134">
        <v>10800.0</v>
      </c>
      <c r="P260" s="134">
        <v>8.5447E9</v>
      </c>
      <c r="Q260" s="498">
        <v>0.39162926602484094</v>
      </c>
      <c r="R260" s="126" t="s">
        <v>10</v>
      </c>
      <c r="S260" s="49"/>
      <c r="T260" s="224">
        <v>1.30543088674947</v>
      </c>
      <c r="U260" s="224">
        <v>0.783258532049682</v>
      </c>
      <c r="V260" s="224">
        <v>0.652715443374735</v>
      </c>
      <c r="W260" s="224">
        <v>0.522172354699788</v>
      </c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</row>
    <row r="261" ht="14.25" customHeight="1">
      <c r="A261" s="423" t="s">
        <v>84</v>
      </c>
      <c r="B261" s="423" t="s">
        <v>1266</v>
      </c>
      <c r="C261" s="423" t="s">
        <v>1826</v>
      </c>
      <c r="D261" s="581" t="s">
        <v>1268</v>
      </c>
      <c r="E261" s="134" t="s">
        <v>1520</v>
      </c>
      <c r="F261" s="134"/>
      <c r="G261" s="584" t="s">
        <v>1849</v>
      </c>
      <c r="H261" s="584" t="s">
        <v>4146</v>
      </c>
      <c r="I261" s="423" t="s">
        <v>1851</v>
      </c>
      <c r="J261" s="134"/>
      <c r="K261" s="581" t="s">
        <v>95</v>
      </c>
      <c r="L261" s="134"/>
      <c r="M261" s="581" t="s">
        <v>1323</v>
      </c>
      <c r="N261" s="134" t="s">
        <v>1176</v>
      </c>
      <c r="O261" s="134">
        <v>10800.0</v>
      </c>
      <c r="P261" s="134">
        <v>8.5447E9</v>
      </c>
      <c r="Q261" s="498">
        <v>0.39162926602484094</v>
      </c>
      <c r="R261" s="126" t="s">
        <v>10</v>
      </c>
      <c r="S261" s="49"/>
      <c r="T261" s="224">
        <v>1.30543088674947</v>
      </c>
      <c r="U261" s="224">
        <v>0.783258532049682</v>
      </c>
      <c r="V261" s="224">
        <v>0.652715443374735</v>
      </c>
      <c r="W261" s="224">
        <v>0.522172354699788</v>
      </c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</row>
    <row r="262" ht="14.25" customHeight="1">
      <c r="A262" s="423" t="s">
        <v>84</v>
      </c>
      <c r="B262" s="423" t="s">
        <v>1266</v>
      </c>
      <c r="C262" s="423" t="s">
        <v>1826</v>
      </c>
      <c r="D262" s="581" t="s">
        <v>1288</v>
      </c>
      <c r="E262" s="134" t="s">
        <v>1591</v>
      </c>
      <c r="F262" s="134"/>
      <c r="G262" s="584" t="s">
        <v>1845</v>
      </c>
      <c r="H262" s="584" t="s">
        <v>4145</v>
      </c>
      <c r="I262" s="423" t="s">
        <v>1847</v>
      </c>
      <c r="J262" s="134"/>
      <c r="K262" s="581" t="s">
        <v>95</v>
      </c>
      <c r="L262" s="134"/>
      <c r="M262" s="581" t="s">
        <v>1323</v>
      </c>
      <c r="N262" s="134" t="s">
        <v>1176</v>
      </c>
      <c r="O262" s="134">
        <v>10800.0</v>
      </c>
      <c r="P262" s="134">
        <v>8.5447E9</v>
      </c>
      <c r="Q262" s="498">
        <v>0.4007872224573895</v>
      </c>
      <c r="R262" s="126" t="s">
        <v>10</v>
      </c>
      <c r="S262" s="49"/>
      <c r="T262" s="224">
        <v>1.3359574081912984</v>
      </c>
      <c r="U262" s="224">
        <v>0.801574444914779</v>
      </c>
      <c r="V262" s="224">
        <v>0.6679787040956492</v>
      </c>
      <c r="W262" s="224">
        <v>0.5343829632765194</v>
      </c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</row>
    <row r="263" ht="14.25" customHeight="1">
      <c r="A263" s="423" t="s">
        <v>84</v>
      </c>
      <c r="B263" s="423" t="s">
        <v>1266</v>
      </c>
      <c r="C263" s="423" t="s">
        <v>1826</v>
      </c>
      <c r="D263" s="581" t="s">
        <v>1268</v>
      </c>
      <c r="E263" s="134" t="s">
        <v>1591</v>
      </c>
      <c r="F263" s="134"/>
      <c r="G263" s="584" t="s">
        <v>1849</v>
      </c>
      <c r="H263" s="584" t="s">
        <v>4146</v>
      </c>
      <c r="I263" s="423" t="s">
        <v>1851</v>
      </c>
      <c r="J263" s="134"/>
      <c r="K263" s="581" t="s">
        <v>95</v>
      </c>
      <c r="L263" s="134"/>
      <c r="M263" s="581" t="s">
        <v>1323</v>
      </c>
      <c r="N263" s="134" t="s">
        <v>1176</v>
      </c>
      <c r="O263" s="134">
        <v>10800.0</v>
      </c>
      <c r="P263" s="134">
        <v>8.5447E9</v>
      </c>
      <c r="Q263" s="498">
        <v>0.4007872224573895</v>
      </c>
      <c r="R263" s="126" t="s">
        <v>10</v>
      </c>
      <c r="S263" s="49"/>
      <c r="T263" s="224">
        <v>1.3359574081912984</v>
      </c>
      <c r="U263" s="224">
        <v>0.801574444914779</v>
      </c>
      <c r="V263" s="224">
        <v>0.6679787040956492</v>
      </c>
      <c r="W263" s="224">
        <v>0.5343829632765194</v>
      </c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</row>
    <row r="264" ht="14.25" customHeight="1">
      <c r="A264" s="423" t="s">
        <v>84</v>
      </c>
      <c r="B264" s="423" t="s">
        <v>1266</v>
      </c>
      <c r="C264" s="423" t="s">
        <v>1826</v>
      </c>
      <c r="D264" s="581" t="s">
        <v>1288</v>
      </c>
      <c r="E264" s="134" t="s">
        <v>1319</v>
      </c>
      <c r="F264" s="134"/>
      <c r="G264" s="358" t="s">
        <v>1856</v>
      </c>
      <c r="H264" s="584"/>
      <c r="I264" s="423" t="s">
        <v>1858</v>
      </c>
      <c r="J264" s="134"/>
      <c r="K264" s="581" t="s">
        <v>95</v>
      </c>
      <c r="L264" s="134"/>
      <c r="M264" s="423" t="s">
        <v>1859</v>
      </c>
      <c r="N264" s="134" t="s">
        <v>1637</v>
      </c>
      <c r="O264" s="134">
        <v>480.0</v>
      </c>
      <c r="P264" s="134"/>
      <c r="Q264" s="498">
        <v>5.666663614014522</v>
      </c>
      <c r="R264" s="126" t="s">
        <v>10</v>
      </c>
      <c r="S264" s="49"/>
      <c r="T264" s="224">
        <v>18.88887871338174</v>
      </c>
      <c r="U264" s="224">
        <v>11.333327228029043</v>
      </c>
      <c r="V264" s="224">
        <v>9.44443935669087</v>
      </c>
      <c r="W264" s="224">
        <v>7.555551485352696</v>
      </c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</row>
    <row r="265" ht="14.25" customHeight="1">
      <c r="A265" s="423" t="s">
        <v>84</v>
      </c>
      <c r="B265" s="423" t="s">
        <v>1266</v>
      </c>
      <c r="C265" s="423" t="s">
        <v>1826</v>
      </c>
      <c r="D265" s="581" t="s">
        <v>1268</v>
      </c>
      <c r="E265" s="134" t="s">
        <v>1319</v>
      </c>
      <c r="F265" s="134"/>
      <c r="G265" s="358" t="s">
        <v>1861</v>
      </c>
      <c r="H265" s="584"/>
      <c r="I265" s="423" t="s">
        <v>1863</v>
      </c>
      <c r="J265" s="134"/>
      <c r="K265" s="581" t="s">
        <v>95</v>
      </c>
      <c r="L265" s="134"/>
      <c r="M265" s="423" t="s">
        <v>1859</v>
      </c>
      <c r="N265" s="134" t="s">
        <v>1637</v>
      </c>
      <c r="O265" s="134">
        <v>480.0</v>
      </c>
      <c r="P265" s="134"/>
      <c r="Q265" s="498">
        <v>5.666663614014522</v>
      </c>
      <c r="R265" s="126" t="s">
        <v>10</v>
      </c>
      <c r="S265" s="49"/>
      <c r="T265" s="224">
        <v>18.88887871338174</v>
      </c>
      <c r="U265" s="224">
        <v>11.333327228029043</v>
      </c>
      <c r="V265" s="224">
        <v>9.44443935669087</v>
      </c>
      <c r="W265" s="224">
        <v>7.555551485352696</v>
      </c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</row>
    <row r="266" ht="14.25" customHeight="1">
      <c r="A266" s="423" t="s">
        <v>84</v>
      </c>
      <c r="B266" s="423" t="s">
        <v>1266</v>
      </c>
      <c r="C266" s="423" t="s">
        <v>1826</v>
      </c>
      <c r="D266" s="581" t="s">
        <v>1288</v>
      </c>
      <c r="E266" s="134" t="s">
        <v>1395</v>
      </c>
      <c r="F266" s="134"/>
      <c r="G266" s="358" t="s">
        <v>1865</v>
      </c>
      <c r="H266" s="584"/>
      <c r="I266" s="423" t="s">
        <v>1867</v>
      </c>
      <c r="J266" s="134"/>
      <c r="K266" s="581" t="s">
        <v>95</v>
      </c>
      <c r="L266" s="134"/>
      <c r="M266" s="423" t="s">
        <v>1859</v>
      </c>
      <c r="N266" s="134" t="s">
        <v>1637</v>
      </c>
      <c r="O266" s="134">
        <v>480.0</v>
      </c>
      <c r="P266" s="134"/>
      <c r="Q266" s="498">
        <v>6.707617995180881</v>
      </c>
      <c r="R266" s="126" t="s">
        <v>10</v>
      </c>
      <c r="S266" s="49"/>
      <c r="T266" s="224">
        <v>22.358726650602936</v>
      </c>
      <c r="U266" s="224">
        <v>13.415235990361762</v>
      </c>
      <c r="V266" s="224">
        <v>11.179363325301468</v>
      </c>
      <c r="W266" s="224">
        <v>8.943490660241174</v>
      </c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</row>
    <row r="267" ht="14.25" customHeight="1">
      <c r="A267" s="423" t="s">
        <v>84</v>
      </c>
      <c r="B267" s="423" t="s">
        <v>1266</v>
      </c>
      <c r="C267" s="423" t="s">
        <v>1826</v>
      </c>
      <c r="D267" s="581" t="s">
        <v>1268</v>
      </c>
      <c r="E267" s="134" t="s">
        <v>1395</v>
      </c>
      <c r="F267" s="134"/>
      <c r="G267" s="358" t="s">
        <v>1869</v>
      </c>
      <c r="H267" s="584"/>
      <c r="I267" s="423" t="s">
        <v>1871</v>
      </c>
      <c r="J267" s="134"/>
      <c r="K267" s="581" t="s">
        <v>95</v>
      </c>
      <c r="L267" s="134"/>
      <c r="M267" s="423" t="s">
        <v>1859</v>
      </c>
      <c r="N267" s="134" t="s">
        <v>1637</v>
      </c>
      <c r="O267" s="134">
        <v>480.0</v>
      </c>
      <c r="P267" s="134"/>
      <c r="Q267" s="498">
        <v>6.707617995180881</v>
      </c>
      <c r="R267" s="126" t="s">
        <v>10</v>
      </c>
      <c r="S267" s="49"/>
      <c r="T267" s="224">
        <v>22.358726650602936</v>
      </c>
      <c r="U267" s="224">
        <v>13.415235990361762</v>
      </c>
      <c r="V267" s="224">
        <v>11.179363325301468</v>
      </c>
      <c r="W267" s="224">
        <v>8.943490660241174</v>
      </c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</row>
    <row r="268" ht="14.25" customHeight="1">
      <c r="A268" s="423" t="s">
        <v>84</v>
      </c>
      <c r="B268" s="423" t="s">
        <v>1266</v>
      </c>
      <c r="C268" s="423" t="s">
        <v>1826</v>
      </c>
      <c r="D268" s="581" t="s">
        <v>1288</v>
      </c>
      <c r="E268" s="134" t="s">
        <v>1465</v>
      </c>
      <c r="F268" s="134"/>
      <c r="G268" s="358" t="s">
        <v>1872</v>
      </c>
      <c r="H268" s="584"/>
      <c r="I268" s="423" t="s">
        <v>1874</v>
      </c>
      <c r="J268" s="134"/>
      <c r="K268" s="581" t="s">
        <v>95</v>
      </c>
      <c r="L268" s="134"/>
      <c r="M268" s="423" t="s">
        <v>1859</v>
      </c>
      <c r="N268" s="134" t="s">
        <v>1637</v>
      </c>
      <c r="O268" s="134">
        <v>480.0</v>
      </c>
      <c r="P268" s="134"/>
      <c r="Q268" s="498">
        <v>9.047475863697047</v>
      </c>
      <c r="R268" s="126" t="s">
        <v>10</v>
      </c>
      <c r="S268" s="49"/>
      <c r="T268" s="224">
        <v>30.158252878990158</v>
      </c>
      <c r="U268" s="224">
        <v>18.094951727394093</v>
      </c>
      <c r="V268" s="224">
        <v>15.079126439495079</v>
      </c>
      <c r="W268" s="224">
        <v>12.063301151596065</v>
      </c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</row>
    <row r="269" ht="14.25" customHeight="1">
      <c r="A269" s="423" t="s">
        <v>84</v>
      </c>
      <c r="B269" s="423" t="s">
        <v>1266</v>
      </c>
      <c r="C269" s="423" t="s">
        <v>1826</v>
      </c>
      <c r="D269" s="581" t="s">
        <v>1268</v>
      </c>
      <c r="E269" s="134" t="s">
        <v>1465</v>
      </c>
      <c r="F269" s="134"/>
      <c r="G269" s="358" t="s">
        <v>1875</v>
      </c>
      <c r="H269" s="584"/>
      <c r="I269" s="423" t="s">
        <v>1877</v>
      </c>
      <c r="J269" s="134"/>
      <c r="K269" s="581" t="s">
        <v>95</v>
      </c>
      <c r="L269" s="134"/>
      <c r="M269" s="423" t="s">
        <v>1859</v>
      </c>
      <c r="N269" s="134" t="s">
        <v>1637</v>
      </c>
      <c r="O269" s="134">
        <v>480.0</v>
      </c>
      <c r="P269" s="134"/>
      <c r="Q269" s="498">
        <v>9.047475863697047</v>
      </c>
      <c r="R269" s="126" t="s">
        <v>10</v>
      </c>
      <c r="S269" s="49"/>
      <c r="T269" s="224">
        <v>30.158252878990158</v>
      </c>
      <c r="U269" s="224">
        <v>18.094951727394093</v>
      </c>
      <c r="V269" s="224">
        <v>15.079126439495079</v>
      </c>
      <c r="W269" s="224">
        <v>12.063301151596065</v>
      </c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</row>
    <row r="270" ht="14.25" customHeight="1">
      <c r="A270" s="423" t="s">
        <v>84</v>
      </c>
      <c r="B270" s="423" t="s">
        <v>1266</v>
      </c>
      <c r="C270" s="423" t="s">
        <v>1826</v>
      </c>
      <c r="D270" s="581" t="s">
        <v>1288</v>
      </c>
      <c r="E270" s="134" t="s">
        <v>1591</v>
      </c>
      <c r="F270" s="134"/>
      <c r="G270" s="358" t="s">
        <v>4147</v>
      </c>
      <c r="H270" s="584"/>
      <c r="I270" s="423" t="s">
        <v>1881</v>
      </c>
      <c r="J270" s="134"/>
      <c r="K270" s="581" t="s">
        <v>95</v>
      </c>
      <c r="L270" s="134"/>
      <c r="M270" s="423" t="s">
        <v>1859</v>
      </c>
      <c r="N270" s="134" t="s">
        <v>1637</v>
      </c>
      <c r="O270" s="134">
        <v>480.0</v>
      </c>
      <c r="P270" s="134"/>
      <c r="Q270" s="498">
        <v>4.998132794438475</v>
      </c>
      <c r="R270" s="126" t="s">
        <v>10</v>
      </c>
      <c r="S270" s="49"/>
      <c r="T270" s="224">
        <v>16.66044264812825</v>
      </c>
      <c r="U270" s="224">
        <v>9.99626558887695</v>
      </c>
      <c r="V270" s="224">
        <v>8.330221324064125</v>
      </c>
      <c r="W270" s="224">
        <v>6.6641770592513</v>
      </c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</row>
    <row r="271" ht="14.25" customHeight="1">
      <c r="A271" s="423" t="s">
        <v>84</v>
      </c>
      <c r="B271" s="423" t="s">
        <v>1266</v>
      </c>
      <c r="C271" s="423" t="s">
        <v>1826</v>
      </c>
      <c r="D271" s="581" t="s">
        <v>1268</v>
      </c>
      <c r="E271" s="134" t="s">
        <v>1591</v>
      </c>
      <c r="F271" s="134"/>
      <c r="G271" s="358" t="s">
        <v>4148</v>
      </c>
      <c r="H271" s="584"/>
      <c r="I271" s="423" t="s">
        <v>1885</v>
      </c>
      <c r="J271" s="134"/>
      <c r="K271" s="581" t="s">
        <v>95</v>
      </c>
      <c r="L271" s="134"/>
      <c r="M271" s="423" t="s">
        <v>1859</v>
      </c>
      <c r="N271" s="134" t="s">
        <v>1637</v>
      </c>
      <c r="O271" s="134">
        <v>480.0</v>
      </c>
      <c r="P271" s="134"/>
      <c r="Q271" s="498">
        <v>4.998132794438475</v>
      </c>
      <c r="R271" s="126" t="s">
        <v>10</v>
      </c>
      <c r="S271" s="49"/>
      <c r="T271" s="224">
        <v>16.66044264812825</v>
      </c>
      <c r="U271" s="224">
        <v>9.99626558887695</v>
      </c>
      <c r="V271" s="224">
        <v>8.330221324064125</v>
      </c>
      <c r="W271" s="224">
        <v>6.6641770592513</v>
      </c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</row>
    <row r="272" ht="14.25" customHeight="1">
      <c r="A272" s="423" t="s">
        <v>84</v>
      </c>
      <c r="B272" s="423" t="s">
        <v>1886</v>
      </c>
      <c r="C272" s="423" t="s">
        <v>1887</v>
      </c>
      <c r="D272" s="581" t="s">
        <v>1887</v>
      </c>
      <c r="E272" s="134"/>
      <c r="F272" s="134"/>
      <c r="G272" s="584" t="s">
        <v>1891</v>
      </c>
      <c r="H272" s="584" t="s">
        <v>4149</v>
      </c>
      <c r="I272" s="581" t="s">
        <v>1893</v>
      </c>
      <c r="J272" s="134"/>
      <c r="K272" s="581" t="s">
        <v>95</v>
      </c>
      <c r="L272" s="134"/>
      <c r="M272" s="581" t="s">
        <v>554</v>
      </c>
      <c r="N272" s="134" t="s">
        <v>1176</v>
      </c>
      <c r="O272" s="134">
        <v>400.0</v>
      </c>
      <c r="P272" s="134" t="s">
        <v>4360</v>
      </c>
      <c r="Q272" s="498">
        <v>2.6806930885082374</v>
      </c>
      <c r="R272" s="126" t="s">
        <v>10</v>
      </c>
      <c r="S272" s="49"/>
      <c r="T272" s="224">
        <v>8.935643628360792</v>
      </c>
      <c r="U272" s="224">
        <v>5.361386177016475</v>
      </c>
      <c r="V272" s="224">
        <v>4.467821814180396</v>
      </c>
      <c r="W272" s="224">
        <v>3.574257451344317</v>
      </c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</row>
    <row r="273" ht="14.25" customHeight="1">
      <c r="A273" s="582" t="s">
        <v>84</v>
      </c>
      <c r="B273" s="582" t="s">
        <v>1886</v>
      </c>
      <c r="C273" s="582" t="s">
        <v>1887</v>
      </c>
      <c r="D273" s="582" t="s">
        <v>1887</v>
      </c>
      <c r="E273" s="361"/>
      <c r="F273" s="134"/>
      <c r="G273" s="584" t="s">
        <v>1894</v>
      </c>
      <c r="H273" s="584" t="s">
        <v>4150</v>
      </c>
      <c r="I273" s="582" t="s">
        <v>1896</v>
      </c>
      <c r="J273" s="134"/>
      <c r="K273" s="581" t="s">
        <v>95</v>
      </c>
      <c r="L273" s="134"/>
      <c r="M273" s="581" t="s">
        <v>554</v>
      </c>
      <c r="N273" s="134" t="s">
        <v>1176</v>
      </c>
      <c r="O273" s="134">
        <v>400.0</v>
      </c>
      <c r="P273" s="134" t="s">
        <v>4361</v>
      </c>
      <c r="Q273" s="498">
        <v>3.1833073842246455</v>
      </c>
      <c r="R273" s="126" t="s">
        <v>10</v>
      </c>
      <c r="S273" s="49"/>
      <c r="T273" s="224">
        <v>10.611024614082153</v>
      </c>
      <c r="U273" s="224">
        <v>6.366614768449291</v>
      </c>
      <c r="V273" s="224">
        <v>5.305512307041076</v>
      </c>
      <c r="W273" s="224">
        <v>4.244409845632862</v>
      </c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</row>
    <row r="274" ht="14.25" customHeight="1">
      <c r="A274" s="582" t="s">
        <v>84</v>
      </c>
      <c r="B274" s="582" t="s">
        <v>1886</v>
      </c>
      <c r="C274" s="582" t="s">
        <v>1887</v>
      </c>
      <c r="D274" s="582" t="s">
        <v>1887</v>
      </c>
      <c r="E274" s="361"/>
      <c r="F274" s="134"/>
      <c r="G274" s="584" t="s">
        <v>1898</v>
      </c>
      <c r="H274" s="584" t="s">
        <v>4151</v>
      </c>
      <c r="I274" s="582" t="s">
        <v>1900</v>
      </c>
      <c r="J274" s="134"/>
      <c r="K274" s="581" t="s">
        <v>95</v>
      </c>
      <c r="L274" s="134"/>
      <c r="M274" s="581" t="s">
        <v>554</v>
      </c>
      <c r="N274" s="134" t="s">
        <v>555</v>
      </c>
      <c r="O274" s="134">
        <v>360.0</v>
      </c>
      <c r="P274" s="134" t="s">
        <v>4361</v>
      </c>
      <c r="Q274" s="498">
        <v>3.3007508376268753</v>
      </c>
      <c r="R274" s="126" t="s">
        <v>10</v>
      </c>
      <c r="S274" s="49"/>
      <c r="T274" s="224">
        <v>11.002502792089585</v>
      </c>
      <c r="U274" s="224">
        <v>6.6015016752537505</v>
      </c>
      <c r="V274" s="224">
        <v>5.501251396044792</v>
      </c>
      <c r="W274" s="224">
        <v>4.401001116835834</v>
      </c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</row>
    <row r="275" ht="14.25" customHeight="1">
      <c r="A275" s="582" t="s">
        <v>84</v>
      </c>
      <c r="B275" s="582" t="s">
        <v>1886</v>
      </c>
      <c r="C275" s="582" t="s">
        <v>1887</v>
      </c>
      <c r="D275" s="582" t="s">
        <v>1887</v>
      </c>
      <c r="E275" s="361"/>
      <c r="F275" s="134"/>
      <c r="G275" s="584" t="s">
        <v>1907</v>
      </c>
      <c r="H275" s="584" t="s">
        <v>4152</v>
      </c>
      <c r="I275" s="582" t="s">
        <v>1909</v>
      </c>
      <c r="J275" s="134"/>
      <c r="K275" s="581" t="s">
        <v>95</v>
      </c>
      <c r="L275" s="134"/>
      <c r="M275" s="581" t="s">
        <v>554</v>
      </c>
      <c r="N275" s="134" t="s">
        <v>555</v>
      </c>
      <c r="O275" s="134">
        <v>360.0</v>
      </c>
      <c r="P275" s="134" t="s">
        <v>4361</v>
      </c>
      <c r="Q275" s="498">
        <v>10.560875874258702</v>
      </c>
      <c r="R275" s="126" t="s">
        <v>10</v>
      </c>
      <c r="S275" s="49"/>
      <c r="T275" s="224">
        <v>35.20291958086234</v>
      </c>
      <c r="U275" s="224">
        <v>21.121751748517404</v>
      </c>
      <c r="V275" s="224">
        <v>17.60145979043117</v>
      </c>
      <c r="W275" s="224">
        <v>14.081167832344939</v>
      </c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</row>
    <row r="276" ht="14.25" customHeight="1">
      <c r="A276" s="423" t="s">
        <v>84</v>
      </c>
      <c r="B276" s="423" t="s">
        <v>1886</v>
      </c>
      <c r="C276" s="423" t="s">
        <v>1887</v>
      </c>
      <c r="D276" s="581" t="s">
        <v>1887</v>
      </c>
      <c r="E276" s="134"/>
      <c r="F276" s="134"/>
      <c r="G276" s="584" t="s">
        <v>1913</v>
      </c>
      <c r="H276" s="584" t="s">
        <v>4153</v>
      </c>
      <c r="I276" s="581" t="s">
        <v>1915</v>
      </c>
      <c r="J276" s="134"/>
      <c r="K276" s="581" t="s">
        <v>95</v>
      </c>
      <c r="L276" s="134"/>
      <c r="M276" s="581" t="s">
        <v>554</v>
      </c>
      <c r="N276" s="134" t="s">
        <v>1176</v>
      </c>
      <c r="O276" s="134">
        <v>1600.0</v>
      </c>
      <c r="P276" s="134" t="s">
        <v>4361</v>
      </c>
      <c r="Q276" s="498">
        <v>2.9317628630039505</v>
      </c>
      <c r="R276" s="126" t="s">
        <v>10</v>
      </c>
      <c r="S276" s="49"/>
      <c r="T276" s="224">
        <v>9.772542876679836</v>
      </c>
      <c r="U276" s="224">
        <v>5.863525726007901</v>
      </c>
      <c r="V276" s="224">
        <v>4.886271438339918</v>
      </c>
      <c r="W276" s="224">
        <v>3.9090171506719344</v>
      </c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</row>
    <row r="277" ht="14.25" customHeight="1">
      <c r="A277" s="423" t="s">
        <v>84</v>
      </c>
      <c r="B277" s="423" t="s">
        <v>1886</v>
      </c>
      <c r="C277" s="423" t="s">
        <v>1887</v>
      </c>
      <c r="D277" s="581" t="s">
        <v>1887</v>
      </c>
      <c r="E277" s="134"/>
      <c r="F277" s="134"/>
      <c r="G277" s="583" t="s">
        <v>1917</v>
      </c>
      <c r="H277" s="583" t="s">
        <v>4154</v>
      </c>
      <c r="I277" s="423" t="s">
        <v>1919</v>
      </c>
      <c r="J277" s="134"/>
      <c r="K277" s="581" t="s">
        <v>95</v>
      </c>
      <c r="L277" s="134"/>
      <c r="M277" s="581" t="s">
        <v>554</v>
      </c>
      <c r="N277" s="134" t="s">
        <v>741</v>
      </c>
      <c r="O277" s="134">
        <v>128.0</v>
      </c>
      <c r="P277" s="134" t="s">
        <v>1650</v>
      </c>
      <c r="Q277" s="498">
        <v>6.748403384655461</v>
      </c>
      <c r="R277" s="126" t="s">
        <v>10</v>
      </c>
      <c r="S277" s="49"/>
      <c r="T277" s="224">
        <v>22.49467794885154</v>
      </c>
      <c r="U277" s="224">
        <v>13.496806769310924</v>
      </c>
      <c r="V277" s="224">
        <v>11.24733897442577</v>
      </c>
      <c r="W277" s="224">
        <v>8.997871179540615</v>
      </c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</row>
    <row r="278" ht="14.25" customHeight="1">
      <c r="A278" s="423" t="s">
        <v>84</v>
      </c>
      <c r="B278" s="423" t="s">
        <v>1886</v>
      </c>
      <c r="C278" s="423" t="s">
        <v>1887</v>
      </c>
      <c r="D278" s="581" t="s">
        <v>1887</v>
      </c>
      <c r="E278" s="134"/>
      <c r="F278" s="134"/>
      <c r="G278" s="583" t="s">
        <v>1921</v>
      </c>
      <c r="H278" s="583" t="s">
        <v>4155</v>
      </c>
      <c r="I278" s="423" t="s">
        <v>1923</v>
      </c>
      <c r="J278" s="134"/>
      <c r="K278" s="581" t="s">
        <v>95</v>
      </c>
      <c r="L278" s="134"/>
      <c r="M278" s="581" t="s">
        <v>554</v>
      </c>
      <c r="N278" s="134" t="s">
        <v>741</v>
      </c>
      <c r="O278" s="134">
        <v>200.0</v>
      </c>
      <c r="P278" s="134" t="s">
        <v>1650</v>
      </c>
      <c r="Q278" s="498">
        <v>7.185993242210884</v>
      </c>
      <c r="R278" s="126" t="s">
        <v>10</v>
      </c>
      <c r="S278" s="49"/>
      <c r="T278" s="224">
        <v>23.953310807369615</v>
      </c>
      <c r="U278" s="224">
        <v>14.371986484421768</v>
      </c>
      <c r="V278" s="224">
        <v>11.976655403684807</v>
      </c>
      <c r="W278" s="224">
        <v>9.581324322947847</v>
      </c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</row>
    <row r="279" ht="14.25" customHeight="1">
      <c r="A279" s="423" t="s">
        <v>84</v>
      </c>
      <c r="B279" s="423" t="s">
        <v>1886</v>
      </c>
      <c r="C279" s="423" t="s">
        <v>1887</v>
      </c>
      <c r="D279" s="581" t="s">
        <v>1887</v>
      </c>
      <c r="E279" s="134"/>
      <c r="F279" s="134"/>
      <c r="G279" s="584" t="s">
        <v>1924</v>
      </c>
      <c r="H279" s="584" t="s">
        <v>4156</v>
      </c>
      <c r="I279" s="423" t="s">
        <v>1926</v>
      </c>
      <c r="J279" s="134"/>
      <c r="K279" s="581" t="s">
        <v>95</v>
      </c>
      <c r="L279" s="134"/>
      <c r="M279" s="581" t="s">
        <v>554</v>
      </c>
      <c r="N279" s="134" t="s">
        <v>1176</v>
      </c>
      <c r="O279" s="134">
        <v>900.0</v>
      </c>
      <c r="P279" s="134" t="s">
        <v>4361</v>
      </c>
      <c r="Q279" s="498">
        <v>1.5286838829928564</v>
      </c>
      <c r="R279" s="126" t="s">
        <v>10</v>
      </c>
      <c r="S279" s="49"/>
      <c r="T279" s="224">
        <v>5.095612943309521</v>
      </c>
      <c r="U279" s="224">
        <v>3.057367765985713</v>
      </c>
      <c r="V279" s="224">
        <v>2.5478064716547606</v>
      </c>
      <c r="W279" s="224">
        <v>2.0382451773238084</v>
      </c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</row>
    <row r="280" ht="14.25" customHeight="1">
      <c r="A280" s="582" t="s">
        <v>84</v>
      </c>
      <c r="B280" s="582" t="s">
        <v>1886</v>
      </c>
      <c r="C280" s="582" t="s">
        <v>1887</v>
      </c>
      <c r="D280" s="582" t="s">
        <v>1887</v>
      </c>
      <c r="E280" s="361"/>
      <c r="F280" s="134"/>
      <c r="G280" s="584" t="s">
        <v>1928</v>
      </c>
      <c r="H280" s="584" t="s">
        <v>4157</v>
      </c>
      <c r="I280" s="582" t="s">
        <v>1930</v>
      </c>
      <c r="J280" s="134"/>
      <c r="K280" s="581" t="s">
        <v>95</v>
      </c>
      <c r="L280" s="134"/>
      <c r="M280" s="581" t="s">
        <v>554</v>
      </c>
      <c r="N280" s="134" t="s">
        <v>1176</v>
      </c>
      <c r="O280" s="134">
        <v>400.0</v>
      </c>
      <c r="P280" s="134" t="s">
        <v>4361</v>
      </c>
      <c r="Q280" s="498">
        <v>3.2028768193806783</v>
      </c>
      <c r="R280" s="126" t="s">
        <v>10</v>
      </c>
      <c r="S280" s="49"/>
      <c r="T280" s="224">
        <v>10.676256064602262</v>
      </c>
      <c r="U280" s="224">
        <v>6.4057536387613565</v>
      </c>
      <c r="V280" s="224">
        <v>5.338128032301131</v>
      </c>
      <c r="W280" s="224">
        <v>4.270502425840905</v>
      </c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</row>
    <row r="281" ht="14.25" customHeight="1">
      <c r="A281" s="582" t="s">
        <v>84</v>
      </c>
      <c r="B281" s="582" t="s">
        <v>1886</v>
      </c>
      <c r="C281" s="582" t="s">
        <v>1932</v>
      </c>
      <c r="D281" s="582" t="s">
        <v>1932</v>
      </c>
      <c r="E281" s="361"/>
      <c r="F281" s="134"/>
      <c r="G281" s="584" t="s">
        <v>1933</v>
      </c>
      <c r="H281" s="584" t="s">
        <v>4158</v>
      </c>
      <c r="I281" s="582" t="s">
        <v>1935</v>
      </c>
      <c r="J281" s="134"/>
      <c r="K281" s="581" t="s">
        <v>95</v>
      </c>
      <c r="L281" s="134"/>
      <c r="M281" s="581" t="s">
        <v>554</v>
      </c>
      <c r="N281" s="134" t="s">
        <v>1637</v>
      </c>
      <c r="O281" s="134">
        <v>240.0</v>
      </c>
      <c r="P281" s="134">
        <v>8.5444221E9</v>
      </c>
      <c r="Q281" s="498">
        <v>9.016670212761214</v>
      </c>
      <c r="R281" s="126" t="s">
        <v>10</v>
      </c>
      <c r="S281" s="49"/>
      <c r="T281" s="224">
        <v>30.055567375870716</v>
      </c>
      <c r="U281" s="224">
        <v>18.03334042552243</v>
      </c>
      <c r="V281" s="224">
        <v>15.027783687935358</v>
      </c>
      <c r="W281" s="224">
        <v>12.022226950348287</v>
      </c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</row>
    <row r="282" ht="14.25" customHeight="1">
      <c r="A282" s="582" t="s">
        <v>84</v>
      </c>
      <c r="B282" s="582" t="s">
        <v>1886</v>
      </c>
      <c r="C282" s="582" t="s">
        <v>1932</v>
      </c>
      <c r="D282" s="582" t="s">
        <v>1932</v>
      </c>
      <c r="E282" s="361"/>
      <c r="F282" s="134"/>
      <c r="G282" s="584" t="s">
        <v>1941</v>
      </c>
      <c r="H282" s="584" t="s">
        <v>4159</v>
      </c>
      <c r="I282" s="582" t="s">
        <v>1943</v>
      </c>
      <c r="J282" s="134"/>
      <c r="K282" s="581" t="s">
        <v>95</v>
      </c>
      <c r="L282" s="134"/>
      <c r="M282" s="581" t="s">
        <v>554</v>
      </c>
      <c r="N282" s="134" t="s">
        <v>1637</v>
      </c>
      <c r="O282" s="134">
        <v>240.0</v>
      </c>
      <c r="P282" s="134">
        <v>8.5444221E9</v>
      </c>
      <c r="Q282" s="498">
        <v>9.141901743494008</v>
      </c>
      <c r="R282" s="126" t="s">
        <v>10</v>
      </c>
      <c r="S282" s="49"/>
      <c r="T282" s="224">
        <v>30.473005811646697</v>
      </c>
      <c r="U282" s="224">
        <v>18.283803486988017</v>
      </c>
      <c r="V282" s="224">
        <v>15.236502905823349</v>
      </c>
      <c r="W282" s="224">
        <v>12.18920232465868</v>
      </c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</row>
    <row r="283" ht="14.25" customHeight="1">
      <c r="A283" s="423" t="s">
        <v>84</v>
      </c>
      <c r="B283" s="423" t="s">
        <v>1886</v>
      </c>
      <c r="C283" s="423" t="s">
        <v>1932</v>
      </c>
      <c r="D283" s="581" t="s">
        <v>1932</v>
      </c>
      <c r="E283" s="134"/>
      <c r="F283" s="134"/>
      <c r="G283" s="584" t="s">
        <v>1945</v>
      </c>
      <c r="H283" s="584" t="s">
        <v>4160</v>
      </c>
      <c r="I283" s="423" t="s">
        <v>1947</v>
      </c>
      <c r="J283" s="134"/>
      <c r="K283" s="581" t="s">
        <v>95</v>
      </c>
      <c r="L283" s="134"/>
      <c r="M283" s="581" t="s">
        <v>554</v>
      </c>
      <c r="N283" s="134" t="s">
        <v>1637</v>
      </c>
      <c r="O283" s="134">
        <v>240.0</v>
      </c>
      <c r="P283" s="134" t="s">
        <v>4362</v>
      </c>
      <c r="Q283" s="498">
        <v>31.42028568211174</v>
      </c>
      <c r="R283" s="126" t="s">
        <v>10</v>
      </c>
      <c r="S283" s="49"/>
      <c r="T283" s="224">
        <v>104.73428560703914</v>
      </c>
      <c r="U283" s="224">
        <v>62.84057136422348</v>
      </c>
      <c r="V283" s="224">
        <v>52.36714280351957</v>
      </c>
      <c r="W283" s="224">
        <v>41.89371424281566</v>
      </c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</row>
    <row r="284" ht="14.25" customHeight="1">
      <c r="A284" s="423" t="s">
        <v>84</v>
      </c>
      <c r="B284" s="423" t="s">
        <v>1266</v>
      </c>
      <c r="C284" s="423" t="s">
        <v>1948</v>
      </c>
      <c r="D284" s="581" t="s">
        <v>1949</v>
      </c>
      <c r="E284" s="134" t="s">
        <v>1319</v>
      </c>
      <c r="F284" s="134"/>
      <c r="G284" s="584" t="s">
        <v>2248</v>
      </c>
      <c r="H284" s="584" t="s">
        <v>778</v>
      </c>
      <c r="I284" s="423" t="s">
        <v>2250</v>
      </c>
      <c r="J284" s="134" t="s">
        <v>162</v>
      </c>
      <c r="K284" s="581" t="s">
        <v>147</v>
      </c>
      <c r="L284" s="134"/>
      <c r="M284" s="581" t="s">
        <v>1989</v>
      </c>
      <c r="N284" s="134" t="s">
        <v>1955</v>
      </c>
      <c r="O284" s="134">
        <v>8.0</v>
      </c>
      <c r="P284" s="134">
        <v>8.5447E9</v>
      </c>
      <c r="Q284" s="587">
        <v>472.14285714285717</v>
      </c>
      <c r="R284" s="126" t="s">
        <v>10</v>
      </c>
      <c r="S284" s="49"/>
      <c r="T284" s="118">
        <v>1573.8095238095239</v>
      </c>
      <c r="U284" s="118">
        <v>944.2857142857142</v>
      </c>
      <c r="V284" s="118">
        <v>786.9047619047619</v>
      </c>
      <c r="W284" s="118">
        <v>629.5238095238096</v>
      </c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</row>
    <row r="285" ht="14.25" customHeight="1">
      <c r="A285" s="423" t="s">
        <v>84</v>
      </c>
      <c r="B285" s="423" t="s">
        <v>1266</v>
      </c>
      <c r="C285" s="423" t="s">
        <v>1948</v>
      </c>
      <c r="D285" s="581" t="s">
        <v>1949</v>
      </c>
      <c r="E285" s="134" t="s">
        <v>1319</v>
      </c>
      <c r="F285" s="134"/>
      <c r="G285" s="584" t="s">
        <v>2256</v>
      </c>
      <c r="H285" s="584" t="s">
        <v>4162</v>
      </c>
      <c r="I285" s="423" t="s">
        <v>2258</v>
      </c>
      <c r="J285" s="134" t="s">
        <v>162</v>
      </c>
      <c r="K285" s="581" t="s">
        <v>147</v>
      </c>
      <c r="L285" s="134"/>
      <c r="M285" s="581" t="s">
        <v>1989</v>
      </c>
      <c r="N285" s="134" t="s">
        <v>1955</v>
      </c>
      <c r="O285" s="134">
        <v>8.0</v>
      </c>
      <c r="P285" s="134">
        <v>8.5447E9</v>
      </c>
      <c r="Q285" s="587">
        <v>665.0</v>
      </c>
      <c r="R285" s="126" t="s">
        <v>10</v>
      </c>
      <c r="S285" s="49"/>
      <c r="T285" s="118">
        <v>2216.666666666667</v>
      </c>
      <c r="U285" s="118">
        <v>1330.0000000000002</v>
      </c>
      <c r="V285" s="118">
        <v>1108.3333333333335</v>
      </c>
      <c r="W285" s="118">
        <v>886.6666666666669</v>
      </c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</row>
    <row r="286" ht="14.25" customHeight="1">
      <c r="A286" s="423" t="s">
        <v>84</v>
      </c>
      <c r="B286" s="423" t="s">
        <v>1266</v>
      </c>
      <c r="C286" s="423" t="s">
        <v>1948</v>
      </c>
      <c r="D286" s="581" t="s">
        <v>1949</v>
      </c>
      <c r="E286" s="134" t="s">
        <v>1319</v>
      </c>
      <c r="F286" s="134"/>
      <c r="G286" s="584" t="s">
        <v>2260</v>
      </c>
      <c r="H286" s="584" t="s">
        <v>4163</v>
      </c>
      <c r="I286" s="423" t="s">
        <v>2262</v>
      </c>
      <c r="J286" s="134" t="s">
        <v>162</v>
      </c>
      <c r="K286" s="581" t="s">
        <v>147</v>
      </c>
      <c r="L286" s="134"/>
      <c r="M286" s="581" t="s">
        <v>1989</v>
      </c>
      <c r="N286" s="134" t="s">
        <v>1955</v>
      </c>
      <c r="O286" s="134">
        <v>8.0</v>
      </c>
      <c r="P286" s="134">
        <v>8.5447E9</v>
      </c>
      <c r="Q286" s="587">
        <v>1162.142857142857</v>
      </c>
      <c r="R286" s="126" t="s">
        <v>10</v>
      </c>
      <c r="S286" s="49"/>
      <c r="T286" s="118">
        <v>3873.809523809524</v>
      </c>
      <c r="U286" s="118">
        <v>2324.285714285714</v>
      </c>
      <c r="V286" s="118">
        <v>1936.904761904762</v>
      </c>
      <c r="W286" s="118">
        <v>1549.5238095238096</v>
      </c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</row>
    <row r="287" ht="14.25" customHeight="1">
      <c r="A287" s="423" t="s">
        <v>84</v>
      </c>
      <c r="B287" s="423" t="s">
        <v>1266</v>
      </c>
      <c r="C287" s="423" t="s">
        <v>1948</v>
      </c>
      <c r="D287" s="581" t="s">
        <v>1972</v>
      </c>
      <c r="E287" s="134" t="s">
        <v>1319</v>
      </c>
      <c r="F287" s="134"/>
      <c r="G287" s="584" t="s">
        <v>1974</v>
      </c>
      <c r="H287" s="584" t="s">
        <v>4165</v>
      </c>
      <c r="I287" s="423" t="s">
        <v>1976</v>
      </c>
      <c r="J287" s="134" t="s">
        <v>162</v>
      </c>
      <c r="K287" s="581" t="s">
        <v>147</v>
      </c>
      <c r="L287" s="134"/>
      <c r="M287" s="581" t="s">
        <v>1989</v>
      </c>
      <c r="N287" s="134" t="s">
        <v>1955</v>
      </c>
      <c r="O287" s="134">
        <v>8.0</v>
      </c>
      <c r="P287" s="134">
        <v>8.5447E9</v>
      </c>
      <c r="Q287" s="587">
        <v>452.14285714285717</v>
      </c>
      <c r="R287" s="126" t="s">
        <v>10</v>
      </c>
      <c r="S287" s="49"/>
      <c r="T287" s="118">
        <v>1507.1428571428573</v>
      </c>
      <c r="U287" s="118">
        <v>904.2857142857143</v>
      </c>
      <c r="V287" s="118">
        <v>753.5714285714287</v>
      </c>
      <c r="W287" s="118">
        <v>602.857142857143</v>
      </c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</row>
    <row r="288" ht="14.25" customHeight="1">
      <c r="A288" s="423" t="s">
        <v>84</v>
      </c>
      <c r="B288" s="423" t="s">
        <v>1266</v>
      </c>
      <c r="C288" s="423" t="s">
        <v>1948</v>
      </c>
      <c r="D288" s="581" t="s">
        <v>1972</v>
      </c>
      <c r="E288" s="134" t="s">
        <v>1319</v>
      </c>
      <c r="F288" s="134"/>
      <c r="G288" s="584" t="s">
        <v>1978</v>
      </c>
      <c r="H288" s="584" t="s">
        <v>4166</v>
      </c>
      <c r="I288" s="423" t="s">
        <v>1980</v>
      </c>
      <c r="J288" s="134" t="s">
        <v>162</v>
      </c>
      <c r="K288" s="581" t="s">
        <v>147</v>
      </c>
      <c r="L288" s="134"/>
      <c r="M288" s="581" t="s">
        <v>1989</v>
      </c>
      <c r="N288" s="134" t="s">
        <v>1955</v>
      </c>
      <c r="O288" s="134">
        <v>8.0</v>
      </c>
      <c r="P288" s="134">
        <v>8.5447E9</v>
      </c>
      <c r="Q288" s="587">
        <v>529.2857142857143</v>
      </c>
      <c r="R288" s="126" t="s">
        <v>10</v>
      </c>
      <c r="S288" s="49"/>
      <c r="T288" s="118">
        <v>1764.2857142857144</v>
      </c>
      <c r="U288" s="118">
        <v>1058.5714285714287</v>
      </c>
      <c r="V288" s="118">
        <v>882.1428571428572</v>
      </c>
      <c r="W288" s="118">
        <v>705.7142857142858</v>
      </c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</row>
    <row r="289" ht="14.25" customHeight="1">
      <c r="A289" s="423" t="s">
        <v>84</v>
      </c>
      <c r="B289" s="423" t="s">
        <v>1266</v>
      </c>
      <c r="C289" s="423" t="s">
        <v>1948</v>
      </c>
      <c r="D289" s="581" t="s">
        <v>1972</v>
      </c>
      <c r="E289" s="134" t="s">
        <v>1319</v>
      </c>
      <c r="F289" s="134"/>
      <c r="G289" s="584" t="s">
        <v>1982</v>
      </c>
      <c r="H289" s="584" t="s">
        <v>4167</v>
      </c>
      <c r="I289" s="423" t="s">
        <v>1984</v>
      </c>
      <c r="J289" s="134" t="s">
        <v>162</v>
      </c>
      <c r="K289" s="581" t="s">
        <v>147</v>
      </c>
      <c r="L289" s="134"/>
      <c r="M289" s="581" t="s">
        <v>1989</v>
      </c>
      <c r="N289" s="134" t="s">
        <v>1955</v>
      </c>
      <c r="O289" s="134">
        <v>8.0</v>
      </c>
      <c r="P289" s="134">
        <v>8.5447E9</v>
      </c>
      <c r="Q289" s="587">
        <v>705.0</v>
      </c>
      <c r="R289" s="126" t="s">
        <v>10</v>
      </c>
      <c r="S289" s="49"/>
      <c r="T289" s="118">
        <v>2350.0</v>
      </c>
      <c r="U289" s="118">
        <v>1410.0</v>
      </c>
      <c r="V289" s="118">
        <v>1175.0</v>
      </c>
      <c r="W289" s="118">
        <v>940.0</v>
      </c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</row>
    <row r="290" ht="14.25" customHeight="1">
      <c r="A290" s="423" t="s">
        <v>84</v>
      </c>
      <c r="B290" s="423" t="s">
        <v>1266</v>
      </c>
      <c r="C290" s="423" t="s">
        <v>1948</v>
      </c>
      <c r="D290" s="581" t="s">
        <v>1972</v>
      </c>
      <c r="E290" s="134" t="s">
        <v>1319</v>
      </c>
      <c r="F290" s="134"/>
      <c r="G290" s="584" t="s">
        <v>1986</v>
      </c>
      <c r="H290" s="584" t="s">
        <v>4168</v>
      </c>
      <c r="I290" s="423" t="s">
        <v>1988</v>
      </c>
      <c r="J290" s="134" t="s">
        <v>162</v>
      </c>
      <c r="K290" s="581" t="s">
        <v>147</v>
      </c>
      <c r="L290" s="134"/>
      <c r="M290" s="581" t="s">
        <v>1989</v>
      </c>
      <c r="N290" s="134" t="s">
        <v>1955</v>
      </c>
      <c r="O290" s="134">
        <v>4.0</v>
      </c>
      <c r="P290" s="134">
        <v>8.5447E9</v>
      </c>
      <c r="Q290" s="587">
        <v>1174.2857142857144</v>
      </c>
      <c r="R290" s="126" t="s">
        <v>10</v>
      </c>
      <c r="S290" s="49"/>
      <c r="T290" s="118">
        <v>3914.285714285715</v>
      </c>
      <c r="U290" s="118">
        <v>2348.571428571429</v>
      </c>
      <c r="V290" s="118">
        <v>1957.1428571428576</v>
      </c>
      <c r="W290" s="118">
        <v>1565.7142857142862</v>
      </c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</row>
    <row r="291" ht="14.25" customHeight="1">
      <c r="A291" s="423" t="s">
        <v>84</v>
      </c>
      <c r="B291" s="423" t="s">
        <v>1266</v>
      </c>
      <c r="C291" s="423" t="s">
        <v>1948</v>
      </c>
      <c r="D291" s="581" t="s">
        <v>1991</v>
      </c>
      <c r="E291" s="134" t="s">
        <v>1319</v>
      </c>
      <c r="F291" s="134"/>
      <c r="G291" s="584" t="s">
        <v>1993</v>
      </c>
      <c r="H291" s="584" t="s">
        <v>4170</v>
      </c>
      <c r="I291" s="423" t="s">
        <v>1995</v>
      </c>
      <c r="J291" s="134" t="s">
        <v>206</v>
      </c>
      <c r="K291" s="581" t="s">
        <v>147</v>
      </c>
      <c r="L291" s="134"/>
      <c r="M291" s="581" t="s">
        <v>1989</v>
      </c>
      <c r="N291" s="134" t="s">
        <v>1955</v>
      </c>
      <c r="O291" s="134">
        <v>8.0</v>
      </c>
      <c r="P291" s="134">
        <v>8.5447E9</v>
      </c>
      <c r="Q291" s="587">
        <v>385.0</v>
      </c>
      <c r="R291" s="126" t="s">
        <v>10</v>
      </c>
      <c r="S291" s="49"/>
      <c r="T291" s="118">
        <v>1283.3333333333335</v>
      </c>
      <c r="U291" s="118">
        <v>770.0000000000001</v>
      </c>
      <c r="V291" s="118">
        <v>641.6666666666667</v>
      </c>
      <c r="W291" s="118">
        <v>513.3333333333334</v>
      </c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</row>
    <row r="292" ht="14.25" customHeight="1">
      <c r="A292" s="423" t="s">
        <v>84</v>
      </c>
      <c r="B292" s="423" t="s">
        <v>1266</v>
      </c>
      <c r="C292" s="423" t="s">
        <v>1948</v>
      </c>
      <c r="D292" s="581" t="s">
        <v>1991</v>
      </c>
      <c r="E292" s="134" t="s">
        <v>1319</v>
      </c>
      <c r="F292" s="134"/>
      <c r="G292" s="584" t="s">
        <v>1997</v>
      </c>
      <c r="H292" s="584" t="s">
        <v>4171</v>
      </c>
      <c r="I292" s="423" t="s">
        <v>1999</v>
      </c>
      <c r="J292" s="134" t="s">
        <v>206</v>
      </c>
      <c r="K292" s="581" t="s">
        <v>147</v>
      </c>
      <c r="L292" s="134"/>
      <c r="M292" s="581" t="s">
        <v>1989</v>
      </c>
      <c r="N292" s="134" t="s">
        <v>1955</v>
      </c>
      <c r="O292" s="134">
        <v>8.0</v>
      </c>
      <c r="P292" s="134">
        <v>8.5447E9</v>
      </c>
      <c r="Q292" s="587">
        <v>457.8571428571429</v>
      </c>
      <c r="R292" s="126" t="s">
        <v>10</v>
      </c>
      <c r="S292" s="49"/>
      <c r="T292" s="118">
        <v>1526.1904761904764</v>
      </c>
      <c r="U292" s="118">
        <v>915.7142857142858</v>
      </c>
      <c r="V292" s="118">
        <v>763.0952380952382</v>
      </c>
      <c r="W292" s="118">
        <v>610.4761904761906</v>
      </c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</row>
    <row r="293" ht="14.25" customHeight="1">
      <c r="A293" s="423" t="s">
        <v>84</v>
      </c>
      <c r="B293" s="423" t="s">
        <v>1266</v>
      </c>
      <c r="C293" s="423" t="s">
        <v>1948</v>
      </c>
      <c r="D293" s="581" t="s">
        <v>1991</v>
      </c>
      <c r="E293" s="134" t="s">
        <v>1319</v>
      </c>
      <c r="F293" s="134"/>
      <c r="G293" s="584" t="s">
        <v>2001</v>
      </c>
      <c r="H293" s="584" t="s">
        <v>4172</v>
      </c>
      <c r="I293" s="423" t="s">
        <v>2003</v>
      </c>
      <c r="J293" s="134" t="s">
        <v>206</v>
      </c>
      <c r="K293" s="581" t="s">
        <v>147</v>
      </c>
      <c r="L293" s="134"/>
      <c r="M293" s="581" t="s">
        <v>1989</v>
      </c>
      <c r="N293" s="134" t="s">
        <v>1955</v>
      </c>
      <c r="O293" s="134">
        <v>8.0</v>
      </c>
      <c r="P293" s="134">
        <v>8.5447E9</v>
      </c>
      <c r="Q293" s="587">
        <v>597.8571428571429</v>
      </c>
      <c r="R293" s="126" t="s">
        <v>10</v>
      </c>
      <c r="S293" s="49"/>
      <c r="T293" s="118">
        <v>1992.8571428571431</v>
      </c>
      <c r="U293" s="118">
        <v>1195.7142857142858</v>
      </c>
      <c r="V293" s="118">
        <v>996.4285714285716</v>
      </c>
      <c r="W293" s="118">
        <v>797.1428571428573</v>
      </c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</row>
    <row r="294" ht="14.25" customHeight="1">
      <c r="A294" s="423" t="s">
        <v>84</v>
      </c>
      <c r="B294" s="423" t="s">
        <v>1266</v>
      </c>
      <c r="C294" s="423" t="s">
        <v>1948</v>
      </c>
      <c r="D294" s="581" t="s">
        <v>1991</v>
      </c>
      <c r="E294" s="134" t="s">
        <v>1319</v>
      </c>
      <c r="F294" s="134"/>
      <c r="G294" s="584" t="s">
        <v>2005</v>
      </c>
      <c r="H294" s="584" t="s">
        <v>4173</v>
      </c>
      <c r="I294" s="423" t="s">
        <v>2007</v>
      </c>
      <c r="J294" s="134" t="s">
        <v>206</v>
      </c>
      <c r="K294" s="581" t="s">
        <v>147</v>
      </c>
      <c r="L294" s="134"/>
      <c r="M294" s="581" t="s">
        <v>1989</v>
      </c>
      <c r="N294" s="134" t="s">
        <v>1955</v>
      </c>
      <c r="O294" s="134">
        <v>8.0</v>
      </c>
      <c r="P294" s="134">
        <v>8.5447E9</v>
      </c>
      <c r="Q294" s="587">
        <v>1013.5714285714287</v>
      </c>
      <c r="R294" s="126" t="s">
        <v>10</v>
      </c>
      <c r="S294" s="49"/>
      <c r="T294" s="118">
        <v>3378.571428571429</v>
      </c>
      <c r="U294" s="118">
        <v>2027.1428571428573</v>
      </c>
      <c r="V294" s="118">
        <v>1689.2857142857144</v>
      </c>
      <c r="W294" s="118">
        <v>1351.4285714285716</v>
      </c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</row>
    <row r="295" ht="14.25" customHeight="1">
      <c r="A295" s="423" t="s">
        <v>84</v>
      </c>
      <c r="B295" s="423" t="s">
        <v>1266</v>
      </c>
      <c r="C295" s="423" t="s">
        <v>1948</v>
      </c>
      <c r="D295" s="581" t="s">
        <v>2008</v>
      </c>
      <c r="E295" s="134" t="s">
        <v>1319</v>
      </c>
      <c r="F295" s="134"/>
      <c r="G295" s="584" t="s">
        <v>2010</v>
      </c>
      <c r="H295" s="584" t="s">
        <v>4175</v>
      </c>
      <c r="I295" s="423" t="s">
        <v>2012</v>
      </c>
      <c r="J295" s="134" t="s">
        <v>206</v>
      </c>
      <c r="K295" s="581" t="s">
        <v>147</v>
      </c>
      <c r="L295" s="134"/>
      <c r="M295" s="581" t="s">
        <v>1989</v>
      </c>
      <c r="N295" s="134" t="s">
        <v>1955</v>
      </c>
      <c r="O295" s="134">
        <v>8.0</v>
      </c>
      <c r="P295" s="134">
        <v>8.5447E9</v>
      </c>
      <c r="Q295" s="587">
        <v>473.5714285714286</v>
      </c>
      <c r="R295" s="126" t="s">
        <v>10</v>
      </c>
      <c r="S295" s="49"/>
      <c r="T295" s="118">
        <v>1578.5714285714287</v>
      </c>
      <c r="U295" s="118">
        <v>947.1428571428571</v>
      </c>
      <c r="V295" s="118">
        <v>789.2857142857143</v>
      </c>
      <c r="W295" s="118">
        <v>631.4285714285716</v>
      </c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</row>
    <row r="296" ht="14.25" customHeight="1">
      <c r="A296" s="423" t="s">
        <v>84</v>
      </c>
      <c r="B296" s="423" t="s">
        <v>1266</v>
      </c>
      <c r="C296" s="423" t="s">
        <v>1948</v>
      </c>
      <c r="D296" s="581" t="s">
        <v>2008</v>
      </c>
      <c r="E296" s="134" t="s">
        <v>1319</v>
      </c>
      <c r="F296" s="134"/>
      <c r="G296" s="584" t="s">
        <v>2014</v>
      </c>
      <c r="H296" s="584" t="s">
        <v>4176</v>
      </c>
      <c r="I296" s="423" t="s">
        <v>2016</v>
      </c>
      <c r="J296" s="134" t="s">
        <v>206</v>
      </c>
      <c r="K296" s="581" t="s">
        <v>147</v>
      </c>
      <c r="L296" s="134"/>
      <c r="M296" s="581" t="s">
        <v>1989</v>
      </c>
      <c r="N296" s="134" t="s">
        <v>1955</v>
      </c>
      <c r="O296" s="134">
        <v>8.0</v>
      </c>
      <c r="P296" s="134">
        <v>8.5447E9</v>
      </c>
      <c r="Q296" s="587">
        <v>542.1428571428572</v>
      </c>
      <c r="R296" s="126" t="s">
        <v>10</v>
      </c>
      <c r="S296" s="49"/>
      <c r="T296" s="118">
        <v>1807.1428571428576</v>
      </c>
      <c r="U296" s="118">
        <v>1084.2857142857144</v>
      </c>
      <c r="V296" s="118">
        <v>903.5714285714288</v>
      </c>
      <c r="W296" s="118">
        <v>722.8571428571431</v>
      </c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</row>
    <row r="297" ht="14.25" customHeight="1">
      <c r="A297" s="423" t="s">
        <v>84</v>
      </c>
      <c r="B297" s="423" t="s">
        <v>1266</v>
      </c>
      <c r="C297" s="423" t="s">
        <v>1948</v>
      </c>
      <c r="D297" s="581" t="s">
        <v>2008</v>
      </c>
      <c r="E297" s="134" t="s">
        <v>1319</v>
      </c>
      <c r="F297" s="134"/>
      <c r="G297" s="584" t="s">
        <v>2018</v>
      </c>
      <c r="H297" s="584" t="s">
        <v>4177</v>
      </c>
      <c r="I297" s="423" t="s">
        <v>2020</v>
      </c>
      <c r="J297" s="134" t="s">
        <v>206</v>
      </c>
      <c r="K297" s="581" t="s">
        <v>147</v>
      </c>
      <c r="L297" s="134"/>
      <c r="M297" s="581" t="s">
        <v>1989</v>
      </c>
      <c r="N297" s="134" t="s">
        <v>1955</v>
      </c>
      <c r="O297" s="134">
        <v>8.0</v>
      </c>
      <c r="P297" s="134">
        <v>8.5447E9</v>
      </c>
      <c r="Q297" s="587">
        <v>657.8571428571429</v>
      </c>
      <c r="R297" s="126" t="s">
        <v>10</v>
      </c>
      <c r="S297" s="49"/>
      <c r="T297" s="118">
        <v>2192.857142857143</v>
      </c>
      <c r="U297" s="118">
        <v>1315.7142857142858</v>
      </c>
      <c r="V297" s="118">
        <v>1096.4285714285716</v>
      </c>
      <c r="W297" s="118">
        <v>877.1428571428573</v>
      </c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</row>
    <row r="298" ht="14.25" customHeight="1">
      <c r="A298" s="423" t="s">
        <v>84</v>
      </c>
      <c r="B298" s="423" t="s">
        <v>1266</v>
      </c>
      <c r="C298" s="423" t="s">
        <v>1948</v>
      </c>
      <c r="D298" s="581" t="s">
        <v>2008</v>
      </c>
      <c r="E298" s="134" t="s">
        <v>1319</v>
      </c>
      <c r="F298" s="134"/>
      <c r="G298" s="584" t="s">
        <v>2022</v>
      </c>
      <c r="H298" s="584" t="s">
        <v>4178</v>
      </c>
      <c r="I298" s="423" t="s">
        <v>2024</v>
      </c>
      <c r="J298" s="134" t="s">
        <v>206</v>
      </c>
      <c r="K298" s="581" t="s">
        <v>147</v>
      </c>
      <c r="L298" s="134"/>
      <c r="M298" s="581" t="s">
        <v>1989</v>
      </c>
      <c r="N298" s="134" t="s">
        <v>1955</v>
      </c>
      <c r="O298" s="134">
        <v>8.0</v>
      </c>
      <c r="P298" s="134">
        <v>8.5447E9</v>
      </c>
      <c r="Q298" s="587">
        <v>1095.0</v>
      </c>
      <c r="R298" s="126" t="s">
        <v>10</v>
      </c>
      <c r="S298" s="49"/>
      <c r="T298" s="118">
        <v>3650.0</v>
      </c>
      <c r="U298" s="118">
        <v>2190.0</v>
      </c>
      <c r="V298" s="118">
        <v>1825.0</v>
      </c>
      <c r="W298" s="118">
        <v>1460.0</v>
      </c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</row>
    <row r="299" ht="14.25" customHeight="1">
      <c r="A299" s="423" t="s">
        <v>84</v>
      </c>
      <c r="B299" s="423" t="s">
        <v>1266</v>
      </c>
      <c r="C299" s="423" t="s">
        <v>1948</v>
      </c>
      <c r="D299" s="581" t="s">
        <v>2008</v>
      </c>
      <c r="E299" s="134" t="s">
        <v>1319</v>
      </c>
      <c r="F299" s="134"/>
      <c r="G299" s="584" t="s">
        <v>2296</v>
      </c>
      <c r="H299" s="584" t="s">
        <v>778</v>
      </c>
      <c r="I299" s="423" t="s">
        <v>2298</v>
      </c>
      <c r="J299" s="134" t="s">
        <v>201</v>
      </c>
      <c r="K299" s="581" t="s">
        <v>147</v>
      </c>
      <c r="L299" s="134"/>
      <c r="M299" s="581" t="s">
        <v>1989</v>
      </c>
      <c r="N299" s="134" t="s">
        <v>1955</v>
      </c>
      <c r="O299" s="134">
        <v>8.0</v>
      </c>
      <c r="P299" s="134">
        <v>8.5447E9</v>
      </c>
      <c r="Q299" s="587">
        <v>882.1428571428572</v>
      </c>
      <c r="R299" s="126" t="s">
        <v>10</v>
      </c>
      <c r="S299" s="49"/>
      <c r="T299" s="118">
        <v>2940.476190476191</v>
      </c>
      <c r="U299" s="118">
        <v>1764.2857142857144</v>
      </c>
      <c r="V299" s="118">
        <v>1470.2380952380954</v>
      </c>
      <c r="W299" s="118">
        <v>1176.1904761904764</v>
      </c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</row>
    <row r="300" ht="14.25" customHeight="1">
      <c r="A300" s="423" t="s">
        <v>84</v>
      </c>
      <c r="B300" s="423" t="s">
        <v>1266</v>
      </c>
      <c r="C300" s="423" t="s">
        <v>1948</v>
      </c>
      <c r="D300" s="581" t="s">
        <v>2008</v>
      </c>
      <c r="E300" s="134" t="s">
        <v>1319</v>
      </c>
      <c r="F300" s="134"/>
      <c r="G300" s="584" t="s">
        <v>2300</v>
      </c>
      <c r="H300" s="584" t="s">
        <v>778</v>
      </c>
      <c r="I300" s="423" t="s">
        <v>2302</v>
      </c>
      <c r="J300" s="134" t="s">
        <v>201</v>
      </c>
      <c r="K300" s="581" t="s">
        <v>147</v>
      </c>
      <c r="L300" s="134"/>
      <c r="M300" s="581" t="s">
        <v>1989</v>
      </c>
      <c r="N300" s="134" t="s">
        <v>1955</v>
      </c>
      <c r="O300" s="134">
        <v>8.0</v>
      </c>
      <c r="P300" s="134">
        <v>8.5447E9</v>
      </c>
      <c r="Q300" s="587">
        <v>1362.1428571428573</v>
      </c>
      <c r="R300" s="126" t="s">
        <v>10</v>
      </c>
      <c r="S300" s="49"/>
      <c r="T300" s="118">
        <v>4540.476190476192</v>
      </c>
      <c r="U300" s="118">
        <v>2724.285714285715</v>
      </c>
      <c r="V300" s="118">
        <v>2270.238095238096</v>
      </c>
      <c r="W300" s="118">
        <v>1816.1904761904768</v>
      </c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</row>
    <row r="301" ht="14.25" customHeight="1">
      <c r="A301" s="423" t="s">
        <v>84</v>
      </c>
      <c r="B301" s="423" t="s">
        <v>1266</v>
      </c>
      <c r="C301" s="423" t="s">
        <v>1948</v>
      </c>
      <c r="D301" s="581" t="s">
        <v>2008</v>
      </c>
      <c r="E301" s="134" t="s">
        <v>1319</v>
      </c>
      <c r="F301" s="134"/>
      <c r="G301" s="584" t="s">
        <v>2305</v>
      </c>
      <c r="H301" s="584" t="s">
        <v>778</v>
      </c>
      <c r="I301" s="423" t="s">
        <v>2307</v>
      </c>
      <c r="J301" s="134" t="s">
        <v>201</v>
      </c>
      <c r="K301" s="581" t="s">
        <v>147</v>
      </c>
      <c r="L301" s="134"/>
      <c r="M301" s="581" t="s">
        <v>1989</v>
      </c>
      <c r="N301" s="134" t="s">
        <v>1955</v>
      </c>
      <c r="O301" s="134">
        <v>8.0</v>
      </c>
      <c r="P301" s="134">
        <v>8.5447E9</v>
      </c>
      <c r="Q301" s="587">
        <v>585.0</v>
      </c>
      <c r="R301" s="126" t="s">
        <v>10</v>
      </c>
      <c r="S301" s="49"/>
      <c r="T301" s="118">
        <v>1950.0</v>
      </c>
      <c r="U301" s="118">
        <v>1170.0</v>
      </c>
      <c r="V301" s="118">
        <v>975.0</v>
      </c>
      <c r="W301" s="118">
        <v>780.0</v>
      </c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</row>
    <row r="302" ht="14.25" customHeight="1">
      <c r="A302" s="423" t="s">
        <v>84</v>
      </c>
      <c r="B302" s="423" t="s">
        <v>1266</v>
      </c>
      <c r="C302" s="423" t="s">
        <v>1948</v>
      </c>
      <c r="D302" s="581" t="s">
        <v>2008</v>
      </c>
      <c r="E302" s="134" t="s">
        <v>1319</v>
      </c>
      <c r="F302" s="134"/>
      <c r="G302" s="584" t="s">
        <v>2309</v>
      </c>
      <c r="H302" s="584" t="s">
        <v>778</v>
      </c>
      <c r="I302" s="423" t="s">
        <v>2311</v>
      </c>
      <c r="J302" s="134" t="s">
        <v>201</v>
      </c>
      <c r="K302" s="581" t="s">
        <v>147</v>
      </c>
      <c r="L302" s="134"/>
      <c r="M302" s="581" t="s">
        <v>1989</v>
      </c>
      <c r="N302" s="134" t="s">
        <v>1955</v>
      </c>
      <c r="O302" s="134">
        <v>8.0</v>
      </c>
      <c r="P302" s="134">
        <v>8.5447E9</v>
      </c>
      <c r="Q302" s="587">
        <v>655.0</v>
      </c>
      <c r="R302" s="126" t="s">
        <v>10</v>
      </c>
      <c r="S302" s="49"/>
      <c r="T302" s="118">
        <v>2183.3333333333335</v>
      </c>
      <c r="U302" s="118">
        <v>1310.0</v>
      </c>
      <c r="V302" s="118">
        <v>1091.6666666666667</v>
      </c>
      <c r="W302" s="118">
        <v>873.3333333333335</v>
      </c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</row>
    <row r="303" ht="14.25" customHeight="1">
      <c r="A303" s="423" t="s">
        <v>84</v>
      </c>
      <c r="B303" s="423" t="s">
        <v>1266</v>
      </c>
      <c r="C303" s="423" t="s">
        <v>1948</v>
      </c>
      <c r="D303" s="581" t="s">
        <v>2008</v>
      </c>
      <c r="E303" s="134" t="s">
        <v>1319</v>
      </c>
      <c r="F303" s="134"/>
      <c r="G303" s="584" t="s">
        <v>2313</v>
      </c>
      <c r="H303" s="584" t="s">
        <v>778</v>
      </c>
      <c r="I303" s="423" t="s">
        <v>2315</v>
      </c>
      <c r="J303" s="134" t="s">
        <v>201</v>
      </c>
      <c r="K303" s="581" t="s">
        <v>147</v>
      </c>
      <c r="L303" s="134"/>
      <c r="M303" s="581" t="s">
        <v>1989</v>
      </c>
      <c r="N303" s="134" t="s">
        <v>1955</v>
      </c>
      <c r="O303" s="134">
        <v>8.0</v>
      </c>
      <c r="P303" s="134">
        <v>8.5447E9</v>
      </c>
      <c r="Q303" s="587">
        <v>737.8571428571429</v>
      </c>
      <c r="R303" s="126" t="s">
        <v>10</v>
      </c>
      <c r="S303" s="49"/>
      <c r="T303" s="118">
        <v>2459.5238095238096</v>
      </c>
      <c r="U303" s="118">
        <v>1475.7142857142858</v>
      </c>
      <c r="V303" s="118">
        <v>1229.7619047619048</v>
      </c>
      <c r="W303" s="118">
        <v>983.8095238095239</v>
      </c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</row>
    <row r="304" ht="14.25" customHeight="1">
      <c r="A304" s="423" t="s">
        <v>84</v>
      </c>
      <c r="B304" s="423" t="s">
        <v>1266</v>
      </c>
      <c r="C304" s="423" t="s">
        <v>1948</v>
      </c>
      <c r="D304" s="581" t="s">
        <v>2008</v>
      </c>
      <c r="E304" s="134" t="s">
        <v>1319</v>
      </c>
      <c r="F304" s="134"/>
      <c r="G304" s="584" t="s">
        <v>2317</v>
      </c>
      <c r="H304" s="584" t="s">
        <v>778</v>
      </c>
      <c r="I304" s="423" t="s">
        <v>2319</v>
      </c>
      <c r="J304" s="134" t="s">
        <v>201</v>
      </c>
      <c r="K304" s="581" t="s">
        <v>147</v>
      </c>
      <c r="L304" s="134"/>
      <c r="M304" s="581" t="s">
        <v>1989</v>
      </c>
      <c r="N304" s="134" t="s">
        <v>1955</v>
      </c>
      <c r="O304" s="134">
        <v>8.0</v>
      </c>
      <c r="P304" s="134">
        <v>8.5447E9</v>
      </c>
      <c r="Q304" s="587">
        <v>890.7142857142858</v>
      </c>
      <c r="R304" s="126" t="s">
        <v>10</v>
      </c>
      <c r="S304" s="49"/>
      <c r="T304" s="118">
        <v>2969.0476190476193</v>
      </c>
      <c r="U304" s="118">
        <v>1781.4285714285716</v>
      </c>
      <c r="V304" s="118">
        <v>1484.5238095238096</v>
      </c>
      <c r="W304" s="118">
        <v>1187.6190476190477</v>
      </c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</row>
    <row r="305" ht="14.25" customHeight="1">
      <c r="A305" s="423" t="s">
        <v>84</v>
      </c>
      <c r="B305" s="423" t="s">
        <v>1266</v>
      </c>
      <c r="C305" s="423" t="s">
        <v>1948</v>
      </c>
      <c r="D305" s="581" t="s">
        <v>2008</v>
      </c>
      <c r="E305" s="134" t="s">
        <v>1319</v>
      </c>
      <c r="F305" s="134"/>
      <c r="G305" s="584" t="s">
        <v>2321</v>
      </c>
      <c r="H305" s="584" t="s">
        <v>778</v>
      </c>
      <c r="I305" s="423" t="s">
        <v>2323</v>
      </c>
      <c r="J305" s="134" t="s">
        <v>201</v>
      </c>
      <c r="K305" s="581" t="s">
        <v>147</v>
      </c>
      <c r="L305" s="134"/>
      <c r="M305" s="581" t="s">
        <v>1989</v>
      </c>
      <c r="N305" s="134" t="s">
        <v>1955</v>
      </c>
      <c r="O305" s="134">
        <v>8.0</v>
      </c>
      <c r="P305" s="134">
        <v>8.5447E9</v>
      </c>
      <c r="Q305" s="587">
        <v>1383.5714285714287</v>
      </c>
      <c r="R305" s="126" t="s">
        <v>10</v>
      </c>
      <c r="S305" s="49"/>
      <c r="T305" s="118">
        <v>4611.904761904762</v>
      </c>
      <c r="U305" s="118">
        <v>2767.1428571428573</v>
      </c>
      <c r="V305" s="118">
        <v>2305.952380952381</v>
      </c>
      <c r="W305" s="118">
        <v>1844.761904761905</v>
      </c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</row>
    <row r="306" ht="14.25" customHeight="1">
      <c r="A306" s="423" t="s">
        <v>84</v>
      </c>
      <c r="B306" s="423" t="s">
        <v>1266</v>
      </c>
      <c r="C306" s="423" t="s">
        <v>1948</v>
      </c>
      <c r="D306" s="581" t="s">
        <v>2025</v>
      </c>
      <c r="E306" s="134" t="s">
        <v>1319</v>
      </c>
      <c r="F306" s="134"/>
      <c r="G306" s="584" t="s">
        <v>2358</v>
      </c>
      <c r="H306" s="584" t="s">
        <v>778</v>
      </c>
      <c r="I306" s="423" t="s">
        <v>2360</v>
      </c>
      <c r="J306" s="134" t="s">
        <v>162</v>
      </c>
      <c r="K306" s="581" t="s">
        <v>147</v>
      </c>
      <c r="L306" s="134"/>
      <c r="M306" s="581" t="s">
        <v>1989</v>
      </c>
      <c r="N306" s="134" t="s">
        <v>1955</v>
      </c>
      <c r="O306" s="134">
        <v>4.0</v>
      </c>
      <c r="P306" s="134">
        <v>8.5447E9</v>
      </c>
      <c r="Q306" s="587">
        <v>2290.0</v>
      </c>
      <c r="R306" s="126" t="s">
        <v>10</v>
      </c>
      <c r="S306" s="49"/>
      <c r="T306" s="118">
        <v>7633.333333333334</v>
      </c>
      <c r="U306" s="118">
        <v>4580.0</v>
      </c>
      <c r="V306" s="118">
        <v>3816.666666666667</v>
      </c>
      <c r="W306" s="118">
        <v>3053.333333333334</v>
      </c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</row>
    <row r="307" ht="14.25" customHeight="1">
      <c r="A307" s="423" t="s">
        <v>84</v>
      </c>
      <c r="B307" s="423" t="s">
        <v>1266</v>
      </c>
      <c r="C307" s="423" t="s">
        <v>1948</v>
      </c>
      <c r="D307" s="581" t="s">
        <v>2036</v>
      </c>
      <c r="E307" s="134" t="s">
        <v>1319</v>
      </c>
      <c r="F307" s="134"/>
      <c r="G307" s="584" t="s">
        <v>2038</v>
      </c>
      <c r="H307" s="584" t="s">
        <v>4181</v>
      </c>
      <c r="I307" s="423" t="s">
        <v>2040</v>
      </c>
      <c r="J307" s="134" t="s">
        <v>206</v>
      </c>
      <c r="K307" s="581" t="s">
        <v>147</v>
      </c>
      <c r="L307" s="134"/>
      <c r="M307" s="581" t="s">
        <v>1989</v>
      </c>
      <c r="N307" s="134" t="s">
        <v>1955</v>
      </c>
      <c r="O307" s="134">
        <v>4.0</v>
      </c>
      <c r="P307" s="134">
        <v>8.5447E9</v>
      </c>
      <c r="Q307" s="587">
        <v>2052.857142857143</v>
      </c>
      <c r="R307" s="126" t="s">
        <v>10</v>
      </c>
      <c r="S307" s="49"/>
      <c r="T307" s="118">
        <v>6842.857142857144</v>
      </c>
      <c r="U307" s="118">
        <v>4105.714285714286</v>
      </c>
      <c r="V307" s="118">
        <v>3421.428571428572</v>
      </c>
      <c r="W307" s="118">
        <v>2737.142857142858</v>
      </c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</row>
    <row r="308" ht="14.25" customHeight="1">
      <c r="A308" s="423" t="s">
        <v>84</v>
      </c>
      <c r="B308" s="423" t="s">
        <v>1266</v>
      </c>
      <c r="C308" s="423" t="s">
        <v>1948</v>
      </c>
      <c r="D308" s="581" t="s">
        <v>2036</v>
      </c>
      <c r="E308" s="134" t="s">
        <v>1319</v>
      </c>
      <c r="F308" s="134"/>
      <c r="G308" s="584" t="s">
        <v>2042</v>
      </c>
      <c r="H308" s="584" t="s">
        <v>4182</v>
      </c>
      <c r="I308" s="423" t="s">
        <v>2044</v>
      </c>
      <c r="J308" s="134" t="s">
        <v>206</v>
      </c>
      <c r="K308" s="581" t="s">
        <v>147</v>
      </c>
      <c r="L308" s="134"/>
      <c r="M308" s="581" t="s">
        <v>1989</v>
      </c>
      <c r="N308" s="134" t="s">
        <v>1955</v>
      </c>
      <c r="O308" s="134">
        <v>2.0</v>
      </c>
      <c r="P308" s="134">
        <v>8.5447E9</v>
      </c>
      <c r="Q308" s="587">
        <v>3714.2857142857147</v>
      </c>
      <c r="R308" s="126" t="s">
        <v>10</v>
      </c>
      <c r="S308" s="49"/>
      <c r="T308" s="118">
        <v>12380.952380952383</v>
      </c>
      <c r="U308" s="118">
        <v>7428.571428571429</v>
      </c>
      <c r="V308" s="118">
        <v>6190.476190476192</v>
      </c>
      <c r="W308" s="118">
        <v>4952.380952380954</v>
      </c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</row>
    <row r="309" ht="14.25" customHeight="1">
      <c r="A309" s="423" t="s">
        <v>84</v>
      </c>
      <c r="B309" s="423" t="s">
        <v>1266</v>
      </c>
      <c r="C309" s="423" t="s">
        <v>1948</v>
      </c>
      <c r="D309" s="581" t="s">
        <v>2045</v>
      </c>
      <c r="E309" s="134" t="s">
        <v>1319</v>
      </c>
      <c r="F309" s="134"/>
      <c r="G309" s="584" t="s">
        <v>2047</v>
      </c>
      <c r="H309" s="584" t="s">
        <v>4184</v>
      </c>
      <c r="I309" s="423" t="s">
        <v>2049</v>
      </c>
      <c r="J309" s="134" t="s">
        <v>206</v>
      </c>
      <c r="K309" s="581" t="s">
        <v>147</v>
      </c>
      <c r="L309" s="134"/>
      <c r="M309" s="581" t="s">
        <v>1989</v>
      </c>
      <c r="N309" s="134" t="s">
        <v>1955</v>
      </c>
      <c r="O309" s="134">
        <v>8.0</v>
      </c>
      <c r="P309" s="134">
        <v>8.5447E9</v>
      </c>
      <c r="Q309" s="587">
        <v>2299.285714285714</v>
      </c>
      <c r="R309" s="126" t="s">
        <v>10</v>
      </c>
      <c r="S309" s="49"/>
      <c r="T309" s="118">
        <v>7664.285714285715</v>
      </c>
      <c r="U309" s="118">
        <v>4598.571428571428</v>
      </c>
      <c r="V309" s="118">
        <v>3832.1428571428573</v>
      </c>
      <c r="W309" s="118">
        <v>3065.7142857142862</v>
      </c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</row>
    <row r="310" ht="14.25" customHeight="1">
      <c r="A310" s="423" t="s">
        <v>84</v>
      </c>
      <c r="B310" s="423" t="s">
        <v>1266</v>
      </c>
      <c r="C310" s="423" t="s">
        <v>1948</v>
      </c>
      <c r="D310" s="581" t="s">
        <v>2045</v>
      </c>
      <c r="E310" s="134" t="s">
        <v>1319</v>
      </c>
      <c r="F310" s="134"/>
      <c r="G310" s="584" t="s">
        <v>2051</v>
      </c>
      <c r="H310" s="584" t="s">
        <v>4185</v>
      </c>
      <c r="I310" s="423" t="s">
        <v>2053</v>
      </c>
      <c r="J310" s="134" t="s">
        <v>206</v>
      </c>
      <c r="K310" s="581" t="s">
        <v>147</v>
      </c>
      <c r="L310" s="134"/>
      <c r="M310" s="581" t="s">
        <v>1989</v>
      </c>
      <c r="N310" s="134" t="s">
        <v>1955</v>
      </c>
      <c r="O310" s="134">
        <v>2.0</v>
      </c>
      <c r="P310" s="134">
        <v>8.5447E9</v>
      </c>
      <c r="Q310" s="587">
        <v>4025.714285714286</v>
      </c>
      <c r="R310" s="126" t="s">
        <v>10</v>
      </c>
      <c r="S310" s="49"/>
      <c r="T310" s="118">
        <v>13419.04761904762</v>
      </c>
      <c r="U310" s="118">
        <v>8051.428571428572</v>
      </c>
      <c r="V310" s="118">
        <v>6709.52380952381</v>
      </c>
      <c r="W310" s="118">
        <v>5367.619047619049</v>
      </c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</row>
    <row r="311" ht="14.25" customHeight="1">
      <c r="A311" s="423" t="s">
        <v>84</v>
      </c>
      <c r="B311" s="423" t="s">
        <v>1266</v>
      </c>
      <c r="C311" s="423" t="s">
        <v>1948</v>
      </c>
      <c r="D311" s="581" t="s">
        <v>2381</v>
      </c>
      <c r="E311" s="134" t="s">
        <v>1319</v>
      </c>
      <c r="F311" s="134"/>
      <c r="G311" s="584" t="s">
        <v>2383</v>
      </c>
      <c r="H311" s="584" t="s">
        <v>778</v>
      </c>
      <c r="I311" s="423" t="s">
        <v>2385</v>
      </c>
      <c r="J311" s="134" t="s">
        <v>201</v>
      </c>
      <c r="K311" s="581" t="s">
        <v>147</v>
      </c>
      <c r="L311" s="134"/>
      <c r="M311" s="581" t="s">
        <v>1989</v>
      </c>
      <c r="N311" s="134" t="s">
        <v>1955</v>
      </c>
      <c r="O311" s="134">
        <v>4.0</v>
      </c>
      <c r="P311" s="134">
        <v>8.5447E9</v>
      </c>
      <c r="Q311" s="587">
        <v>1286.3013698630136</v>
      </c>
      <c r="R311" s="126" t="s">
        <v>10</v>
      </c>
      <c r="S311" s="49"/>
      <c r="T311" s="118">
        <v>4287.671232876713</v>
      </c>
      <c r="U311" s="118">
        <v>2572.6027397260273</v>
      </c>
      <c r="V311" s="118">
        <v>2143.8356164383563</v>
      </c>
      <c r="W311" s="118">
        <v>1715.068493150685</v>
      </c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</row>
    <row r="312" ht="14.25" customHeight="1">
      <c r="A312" s="423" t="s">
        <v>84</v>
      </c>
      <c r="B312" s="423" t="s">
        <v>1266</v>
      </c>
      <c r="C312" s="423" t="s">
        <v>1948</v>
      </c>
      <c r="D312" s="581" t="s">
        <v>2381</v>
      </c>
      <c r="E312" s="134" t="s">
        <v>1319</v>
      </c>
      <c r="F312" s="134"/>
      <c r="G312" s="584" t="s">
        <v>2387</v>
      </c>
      <c r="H312" s="584" t="s">
        <v>778</v>
      </c>
      <c r="I312" s="423" t="s">
        <v>2389</v>
      </c>
      <c r="J312" s="134" t="s">
        <v>201</v>
      </c>
      <c r="K312" s="581" t="s">
        <v>147</v>
      </c>
      <c r="L312" s="134"/>
      <c r="M312" s="581" t="s">
        <v>1989</v>
      </c>
      <c r="N312" s="134" t="s">
        <v>1955</v>
      </c>
      <c r="O312" s="134">
        <v>4.0</v>
      </c>
      <c r="P312" s="134">
        <v>8.5447E9</v>
      </c>
      <c r="Q312" s="587">
        <v>1724.6575342465753</v>
      </c>
      <c r="R312" s="126" t="s">
        <v>10</v>
      </c>
      <c r="S312" s="49"/>
      <c r="T312" s="118">
        <v>5748.858447488585</v>
      </c>
      <c r="U312" s="118">
        <v>3449.3150684931506</v>
      </c>
      <c r="V312" s="118">
        <v>2874.4292237442924</v>
      </c>
      <c r="W312" s="118">
        <v>2299.543378995434</v>
      </c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</row>
    <row r="313" ht="14.25" customHeight="1">
      <c r="A313" s="423" t="s">
        <v>84</v>
      </c>
      <c r="B313" s="423" t="s">
        <v>1266</v>
      </c>
      <c r="C313" s="423" t="s">
        <v>1948</v>
      </c>
      <c r="D313" s="581" t="s">
        <v>2381</v>
      </c>
      <c r="E313" s="134" t="s">
        <v>1319</v>
      </c>
      <c r="F313" s="134"/>
      <c r="G313" s="584" t="s">
        <v>2391</v>
      </c>
      <c r="H313" s="584" t="s">
        <v>778</v>
      </c>
      <c r="I313" s="423" t="s">
        <v>2393</v>
      </c>
      <c r="J313" s="134" t="s">
        <v>201</v>
      </c>
      <c r="K313" s="581" t="s">
        <v>147</v>
      </c>
      <c r="L313" s="134"/>
      <c r="M313" s="581" t="s">
        <v>1989</v>
      </c>
      <c r="N313" s="134" t="s">
        <v>1955</v>
      </c>
      <c r="O313" s="134">
        <v>4.0</v>
      </c>
      <c r="P313" s="134">
        <v>8.5447E9</v>
      </c>
      <c r="Q313" s="587">
        <v>2561.6438356164385</v>
      </c>
      <c r="R313" s="126" t="s">
        <v>10</v>
      </c>
      <c r="S313" s="49"/>
      <c r="T313" s="118">
        <v>8538.812785388129</v>
      </c>
      <c r="U313" s="118">
        <v>5123.287671232877</v>
      </c>
      <c r="V313" s="118">
        <v>4269.406392694064</v>
      </c>
      <c r="W313" s="118">
        <v>3415.5251141552517</v>
      </c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</row>
    <row r="314" ht="14.25" customHeight="1">
      <c r="A314" s="423" t="s">
        <v>84</v>
      </c>
      <c r="B314" s="423" t="s">
        <v>1266</v>
      </c>
      <c r="C314" s="423" t="s">
        <v>1948</v>
      </c>
      <c r="D314" s="581" t="s">
        <v>2394</v>
      </c>
      <c r="E314" s="134" t="s">
        <v>1319</v>
      </c>
      <c r="F314" s="134"/>
      <c r="G314" s="584" t="s">
        <v>2396</v>
      </c>
      <c r="H314" s="584" t="s">
        <v>778</v>
      </c>
      <c r="I314" s="423" t="s">
        <v>2398</v>
      </c>
      <c r="J314" s="134" t="s">
        <v>201</v>
      </c>
      <c r="K314" s="581" t="s">
        <v>147</v>
      </c>
      <c r="L314" s="134"/>
      <c r="M314" s="581" t="s">
        <v>1989</v>
      </c>
      <c r="N314" s="134" t="s">
        <v>1955</v>
      </c>
      <c r="O314" s="134">
        <v>2.0</v>
      </c>
      <c r="P314" s="134">
        <v>8.5447E9</v>
      </c>
      <c r="Q314" s="587">
        <v>1512.3287671232877</v>
      </c>
      <c r="R314" s="126" t="s">
        <v>10</v>
      </c>
      <c r="S314" s="49"/>
      <c r="T314" s="118">
        <v>5041.095890410959</v>
      </c>
      <c r="U314" s="118">
        <v>3024.6575342465753</v>
      </c>
      <c r="V314" s="118">
        <v>2520.5479452054797</v>
      </c>
      <c r="W314" s="118">
        <v>2016.4383561643838</v>
      </c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</row>
    <row r="315" ht="14.25" customHeight="1">
      <c r="A315" s="423" t="s">
        <v>84</v>
      </c>
      <c r="B315" s="423" t="s">
        <v>1266</v>
      </c>
      <c r="C315" s="423" t="s">
        <v>1948</v>
      </c>
      <c r="D315" s="581" t="s">
        <v>2394</v>
      </c>
      <c r="E315" s="134" t="s">
        <v>1319</v>
      </c>
      <c r="F315" s="134"/>
      <c r="G315" s="584" t="s">
        <v>2400</v>
      </c>
      <c r="H315" s="584" t="s">
        <v>778</v>
      </c>
      <c r="I315" s="423" t="s">
        <v>2402</v>
      </c>
      <c r="J315" s="134" t="s">
        <v>201</v>
      </c>
      <c r="K315" s="581" t="s">
        <v>147</v>
      </c>
      <c r="L315" s="134"/>
      <c r="M315" s="581" t="s">
        <v>1989</v>
      </c>
      <c r="N315" s="134" t="s">
        <v>1955</v>
      </c>
      <c r="O315" s="134">
        <v>2.0</v>
      </c>
      <c r="P315" s="134">
        <v>8.5447E9</v>
      </c>
      <c r="Q315" s="587">
        <v>1956.164383561644</v>
      </c>
      <c r="R315" s="126" t="s">
        <v>10</v>
      </c>
      <c r="S315" s="49"/>
      <c r="T315" s="118">
        <v>6520.54794520548</v>
      </c>
      <c r="U315" s="118">
        <v>3912.3287671232874</v>
      </c>
      <c r="V315" s="118">
        <v>3260.27397260274</v>
      </c>
      <c r="W315" s="118">
        <v>2608.2191780821922</v>
      </c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</row>
    <row r="316" ht="14.25" customHeight="1">
      <c r="A316" s="423" t="s">
        <v>84</v>
      </c>
      <c r="B316" s="423" t="s">
        <v>1266</v>
      </c>
      <c r="C316" s="423" t="s">
        <v>1948</v>
      </c>
      <c r="D316" s="581" t="s">
        <v>2394</v>
      </c>
      <c r="E316" s="134" t="s">
        <v>1319</v>
      </c>
      <c r="F316" s="134"/>
      <c r="G316" s="584" t="s">
        <v>2404</v>
      </c>
      <c r="H316" s="584" t="s">
        <v>778</v>
      </c>
      <c r="I316" s="423" t="s">
        <v>2406</v>
      </c>
      <c r="J316" s="134" t="s">
        <v>201</v>
      </c>
      <c r="K316" s="581" t="s">
        <v>147</v>
      </c>
      <c r="L316" s="134"/>
      <c r="M316" s="581" t="s">
        <v>1989</v>
      </c>
      <c r="N316" s="134" t="s">
        <v>1955</v>
      </c>
      <c r="O316" s="134">
        <v>2.0</v>
      </c>
      <c r="P316" s="134">
        <v>8.5447E9</v>
      </c>
      <c r="Q316" s="587">
        <v>2832.876712328767</v>
      </c>
      <c r="R316" s="126" t="s">
        <v>10</v>
      </c>
      <c r="S316" s="49"/>
      <c r="T316" s="118">
        <v>9442.922374429225</v>
      </c>
      <c r="U316" s="118">
        <v>5665.753424657535</v>
      </c>
      <c r="V316" s="118">
        <v>4721.461187214612</v>
      </c>
      <c r="W316" s="118">
        <v>3777.16894977169</v>
      </c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</row>
    <row r="317" ht="14.25" customHeight="1">
      <c r="A317" s="423" t="s">
        <v>84</v>
      </c>
      <c r="B317" s="423" t="s">
        <v>1266</v>
      </c>
      <c r="C317" s="423" t="s">
        <v>1948</v>
      </c>
      <c r="D317" s="581" t="s">
        <v>2008</v>
      </c>
      <c r="E317" s="134" t="s">
        <v>1395</v>
      </c>
      <c r="F317" s="134"/>
      <c r="G317" s="584" t="s">
        <v>2459</v>
      </c>
      <c r="H317" s="584" t="s">
        <v>778</v>
      </c>
      <c r="I317" s="423" t="s">
        <v>2461</v>
      </c>
      <c r="J317" s="134" t="s">
        <v>201</v>
      </c>
      <c r="K317" s="581" t="s">
        <v>147</v>
      </c>
      <c r="L317" s="134"/>
      <c r="M317" s="581" t="s">
        <v>1989</v>
      </c>
      <c r="N317" s="134" t="s">
        <v>1955</v>
      </c>
      <c r="O317" s="134">
        <v>8.0</v>
      </c>
      <c r="P317" s="134">
        <v>8.5447E9</v>
      </c>
      <c r="Q317" s="587">
        <v>1424.2647058823532</v>
      </c>
      <c r="R317" s="126" t="s">
        <v>10</v>
      </c>
      <c r="S317" s="49"/>
      <c r="T317" s="118">
        <v>4747.5490196078445</v>
      </c>
      <c r="U317" s="118">
        <v>2848.5294117647068</v>
      </c>
      <c r="V317" s="118">
        <v>2373.7745098039222</v>
      </c>
      <c r="W317" s="118">
        <v>1899.019607843138</v>
      </c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</row>
    <row r="318" ht="14.25" customHeight="1">
      <c r="A318" s="423" t="s">
        <v>84</v>
      </c>
      <c r="B318" s="423" t="s">
        <v>1266</v>
      </c>
      <c r="C318" s="423" t="s">
        <v>1948</v>
      </c>
      <c r="D318" s="581" t="s">
        <v>2008</v>
      </c>
      <c r="E318" s="134" t="s">
        <v>1395</v>
      </c>
      <c r="F318" s="134"/>
      <c r="G318" s="584" t="s">
        <v>2463</v>
      </c>
      <c r="H318" s="584" t="s">
        <v>778</v>
      </c>
      <c r="I318" s="423" t="s">
        <v>2465</v>
      </c>
      <c r="J318" s="134" t="s">
        <v>201</v>
      </c>
      <c r="K318" s="581" t="s">
        <v>147</v>
      </c>
      <c r="L318" s="134"/>
      <c r="M318" s="581" t="s">
        <v>1989</v>
      </c>
      <c r="N318" s="134" t="s">
        <v>1955</v>
      </c>
      <c r="O318" s="134">
        <v>8.0</v>
      </c>
      <c r="P318" s="134">
        <v>8.5447E9</v>
      </c>
      <c r="Q318" s="587">
        <v>2584.558823529412</v>
      </c>
      <c r="R318" s="126" t="s">
        <v>10</v>
      </c>
      <c r="S318" s="49"/>
      <c r="T318" s="118">
        <v>8615.196078431374</v>
      </c>
      <c r="U318" s="118">
        <v>5169.117647058824</v>
      </c>
      <c r="V318" s="118">
        <v>4307.598039215687</v>
      </c>
      <c r="W318" s="118">
        <v>3446.07843137255</v>
      </c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</row>
    <row r="319" ht="14.25" customHeight="1">
      <c r="A319" s="423" t="s">
        <v>84</v>
      </c>
      <c r="B319" s="423" t="s">
        <v>1266</v>
      </c>
      <c r="C319" s="423" t="s">
        <v>1948</v>
      </c>
      <c r="D319" s="581" t="s">
        <v>1949</v>
      </c>
      <c r="E319" s="134" t="s">
        <v>1395</v>
      </c>
      <c r="F319" s="134"/>
      <c r="G319" s="584" t="s">
        <v>2489</v>
      </c>
      <c r="H319" s="584" t="s">
        <v>778</v>
      </c>
      <c r="I319" s="423" t="s">
        <v>2491</v>
      </c>
      <c r="J319" s="134" t="s">
        <v>162</v>
      </c>
      <c r="K319" s="581" t="s">
        <v>147</v>
      </c>
      <c r="L319" s="134"/>
      <c r="M319" s="581" t="s">
        <v>1989</v>
      </c>
      <c r="N319" s="134" t="s">
        <v>1955</v>
      </c>
      <c r="O319" s="134">
        <v>8.0</v>
      </c>
      <c r="P319" s="134">
        <v>8.5447E9</v>
      </c>
      <c r="Q319" s="587">
        <v>784.5588235294118</v>
      </c>
      <c r="R319" s="126" t="s">
        <v>10</v>
      </c>
      <c r="S319" s="49"/>
      <c r="T319" s="118">
        <v>2615.196078431373</v>
      </c>
      <c r="U319" s="118">
        <v>1569.1176470588236</v>
      </c>
      <c r="V319" s="118">
        <v>1307.5980392156864</v>
      </c>
      <c r="W319" s="118">
        <v>1046.0784313725492</v>
      </c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</row>
    <row r="320" ht="14.25" customHeight="1">
      <c r="A320" s="423" t="s">
        <v>84</v>
      </c>
      <c r="B320" s="423" t="s">
        <v>1266</v>
      </c>
      <c r="C320" s="423" t="s">
        <v>1948</v>
      </c>
      <c r="D320" s="581" t="s">
        <v>1949</v>
      </c>
      <c r="E320" s="134" t="s">
        <v>1395</v>
      </c>
      <c r="F320" s="134"/>
      <c r="G320" s="584" t="s">
        <v>2497</v>
      </c>
      <c r="H320" s="584" t="s">
        <v>778</v>
      </c>
      <c r="I320" s="423" t="s">
        <v>2499</v>
      </c>
      <c r="J320" s="134" t="s">
        <v>162</v>
      </c>
      <c r="K320" s="581" t="s">
        <v>147</v>
      </c>
      <c r="L320" s="134"/>
      <c r="M320" s="581" t="s">
        <v>1989</v>
      </c>
      <c r="N320" s="134" t="s">
        <v>1955</v>
      </c>
      <c r="O320" s="134">
        <v>8.0</v>
      </c>
      <c r="P320" s="134">
        <v>8.5447E9</v>
      </c>
      <c r="Q320" s="587">
        <v>1324.2647058823532</v>
      </c>
      <c r="R320" s="126" t="s">
        <v>10</v>
      </c>
      <c r="S320" s="49"/>
      <c r="T320" s="118">
        <v>4414.2156862745105</v>
      </c>
      <c r="U320" s="118">
        <v>2648.5294117647063</v>
      </c>
      <c r="V320" s="118">
        <v>2207.1078431372553</v>
      </c>
      <c r="W320" s="118">
        <v>1765.6862745098042</v>
      </c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</row>
    <row r="321" ht="14.25" customHeight="1">
      <c r="A321" s="423" t="s">
        <v>84</v>
      </c>
      <c r="B321" s="423" t="s">
        <v>1266</v>
      </c>
      <c r="C321" s="423" t="s">
        <v>1948</v>
      </c>
      <c r="D321" s="581" t="s">
        <v>1949</v>
      </c>
      <c r="E321" s="134" t="s">
        <v>1395</v>
      </c>
      <c r="F321" s="134"/>
      <c r="G321" s="584" t="s">
        <v>2501</v>
      </c>
      <c r="H321" s="584" t="s">
        <v>778</v>
      </c>
      <c r="I321" s="423" t="s">
        <v>2504</v>
      </c>
      <c r="J321" s="134" t="s">
        <v>162</v>
      </c>
      <c r="K321" s="581" t="s">
        <v>147</v>
      </c>
      <c r="L321" s="134"/>
      <c r="M321" s="581" t="s">
        <v>1989</v>
      </c>
      <c r="N321" s="134" t="s">
        <v>1955</v>
      </c>
      <c r="O321" s="134">
        <v>8.0</v>
      </c>
      <c r="P321" s="134">
        <v>8.5447E9</v>
      </c>
      <c r="Q321" s="587">
        <v>2397.794117647059</v>
      </c>
      <c r="R321" s="126" t="s">
        <v>10</v>
      </c>
      <c r="S321" s="49"/>
      <c r="T321" s="118">
        <v>7992.647058823531</v>
      </c>
      <c r="U321" s="118">
        <v>4795.588235294118</v>
      </c>
      <c r="V321" s="118">
        <v>3996.3235294117653</v>
      </c>
      <c r="W321" s="118">
        <v>3197.0588235294126</v>
      </c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</row>
    <row r="322" ht="14.25" customHeight="1">
      <c r="A322" s="423" t="s">
        <v>84</v>
      </c>
      <c r="B322" s="423" t="s">
        <v>1266</v>
      </c>
      <c r="C322" s="423" t="s">
        <v>1948</v>
      </c>
      <c r="D322" s="581" t="s">
        <v>2025</v>
      </c>
      <c r="E322" s="134" t="s">
        <v>1395</v>
      </c>
      <c r="F322" s="134"/>
      <c r="G322" s="584" t="s">
        <v>2514</v>
      </c>
      <c r="H322" s="584" t="s">
        <v>778</v>
      </c>
      <c r="I322" s="423" t="s">
        <v>2516</v>
      </c>
      <c r="J322" s="134" t="s">
        <v>162</v>
      </c>
      <c r="K322" s="581" t="s">
        <v>147</v>
      </c>
      <c r="L322" s="134"/>
      <c r="M322" s="581" t="s">
        <v>1989</v>
      </c>
      <c r="N322" s="134" t="s">
        <v>1955</v>
      </c>
      <c r="O322" s="134">
        <v>4.0</v>
      </c>
      <c r="P322" s="134">
        <v>8.5447E9</v>
      </c>
      <c r="Q322" s="587">
        <v>5004.411764705883</v>
      </c>
      <c r="R322" s="126" t="s">
        <v>10</v>
      </c>
      <c r="S322" s="49"/>
      <c r="T322" s="118">
        <v>16681.372549019612</v>
      </c>
      <c r="U322" s="118">
        <v>10008.823529411768</v>
      </c>
      <c r="V322" s="118">
        <v>8340.686274509806</v>
      </c>
      <c r="W322" s="118">
        <v>6672.549019607845</v>
      </c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</row>
    <row r="323" ht="14.25" customHeight="1">
      <c r="A323" s="423" t="s">
        <v>84</v>
      </c>
      <c r="B323" s="423" t="s">
        <v>1266</v>
      </c>
      <c r="C323" s="423" t="s">
        <v>1948</v>
      </c>
      <c r="D323" s="581" t="s">
        <v>1972</v>
      </c>
      <c r="E323" s="134" t="s">
        <v>1395</v>
      </c>
      <c r="F323" s="134"/>
      <c r="G323" s="584" t="s">
        <v>2079</v>
      </c>
      <c r="H323" s="584" t="s">
        <v>4188</v>
      </c>
      <c r="I323" s="423" t="s">
        <v>2081</v>
      </c>
      <c r="J323" s="134" t="s">
        <v>162</v>
      </c>
      <c r="K323" s="581" t="s">
        <v>147</v>
      </c>
      <c r="L323" s="134"/>
      <c r="M323" s="581" t="s">
        <v>1989</v>
      </c>
      <c r="N323" s="134" t="s">
        <v>1955</v>
      </c>
      <c r="O323" s="134">
        <v>8.0</v>
      </c>
      <c r="P323" s="134">
        <v>8.5447E9</v>
      </c>
      <c r="Q323" s="587">
        <v>780.1470588235295</v>
      </c>
      <c r="R323" s="126" t="s">
        <v>10</v>
      </c>
      <c r="S323" s="49"/>
      <c r="T323" s="118">
        <v>2600.490196078432</v>
      </c>
      <c r="U323" s="118">
        <v>1560.294117647059</v>
      </c>
      <c r="V323" s="118">
        <v>1300.245098039216</v>
      </c>
      <c r="W323" s="118">
        <v>1040.1960784313728</v>
      </c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</row>
    <row r="324" ht="14.25" customHeight="1">
      <c r="A324" s="423" t="s">
        <v>84</v>
      </c>
      <c r="B324" s="423" t="s">
        <v>1266</v>
      </c>
      <c r="C324" s="423" t="s">
        <v>1948</v>
      </c>
      <c r="D324" s="581" t="s">
        <v>1972</v>
      </c>
      <c r="E324" s="134" t="s">
        <v>1395</v>
      </c>
      <c r="F324" s="134"/>
      <c r="G324" s="584" t="s">
        <v>2083</v>
      </c>
      <c r="H324" s="584" t="s">
        <v>4189</v>
      </c>
      <c r="I324" s="423" t="s">
        <v>2085</v>
      </c>
      <c r="J324" s="134" t="s">
        <v>162</v>
      </c>
      <c r="K324" s="581" t="s">
        <v>147</v>
      </c>
      <c r="L324" s="134"/>
      <c r="M324" s="581" t="s">
        <v>1989</v>
      </c>
      <c r="N324" s="134" t="s">
        <v>1955</v>
      </c>
      <c r="O324" s="134">
        <v>8.0</v>
      </c>
      <c r="P324" s="134">
        <v>8.5447E9</v>
      </c>
      <c r="Q324" s="587">
        <v>966.9117647058824</v>
      </c>
      <c r="R324" s="126" t="s">
        <v>10</v>
      </c>
      <c r="S324" s="49"/>
      <c r="T324" s="118">
        <v>3223.039215686275</v>
      </c>
      <c r="U324" s="118">
        <v>1933.8235294117649</v>
      </c>
      <c r="V324" s="118">
        <v>1611.5196078431375</v>
      </c>
      <c r="W324" s="118">
        <v>1289.21568627451</v>
      </c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</row>
    <row r="325" ht="14.25" customHeight="1">
      <c r="A325" s="423" t="s">
        <v>84</v>
      </c>
      <c r="B325" s="423" t="s">
        <v>1266</v>
      </c>
      <c r="C325" s="423" t="s">
        <v>1948</v>
      </c>
      <c r="D325" s="581" t="s">
        <v>1972</v>
      </c>
      <c r="E325" s="134" t="s">
        <v>1395</v>
      </c>
      <c r="F325" s="134"/>
      <c r="G325" s="584" t="s">
        <v>2087</v>
      </c>
      <c r="H325" s="584" t="s">
        <v>4190</v>
      </c>
      <c r="I325" s="423" t="s">
        <v>2089</v>
      </c>
      <c r="J325" s="134" t="s">
        <v>162</v>
      </c>
      <c r="K325" s="581" t="s">
        <v>147</v>
      </c>
      <c r="L325" s="134"/>
      <c r="M325" s="581" t="s">
        <v>1989</v>
      </c>
      <c r="N325" s="134" t="s">
        <v>1955</v>
      </c>
      <c r="O325" s="134">
        <v>8.0</v>
      </c>
      <c r="P325" s="134">
        <v>8.5447E9</v>
      </c>
      <c r="Q325" s="587">
        <v>1327.2058823529412</v>
      </c>
      <c r="R325" s="126" t="s">
        <v>10</v>
      </c>
      <c r="S325" s="49"/>
      <c r="T325" s="118">
        <v>4424.019607843137</v>
      </c>
      <c r="U325" s="118">
        <v>2654.4117647058824</v>
      </c>
      <c r="V325" s="118">
        <v>2212.0098039215686</v>
      </c>
      <c r="W325" s="118">
        <v>1769.607843137255</v>
      </c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</row>
    <row r="326" ht="14.25" customHeight="1">
      <c r="A326" s="423" t="s">
        <v>84</v>
      </c>
      <c r="B326" s="423" t="s">
        <v>1266</v>
      </c>
      <c r="C326" s="423" t="s">
        <v>1948</v>
      </c>
      <c r="D326" s="581" t="s">
        <v>1972</v>
      </c>
      <c r="E326" s="134" t="s">
        <v>1395</v>
      </c>
      <c r="F326" s="134"/>
      <c r="G326" s="584" t="s">
        <v>2091</v>
      </c>
      <c r="H326" s="584" t="s">
        <v>4191</v>
      </c>
      <c r="I326" s="423" t="s">
        <v>2093</v>
      </c>
      <c r="J326" s="134" t="s">
        <v>162</v>
      </c>
      <c r="K326" s="581" t="s">
        <v>147</v>
      </c>
      <c r="L326" s="134"/>
      <c r="M326" s="581" t="s">
        <v>1989</v>
      </c>
      <c r="N326" s="134" t="s">
        <v>1955</v>
      </c>
      <c r="O326" s="134">
        <v>4.0</v>
      </c>
      <c r="P326" s="134">
        <v>8.5447E9</v>
      </c>
      <c r="Q326" s="587">
        <v>2477.9411764705883</v>
      </c>
      <c r="R326" s="126" t="s">
        <v>10</v>
      </c>
      <c r="S326" s="40"/>
      <c r="T326" s="118">
        <v>8259.803921568628</v>
      </c>
      <c r="U326" s="118">
        <v>4955.882352941177</v>
      </c>
      <c r="V326" s="118">
        <v>4129.901960784314</v>
      </c>
      <c r="W326" s="118">
        <v>3303.921568627451</v>
      </c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</row>
    <row r="327" ht="14.25" customHeight="1">
      <c r="A327" s="423" t="s">
        <v>84</v>
      </c>
      <c r="B327" s="423" t="s">
        <v>1266</v>
      </c>
      <c r="C327" s="423" t="s">
        <v>1948</v>
      </c>
      <c r="D327" s="581" t="s">
        <v>1972</v>
      </c>
      <c r="E327" s="134" t="s">
        <v>1465</v>
      </c>
      <c r="F327" s="134"/>
      <c r="G327" s="584" t="s">
        <v>2095</v>
      </c>
      <c r="H327" s="584" t="s">
        <v>4192</v>
      </c>
      <c r="I327" s="423" t="s">
        <v>2097</v>
      </c>
      <c r="J327" s="134" t="s">
        <v>162</v>
      </c>
      <c r="K327" s="581" t="s">
        <v>147</v>
      </c>
      <c r="L327" s="134"/>
      <c r="M327" s="581" t="s">
        <v>1989</v>
      </c>
      <c r="N327" s="134" t="s">
        <v>1955</v>
      </c>
      <c r="O327" s="134">
        <v>8.0</v>
      </c>
      <c r="P327" s="134">
        <v>8.5447E9</v>
      </c>
      <c r="Q327" s="587">
        <v>1341.9117647058824</v>
      </c>
      <c r="R327" s="126" t="s">
        <v>10</v>
      </c>
      <c r="S327" s="49"/>
      <c r="T327" s="118">
        <v>4473.039215686275</v>
      </c>
      <c r="U327" s="118">
        <v>2683.8235294117653</v>
      </c>
      <c r="V327" s="118">
        <v>2236.5196078431377</v>
      </c>
      <c r="W327" s="118">
        <v>1789.2156862745103</v>
      </c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</row>
    <row r="328" ht="14.25" customHeight="1">
      <c r="A328" s="423" t="s">
        <v>84</v>
      </c>
      <c r="B328" s="423" t="s">
        <v>1266</v>
      </c>
      <c r="C328" s="423" t="s">
        <v>1948</v>
      </c>
      <c r="D328" s="581" t="s">
        <v>1972</v>
      </c>
      <c r="E328" s="134" t="s">
        <v>1465</v>
      </c>
      <c r="F328" s="134"/>
      <c r="G328" s="584" t="s">
        <v>2099</v>
      </c>
      <c r="H328" s="584" t="s">
        <v>4193</v>
      </c>
      <c r="I328" s="423" t="s">
        <v>2101</v>
      </c>
      <c r="J328" s="134" t="s">
        <v>162</v>
      </c>
      <c r="K328" s="581" t="s">
        <v>147</v>
      </c>
      <c r="L328" s="134"/>
      <c r="M328" s="581" t="s">
        <v>1989</v>
      </c>
      <c r="N328" s="134" t="s">
        <v>1955</v>
      </c>
      <c r="O328" s="134">
        <v>8.0</v>
      </c>
      <c r="P328" s="134">
        <v>8.5447E9</v>
      </c>
      <c r="Q328" s="587">
        <v>1724.2647058823532</v>
      </c>
      <c r="R328" s="126" t="s">
        <v>10</v>
      </c>
      <c r="S328" s="49"/>
      <c r="T328" s="118">
        <v>5747.5490196078445</v>
      </c>
      <c r="U328" s="118">
        <v>3448.5294117647068</v>
      </c>
      <c r="V328" s="118">
        <v>2873.7745098039222</v>
      </c>
      <c r="W328" s="118">
        <v>2299.0196078431377</v>
      </c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</row>
    <row r="329" ht="14.25" customHeight="1">
      <c r="A329" s="423" t="s">
        <v>84</v>
      </c>
      <c r="B329" s="423" t="s">
        <v>1266</v>
      </c>
      <c r="C329" s="423" t="s">
        <v>1948</v>
      </c>
      <c r="D329" s="581" t="s">
        <v>1972</v>
      </c>
      <c r="E329" s="134" t="s">
        <v>1465</v>
      </c>
      <c r="F329" s="134"/>
      <c r="G329" s="584" t="s">
        <v>2103</v>
      </c>
      <c r="H329" s="584" t="s">
        <v>4194</v>
      </c>
      <c r="I329" s="423" t="s">
        <v>2105</v>
      </c>
      <c r="J329" s="134" t="s">
        <v>162</v>
      </c>
      <c r="K329" s="581" t="s">
        <v>147</v>
      </c>
      <c r="L329" s="134"/>
      <c r="M329" s="581" t="s">
        <v>1989</v>
      </c>
      <c r="N329" s="134" t="s">
        <v>1955</v>
      </c>
      <c r="O329" s="134">
        <v>8.0</v>
      </c>
      <c r="P329" s="134">
        <v>8.5447E9</v>
      </c>
      <c r="Q329" s="587">
        <v>2584.558823529412</v>
      </c>
      <c r="R329" s="126" t="s">
        <v>10</v>
      </c>
      <c r="S329" s="49"/>
      <c r="T329" s="118">
        <v>8615.196078431374</v>
      </c>
      <c r="U329" s="118">
        <v>5169.117647058824</v>
      </c>
      <c r="V329" s="118">
        <v>4307.598039215687</v>
      </c>
      <c r="W329" s="118">
        <v>3446.07843137255</v>
      </c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</row>
    <row r="330" ht="14.25" customHeight="1">
      <c r="A330" s="423" t="s">
        <v>84</v>
      </c>
      <c r="B330" s="423" t="s">
        <v>1266</v>
      </c>
      <c r="C330" s="423" t="s">
        <v>1948</v>
      </c>
      <c r="D330" s="581" t="s">
        <v>1972</v>
      </c>
      <c r="E330" s="134" t="s">
        <v>1465</v>
      </c>
      <c r="F330" s="134"/>
      <c r="G330" s="584" t="s">
        <v>2107</v>
      </c>
      <c r="H330" s="584" t="s">
        <v>4195</v>
      </c>
      <c r="I330" s="423" t="s">
        <v>2109</v>
      </c>
      <c r="J330" s="134" t="s">
        <v>162</v>
      </c>
      <c r="K330" s="581" t="s">
        <v>147</v>
      </c>
      <c r="L330" s="134"/>
      <c r="M330" s="581" t="s">
        <v>1989</v>
      </c>
      <c r="N330" s="134" t="s">
        <v>1955</v>
      </c>
      <c r="O330" s="134">
        <v>8.0</v>
      </c>
      <c r="P330" s="134">
        <v>8.5447E9</v>
      </c>
      <c r="Q330" s="587">
        <v>4888.970588235295</v>
      </c>
      <c r="R330" s="126" t="s">
        <v>10</v>
      </c>
      <c r="S330" s="49"/>
      <c r="T330" s="118">
        <v>16296.568627450983</v>
      </c>
      <c r="U330" s="118">
        <v>9777.94117647059</v>
      </c>
      <c r="V330" s="118">
        <v>8148.284313725491</v>
      </c>
      <c r="W330" s="118">
        <v>6518.627450980393</v>
      </c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</row>
    <row r="331" ht="14.25" customHeight="1">
      <c r="A331" s="423" t="s">
        <v>84</v>
      </c>
      <c r="B331" s="423" t="s">
        <v>1266</v>
      </c>
      <c r="C331" s="423" t="s">
        <v>1948</v>
      </c>
      <c r="D331" s="581" t="s">
        <v>2036</v>
      </c>
      <c r="E331" s="134" t="s">
        <v>1395</v>
      </c>
      <c r="F331" s="134"/>
      <c r="G331" s="584" t="s">
        <v>2111</v>
      </c>
      <c r="H331" s="584" t="s">
        <v>4196</v>
      </c>
      <c r="I331" s="423" t="s">
        <v>2113</v>
      </c>
      <c r="J331" s="134" t="s">
        <v>206</v>
      </c>
      <c r="K331" s="581" t="s">
        <v>147</v>
      </c>
      <c r="L331" s="134"/>
      <c r="M331" s="581" t="s">
        <v>1989</v>
      </c>
      <c r="N331" s="134" t="s">
        <v>1955</v>
      </c>
      <c r="O331" s="134">
        <v>4.0</v>
      </c>
      <c r="P331" s="134">
        <v>8.5447E9</v>
      </c>
      <c r="Q331" s="587">
        <v>4566.176470588236</v>
      </c>
      <c r="R331" s="126" t="s">
        <v>10</v>
      </c>
      <c r="S331" s="49"/>
      <c r="T331" s="118">
        <v>15220.58823529412</v>
      </c>
      <c r="U331" s="118">
        <v>9132.352941176472</v>
      </c>
      <c r="V331" s="118">
        <v>7610.29411764706</v>
      </c>
      <c r="W331" s="118">
        <v>6088.235294117649</v>
      </c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</row>
    <row r="332" ht="14.25" customHeight="1">
      <c r="A332" s="423" t="s">
        <v>84</v>
      </c>
      <c r="B332" s="423" t="s">
        <v>1266</v>
      </c>
      <c r="C332" s="423" t="s">
        <v>1948</v>
      </c>
      <c r="D332" s="581" t="s">
        <v>2036</v>
      </c>
      <c r="E332" s="134" t="s">
        <v>1395</v>
      </c>
      <c r="F332" s="134"/>
      <c r="G332" s="584" t="s">
        <v>2115</v>
      </c>
      <c r="H332" s="584" t="s">
        <v>4197</v>
      </c>
      <c r="I332" s="423" t="s">
        <v>2117</v>
      </c>
      <c r="J332" s="134" t="s">
        <v>206</v>
      </c>
      <c r="K332" s="581" t="s">
        <v>147</v>
      </c>
      <c r="L332" s="134"/>
      <c r="M332" s="581" t="s">
        <v>1989</v>
      </c>
      <c r="N332" s="134" t="s">
        <v>1955</v>
      </c>
      <c r="O332" s="134">
        <v>2.0</v>
      </c>
      <c r="P332" s="134">
        <v>8.5447E9</v>
      </c>
      <c r="Q332" s="587">
        <v>8585.29411764706</v>
      </c>
      <c r="R332" s="126" t="s">
        <v>10</v>
      </c>
      <c r="S332" s="49"/>
      <c r="T332" s="118">
        <v>28617.64705882353</v>
      </c>
      <c r="U332" s="118">
        <v>17170.58823529412</v>
      </c>
      <c r="V332" s="118">
        <v>14308.823529411766</v>
      </c>
      <c r="W332" s="118">
        <v>11447.058823529413</v>
      </c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</row>
    <row r="333" ht="14.25" customHeight="1">
      <c r="A333" s="423" t="s">
        <v>84</v>
      </c>
      <c r="B333" s="423" t="s">
        <v>1266</v>
      </c>
      <c r="C333" s="423" t="s">
        <v>1948</v>
      </c>
      <c r="D333" s="581" t="s">
        <v>2045</v>
      </c>
      <c r="E333" s="134" t="s">
        <v>1395</v>
      </c>
      <c r="F333" s="134"/>
      <c r="G333" s="584" t="s">
        <v>2119</v>
      </c>
      <c r="H333" s="584" t="s">
        <v>4198</v>
      </c>
      <c r="I333" s="423" t="s">
        <v>2121</v>
      </c>
      <c r="J333" s="134" t="s">
        <v>206</v>
      </c>
      <c r="K333" s="581" t="s">
        <v>147</v>
      </c>
      <c r="L333" s="134"/>
      <c r="M333" s="581" t="s">
        <v>1989</v>
      </c>
      <c r="N333" s="134" t="s">
        <v>1955</v>
      </c>
      <c r="O333" s="134">
        <v>4.0</v>
      </c>
      <c r="P333" s="134">
        <v>8.5447E9</v>
      </c>
      <c r="Q333" s="587">
        <v>4645.588235294118</v>
      </c>
      <c r="R333" s="126" t="s">
        <v>10</v>
      </c>
      <c r="S333" s="49"/>
      <c r="T333" s="118">
        <v>15485.294117647061</v>
      </c>
      <c r="U333" s="118">
        <v>9291.176470588236</v>
      </c>
      <c r="V333" s="118">
        <v>7742.647058823531</v>
      </c>
      <c r="W333" s="118">
        <v>6194.117647058825</v>
      </c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</row>
    <row r="334" ht="14.25" customHeight="1">
      <c r="A334" s="423" t="s">
        <v>84</v>
      </c>
      <c r="B334" s="423" t="s">
        <v>1266</v>
      </c>
      <c r="C334" s="423" t="s">
        <v>1948</v>
      </c>
      <c r="D334" s="581" t="s">
        <v>2045</v>
      </c>
      <c r="E334" s="134" t="s">
        <v>1395</v>
      </c>
      <c r="F334" s="134"/>
      <c r="G334" s="584" t="s">
        <v>2123</v>
      </c>
      <c r="H334" s="584" t="s">
        <v>4199</v>
      </c>
      <c r="I334" s="423" t="s">
        <v>2125</v>
      </c>
      <c r="J334" s="134" t="s">
        <v>206</v>
      </c>
      <c r="K334" s="581" t="s">
        <v>147</v>
      </c>
      <c r="L334" s="134"/>
      <c r="M334" s="581" t="s">
        <v>1989</v>
      </c>
      <c r="N334" s="134" t="s">
        <v>1955</v>
      </c>
      <c r="O334" s="134">
        <v>2.0</v>
      </c>
      <c r="P334" s="134">
        <v>8.5447E9</v>
      </c>
      <c r="Q334" s="587">
        <v>8713.235294117649</v>
      </c>
      <c r="R334" s="126" t="s">
        <v>10</v>
      </c>
      <c r="S334" s="49"/>
      <c r="T334" s="118">
        <v>29044.11764705883</v>
      </c>
      <c r="U334" s="118">
        <v>17426.470588235297</v>
      </c>
      <c r="V334" s="118">
        <v>14522.058823529414</v>
      </c>
      <c r="W334" s="118">
        <v>11617.647058823532</v>
      </c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</row>
    <row r="335" ht="14.25" customHeight="1">
      <c r="A335" s="423" t="s">
        <v>84</v>
      </c>
      <c r="B335" s="423" t="s">
        <v>1266</v>
      </c>
      <c r="C335" s="423" t="s">
        <v>1948</v>
      </c>
      <c r="D335" s="581" t="s">
        <v>2545</v>
      </c>
      <c r="E335" s="134" t="s">
        <v>1395</v>
      </c>
      <c r="F335" s="134"/>
      <c r="G335" s="584" t="s">
        <v>2547</v>
      </c>
      <c r="H335" s="584" t="s">
        <v>778</v>
      </c>
      <c r="I335" s="423" t="s">
        <v>2549</v>
      </c>
      <c r="J335" s="134" t="s">
        <v>201</v>
      </c>
      <c r="K335" s="581" t="s">
        <v>147</v>
      </c>
      <c r="L335" s="134"/>
      <c r="M335" s="581" t="s">
        <v>1989</v>
      </c>
      <c r="N335" s="134" t="s">
        <v>1955</v>
      </c>
      <c r="O335" s="134">
        <v>4.0</v>
      </c>
      <c r="P335" s="134">
        <v>8.5447E9</v>
      </c>
      <c r="Q335" s="587">
        <v>1808.2191780821918</v>
      </c>
      <c r="R335" s="126" t="s">
        <v>10</v>
      </c>
      <c r="S335" s="49"/>
      <c r="T335" s="118">
        <v>6027.397260273973</v>
      </c>
      <c r="U335" s="118">
        <v>3616.438356164384</v>
      </c>
      <c r="V335" s="118">
        <v>3013.6986301369866</v>
      </c>
      <c r="W335" s="118">
        <v>2410.958904109589</v>
      </c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</row>
    <row r="336" ht="14.25" customHeight="1">
      <c r="A336" s="423" t="s">
        <v>84</v>
      </c>
      <c r="B336" s="423" t="s">
        <v>1266</v>
      </c>
      <c r="C336" s="423" t="s">
        <v>1948</v>
      </c>
      <c r="D336" s="581" t="s">
        <v>2545</v>
      </c>
      <c r="E336" s="134" t="s">
        <v>1395</v>
      </c>
      <c r="F336" s="134"/>
      <c r="G336" s="584" t="s">
        <v>2551</v>
      </c>
      <c r="H336" s="584" t="s">
        <v>778</v>
      </c>
      <c r="I336" s="423" t="s">
        <v>2553</v>
      </c>
      <c r="J336" s="134" t="s">
        <v>201</v>
      </c>
      <c r="K336" s="581" t="s">
        <v>147</v>
      </c>
      <c r="L336" s="134"/>
      <c r="M336" s="581" t="s">
        <v>1989</v>
      </c>
      <c r="N336" s="134" t="s">
        <v>1955</v>
      </c>
      <c r="O336" s="134">
        <v>4.0</v>
      </c>
      <c r="P336" s="134">
        <v>8.5447E9</v>
      </c>
      <c r="Q336" s="587">
        <v>2820.5479452054797</v>
      </c>
      <c r="R336" s="126" t="s">
        <v>10</v>
      </c>
      <c r="S336" s="49"/>
      <c r="T336" s="118">
        <v>9401.826484018266</v>
      </c>
      <c r="U336" s="118">
        <v>5641.095890410959</v>
      </c>
      <c r="V336" s="118">
        <v>4700.913242009133</v>
      </c>
      <c r="W336" s="118">
        <v>3760.730593607306</v>
      </c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</row>
    <row r="337" ht="14.25" customHeight="1">
      <c r="A337" s="423" t="s">
        <v>84</v>
      </c>
      <c r="B337" s="423" t="s">
        <v>1266</v>
      </c>
      <c r="C337" s="423" t="s">
        <v>1948</v>
      </c>
      <c r="D337" s="581" t="s">
        <v>2545</v>
      </c>
      <c r="E337" s="134" t="s">
        <v>1395</v>
      </c>
      <c r="F337" s="134"/>
      <c r="G337" s="584" t="s">
        <v>2555</v>
      </c>
      <c r="H337" s="584" t="s">
        <v>778</v>
      </c>
      <c r="I337" s="423" t="s">
        <v>2557</v>
      </c>
      <c r="J337" s="134" t="s">
        <v>201</v>
      </c>
      <c r="K337" s="581" t="s">
        <v>147</v>
      </c>
      <c r="L337" s="134"/>
      <c r="M337" s="581" t="s">
        <v>1989</v>
      </c>
      <c r="N337" s="134" t="s">
        <v>1955</v>
      </c>
      <c r="O337" s="134">
        <v>4.0</v>
      </c>
      <c r="P337" s="134">
        <v>8.5447E9</v>
      </c>
      <c r="Q337" s="587">
        <v>4869.86301369863</v>
      </c>
      <c r="R337" s="126" t="s">
        <v>10</v>
      </c>
      <c r="S337" s="49"/>
      <c r="T337" s="118">
        <v>16232.876712328769</v>
      </c>
      <c r="U337" s="118">
        <v>9739.72602739726</v>
      </c>
      <c r="V337" s="118">
        <v>8116.4383561643845</v>
      </c>
      <c r="W337" s="118">
        <v>6493.150684931508</v>
      </c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</row>
    <row r="338" ht="14.25" customHeight="1">
      <c r="A338" s="423" t="s">
        <v>84</v>
      </c>
      <c r="B338" s="423" t="s">
        <v>1266</v>
      </c>
      <c r="C338" s="423" t="s">
        <v>1948</v>
      </c>
      <c r="D338" s="581" t="s">
        <v>2394</v>
      </c>
      <c r="E338" s="134" t="s">
        <v>1395</v>
      </c>
      <c r="F338" s="134"/>
      <c r="G338" s="584" t="s">
        <v>2559</v>
      </c>
      <c r="H338" s="584" t="s">
        <v>778</v>
      </c>
      <c r="I338" s="423" t="s">
        <v>2561</v>
      </c>
      <c r="J338" s="134" t="s">
        <v>201</v>
      </c>
      <c r="K338" s="581" t="s">
        <v>147</v>
      </c>
      <c r="L338" s="134"/>
      <c r="M338" s="581" t="s">
        <v>1989</v>
      </c>
      <c r="N338" s="134" t="s">
        <v>1955</v>
      </c>
      <c r="O338" s="134">
        <v>2.0</v>
      </c>
      <c r="P338" s="134">
        <v>8.5447E9</v>
      </c>
      <c r="Q338" s="587">
        <v>2178.082191780822</v>
      </c>
      <c r="R338" s="126" t="s">
        <v>10</v>
      </c>
      <c r="S338" s="49"/>
      <c r="T338" s="118">
        <v>7260.27397260274</v>
      </c>
      <c r="U338" s="118">
        <v>4356.164383561644</v>
      </c>
      <c r="V338" s="118">
        <v>3630.13698630137</v>
      </c>
      <c r="W338" s="118">
        <v>2904.109589041096</v>
      </c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</row>
    <row r="339" ht="14.25" customHeight="1">
      <c r="A339" s="423" t="s">
        <v>84</v>
      </c>
      <c r="B339" s="423" t="s">
        <v>1266</v>
      </c>
      <c r="C339" s="423" t="s">
        <v>1948</v>
      </c>
      <c r="D339" s="581" t="s">
        <v>2394</v>
      </c>
      <c r="E339" s="134" t="s">
        <v>1395</v>
      </c>
      <c r="F339" s="134"/>
      <c r="G339" s="584" t="s">
        <v>2563</v>
      </c>
      <c r="H339" s="584" t="s">
        <v>778</v>
      </c>
      <c r="I339" s="423" t="s">
        <v>2565</v>
      </c>
      <c r="J339" s="134" t="s">
        <v>201</v>
      </c>
      <c r="K339" s="581" t="s">
        <v>147</v>
      </c>
      <c r="L339" s="134"/>
      <c r="M339" s="581" t="s">
        <v>1989</v>
      </c>
      <c r="N339" s="134" t="s">
        <v>1955</v>
      </c>
      <c r="O339" s="134">
        <v>2.0</v>
      </c>
      <c r="P339" s="134">
        <v>8.5447E9</v>
      </c>
      <c r="Q339" s="587">
        <v>3238.356164383562</v>
      </c>
      <c r="R339" s="126" t="s">
        <v>10</v>
      </c>
      <c r="S339" s="49"/>
      <c r="T339" s="118">
        <v>10794.520547945207</v>
      </c>
      <c r="U339" s="118">
        <v>6476.712328767124</v>
      </c>
      <c r="V339" s="118">
        <v>5397.2602739726035</v>
      </c>
      <c r="W339" s="118">
        <v>4317.808219178083</v>
      </c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</row>
    <row r="340" ht="12.75" customHeight="1">
      <c r="A340" s="423" t="s">
        <v>84</v>
      </c>
      <c r="B340" s="423" t="s">
        <v>1266</v>
      </c>
      <c r="C340" s="423" t="s">
        <v>1948</v>
      </c>
      <c r="D340" s="581" t="s">
        <v>2394</v>
      </c>
      <c r="E340" s="134" t="s">
        <v>1395</v>
      </c>
      <c r="F340" s="134"/>
      <c r="G340" s="584" t="s">
        <v>2567</v>
      </c>
      <c r="H340" s="584" t="s">
        <v>778</v>
      </c>
      <c r="I340" s="423" t="s">
        <v>2569</v>
      </c>
      <c r="J340" s="134" t="s">
        <v>201</v>
      </c>
      <c r="K340" s="581" t="s">
        <v>147</v>
      </c>
      <c r="L340" s="134"/>
      <c r="M340" s="581" t="s">
        <v>1989</v>
      </c>
      <c r="N340" s="134" t="s">
        <v>1955</v>
      </c>
      <c r="O340" s="134">
        <v>2.0</v>
      </c>
      <c r="P340" s="134">
        <v>8.5447E9</v>
      </c>
      <c r="Q340" s="587">
        <v>5301.369863013699</v>
      </c>
      <c r="R340" s="126" t="s">
        <v>10</v>
      </c>
      <c r="S340" s="49"/>
      <c r="T340" s="118">
        <v>17671.23287671233</v>
      </c>
      <c r="U340" s="118">
        <v>10602.739726027397</v>
      </c>
      <c r="V340" s="118">
        <v>8835.616438356165</v>
      </c>
      <c r="W340" s="118">
        <v>7068.493150684932</v>
      </c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</row>
    <row r="341" ht="14.25" customHeight="1">
      <c r="A341" s="423" t="s">
        <v>84</v>
      </c>
      <c r="B341" s="423" t="s">
        <v>1266</v>
      </c>
      <c r="C341" s="423" t="s">
        <v>1948</v>
      </c>
      <c r="D341" s="581" t="s">
        <v>1949</v>
      </c>
      <c r="E341" s="134" t="s">
        <v>2150</v>
      </c>
      <c r="F341" s="134"/>
      <c r="G341" s="584" t="s">
        <v>2665</v>
      </c>
      <c r="H341" s="584" t="s">
        <v>4200</v>
      </c>
      <c r="I341" s="423" t="s">
        <v>2667</v>
      </c>
      <c r="J341" s="134" t="s">
        <v>162</v>
      </c>
      <c r="K341" s="581" t="s">
        <v>147</v>
      </c>
      <c r="L341" s="134"/>
      <c r="M341" s="581" t="s">
        <v>1989</v>
      </c>
      <c r="N341" s="134" t="s">
        <v>1955</v>
      </c>
      <c r="O341" s="134">
        <v>8.0</v>
      </c>
      <c r="P341" s="134">
        <v>8.5447E9</v>
      </c>
      <c r="Q341" s="587">
        <v>260.95890410958907</v>
      </c>
      <c r="R341" s="126" t="s">
        <v>10</v>
      </c>
      <c r="S341" s="49"/>
      <c r="T341" s="118">
        <v>869.8630136986303</v>
      </c>
      <c r="U341" s="118">
        <v>521.9178082191781</v>
      </c>
      <c r="V341" s="118">
        <v>434.93150684931516</v>
      </c>
      <c r="W341" s="118">
        <v>347.94520547945217</v>
      </c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</row>
    <row r="342" ht="14.25" customHeight="1">
      <c r="A342" s="423" t="s">
        <v>84</v>
      </c>
      <c r="B342" s="423" t="s">
        <v>1266</v>
      </c>
      <c r="C342" s="423" t="s">
        <v>1948</v>
      </c>
      <c r="D342" s="581" t="s">
        <v>1949</v>
      </c>
      <c r="E342" s="134" t="s">
        <v>2150</v>
      </c>
      <c r="F342" s="134"/>
      <c r="G342" s="584" t="s">
        <v>2673</v>
      </c>
      <c r="H342" s="584" t="s">
        <v>4201</v>
      </c>
      <c r="I342" s="423" t="s">
        <v>2675</v>
      </c>
      <c r="J342" s="134" t="s">
        <v>162</v>
      </c>
      <c r="K342" s="581" t="s">
        <v>147</v>
      </c>
      <c r="L342" s="134"/>
      <c r="M342" s="581" t="s">
        <v>1989</v>
      </c>
      <c r="N342" s="134" t="s">
        <v>1955</v>
      </c>
      <c r="O342" s="134">
        <v>8.0</v>
      </c>
      <c r="P342" s="134">
        <v>8.5447E9</v>
      </c>
      <c r="Q342" s="587">
        <v>288.35616438356163</v>
      </c>
      <c r="R342" s="126" t="s">
        <v>10</v>
      </c>
      <c r="S342" s="49"/>
      <c r="T342" s="118">
        <v>961.1872146118722</v>
      </c>
      <c r="U342" s="118">
        <v>576.7123287671233</v>
      </c>
      <c r="V342" s="118">
        <v>480.5936073059361</v>
      </c>
      <c r="W342" s="118">
        <v>384.4748858447489</v>
      </c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</row>
    <row r="343" ht="14.25" customHeight="1">
      <c r="A343" s="423" t="s">
        <v>84</v>
      </c>
      <c r="B343" s="423" t="s">
        <v>1266</v>
      </c>
      <c r="C343" s="423" t="s">
        <v>1948</v>
      </c>
      <c r="D343" s="581" t="s">
        <v>1949</v>
      </c>
      <c r="E343" s="134" t="s">
        <v>2150</v>
      </c>
      <c r="F343" s="134"/>
      <c r="G343" s="584" t="s">
        <v>2677</v>
      </c>
      <c r="H343" s="584" t="s">
        <v>4202</v>
      </c>
      <c r="I343" s="423" t="s">
        <v>2679</v>
      </c>
      <c r="J343" s="134" t="s">
        <v>162</v>
      </c>
      <c r="K343" s="581" t="s">
        <v>147</v>
      </c>
      <c r="L343" s="134"/>
      <c r="M343" s="581" t="s">
        <v>1989</v>
      </c>
      <c r="N343" s="134" t="s">
        <v>1955</v>
      </c>
      <c r="O343" s="134">
        <v>8.0</v>
      </c>
      <c r="P343" s="134">
        <v>8.5447E9</v>
      </c>
      <c r="Q343" s="587">
        <v>360.95890410958907</v>
      </c>
      <c r="R343" s="126" t="s">
        <v>10</v>
      </c>
      <c r="S343" s="49"/>
      <c r="T343" s="118">
        <v>1203.1963470319636</v>
      </c>
      <c r="U343" s="118">
        <v>721.9178082191781</v>
      </c>
      <c r="V343" s="118">
        <v>601.5981735159818</v>
      </c>
      <c r="W343" s="118">
        <v>481.2785388127854</v>
      </c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</row>
    <row r="344" ht="14.25" customHeight="1">
      <c r="A344" s="423" t="s">
        <v>84</v>
      </c>
      <c r="B344" s="423" t="s">
        <v>1266</v>
      </c>
      <c r="C344" s="423" t="s">
        <v>1948</v>
      </c>
      <c r="D344" s="581" t="s">
        <v>1972</v>
      </c>
      <c r="E344" s="134" t="s">
        <v>2150</v>
      </c>
      <c r="F344" s="134"/>
      <c r="G344" s="584" t="s">
        <v>2170</v>
      </c>
      <c r="H344" s="584" t="s">
        <v>4203</v>
      </c>
      <c r="I344" s="423" t="s">
        <v>2172</v>
      </c>
      <c r="J344" s="134" t="s">
        <v>162</v>
      </c>
      <c r="K344" s="581" t="s">
        <v>147</v>
      </c>
      <c r="L344" s="134"/>
      <c r="M344" s="581" t="s">
        <v>1989</v>
      </c>
      <c r="N344" s="134" t="s">
        <v>1955</v>
      </c>
      <c r="O344" s="134">
        <v>8.0</v>
      </c>
      <c r="P344" s="134">
        <v>8.5447E9</v>
      </c>
      <c r="Q344" s="587">
        <v>243.15068493150685</v>
      </c>
      <c r="R344" s="126" t="s">
        <v>10</v>
      </c>
      <c r="S344" s="49"/>
      <c r="T344" s="118">
        <v>810.5022831050228</v>
      </c>
      <c r="U344" s="118">
        <v>486.30136986301363</v>
      </c>
      <c r="V344" s="118">
        <v>405.2511415525114</v>
      </c>
      <c r="W344" s="118">
        <v>324.20091324200916</v>
      </c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</row>
    <row r="345" ht="14.25" customHeight="1">
      <c r="A345" s="423" t="s">
        <v>84</v>
      </c>
      <c r="B345" s="423" t="s">
        <v>1266</v>
      </c>
      <c r="C345" s="423" t="s">
        <v>1948</v>
      </c>
      <c r="D345" s="581" t="s">
        <v>1972</v>
      </c>
      <c r="E345" s="134" t="s">
        <v>2150</v>
      </c>
      <c r="F345" s="134"/>
      <c r="G345" s="584" t="s">
        <v>2174</v>
      </c>
      <c r="H345" s="584" t="s">
        <v>4204</v>
      </c>
      <c r="I345" s="423" t="s">
        <v>2176</v>
      </c>
      <c r="J345" s="134" t="s">
        <v>162</v>
      </c>
      <c r="K345" s="581" t="s">
        <v>147</v>
      </c>
      <c r="L345" s="134"/>
      <c r="M345" s="581" t="s">
        <v>1989</v>
      </c>
      <c r="N345" s="134" t="s">
        <v>1955</v>
      </c>
      <c r="O345" s="134">
        <v>8.0</v>
      </c>
      <c r="P345" s="134">
        <v>8.5447E9</v>
      </c>
      <c r="Q345" s="587">
        <v>274.6575342465753</v>
      </c>
      <c r="R345" s="126" t="s">
        <v>10</v>
      </c>
      <c r="S345" s="49"/>
      <c r="T345" s="118">
        <v>915.5251141552511</v>
      </c>
      <c r="U345" s="118">
        <v>549.3150684931506</v>
      </c>
      <c r="V345" s="118">
        <v>457.76255707762556</v>
      </c>
      <c r="W345" s="118">
        <v>366.21004566210047</v>
      </c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</row>
    <row r="346" ht="14.25" customHeight="1">
      <c r="A346" s="423" t="s">
        <v>84</v>
      </c>
      <c r="B346" s="423" t="s">
        <v>1266</v>
      </c>
      <c r="C346" s="423" t="s">
        <v>1948</v>
      </c>
      <c r="D346" s="581" t="s">
        <v>1972</v>
      </c>
      <c r="E346" s="134" t="s">
        <v>2150</v>
      </c>
      <c r="F346" s="134"/>
      <c r="G346" s="584" t="s">
        <v>2178</v>
      </c>
      <c r="H346" s="584" t="s">
        <v>4205</v>
      </c>
      <c r="I346" s="423" t="s">
        <v>2180</v>
      </c>
      <c r="J346" s="134" t="s">
        <v>162</v>
      </c>
      <c r="K346" s="581" t="s">
        <v>147</v>
      </c>
      <c r="L346" s="134"/>
      <c r="M346" s="581" t="s">
        <v>1989</v>
      </c>
      <c r="N346" s="134" t="s">
        <v>1955</v>
      </c>
      <c r="O346" s="134">
        <v>8.0</v>
      </c>
      <c r="P346" s="134">
        <v>8.5447E9</v>
      </c>
      <c r="Q346" s="587">
        <v>315.75342465753425</v>
      </c>
      <c r="R346" s="126" t="s">
        <v>10</v>
      </c>
      <c r="S346" s="49"/>
      <c r="T346" s="118">
        <v>1052.5114155251142</v>
      </c>
      <c r="U346" s="118">
        <v>631.5068493150685</v>
      </c>
      <c r="V346" s="118">
        <v>526.2557077625571</v>
      </c>
      <c r="W346" s="118">
        <v>421.0045662100457</v>
      </c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</row>
    <row r="347" ht="14.25" customHeight="1">
      <c r="A347" s="423" t="s">
        <v>84</v>
      </c>
      <c r="B347" s="423" t="s">
        <v>1266</v>
      </c>
      <c r="C347" s="423" t="s">
        <v>1948</v>
      </c>
      <c r="D347" s="581" t="s">
        <v>1972</v>
      </c>
      <c r="E347" s="134" t="s">
        <v>2150</v>
      </c>
      <c r="F347" s="134"/>
      <c r="G347" s="584" t="s">
        <v>2182</v>
      </c>
      <c r="H347" s="584" t="s">
        <v>4206</v>
      </c>
      <c r="I347" s="423" t="s">
        <v>2184</v>
      </c>
      <c r="J347" s="134" t="s">
        <v>162</v>
      </c>
      <c r="K347" s="581" t="s">
        <v>147</v>
      </c>
      <c r="L347" s="134"/>
      <c r="M347" s="581" t="s">
        <v>1989</v>
      </c>
      <c r="N347" s="134" t="s">
        <v>1955</v>
      </c>
      <c r="O347" s="134">
        <v>8.0</v>
      </c>
      <c r="P347" s="134">
        <v>8.5447E9</v>
      </c>
      <c r="Q347" s="587">
        <v>436.3013698630137</v>
      </c>
      <c r="R347" s="126" t="s">
        <v>10</v>
      </c>
      <c r="S347" s="49"/>
      <c r="T347" s="118">
        <v>1454.337899543379</v>
      </c>
      <c r="U347" s="118">
        <v>872.6027397260274</v>
      </c>
      <c r="V347" s="118">
        <v>727.1689497716895</v>
      </c>
      <c r="W347" s="118">
        <v>581.7351598173517</v>
      </c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</row>
    <row r="348" ht="14.25" customHeight="1">
      <c r="A348" s="423" t="s">
        <v>84</v>
      </c>
      <c r="B348" s="423" t="s">
        <v>1266</v>
      </c>
      <c r="C348" s="423" t="s">
        <v>1948</v>
      </c>
      <c r="D348" s="581" t="s">
        <v>1991</v>
      </c>
      <c r="E348" s="134" t="s">
        <v>2150</v>
      </c>
      <c r="F348" s="134"/>
      <c r="G348" s="584" t="s">
        <v>2186</v>
      </c>
      <c r="H348" s="584" t="s">
        <v>4207</v>
      </c>
      <c r="I348" s="423" t="s">
        <v>2188</v>
      </c>
      <c r="J348" s="134" t="s">
        <v>206</v>
      </c>
      <c r="K348" s="581" t="s">
        <v>147</v>
      </c>
      <c r="L348" s="134"/>
      <c r="M348" s="581" t="s">
        <v>1989</v>
      </c>
      <c r="N348" s="134" t="s">
        <v>1955</v>
      </c>
      <c r="O348" s="134">
        <v>8.0</v>
      </c>
      <c r="P348" s="134">
        <v>8.5447E9</v>
      </c>
      <c r="Q348" s="587">
        <v>213.013698630137</v>
      </c>
      <c r="R348" s="126" t="s">
        <v>10</v>
      </c>
      <c r="S348" s="49"/>
      <c r="T348" s="118">
        <v>710.0456621004566</v>
      </c>
      <c r="U348" s="118">
        <v>426.027397260274</v>
      </c>
      <c r="V348" s="118">
        <v>355.0228310502283</v>
      </c>
      <c r="W348" s="118">
        <v>284.01826484018267</v>
      </c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</row>
    <row r="349" ht="14.25" customHeight="1">
      <c r="A349" s="423" t="s">
        <v>84</v>
      </c>
      <c r="B349" s="423" t="s">
        <v>1266</v>
      </c>
      <c r="C349" s="423" t="s">
        <v>1948</v>
      </c>
      <c r="D349" s="581" t="s">
        <v>1991</v>
      </c>
      <c r="E349" s="134" t="s">
        <v>2150</v>
      </c>
      <c r="F349" s="134"/>
      <c r="G349" s="584" t="s">
        <v>2190</v>
      </c>
      <c r="H349" s="584" t="s">
        <v>4208</v>
      </c>
      <c r="I349" s="423" t="s">
        <v>2192</v>
      </c>
      <c r="J349" s="134" t="s">
        <v>206</v>
      </c>
      <c r="K349" s="581" t="s">
        <v>147</v>
      </c>
      <c r="L349" s="134"/>
      <c r="M349" s="581" t="s">
        <v>1989</v>
      </c>
      <c r="N349" s="134" t="s">
        <v>1955</v>
      </c>
      <c r="O349" s="134">
        <v>8.0</v>
      </c>
      <c r="P349" s="134">
        <v>8.5447E9</v>
      </c>
      <c r="Q349" s="587">
        <v>228.08219178082192</v>
      </c>
      <c r="R349" s="126" t="s">
        <v>10</v>
      </c>
      <c r="S349" s="49"/>
      <c r="T349" s="118">
        <v>760.2739726027397</v>
      </c>
      <c r="U349" s="118">
        <v>456.16438356164383</v>
      </c>
      <c r="V349" s="118">
        <v>380.13698630136986</v>
      </c>
      <c r="W349" s="118">
        <v>304.1095890410959</v>
      </c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</row>
    <row r="350" ht="14.25" customHeight="1">
      <c r="A350" s="423" t="s">
        <v>84</v>
      </c>
      <c r="B350" s="423" t="s">
        <v>1266</v>
      </c>
      <c r="C350" s="423" t="s">
        <v>1948</v>
      </c>
      <c r="D350" s="581" t="s">
        <v>1991</v>
      </c>
      <c r="E350" s="134" t="s">
        <v>2150</v>
      </c>
      <c r="F350" s="134"/>
      <c r="G350" s="584" t="s">
        <v>2194</v>
      </c>
      <c r="H350" s="584" t="s">
        <v>4209</v>
      </c>
      <c r="I350" s="423" t="s">
        <v>2196</v>
      </c>
      <c r="J350" s="134" t="s">
        <v>206</v>
      </c>
      <c r="K350" s="581" t="s">
        <v>147</v>
      </c>
      <c r="L350" s="134"/>
      <c r="M350" s="581" t="s">
        <v>1989</v>
      </c>
      <c r="N350" s="134" t="s">
        <v>1955</v>
      </c>
      <c r="O350" s="134">
        <v>8.0</v>
      </c>
      <c r="P350" s="134">
        <v>8.5447E9</v>
      </c>
      <c r="Q350" s="587">
        <v>243.15068493150685</v>
      </c>
      <c r="R350" s="126" t="s">
        <v>10</v>
      </c>
      <c r="S350" s="49"/>
      <c r="T350" s="118">
        <v>810.5022831050228</v>
      </c>
      <c r="U350" s="118">
        <v>486.30136986301363</v>
      </c>
      <c r="V350" s="118">
        <v>405.2511415525114</v>
      </c>
      <c r="W350" s="118">
        <v>324.20091324200916</v>
      </c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</row>
    <row r="351" ht="14.25" customHeight="1">
      <c r="A351" s="423" t="s">
        <v>84</v>
      </c>
      <c r="B351" s="423" t="s">
        <v>1266</v>
      </c>
      <c r="C351" s="423" t="s">
        <v>1948</v>
      </c>
      <c r="D351" s="581" t="s">
        <v>1991</v>
      </c>
      <c r="E351" s="134" t="s">
        <v>2150</v>
      </c>
      <c r="F351" s="134"/>
      <c r="G351" s="584" t="s">
        <v>2198</v>
      </c>
      <c r="H351" s="584" t="s">
        <v>4210</v>
      </c>
      <c r="I351" s="423" t="s">
        <v>2200</v>
      </c>
      <c r="J351" s="134" t="s">
        <v>206</v>
      </c>
      <c r="K351" s="581" t="s">
        <v>147</v>
      </c>
      <c r="L351" s="134"/>
      <c r="M351" s="581" t="s">
        <v>1989</v>
      </c>
      <c r="N351" s="134" t="s">
        <v>1955</v>
      </c>
      <c r="O351" s="134">
        <v>8.0</v>
      </c>
      <c r="P351" s="134">
        <v>8.5447E9</v>
      </c>
      <c r="Q351" s="587">
        <v>323.972602739726</v>
      </c>
      <c r="R351" s="126" t="s">
        <v>10</v>
      </c>
      <c r="S351" s="49"/>
      <c r="T351" s="118">
        <v>1079.9086757990867</v>
      </c>
      <c r="U351" s="118">
        <v>647.945205479452</v>
      </c>
      <c r="V351" s="118">
        <v>539.9543378995434</v>
      </c>
      <c r="W351" s="118">
        <v>431.9634703196347</v>
      </c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</row>
    <row r="352" ht="14.25" customHeight="1">
      <c r="A352" s="423" t="s">
        <v>84</v>
      </c>
      <c r="B352" s="423" t="s">
        <v>1266</v>
      </c>
      <c r="C352" s="423" t="s">
        <v>1948</v>
      </c>
      <c r="D352" s="581" t="s">
        <v>2008</v>
      </c>
      <c r="E352" s="134" t="s">
        <v>2150</v>
      </c>
      <c r="F352" s="134"/>
      <c r="G352" s="584" t="s">
        <v>2202</v>
      </c>
      <c r="H352" s="584" t="s">
        <v>4211</v>
      </c>
      <c r="I352" s="423" t="s">
        <v>2204</v>
      </c>
      <c r="J352" s="134" t="s">
        <v>206</v>
      </c>
      <c r="K352" s="581" t="s">
        <v>147</v>
      </c>
      <c r="L352" s="134"/>
      <c r="M352" s="581" t="s">
        <v>1989</v>
      </c>
      <c r="N352" s="134" t="s">
        <v>1955</v>
      </c>
      <c r="O352" s="134">
        <v>8.0</v>
      </c>
      <c r="P352" s="134">
        <v>8.5447E9</v>
      </c>
      <c r="Q352" s="587">
        <v>288.35616438356163</v>
      </c>
      <c r="R352" s="126" t="s">
        <v>10</v>
      </c>
      <c r="S352" s="49"/>
      <c r="T352" s="118">
        <v>961.1872146118722</v>
      </c>
      <c r="U352" s="118">
        <v>576.7123287671233</v>
      </c>
      <c r="V352" s="118">
        <v>480.5936073059361</v>
      </c>
      <c r="W352" s="118">
        <v>384.4748858447489</v>
      </c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</row>
    <row r="353" ht="14.25" customHeight="1">
      <c r="A353" s="423" t="s">
        <v>84</v>
      </c>
      <c r="B353" s="423" t="s">
        <v>1266</v>
      </c>
      <c r="C353" s="423" t="s">
        <v>1948</v>
      </c>
      <c r="D353" s="581" t="s">
        <v>2008</v>
      </c>
      <c r="E353" s="134" t="s">
        <v>2150</v>
      </c>
      <c r="F353" s="134"/>
      <c r="G353" s="584" t="s">
        <v>2206</v>
      </c>
      <c r="H353" s="584" t="s">
        <v>4212</v>
      </c>
      <c r="I353" s="423" t="s">
        <v>2208</v>
      </c>
      <c r="J353" s="134" t="s">
        <v>206</v>
      </c>
      <c r="K353" s="581" t="s">
        <v>147</v>
      </c>
      <c r="L353" s="134"/>
      <c r="M353" s="581" t="s">
        <v>1989</v>
      </c>
      <c r="N353" s="134" t="s">
        <v>1955</v>
      </c>
      <c r="O353" s="134">
        <v>8.0</v>
      </c>
      <c r="P353" s="134">
        <v>8.5447E9</v>
      </c>
      <c r="Q353" s="587">
        <v>300.6849315068493</v>
      </c>
      <c r="R353" s="126" t="s">
        <v>10</v>
      </c>
      <c r="S353" s="49"/>
      <c r="T353" s="118">
        <v>1002.283105022831</v>
      </c>
      <c r="U353" s="118">
        <v>601.3698630136986</v>
      </c>
      <c r="V353" s="118">
        <v>501.1415525114155</v>
      </c>
      <c r="W353" s="118">
        <v>400.91324200913243</v>
      </c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</row>
    <row r="354" ht="14.25" customHeight="1">
      <c r="A354" s="423" t="s">
        <v>84</v>
      </c>
      <c r="B354" s="423" t="s">
        <v>1266</v>
      </c>
      <c r="C354" s="423" t="s">
        <v>1948</v>
      </c>
      <c r="D354" s="581" t="s">
        <v>2008</v>
      </c>
      <c r="E354" s="134" t="s">
        <v>2150</v>
      </c>
      <c r="F354" s="134"/>
      <c r="G354" s="584" t="s">
        <v>2210</v>
      </c>
      <c r="H354" s="584" t="s">
        <v>4213</v>
      </c>
      <c r="I354" s="423" t="s">
        <v>2212</v>
      </c>
      <c r="J354" s="134" t="s">
        <v>206</v>
      </c>
      <c r="K354" s="581" t="s">
        <v>147</v>
      </c>
      <c r="L354" s="134"/>
      <c r="M354" s="581" t="s">
        <v>1989</v>
      </c>
      <c r="N354" s="134" t="s">
        <v>1955</v>
      </c>
      <c r="O354" s="134">
        <v>8.0</v>
      </c>
      <c r="P354" s="134">
        <v>8.5447E9</v>
      </c>
      <c r="Q354" s="587">
        <v>315.75342465753425</v>
      </c>
      <c r="R354" s="126" t="s">
        <v>10</v>
      </c>
      <c r="S354" s="49"/>
      <c r="T354" s="118">
        <v>1052.5114155251142</v>
      </c>
      <c r="U354" s="118">
        <v>631.5068493150685</v>
      </c>
      <c r="V354" s="118">
        <v>526.2557077625571</v>
      </c>
      <c r="W354" s="118">
        <v>421.0045662100457</v>
      </c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</row>
    <row r="355" ht="14.25" customHeight="1">
      <c r="A355" s="423" t="s">
        <v>84</v>
      </c>
      <c r="B355" s="423" t="s">
        <v>1266</v>
      </c>
      <c r="C355" s="423" t="s">
        <v>1948</v>
      </c>
      <c r="D355" s="581" t="s">
        <v>2008</v>
      </c>
      <c r="E355" s="134" t="s">
        <v>2150</v>
      </c>
      <c r="F355" s="134"/>
      <c r="G355" s="584" t="s">
        <v>2214</v>
      </c>
      <c r="H355" s="584" t="s">
        <v>4214</v>
      </c>
      <c r="I355" s="423" t="s">
        <v>2216</v>
      </c>
      <c r="J355" s="134" t="s">
        <v>206</v>
      </c>
      <c r="K355" s="581" t="s">
        <v>147</v>
      </c>
      <c r="L355" s="134"/>
      <c r="M355" s="581" t="s">
        <v>1989</v>
      </c>
      <c r="N355" s="134" t="s">
        <v>1955</v>
      </c>
      <c r="O355" s="134">
        <v>8.0</v>
      </c>
      <c r="P355" s="134">
        <v>8.5447E9</v>
      </c>
      <c r="Q355" s="587">
        <v>392.4657534246575</v>
      </c>
      <c r="R355" s="126" t="s">
        <v>10</v>
      </c>
      <c r="S355" s="49"/>
      <c r="T355" s="118">
        <v>1308.2191780821918</v>
      </c>
      <c r="U355" s="118">
        <v>784.931506849315</v>
      </c>
      <c r="V355" s="118">
        <v>654.1095890410959</v>
      </c>
      <c r="W355" s="118">
        <v>523.2876712328767</v>
      </c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</row>
    <row r="356" ht="14.25" customHeight="1">
      <c r="A356" s="423" t="s">
        <v>84</v>
      </c>
      <c r="B356" s="423" t="s">
        <v>1266</v>
      </c>
      <c r="C356" s="423" t="s">
        <v>1948</v>
      </c>
      <c r="D356" s="581" t="s">
        <v>2008</v>
      </c>
      <c r="E356" s="134" t="s">
        <v>2150</v>
      </c>
      <c r="F356" s="134"/>
      <c r="G356" s="584" t="s">
        <v>2723</v>
      </c>
      <c r="H356" s="584" t="s">
        <v>778</v>
      </c>
      <c r="I356" s="423" t="s">
        <v>2725</v>
      </c>
      <c r="J356" s="134" t="s">
        <v>201</v>
      </c>
      <c r="K356" s="581" t="s">
        <v>147</v>
      </c>
      <c r="L356" s="134"/>
      <c r="M356" s="581" t="s">
        <v>1989</v>
      </c>
      <c r="N356" s="134" t="s">
        <v>1955</v>
      </c>
      <c r="O356" s="134">
        <v>8.0</v>
      </c>
      <c r="P356" s="134">
        <v>8.5447E9</v>
      </c>
      <c r="Q356" s="587">
        <v>451.36986301369865</v>
      </c>
      <c r="R356" s="126" t="s">
        <v>10</v>
      </c>
      <c r="S356" s="49"/>
      <c r="T356" s="118">
        <v>1504.5662100456623</v>
      </c>
      <c r="U356" s="118">
        <v>902.7397260273973</v>
      </c>
      <c r="V356" s="118">
        <v>752.2831050228311</v>
      </c>
      <c r="W356" s="118">
        <v>601.826484018265</v>
      </c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</row>
    <row r="357" ht="14.25" customHeight="1">
      <c r="A357" s="423" t="s">
        <v>84</v>
      </c>
      <c r="B357" s="423" t="s">
        <v>1266</v>
      </c>
      <c r="C357" s="423" t="s">
        <v>1948</v>
      </c>
      <c r="D357" s="581" t="s">
        <v>2008</v>
      </c>
      <c r="E357" s="134" t="s">
        <v>2150</v>
      </c>
      <c r="F357" s="134"/>
      <c r="G357" s="584" t="s">
        <v>2727</v>
      </c>
      <c r="H357" s="584" t="s">
        <v>778</v>
      </c>
      <c r="I357" s="423" t="s">
        <v>2729</v>
      </c>
      <c r="J357" s="134" t="s">
        <v>201</v>
      </c>
      <c r="K357" s="581" t="s">
        <v>147</v>
      </c>
      <c r="L357" s="134"/>
      <c r="M357" s="581" t="s">
        <v>1989</v>
      </c>
      <c r="N357" s="134" t="s">
        <v>1955</v>
      </c>
      <c r="O357" s="134">
        <v>8.0</v>
      </c>
      <c r="P357" s="134">
        <v>8.5447E9</v>
      </c>
      <c r="Q357" s="587">
        <v>576.027397260274</v>
      </c>
      <c r="R357" s="126" t="s">
        <v>10</v>
      </c>
      <c r="S357" s="49"/>
      <c r="T357" s="118">
        <v>1920.0913242009135</v>
      </c>
      <c r="U357" s="118">
        <v>1152.054794520548</v>
      </c>
      <c r="V357" s="118">
        <v>960.0456621004568</v>
      </c>
      <c r="W357" s="118">
        <v>768.0365296803654</v>
      </c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</row>
    <row r="358" ht="14.25" customHeight="1">
      <c r="A358" s="423" t="s">
        <v>84</v>
      </c>
      <c r="B358" s="423" t="s">
        <v>1266</v>
      </c>
      <c r="C358" s="423" t="s">
        <v>1948</v>
      </c>
      <c r="D358" s="581" t="s">
        <v>2008</v>
      </c>
      <c r="E358" s="134" t="s">
        <v>2150</v>
      </c>
      <c r="F358" s="134"/>
      <c r="G358" s="584" t="s">
        <v>2731</v>
      </c>
      <c r="H358" s="584" t="s">
        <v>778</v>
      </c>
      <c r="I358" s="423" t="s">
        <v>2733</v>
      </c>
      <c r="J358" s="134" t="s">
        <v>201</v>
      </c>
      <c r="K358" s="581" t="s">
        <v>147</v>
      </c>
      <c r="L358" s="134"/>
      <c r="M358" s="581" t="s">
        <v>1989</v>
      </c>
      <c r="N358" s="134" t="s">
        <v>1955</v>
      </c>
      <c r="O358" s="134">
        <v>8.0</v>
      </c>
      <c r="P358" s="134">
        <v>8.5447E9</v>
      </c>
      <c r="Q358" s="587">
        <v>436.3013698630137</v>
      </c>
      <c r="R358" s="126" t="s">
        <v>10</v>
      </c>
      <c r="S358" s="49"/>
      <c r="T358" s="118">
        <v>1454.337899543379</v>
      </c>
      <c r="U358" s="118">
        <v>872.6027397260274</v>
      </c>
      <c r="V358" s="118">
        <v>727.1689497716895</v>
      </c>
      <c r="W358" s="118">
        <v>581.7351598173517</v>
      </c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</row>
    <row r="359" ht="14.25" customHeight="1">
      <c r="A359" s="423" t="s">
        <v>84</v>
      </c>
      <c r="B359" s="423" t="s">
        <v>1266</v>
      </c>
      <c r="C359" s="423" t="s">
        <v>1948</v>
      </c>
      <c r="D359" s="581" t="s">
        <v>2008</v>
      </c>
      <c r="E359" s="134" t="s">
        <v>2150</v>
      </c>
      <c r="F359" s="134"/>
      <c r="G359" s="584" t="s">
        <v>2735</v>
      </c>
      <c r="H359" s="584" t="s">
        <v>778</v>
      </c>
      <c r="I359" s="423" t="s">
        <v>2737</v>
      </c>
      <c r="J359" s="134" t="s">
        <v>201</v>
      </c>
      <c r="K359" s="581" t="s">
        <v>147</v>
      </c>
      <c r="L359" s="134"/>
      <c r="M359" s="581" t="s">
        <v>1989</v>
      </c>
      <c r="N359" s="134" t="s">
        <v>1955</v>
      </c>
      <c r="O359" s="134">
        <v>8.0</v>
      </c>
      <c r="P359" s="134">
        <v>8.5447E9</v>
      </c>
      <c r="Q359" s="587">
        <v>445.8904109589041</v>
      </c>
      <c r="R359" s="126" t="s">
        <v>10</v>
      </c>
      <c r="S359" s="49"/>
      <c r="T359" s="118">
        <v>1486.3013698630139</v>
      </c>
      <c r="U359" s="118">
        <v>891.7808219178083</v>
      </c>
      <c r="V359" s="118">
        <v>743.1506849315069</v>
      </c>
      <c r="W359" s="118">
        <v>594.5205479452055</v>
      </c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</row>
    <row r="360" ht="14.25" customHeight="1">
      <c r="A360" s="423" t="s">
        <v>84</v>
      </c>
      <c r="B360" s="423" t="s">
        <v>1266</v>
      </c>
      <c r="C360" s="423" t="s">
        <v>1948</v>
      </c>
      <c r="D360" s="581" t="s">
        <v>2008</v>
      </c>
      <c r="E360" s="134" t="s">
        <v>2150</v>
      </c>
      <c r="F360" s="134"/>
      <c r="G360" s="584" t="s">
        <v>2739</v>
      </c>
      <c r="H360" s="584" t="s">
        <v>778</v>
      </c>
      <c r="I360" s="423" t="s">
        <v>2741</v>
      </c>
      <c r="J360" s="134" t="s">
        <v>201</v>
      </c>
      <c r="K360" s="581" t="s">
        <v>147</v>
      </c>
      <c r="L360" s="134"/>
      <c r="M360" s="581" t="s">
        <v>1989</v>
      </c>
      <c r="N360" s="134" t="s">
        <v>1955</v>
      </c>
      <c r="O360" s="134">
        <v>8.0</v>
      </c>
      <c r="P360" s="134">
        <v>8.5447E9</v>
      </c>
      <c r="Q360" s="587">
        <v>456.8493150684932</v>
      </c>
      <c r="R360" s="126" t="s">
        <v>10</v>
      </c>
      <c r="S360" s="49"/>
      <c r="T360" s="118">
        <v>1522.8310502283107</v>
      </c>
      <c r="U360" s="118">
        <v>913.6986301369864</v>
      </c>
      <c r="V360" s="118">
        <v>761.4155251141553</v>
      </c>
      <c r="W360" s="118">
        <v>609.1324200913243</v>
      </c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</row>
    <row r="361" ht="14.25" customHeight="1">
      <c r="A361" s="423" t="s">
        <v>84</v>
      </c>
      <c r="B361" s="423" t="s">
        <v>1266</v>
      </c>
      <c r="C361" s="423" t="s">
        <v>1948</v>
      </c>
      <c r="D361" s="581" t="s">
        <v>2008</v>
      </c>
      <c r="E361" s="134" t="s">
        <v>2150</v>
      </c>
      <c r="F361" s="134"/>
      <c r="G361" s="584" t="s">
        <v>2743</v>
      </c>
      <c r="H361" s="584" t="s">
        <v>778</v>
      </c>
      <c r="I361" s="423" t="s">
        <v>2745</v>
      </c>
      <c r="J361" s="134" t="s">
        <v>201</v>
      </c>
      <c r="K361" s="581" t="s">
        <v>147</v>
      </c>
      <c r="L361" s="134"/>
      <c r="M361" s="581" t="s">
        <v>1989</v>
      </c>
      <c r="N361" s="134" t="s">
        <v>1955</v>
      </c>
      <c r="O361" s="134">
        <v>8.0</v>
      </c>
      <c r="P361" s="134">
        <v>8.5447E9</v>
      </c>
      <c r="Q361" s="587">
        <v>477.3972602739726</v>
      </c>
      <c r="R361" s="126" t="s">
        <v>10</v>
      </c>
      <c r="S361" s="49"/>
      <c r="T361" s="118">
        <v>1591.324200913242</v>
      </c>
      <c r="U361" s="118">
        <v>954.7945205479452</v>
      </c>
      <c r="V361" s="118">
        <v>795.662100456621</v>
      </c>
      <c r="W361" s="118">
        <v>636.5296803652968</v>
      </c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</row>
    <row r="362" ht="14.25" customHeight="1">
      <c r="A362" s="423" t="s">
        <v>84</v>
      </c>
      <c r="B362" s="423" t="s">
        <v>1266</v>
      </c>
      <c r="C362" s="423" t="s">
        <v>1948</v>
      </c>
      <c r="D362" s="581" t="s">
        <v>2008</v>
      </c>
      <c r="E362" s="134" t="s">
        <v>2150</v>
      </c>
      <c r="F362" s="134"/>
      <c r="G362" s="584" t="s">
        <v>2747</v>
      </c>
      <c r="H362" s="584" t="s">
        <v>778</v>
      </c>
      <c r="I362" s="423" t="s">
        <v>2749</v>
      </c>
      <c r="J362" s="134" t="s">
        <v>201</v>
      </c>
      <c r="K362" s="581" t="s">
        <v>147</v>
      </c>
      <c r="L362" s="134"/>
      <c r="M362" s="581" t="s">
        <v>1989</v>
      </c>
      <c r="N362" s="134" t="s">
        <v>1955</v>
      </c>
      <c r="O362" s="134">
        <v>8.0</v>
      </c>
      <c r="P362" s="134">
        <v>8.5447E9</v>
      </c>
      <c r="Q362" s="587">
        <v>602.054794520548</v>
      </c>
      <c r="R362" s="126" t="s">
        <v>10</v>
      </c>
      <c r="S362" s="49"/>
      <c r="T362" s="118">
        <v>2006.8493150684933</v>
      </c>
      <c r="U362" s="118">
        <v>1204.109589041096</v>
      </c>
      <c r="V362" s="118">
        <v>1003.4246575342466</v>
      </c>
      <c r="W362" s="118">
        <v>802.7397260273974</v>
      </c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</row>
    <row r="363" ht="14.25" customHeight="1">
      <c r="A363" s="423" t="s">
        <v>84</v>
      </c>
      <c r="B363" s="423" t="s">
        <v>1266</v>
      </c>
      <c r="C363" s="423" t="s">
        <v>1948</v>
      </c>
      <c r="D363" s="581" t="s">
        <v>2025</v>
      </c>
      <c r="E363" s="134" t="s">
        <v>2150</v>
      </c>
      <c r="F363" s="134"/>
      <c r="G363" s="584" t="s">
        <v>2781</v>
      </c>
      <c r="H363" s="584" t="s">
        <v>778</v>
      </c>
      <c r="I363" s="423" t="s">
        <v>2784</v>
      </c>
      <c r="J363" s="134" t="s">
        <v>162</v>
      </c>
      <c r="K363" s="581" t="s">
        <v>147</v>
      </c>
      <c r="L363" s="134"/>
      <c r="M363" s="581" t="s">
        <v>1989</v>
      </c>
      <c r="N363" s="134" t="s">
        <v>1955</v>
      </c>
      <c r="O363" s="134">
        <v>4.0</v>
      </c>
      <c r="P363" s="134">
        <v>8.5447E9</v>
      </c>
      <c r="Q363" s="587">
        <v>779.4520547945206</v>
      </c>
      <c r="R363" s="126" t="s">
        <v>10</v>
      </c>
      <c r="S363" s="49"/>
      <c r="T363" s="118">
        <v>2598.1735159817354</v>
      </c>
      <c r="U363" s="118">
        <v>1558.9041095890411</v>
      </c>
      <c r="V363" s="118">
        <v>1299.0867579908677</v>
      </c>
      <c r="W363" s="118">
        <v>1039.2694063926942</v>
      </c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</row>
    <row r="364" ht="14.25" customHeight="1">
      <c r="A364" s="423" t="s">
        <v>84</v>
      </c>
      <c r="B364" s="423" t="s">
        <v>1266</v>
      </c>
      <c r="C364" s="423" t="s">
        <v>1948</v>
      </c>
      <c r="D364" s="581" t="s">
        <v>2036</v>
      </c>
      <c r="E364" s="134" t="s">
        <v>2150</v>
      </c>
      <c r="F364" s="134"/>
      <c r="G364" s="584" t="s">
        <v>2230</v>
      </c>
      <c r="H364" s="584" t="s">
        <v>4215</v>
      </c>
      <c r="I364" s="423" t="s">
        <v>2232</v>
      </c>
      <c r="J364" s="134" t="s">
        <v>206</v>
      </c>
      <c r="K364" s="581" t="s">
        <v>147</v>
      </c>
      <c r="L364" s="134"/>
      <c r="M364" s="581" t="s">
        <v>1989</v>
      </c>
      <c r="N364" s="134" t="s">
        <v>1955</v>
      </c>
      <c r="O364" s="134">
        <v>2.0</v>
      </c>
      <c r="P364" s="134">
        <v>8.5447E9</v>
      </c>
      <c r="Q364" s="587">
        <v>1027.3972602739727</v>
      </c>
      <c r="R364" s="126" t="s">
        <v>10</v>
      </c>
      <c r="S364" s="49"/>
      <c r="T364" s="118">
        <v>3424.657534246576</v>
      </c>
      <c r="U364" s="118">
        <v>2054.7945205479455</v>
      </c>
      <c r="V364" s="118">
        <v>1712.328767123288</v>
      </c>
      <c r="W364" s="118">
        <v>1369.8630136986303</v>
      </c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</row>
    <row r="365" ht="14.25" customHeight="1">
      <c r="A365" s="423" t="s">
        <v>84</v>
      </c>
      <c r="B365" s="423" t="s">
        <v>1266</v>
      </c>
      <c r="C365" s="423" t="s">
        <v>1948</v>
      </c>
      <c r="D365" s="581" t="s">
        <v>2036</v>
      </c>
      <c r="E365" s="134" t="s">
        <v>2150</v>
      </c>
      <c r="F365" s="134"/>
      <c r="G365" s="584" t="s">
        <v>2226</v>
      </c>
      <c r="H365" s="584" t="s">
        <v>4216</v>
      </c>
      <c r="I365" s="423" t="s">
        <v>2228</v>
      </c>
      <c r="J365" s="134" t="s">
        <v>206</v>
      </c>
      <c r="K365" s="581" t="s">
        <v>147</v>
      </c>
      <c r="L365" s="134"/>
      <c r="M365" s="581" t="s">
        <v>1989</v>
      </c>
      <c r="N365" s="134" t="s">
        <v>1955</v>
      </c>
      <c r="O365" s="134">
        <v>4.0</v>
      </c>
      <c r="P365" s="134">
        <v>8.5447E9</v>
      </c>
      <c r="Q365" s="587">
        <v>710.9589041095891</v>
      </c>
      <c r="R365" s="126" t="s">
        <v>10</v>
      </c>
      <c r="S365" s="49"/>
      <c r="T365" s="118">
        <v>2369.8630136986303</v>
      </c>
      <c r="U365" s="118">
        <v>1421.9178082191781</v>
      </c>
      <c r="V365" s="118">
        <v>1184.9315068493152</v>
      </c>
      <c r="W365" s="118">
        <v>947.9452054794522</v>
      </c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</row>
    <row r="366" ht="14.25" customHeight="1">
      <c r="A366" s="423" t="s">
        <v>84</v>
      </c>
      <c r="B366" s="423" t="s">
        <v>1266</v>
      </c>
      <c r="C366" s="423" t="s">
        <v>1948</v>
      </c>
      <c r="D366" s="581" t="s">
        <v>2036</v>
      </c>
      <c r="E366" s="134" t="s">
        <v>2150</v>
      </c>
      <c r="F366" s="134"/>
      <c r="G366" s="584" t="s">
        <v>2804</v>
      </c>
      <c r="H366" s="584" t="s">
        <v>778</v>
      </c>
      <c r="I366" s="423" t="s">
        <v>2806</v>
      </c>
      <c r="J366" s="134" t="s">
        <v>206</v>
      </c>
      <c r="K366" s="581" t="s">
        <v>147</v>
      </c>
      <c r="L366" s="134"/>
      <c r="M366" s="581" t="s">
        <v>1989</v>
      </c>
      <c r="N366" s="134" t="s">
        <v>1955</v>
      </c>
      <c r="O366" s="134">
        <v>4.0</v>
      </c>
      <c r="P366" s="134">
        <v>8.5447E9</v>
      </c>
      <c r="Q366" s="587">
        <v>552.054794520548</v>
      </c>
      <c r="R366" s="126" t="s">
        <v>10</v>
      </c>
      <c r="S366" s="49"/>
      <c r="T366" s="118">
        <v>1840.1826484018266</v>
      </c>
      <c r="U366" s="118">
        <v>1104.109589041096</v>
      </c>
      <c r="V366" s="118">
        <v>920.0913242009133</v>
      </c>
      <c r="W366" s="118">
        <v>736.0730593607307</v>
      </c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</row>
    <row r="367" ht="14.25" customHeight="1">
      <c r="A367" s="423" t="s">
        <v>84</v>
      </c>
      <c r="B367" s="423" t="s">
        <v>1266</v>
      </c>
      <c r="C367" s="423" t="s">
        <v>1948</v>
      </c>
      <c r="D367" s="581" t="s">
        <v>2045</v>
      </c>
      <c r="E367" s="134" t="s">
        <v>2150</v>
      </c>
      <c r="F367" s="134"/>
      <c r="G367" s="584" t="s">
        <v>2234</v>
      </c>
      <c r="H367" s="584" t="s">
        <v>4217</v>
      </c>
      <c r="I367" s="423" t="s">
        <v>2236</v>
      </c>
      <c r="J367" s="134" t="s">
        <v>206</v>
      </c>
      <c r="K367" s="581" t="s">
        <v>147</v>
      </c>
      <c r="L367" s="134"/>
      <c r="M367" s="581" t="s">
        <v>1989</v>
      </c>
      <c r="N367" s="134" t="s">
        <v>1955</v>
      </c>
      <c r="O367" s="134">
        <v>4.0</v>
      </c>
      <c r="P367" s="134">
        <v>8.5447E9</v>
      </c>
      <c r="Q367" s="587">
        <v>823.2876712328767</v>
      </c>
      <c r="R367" s="126" t="s">
        <v>10</v>
      </c>
      <c r="S367" s="49"/>
      <c r="T367" s="118">
        <v>2744.2922374429227</v>
      </c>
      <c r="U367" s="118">
        <v>1646.5753424657535</v>
      </c>
      <c r="V367" s="118">
        <v>1372.1461187214613</v>
      </c>
      <c r="W367" s="118">
        <v>1097.7168949771692</v>
      </c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</row>
    <row r="368" ht="14.25" customHeight="1">
      <c r="A368" s="423" t="s">
        <v>84</v>
      </c>
      <c r="B368" s="423" t="s">
        <v>1266</v>
      </c>
      <c r="C368" s="423" t="s">
        <v>1948</v>
      </c>
      <c r="D368" s="581" t="s">
        <v>2045</v>
      </c>
      <c r="E368" s="134" t="s">
        <v>2150</v>
      </c>
      <c r="F368" s="134"/>
      <c r="G368" s="584" t="s">
        <v>2238</v>
      </c>
      <c r="H368" s="584" t="s">
        <v>4218</v>
      </c>
      <c r="I368" s="423" t="s">
        <v>2240</v>
      </c>
      <c r="J368" s="134" t="s">
        <v>206</v>
      </c>
      <c r="K368" s="581" t="s">
        <v>147</v>
      </c>
      <c r="L368" s="134"/>
      <c r="M368" s="581" t="s">
        <v>1989</v>
      </c>
      <c r="N368" s="134" t="s">
        <v>1955</v>
      </c>
      <c r="O368" s="134">
        <v>2.0</v>
      </c>
      <c r="P368" s="134">
        <v>8.5447E9</v>
      </c>
      <c r="Q368" s="587">
        <v>1183.5616438356165</v>
      </c>
      <c r="R368" s="126" t="s">
        <v>10</v>
      </c>
      <c r="S368" s="49"/>
      <c r="T368" s="118">
        <v>3945.205479452055</v>
      </c>
      <c r="U368" s="118">
        <v>2367.123287671233</v>
      </c>
      <c r="V368" s="118">
        <v>1972.6027397260275</v>
      </c>
      <c r="W368" s="118">
        <v>1578.082191780822</v>
      </c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</row>
    <row r="369" ht="14.25" customHeight="1">
      <c r="A369" s="423" t="s">
        <v>84</v>
      </c>
      <c r="B369" s="423" t="s">
        <v>1266</v>
      </c>
      <c r="C369" s="423" t="s">
        <v>1948</v>
      </c>
      <c r="D369" s="581" t="s">
        <v>2545</v>
      </c>
      <c r="E369" s="134" t="s">
        <v>2150</v>
      </c>
      <c r="F369" s="134"/>
      <c r="G369" s="584" t="s">
        <v>2814</v>
      </c>
      <c r="H369" s="584" t="s">
        <v>778</v>
      </c>
      <c r="I369" s="423" t="s">
        <v>2816</v>
      </c>
      <c r="J369" s="134" t="s">
        <v>201</v>
      </c>
      <c r="K369" s="581" t="s">
        <v>147</v>
      </c>
      <c r="L369" s="134"/>
      <c r="M369" s="581" t="s">
        <v>1989</v>
      </c>
      <c r="N369" s="134" t="s">
        <v>1955</v>
      </c>
      <c r="O369" s="134">
        <v>4.0</v>
      </c>
      <c r="P369" s="134">
        <v>8.5447E9</v>
      </c>
      <c r="Q369" s="587">
        <v>915.068493150685</v>
      </c>
      <c r="R369" s="126" t="s">
        <v>10</v>
      </c>
      <c r="S369" s="49"/>
      <c r="T369" s="118">
        <v>3050.2283105022834</v>
      </c>
      <c r="U369" s="118">
        <v>1830.13698630137</v>
      </c>
      <c r="V369" s="118">
        <v>1525.1141552511417</v>
      </c>
      <c r="W369" s="118">
        <v>1220.0913242009135</v>
      </c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</row>
    <row r="370" ht="14.25" customHeight="1">
      <c r="A370" s="423" t="s">
        <v>84</v>
      </c>
      <c r="B370" s="423" t="s">
        <v>1266</v>
      </c>
      <c r="C370" s="423" t="s">
        <v>1948</v>
      </c>
      <c r="D370" s="581" t="s">
        <v>2545</v>
      </c>
      <c r="E370" s="134" t="s">
        <v>2150</v>
      </c>
      <c r="F370" s="134"/>
      <c r="G370" s="584" t="s">
        <v>2818</v>
      </c>
      <c r="H370" s="584" t="s">
        <v>778</v>
      </c>
      <c r="I370" s="423" t="s">
        <v>2820</v>
      </c>
      <c r="J370" s="134" t="s">
        <v>201</v>
      </c>
      <c r="K370" s="581" t="s">
        <v>147</v>
      </c>
      <c r="L370" s="134"/>
      <c r="M370" s="581" t="s">
        <v>1989</v>
      </c>
      <c r="N370" s="134" t="s">
        <v>1955</v>
      </c>
      <c r="O370" s="134">
        <v>4.0</v>
      </c>
      <c r="P370" s="134">
        <v>8.5447E9</v>
      </c>
      <c r="Q370" s="587">
        <v>973.9726027397261</v>
      </c>
      <c r="R370" s="126" t="s">
        <v>10</v>
      </c>
      <c r="S370" s="49"/>
      <c r="T370" s="118">
        <v>3246.5753424657537</v>
      </c>
      <c r="U370" s="118">
        <v>1947.9452054794522</v>
      </c>
      <c r="V370" s="118">
        <v>1623.2876712328768</v>
      </c>
      <c r="W370" s="118">
        <v>1298.6301369863015</v>
      </c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</row>
    <row r="371" ht="14.25" customHeight="1">
      <c r="A371" s="423" t="s">
        <v>84</v>
      </c>
      <c r="B371" s="423" t="s">
        <v>1266</v>
      </c>
      <c r="C371" s="423" t="s">
        <v>1948</v>
      </c>
      <c r="D371" s="581" t="s">
        <v>2545</v>
      </c>
      <c r="E371" s="134" t="s">
        <v>2150</v>
      </c>
      <c r="F371" s="134"/>
      <c r="G371" s="584" t="s">
        <v>2822</v>
      </c>
      <c r="H371" s="584" t="s">
        <v>778</v>
      </c>
      <c r="I371" s="423" t="s">
        <v>2824</v>
      </c>
      <c r="J371" s="134" t="s">
        <v>201</v>
      </c>
      <c r="K371" s="581" t="s">
        <v>147</v>
      </c>
      <c r="L371" s="134"/>
      <c r="M371" s="581" t="s">
        <v>1989</v>
      </c>
      <c r="N371" s="134" t="s">
        <v>1955</v>
      </c>
      <c r="O371" s="134">
        <v>4.0</v>
      </c>
      <c r="P371" s="134">
        <v>8.5447E9</v>
      </c>
      <c r="Q371" s="587">
        <v>1120.5479452054794</v>
      </c>
      <c r="R371" s="126" t="s">
        <v>10</v>
      </c>
      <c r="S371" s="49"/>
      <c r="T371" s="118">
        <v>3735.159817351598</v>
      </c>
      <c r="U371" s="118">
        <v>2241.095890410959</v>
      </c>
      <c r="V371" s="118">
        <v>1867.579908675799</v>
      </c>
      <c r="W371" s="118">
        <v>1494.0639269406392</v>
      </c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</row>
    <row r="372" ht="14.25" customHeight="1">
      <c r="A372" s="423" t="s">
        <v>84</v>
      </c>
      <c r="B372" s="423" t="s">
        <v>1266</v>
      </c>
      <c r="C372" s="423" t="s">
        <v>1948</v>
      </c>
      <c r="D372" s="581" t="s">
        <v>2545</v>
      </c>
      <c r="E372" s="134" t="s">
        <v>2150</v>
      </c>
      <c r="F372" s="134"/>
      <c r="G372" s="584" t="s">
        <v>2826</v>
      </c>
      <c r="H372" s="584" t="s">
        <v>778</v>
      </c>
      <c r="I372" s="423" t="s">
        <v>2828</v>
      </c>
      <c r="J372" s="134" t="s">
        <v>201</v>
      </c>
      <c r="K372" s="581" t="s">
        <v>147</v>
      </c>
      <c r="L372" s="134"/>
      <c r="M372" s="581" t="s">
        <v>1989</v>
      </c>
      <c r="N372" s="134" t="s">
        <v>1955</v>
      </c>
      <c r="O372" s="134">
        <v>2.0</v>
      </c>
      <c r="P372" s="134">
        <v>8.5447E9</v>
      </c>
      <c r="Q372" s="587">
        <v>1910.9589041095892</v>
      </c>
      <c r="R372" s="126" t="s">
        <v>10</v>
      </c>
      <c r="S372" s="49"/>
      <c r="T372" s="118">
        <v>6369.863013698631</v>
      </c>
      <c r="U372" s="118">
        <v>3821.9178082191784</v>
      </c>
      <c r="V372" s="118">
        <v>3184.9315068493156</v>
      </c>
      <c r="W372" s="118">
        <v>2547.945205479453</v>
      </c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</row>
    <row r="373" ht="14.25" customHeight="1">
      <c r="A373" s="423" t="s">
        <v>84</v>
      </c>
      <c r="B373" s="423" t="s">
        <v>1266</v>
      </c>
      <c r="C373" s="423" t="s">
        <v>1948</v>
      </c>
      <c r="D373" s="581" t="s">
        <v>2545</v>
      </c>
      <c r="E373" s="134" t="s">
        <v>2150</v>
      </c>
      <c r="F373" s="134"/>
      <c r="G373" s="584" t="s">
        <v>2830</v>
      </c>
      <c r="H373" s="584" t="s">
        <v>778</v>
      </c>
      <c r="I373" s="423" t="s">
        <v>2832</v>
      </c>
      <c r="J373" s="134" t="s">
        <v>201</v>
      </c>
      <c r="K373" s="581" t="s">
        <v>147</v>
      </c>
      <c r="L373" s="134"/>
      <c r="M373" s="581" t="s">
        <v>1989</v>
      </c>
      <c r="N373" s="134" t="s">
        <v>1955</v>
      </c>
      <c r="O373" s="134">
        <v>2.0</v>
      </c>
      <c r="P373" s="134">
        <v>8.5447E9</v>
      </c>
      <c r="Q373" s="587">
        <v>2960.27397260274</v>
      </c>
      <c r="R373" s="126" t="s">
        <v>10</v>
      </c>
      <c r="S373" s="49"/>
      <c r="T373" s="118">
        <v>9867.5799086758</v>
      </c>
      <c r="U373" s="118">
        <v>5920.54794520548</v>
      </c>
      <c r="V373" s="118">
        <v>4933.7899543379</v>
      </c>
      <c r="W373" s="118">
        <v>3947.03196347032</v>
      </c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</row>
    <row r="374" ht="14.25" customHeight="1">
      <c r="A374" s="423" t="s">
        <v>84</v>
      </c>
      <c r="B374" s="423" t="s">
        <v>1266</v>
      </c>
      <c r="C374" s="423" t="s">
        <v>1948</v>
      </c>
      <c r="D374" s="581" t="s">
        <v>2394</v>
      </c>
      <c r="E374" s="134" t="s">
        <v>2150</v>
      </c>
      <c r="F374" s="134"/>
      <c r="G374" s="584" t="s">
        <v>2834</v>
      </c>
      <c r="H374" s="584" t="s">
        <v>778</v>
      </c>
      <c r="I374" s="423" t="s">
        <v>2836</v>
      </c>
      <c r="J374" s="134" t="s">
        <v>201</v>
      </c>
      <c r="K374" s="581" t="s">
        <v>147</v>
      </c>
      <c r="L374" s="134"/>
      <c r="M374" s="581" t="s">
        <v>1989</v>
      </c>
      <c r="N374" s="134" t="s">
        <v>1955</v>
      </c>
      <c r="O374" s="134">
        <v>2.0</v>
      </c>
      <c r="P374" s="134">
        <v>8.5447E9</v>
      </c>
      <c r="Q374" s="587">
        <v>1360.2739726027398</v>
      </c>
      <c r="R374" s="126" t="s">
        <v>10</v>
      </c>
      <c r="S374" s="49"/>
      <c r="T374" s="118">
        <v>4534.246575342467</v>
      </c>
      <c r="U374" s="118">
        <v>2720.54794520548</v>
      </c>
      <c r="V374" s="118">
        <v>2267.1232876712334</v>
      </c>
      <c r="W374" s="118">
        <v>1813.6986301369868</v>
      </c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</row>
    <row r="375" ht="14.25" customHeight="1">
      <c r="A375" s="423" t="s">
        <v>84</v>
      </c>
      <c r="B375" s="423" t="s">
        <v>1266</v>
      </c>
      <c r="C375" s="423" t="s">
        <v>1948</v>
      </c>
      <c r="D375" s="581" t="s">
        <v>2394</v>
      </c>
      <c r="E375" s="134" t="s">
        <v>2150</v>
      </c>
      <c r="F375" s="134"/>
      <c r="G375" s="584" t="s">
        <v>2838</v>
      </c>
      <c r="H375" s="584" t="s">
        <v>778</v>
      </c>
      <c r="I375" s="423" t="s">
        <v>4363</v>
      </c>
      <c r="J375" s="134" t="s">
        <v>201</v>
      </c>
      <c r="K375" s="581" t="s">
        <v>147</v>
      </c>
      <c r="L375" s="134"/>
      <c r="M375" s="581" t="s">
        <v>1989</v>
      </c>
      <c r="N375" s="134" t="s">
        <v>1955</v>
      </c>
      <c r="O375" s="134">
        <v>2.0</v>
      </c>
      <c r="P375" s="134">
        <v>8.5447E9</v>
      </c>
      <c r="Q375" s="587">
        <v>1147.9452054794522</v>
      </c>
      <c r="R375" s="126" t="s">
        <v>10</v>
      </c>
      <c r="S375" s="49"/>
      <c r="T375" s="118">
        <v>3826.484018264841</v>
      </c>
      <c r="U375" s="118">
        <v>2295.8904109589043</v>
      </c>
      <c r="V375" s="118">
        <v>1913.2420091324204</v>
      </c>
      <c r="W375" s="118">
        <v>1530.5936073059365</v>
      </c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</row>
    <row r="376" ht="14.25" customHeight="1">
      <c r="A376" s="423" t="s">
        <v>84</v>
      </c>
      <c r="B376" s="423" t="s">
        <v>1266</v>
      </c>
      <c r="C376" s="423" t="s">
        <v>1948</v>
      </c>
      <c r="D376" s="581" t="s">
        <v>2394</v>
      </c>
      <c r="E376" s="134" t="s">
        <v>2150</v>
      </c>
      <c r="F376" s="134"/>
      <c r="G376" s="584" t="s">
        <v>2843</v>
      </c>
      <c r="H376" s="584" t="s">
        <v>778</v>
      </c>
      <c r="I376" s="423" t="s">
        <v>4364</v>
      </c>
      <c r="J376" s="134" t="s">
        <v>201</v>
      </c>
      <c r="K376" s="581" t="s">
        <v>147</v>
      </c>
      <c r="L376" s="134"/>
      <c r="M376" s="581" t="s">
        <v>1989</v>
      </c>
      <c r="N376" s="134" t="s">
        <v>1955</v>
      </c>
      <c r="O376" s="134">
        <v>2.0</v>
      </c>
      <c r="P376" s="134">
        <v>8.5447E9</v>
      </c>
      <c r="Q376" s="587">
        <v>1208.2191780821918</v>
      </c>
      <c r="R376" s="126" t="s">
        <v>10</v>
      </c>
      <c r="S376" s="49"/>
      <c r="T376" s="118">
        <v>4027.3972602739727</v>
      </c>
      <c r="U376" s="118">
        <v>2416.4383561643835</v>
      </c>
      <c r="V376" s="118">
        <v>2013.6986301369864</v>
      </c>
      <c r="W376" s="118">
        <v>1610.9589041095892</v>
      </c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</row>
    <row r="377" ht="14.25" customHeight="1">
      <c r="A377" s="423" t="s">
        <v>84</v>
      </c>
      <c r="B377" s="423" t="s">
        <v>1266</v>
      </c>
      <c r="C377" s="423" t="s">
        <v>1948</v>
      </c>
      <c r="D377" s="581" t="s">
        <v>2394</v>
      </c>
      <c r="E377" s="134" t="s">
        <v>2150</v>
      </c>
      <c r="F377" s="134"/>
      <c r="G377" s="584" t="s">
        <v>2848</v>
      </c>
      <c r="H377" s="584" t="s">
        <v>778</v>
      </c>
      <c r="I377" s="423" t="s">
        <v>4365</v>
      </c>
      <c r="J377" s="134" t="s">
        <v>201</v>
      </c>
      <c r="K377" s="581" t="s">
        <v>147</v>
      </c>
      <c r="L377" s="134"/>
      <c r="M377" s="581" t="s">
        <v>1989</v>
      </c>
      <c r="N377" s="134" t="s">
        <v>1955</v>
      </c>
      <c r="O377" s="134">
        <v>2.0</v>
      </c>
      <c r="P377" s="134">
        <v>8.5447E9</v>
      </c>
      <c r="Q377" s="587">
        <v>1319.178082191781</v>
      </c>
      <c r="R377" s="126" t="s">
        <v>10</v>
      </c>
      <c r="S377" s="49"/>
      <c r="T377" s="118">
        <v>4397.2602739726035</v>
      </c>
      <c r="U377" s="118">
        <v>2638.356164383562</v>
      </c>
      <c r="V377" s="118">
        <v>2198.6301369863017</v>
      </c>
      <c r="W377" s="118">
        <v>1758.9041095890416</v>
      </c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</row>
    <row r="378" ht="14.25" customHeight="1">
      <c r="A378" s="423" t="s">
        <v>84</v>
      </c>
      <c r="B378" s="423" t="s">
        <v>1266</v>
      </c>
      <c r="C378" s="423" t="s">
        <v>1948</v>
      </c>
      <c r="D378" s="581" t="s">
        <v>2394</v>
      </c>
      <c r="E378" s="134" t="s">
        <v>2150</v>
      </c>
      <c r="F378" s="134"/>
      <c r="G378" s="584" t="s">
        <v>2853</v>
      </c>
      <c r="H378" s="584" t="s">
        <v>778</v>
      </c>
      <c r="I378" s="423" t="s">
        <v>2855</v>
      </c>
      <c r="J378" s="134" t="s">
        <v>201</v>
      </c>
      <c r="K378" s="581" t="s">
        <v>147</v>
      </c>
      <c r="L378" s="134"/>
      <c r="M378" s="581" t="s">
        <v>1989</v>
      </c>
      <c r="N378" s="134" t="s">
        <v>1955</v>
      </c>
      <c r="O378" s="134">
        <v>2.0</v>
      </c>
      <c r="P378" s="134">
        <v>8.5447E9</v>
      </c>
      <c r="Q378" s="587">
        <v>2278.082191780822</v>
      </c>
      <c r="R378" s="126" t="s">
        <v>10</v>
      </c>
      <c r="S378" s="49"/>
      <c r="T378" s="118">
        <v>7593.607305936074</v>
      </c>
      <c r="U378" s="118">
        <v>4556.164383561644</v>
      </c>
      <c r="V378" s="118">
        <v>3796.803652968037</v>
      </c>
      <c r="W378" s="118">
        <v>3037.44292237443</v>
      </c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</row>
    <row r="379" ht="14.25" customHeight="1">
      <c r="A379" s="423" t="s">
        <v>84</v>
      </c>
      <c r="B379" s="423" t="s">
        <v>1266</v>
      </c>
      <c r="C379" s="423" t="s">
        <v>1948</v>
      </c>
      <c r="D379" s="581" t="s">
        <v>2394</v>
      </c>
      <c r="E379" s="134" t="s">
        <v>2150</v>
      </c>
      <c r="F379" s="134"/>
      <c r="G379" s="584" t="s">
        <v>2857</v>
      </c>
      <c r="H379" s="584" t="s">
        <v>778</v>
      </c>
      <c r="I379" s="423" t="s">
        <v>2859</v>
      </c>
      <c r="J379" s="134" t="s">
        <v>201</v>
      </c>
      <c r="K379" s="581" t="s">
        <v>147</v>
      </c>
      <c r="L379" s="134"/>
      <c r="M379" s="581" t="s">
        <v>1989</v>
      </c>
      <c r="N379" s="134" t="s">
        <v>1955</v>
      </c>
      <c r="O379" s="134">
        <v>2.0</v>
      </c>
      <c r="P379" s="134">
        <v>8.5447E9</v>
      </c>
      <c r="Q379" s="587">
        <v>3452.054794520548</v>
      </c>
      <c r="R379" s="126" t="s">
        <v>10</v>
      </c>
      <c r="S379" s="49"/>
      <c r="T379" s="118">
        <v>11506.849315068494</v>
      </c>
      <c r="U379" s="118">
        <v>6904.109589041096</v>
      </c>
      <c r="V379" s="118">
        <v>5753.424657534247</v>
      </c>
      <c r="W379" s="118">
        <v>4602.739726027397</v>
      </c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</row>
    <row r="380" ht="14.25" customHeight="1">
      <c r="A380" s="423" t="s">
        <v>2860</v>
      </c>
      <c r="B380" s="423" t="s">
        <v>86</v>
      </c>
      <c r="C380" s="581" t="s">
        <v>87</v>
      </c>
      <c r="D380" s="582" t="s">
        <v>207</v>
      </c>
      <c r="E380" s="361" t="s">
        <v>299</v>
      </c>
      <c r="F380" s="361">
        <v>23.0</v>
      </c>
      <c r="G380" s="583" t="s">
        <v>2867</v>
      </c>
      <c r="H380" s="583" t="s">
        <v>4366</v>
      </c>
      <c r="I380" s="582" t="s">
        <v>2869</v>
      </c>
      <c r="J380" s="361" t="s">
        <v>106</v>
      </c>
      <c r="K380" s="585" t="s">
        <v>147</v>
      </c>
      <c r="L380" s="134">
        <v>19.0</v>
      </c>
      <c r="M380" s="423" t="s">
        <v>96</v>
      </c>
      <c r="N380" s="134" t="s">
        <v>97</v>
      </c>
      <c r="O380" s="134">
        <v>9.0</v>
      </c>
      <c r="P380" s="361" t="s">
        <v>98</v>
      </c>
      <c r="Q380" s="587">
        <v>390.583021742141</v>
      </c>
      <c r="R380" s="126" t="s">
        <v>10</v>
      </c>
      <c r="S380" s="49"/>
      <c r="T380" s="118">
        <v>1301.9434058071367</v>
      </c>
      <c r="U380" s="118">
        <v>781.166043484282</v>
      </c>
      <c r="V380" s="118">
        <v>650.9717029035684</v>
      </c>
      <c r="W380" s="118">
        <v>520.7773623228547</v>
      </c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</row>
    <row r="381" ht="15.0" customHeight="1">
      <c r="A381" s="423" t="s">
        <v>2860</v>
      </c>
      <c r="B381" s="423" t="s">
        <v>86</v>
      </c>
      <c r="C381" s="585" t="s">
        <v>2954</v>
      </c>
      <c r="D381" s="582" t="s">
        <v>2955</v>
      </c>
      <c r="E381" s="134"/>
      <c r="F381" s="134"/>
      <c r="G381" s="590" t="s">
        <v>2961</v>
      </c>
      <c r="H381" s="590" t="s">
        <v>778</v>
      </c>
      <c r="I381" s="581" t="s">
        <v>2958</v>
      </c>
      <c r="J381" s="134"/>
      <c r="K381" s="585" t="s">
        <v>95</v>
      </c>
      <c r="L381" s="591"/>
      <c r="M381" s="585" t="s">
        <v>2877</v>
      </c>
      <c r="N381" s="361"/>
      <c r="O381" s="361">
        <v>5000.0</v>
      </c>
      <c r="P381" s="361"/>
      <c r="Q381" s="498">
        <v>2.484195402298851</v>
      </c>
      <c r="R381" s="592" t="s">
        <v>6</v>
      </c>
      <c r="S381" s="49"/>
      <c r="T381" s="224">
        <v>8.28065134099617</v>
      </c>
      <c r="U381" s="224">
        <v>4.9683908045977025</v>
      </c>
      <c r="V381" s="224">
        <v>4.140325670498085</v>
      </c>
      <c r="W381" s="224">
        <v>3.3122605363984685</v>
      </c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</row>
    <row r="382" ht="14.25" customHeight="1">
      <c r="A382" s="423" t="s">
        <v>84</v>
      </c>
      <c r="B382" s="423" t="s">
        <v>86</v>
      </c>
      <c r="C382" s="585" t="s">
        <v>2969</v>
      </c>
      <c r="D382" s="582" t="s">
        <v>2970</v>
      </c>
      <c r="E382" s="134"/>
      <c r="F382" s="134"/>
      <c r="G382" s="586" t="s">
        <v>2971</v>
      </c>
      <c r="H382" s="586" t="s">
        <v>4367</v>
      </c>
      <c r="I382" s="585" t="s">
        <v>2973</v>
      </c>
      <c r="J382" s="134"/>
      <c r="K382" s="585" t="s">
        <v>147</v>
      </c>
      <c r="L382" s="361">
        <v>45.0</v>
      </c>
      <c r="M382" s="585"/>
      <c r="N382" s="361"/>
      <c r="O382" s="361">
        <v>1.0</v>
      </c>
      <c r="P382" s="361"/>
      <c r="Q382" s="498">
        <v>2264.7058823529414</v>
      </c>
      <c r="R382" s="361" t="s">
        <v>13</v>
      </c>
      <c r="S382" s="49"/>
      <c r="T382" s="224">
        <v>7549.019607843138</v>
      </c>
      <c r="U382" s="224">
        <v>4529.411764705883</v>
      </c>
      <c r="V382" s="224">
        <v>3774.509803921569</v>
      </c>
      <c r="W382" s="224">
        <v>3019.6078431372553</v>
      </c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</row>
    <row r="383" ht="14.25" customHeight="1">
      <c r="A383" s="423" t="s">
        <v>84</v>
      </c>
      <c r="B383" s="423" t="s">
        <v>86</v>
      </c>
      <c r="C383" s="585" t="s">
        <v>2969</v>
      </c>
      <c r="D383" s="582" t="s">
        <v>2970</v>
      </c>
      <c r="E383" s="134"/>
      <c r="F383" s="134"/>
      <c r="G383" s="586" t="s">
        <v>2975</v>
      </c>
      <c r="H383" s="586" t="s">
        <v>4368</v>
      </c>
      <c r="I383" s="585" t="s">
        <v>2977</v>
      </c>
      <c r="J383" s="134"/>
      <c r="K383" s="585" t="s">
        <v>147</v>
      </c>
      <c r="L383" s="361">
        <v>78.0</v>
      </c>
      <c r="M383" s="585"/>
      <c r="N383" s="361"/>
      <c r="O383" s="361">
        <v>1.0</v>
      </c>
      <c r="P383" s="361"/>
      <c r="Q383" s="498">
        <v>3278.4615384615386</v>
      </c>
      <c r="R383" s="361" t="s">
        <v>13</v>
      </c>
      <c r="S383" s="49"/>
      <c r="T383" s="224">
        <v>10928.205128205129</v>
      </c>
      <c r="U383" s="224">
        <v>6556.923076923077</v>
      </c>
      <c r="V383" s="224">
        <v>5464.102564102564</v>
      </c>
      <c r="W383" s="224">
        <v>4371.282051282052</v>
      </c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</row>
    <row r="384" ht="14.25" customHeight="1">
      <c r="A384" s="423" t="s">
        <v>84</v>
      </c>
      <c r="B384" s="423" t="s">
        <v>86</v>
      </c>
      <c r="C384" s="585" t="s">
        <v>2969</v>
      </c>
      <c r="D384" s="582" t="s">
        <v>2970</v>
      </c>
      <c r="E384" s="134"/>
      <c r="F384" s="134"/>
      <c r="G384" s="586" t="s">
        <v>2978</v>
      </c>
      <c r="H384" s="586" t="s">
        <v>4369</v>
      </c>
      <c r="I384" s="585" t="s">
        <v>2980</v>
      </c>
      <c r="J384" s="134"/>
      <c r="K384" s="585" t="s">
        <v>147</v>
      </c>
      <c r="L384" s="361">
        <v>128.0</v>
      </c>
      <c r="M384" s="585"/>
      <c r="N384" s="361"/>
      <c r="O384" s="361">
        <v>1.0</v>
      </c>
      <c r="P384" s="361"/>
      <c r="Q384" s="498">
        <v>4520.0</v>
      </c>
      <c r="R384" s="361" t="s">
        <v>13</v>
      </c>
      <c r="S384" s="49"/>
      <c r="T384" s="224">
        <v>15066.666666666668</v>
      </c>
      <c r="U384" s="224">
        <v>9040.0</v>
      </c>
      <c r="V384" s="224">
        <v>7533.333333333334</v>
      </c>
      <c r="W384" s="224">
        <v>6026.666666666668</v>
      </c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</row>
    <row r="385" ht="14.25" customHeight="1">
      <c r="A385" s="423" t="s">
        <v>84</v>
      </c>
      <c r="B385" s="423" t="s">
        <v>86</v>
      </c>
      <c r="C385" s="585" t="s">
        <v>2969</v>
      </c>
      <c r="D385" s="582" t="s">
        <v>2970</v>
      </c>
      <c r="E385" s="134"/>
      <c r="F385" s="134"/>
      <c r="G385" s="586" t="s">
        <v>2981</v>
      </c>
      <c r="H385" s="586" t="s">
        <v>778</v>
      </c>
      <c r="I385" s="585" t="s">
        <v>2983</v>
      </c>
      <c r="J385" s="134"/>
      <c r="K385" s="585" t="s">
        <v>147</v>
      </c>
      <c r="L385" s="361">
        <v>152.0</v>
      </c>
      <c r="M385" s="585"/>
      <c r="N385" s="361"/>
      <c r="O385" s="361">
        <v>1.0</v>
      </c>
      <c r="P385" s="361"/>
      <c r="Q385" s="498">
        <v>5377.142857142858</v>
      </c>
      <c r="R385" s="361" t="s">
        <v>13</v>
      </c>
      <c r="S385" s="49"/>
      <c r="T385" s="224">
        <v>17923.809523809527</v>
      </c>
      <c r="U385" s="224">
        <v>10754.285714285716</v>
      </c>
      <c r="V385" s="224">
        <v>8961.904761904763</v>
      </c>
      <c r="W385" s="224">
        <v>7169.523809523811</v>
      </c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</row>
    <row r="386" ht="14.25" customHeight="1">
      <c r="A386" s="423" t="s">
        <v>84</v>
      </c>
      <c r="B386" s="423" t="s">
        <v>86</v>
      </c>
      <c r="C386" s="585" t="s">
        <v>2969</v>
      </c>
      <c r="D386" s="582" t="s">
        <v>2970</v>
      </c>
      <c r="E386" s="134"/>
      <c r="F386" s="134"/>
      <c r="G386" s="586" t="s">
        <v>2984</v>
      </c>
      <c r="H386" s="586" t="s">
        <v>4370</v>
      </c>
      <c r="I386" s="585" t="s">
        <v>2986</v>
      </c>
      <c r="J386" s="134"/>
      <c r="K386" s="585" t="s">
        <v>147</v>
      </c>
      <c r="L386" s="361">
        <v>218.0</v>
      </c>
      <c r="M386" s="585"/>
      <c r="N386" s="361"/>
      <c r="O386" s="361">
        <v>1.0</v>
      </c>
      <c r="P386" s="361"/>
      <c r="Q386" s="498">
        <v>7368.75</v>
      </c>
      <c r="R386" s="361" t="s">
        <v>13</v>
      </c>
      <c r="S386" s="49"/>
      <c r="T386" s="224">
        <v>24562.5</v>
      </c>
      <c r="U386" s="224">
        <v>14737.5</v>
      </c>
      <c r="V386" s="224">
        <v>12281.25</v>
      </c>
      <c r="W386" s="224">
        <v>9825.0</v>
      </c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</row>
    <row r="387" ht="14.25" customHeight="1">
      <c r="A387" s="423" t="s">
        <v>84</v>
      </c>
      <c r="B387" s="423" t="s">
        <v>86</v>
      </c>
      <c r="C387" s="585" t="s">
        <v>2969</v>
      </c>
      <c r="D387" s="582" t="s">
        <v>2970</v>
      </c>
      <c r="E387" s="134"/>
      <c r="F387" s="134"/>
      <c r="G387" s="586" t="s">
        <v>2987</v>
      </c>
      <c r="H387" s="586" t="s">
        <v>4371</v>
      </c>
      <c r="I387" s="585" t="s">
        <v>2989</v>
      </c>
      <c r="J387" s="134"/>
      <c r="K387" s="585" t="s">
        <v>147</v>
      </c>
      <c r="L387" s="361">
        <v>430.0</v>
      </c>
      <c r="M387" s="585"/>
      <c r="N387" s="361"/>
      <c r="O387" s="361">
        <v>1.0</v>
      </c>
      <c r="P387" s="361"/>
      <c r="Q387" s="498">
        <v>13343.75</v>
      </c>
      <c r="R387" s="361" t="s">
        <v>13</v>
      </c>
      <c r="S387" s="49"/>
      <c r="T387" s="224">
        <v>44479.16666666667</v>
      </c>
      <c r="U387" s="224">
        <v>26687.500000000004</v>
      </c>
      <c r="V387" s="224">
        <v>22239.583333333336</v>
      </c>
      <c r="W387" s="224">
        <v>17791.666666666668</v>
      </c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</row>
    <row r="388" ht="14.25" customHeight="1">
      <c r="A388" s="423" t="s">
        <v>84</v>
      </c>
      <c r="B388" s="423" t="s">
        <v>1886</v>
      </c>
      <c r="C388" s="585" t="s">
        <v>2920</v>
      </c>
      <c r="D388" s="582" t="s">
        <v>3029</v>
      </c>
      <c r="E388" s="134"/>
      <c r="F388" s="134"/>
      <c r="G388" s="586" t="s">
        <v>3030</v>
      </c>
      <c r="H388" s="586" t="s">
        <v>778</v>
      </c>
      <c r="I388" s="581" t="s">
        <v>3032</v>
      </c>
      <c r="J388" s="134"/>
      <c r="K388" s="585" t="s">
        <v>95</v>
      </c>
      <c r="L388" s="361"/>
      <c r="M388" s="582" t="s">
        <v>2924</v>
      </c>
      <c r="N388" s="593" t="s">
        <v>3033</v>
      </c>
      <c r="O388" s="593" t="s">
        <v>2926</v>
      </c>
      <c r="P388" s="361">
        <v>9.403208E9</v>
      </c>
      <c r="Q388" s="498">
        <v>63.6015325670498</v>
      </c>
      <c r="R388" s="592" t="s">
        <v>10</v>
      </c>
      <c r="S388" s="49"/>
      <c r="T388" s="224">
        <v>212.00510855683268</v>
      </c>
      <c r="U388" s="224">
        <v>127.2030651340996</v>
      </c>
      <c r="V388" s="224">
        <v>106.00255427841634</v>
      </c>
      <c r="W388" s="224">
        <v>84.80204342273308</v>
      </c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</row>
    <row r="389" ht="14.25" customHeight="1">
      <c r="A389" s="423" t="s">
        <v>84</v>
      </c>
      <c r="B389" s="423" t="s">
        <v>1886</v>
      </c>
      <c r="C389" s="585" t="s">
        <v>2920</v>
      </c>
      <c r="D389" s="582" t="s">
        <v>3029</v>
      </c>
      <c r="E389" s="134"/>
      <c r="F389" s="134"/>
      <c r="G389" s="586" t="s">
        <v>3034</v>
      </c>
      <c r="H389" s="586" t="s">
        <v>778</v>
      </c>
      <c r="I389" s="581" t="s">
        <v>3036</v>
      </c>
      <c r="J389" s="134"/>
      <c r="K389" s="585" t="s">
        <v>95</v>
      </c>
      <c r="L389" s="361"/>
      <c r="M389" s="582" t="s">
        <v>2924</v>
      </c>
      <c r="N389" s="594"/>
      <c r="O389" s="594"/>
      <c r="P389" s="361">
        <v>9.403208E9</v>
      </c>
      <c r="Q389" s="498">
        <v>71.00095785440614</v>
      </c>
      <c r="R389" s="592" t="s">
        <v>10</v>
      </c>
      <c r="S389" s="49"/>
      <c r="T389" s="224">
        <v>236.66985951468715</v>
      </c>
      <c r="U389" s="224">
        <v>142.00191570881228</v>
      </c>
      <c r="V389" s="224">
        <v>118.33492975734357</v>
      </c>
      <c r="W389" s="224">
        <v>94.66794380587487</v>
      </c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</row>
    <row r="390" ht="14.25" customHeight="1">
      <c r="A390" s="423" t="s">
        <v>84</v>
      </c>
      <c r="B390" s="423" t="s">
        <v>1886</v>
      </c>
      <c r="C390" s="585" t="s">
        <v>2920</v>
      </c>
      <c r="D390" s="582" t="s">
        <v>3029</v>
      </c>
      <c r="E390" s="134"/>
      <c r="F390" s="134"/>
      <c r="G390" s="586" t="s">
        <v>3037</v>
      </c>
      <c r="H390" s="586" t="s">
        <v>778</v>
      </c>
      <c r="I390" s="581" t="s">
        <v>3039</v>
      </c>
      <c r="J390" s="134"/>
      <c r="K390" s="585" t="s">
        <v>95</v>
      </c>
      <c r="L390" s="361"/>
      <c r="M390" s="582" t="s">
        <v>2924</v>
      </c>
      <c r="N390" s="594"/>
      <c r="O390" s="594"/>
      <c r="P390" s="361">
        <v>9.403208E9</v>
      </c>
      <c r="Q390" s="498">
        <v>78.3764367816092</v>
      </c>
      <c r="R390" s="592" t="s">
        <v>10</v>
      </c>
      <c r="S390" s="49"/>
      <c r="T390" s="224">
        <v>261.2547892720307</v>
      </c>
      <c r="U390" s="224">
        <v>156.7528735632184</v>
      </c>
      <c r="V390" s="224">
        <v>130.62739463601534</v>
      </c>
      <c r="W390" s="224">
        <v>104.50191570881228</v>
      </c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</row>
    <row r="391" ht="14.25" customHeight="1">
      <c r="A391" s="423" t="s">
        <v>84</v>
      </c>
      <c r="B391" s="423" t="s">
        <v>1886</v>
      </c>
      <c r="C391" s="585" t="s">
        <v>2920</v>
      </c>
      <c r="D391" s="582" t="s">
        <v>3029</v>
      </c>
      <c r="E391" s="134"/>
      <c r="F391" s="134"/>
      <c r="G391" s="586" t="s">
        <v>3040</v>
      </c>
      <c r="H391" s="586" t="s">
        <v>778</v>
      </c>
      <c r="I391" s="581" t="s">
        <v>3042</v>
      </c>
      <c r="J391" s="134"/>
      <c r="K391" s="585" t="s">
        <v>95</v>
      </c>
      <c r="L391" s="361"/>
      <c r="M391" s="582" t="s">
        <v>2924</v>
      </c>
      <c r="N391" s="594"/>
      <c r="O391" s="594"/>
      <c r="P391" s="361">
        <v>9.403208E9</v>
      </c>
      <c r="Q391" s="498">
        <v>87.69157088122606</v>
      </c>
      <c r="R391" s="592" t="s">
        <v>10</v>
      </c>
      <c r="S391" s="49"/>
      <c r="T391" s="224">
        <v>292.30523627075354</v>
      </c>
      <c r="U391" s="224">
        <v>175.3831417624521</v>
      </c>
      <c r="V391" s="224">
        <v>146.15261813537677</v>
      </c>
      <c r="W391" s="224">
        <v>116.92209450830143</v>
      </c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</row>
    <row r="392" ht="14.25" customHeight="1">
      <c r="A392" s="423" t="s">
        <v>84</v>
      </c>
      <c r="B392" s="423" t="s">
        <v>1886</v>
      </c>
      <c r="C392" s="585" t="s">
        <v>2920</v>
      </c>
      <c r="D392" s="582" t="s">
        <v>3029</v>
      </c>
      <c r="E392" s="134"/>
      <c r="F392" s="134"/>
      <c r="G392" s="586" t="s">
        <v>3043</v>
      </c>
      <c r="H392" s="586" t="s">
        <v>778</v>
      </c>
      <c r="I392" s="581" t="s">
        <v>3045</v>
      </c>
      <c r="J392" s="134"/>
      <c r="K392" s="585" t="s">
        <v>95</v>
      </c>
      <c r="L392" s="361"/>
      <c r="M392" s="582" t="s">
        <v>2924</v>
      </c>
      <c r="N392" s="594"/>
      <c r="O392" s="594"/>
      <c r="P392" s="361">
        <v>9.403208E9</v>
      </c>
      <c r="Q392" s="498">
        <v>95.64176245210727</v>
      </c>
      <c r="R392" s="592" t="s">
        <v>10</v>
      </c>
      <c r="S392" s="49"/>
      <c r="T392" s="224">
        <v>318.8058748403576</v>
      </c>
      <c r="U392" s="224">
        <v>191.28352490421454</v>
      </c>
      <c r="V392" s="224">
        <v>159.4029374201788</v>
      </c>
      <c r="W392" s="224">
        <v>127.52234993614304</v>
      </c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</row>
    <row r="393" ht="14.25" customHeight="1">
      <c r="A393" s="423" t="s">
        <v>84</v>
      </c>
      <c r="B393" s="423" t="s">
        <v>1886</v>
      </c>
      <c r="C393" s="585" t="s">
        <v>2920</v>
      </c>
      <c r="D393" s="582" t="s">
        <v>3029</v>
      </c>
      <c r="E393" s="134"/>
      <c r="F393" s="134"/>
      <c r="G393" s="586" t="s">
        <v>3046</v>
      </c>
      <c r="H393" s="586" t="s">
        <v>778</v>
      </c>
      <c r="I393" s="581" t="s">
        <v>3048</v>
      </c>
      <c r="J393" s="134"/>
      <c r="K393" s="585" t="s">
        <v>95</v>
      </c>
      <c r="L393" s="361"/>
      <c r="M393" s="582" t="s">
        <v>2924</v>
      </c>
      <c r="N393" s="594"/>
      <c r="O393" s="594"/>
      <c r="P393" s="361">
        <v>9.403208E9</v>
      </c>
      <c r="Q393" s="498">
        <v>105.35201149425289</v>
      </c>
      <c r="R393" s="592" t="s">
        <v>10</v>
      </c>
      <c r="S393" s="49"/>
      <c r="T393" s="224">
        <v>351.17337164750967</v>
      </c>
      <c r="U393" s="224">
        <v>210.70402298850578</v>
      </c>
      <c r="V393" s="224">
        <v>175.58668582375483</v>
      </c>
      <c r="W393" s="224">
        <v>140.46934865900388</v>
      </c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</row>
    <row r="394" ht="14.25" customHeight="1">
      <c r="A394" s="423" t="s">
        <v>84</v>
      </c>
      <c r="B394" s="423" t="s">
        <v>1886</v>
      </c>
      <c r="C394" s="585" t="s">
        <v>2920</v>
      </c>
      <c r="D394" s="582" t="s">
        <v>3029</v>
      </c>
      <c r="E394" s="134"/>
      <c r="F394" s="134"/>
      <c r="G394" s="586" t="s">
        <v>3049</v>
      </c>
      <c r="H394" s="586" t="s">
        <v>778</v>
      </c>
      <c r="I394" s="581" t="s">
        <v>3051</v>
      </c>
      <c r="J394" s="134"/>
      <c r="K394" s="585" t="s">
        <v>95</v>
      </c>
      <c r="L394" s="361"/>
      <c r="M394" s="582" t="s">
        <v>2924</v>
      </c>
      <c r="N394" s="594"/>
      <c r="O394" s="594"/>
      <c r="P394" s="361">
        <v>9.403208E9</v>
      </c>
      <c r="Q394" s="498">
        <v>0.0</v>
      </c>
      <c r="R394" s="592" t="s">
        <v>10</v>
      </c>
      <c r="S394" s="49"/>
      <c r="T394" s="224">
        <v>0.0</v>
      </c>
      <c r="U394" s="224">
        <v>0.0</v>
      </c>
      <c r="V394" s="224">
        <v>0.0</v>
      </c>
      <c r="W394" s="224">
        <v>0.0</v>
      </c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</row>
    <row r="395" ht="14.25" customHeight="1">
      <c r="A395" s="423" t="s">
        <v>84</v>
      </c>
      <c r="B395" s="423" t="s">
        <v>1886</v>
      </c>
      <c r="C395" s="585" t="s">
        <v>2920</v>
      </c>
      <c r="D395" s="582" t="s">
        <v>3029</v>
      </c>
      <c r="E395" s="134"/>
      <c r="F395" s="134"/>
      <c r="G395" s="586" t="s">
        <v>3052</v>
      </c>
      <c r="H395" s="586" t="s">
        <v>778</v>
      </c>
      <c r="I395" s="581" t="s">
        <v>3054</v>
      </c>
      <c r="J395" s="134"/>
      <c r="K395" s="585" t="s">
        <v>95</v>
      </c>
      <c r="L395" s="361"/>
      <c r="M395" s="582" t="s">
        <v>2924</v>
      </c>
      <c r="N395" s="594"/>
      <c r="O395" s="594"/>
      <c r="P395" s="361">
        <v>9.403208E9</v>
      </c>
      <c r="Q395" s="498">
        <v>54.29837164750958</v>
      </c>
      <c r="R395" s="592" t="s">
        <v>10</v>
      </c>
      <c r="S395" s="49"/>
      <c r="T395" s="224">
        <v>180.9945721583653</v>
      </c>
      <c r="U395" s="224">
        <v>108.59674329501917</v>
      </c>
      <c r="V395" s="224">
        <v>90.49728607918264</v>
      </c>
      <c r="W395" s="224">
        <v>72.39782886334612</v>
      </c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</row>
    <row r="396" ht="14.25" customHeight="1">
      <c r="A396" s="423" t="s">
        <v>84</v>
      </c>
      <c r="B396" s="423" t="s">
        <v>1886</v>
      </c>
      <c r="C396" s="585" t="s">
        <v>2920</v>
      </c>
      <c r="D396" s="582" t="s">
        <v>3029</v>
      </c>
      <c r="E396" s="134"/>
      <c r="F396" s="134"/>
      <c r="G396" s="586" t="s">
        <v>3055</v>
      </c>
      <c r="H396" s="586" t="s">
        <v>778</v>
      </c>
      <c r="I396" s="581" t="s">
        <v>3057</v>
      </c>
      <c r="J396" s="134"/>
      <c r="K396" s="585" t="s">
        <v>95</v>
      </c>
      <c r="L396" s="361"/>
      <c r="M396" s="582" t="s">
        <v>2924</v>
      </c>
      <c r="N396" s="594"/>
      <c r="O396" s="594"/>
      <c r="P396" s="361">
        <v>9.403208E9</v>
      </c>
      <c r="Q396" s="498">
        <v>60.53639846743296</v>
      </c>
      <c r="R396" s="592" t="s">
        <v>10</v>
      </c>
      <c r="S396" s="49"/>
      <c r="T396" s="224">
        <v>201.78799489144322</v>
      </c>
      <c r="U396" s="224">
        <v>121.07279693486592</v>
      </c>
      <c r="V396" s="224">
        <v>100.89399744572161</v>
      </c>
      <c r="W396" s="224">
        <v>80.7151979565773</v>
      </c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</row>
    <row r="397" ht="14.25" customHeight="1">
      <c r="A397" s="423" t="s">
        <v>84</v>
      </c>
      <c r="B397" s="423" t="s">
        <v>1886</v>
      </c>
      <c r="C397" s="585" t="s">
        <v>2920</v>
      </c>
      <c r="D397" s="582" t="s">
        <v>3029</v>
      </c>
      <c r="E397" s="134"/>
      <c r="F397" s="134"/>
      <c r="G397" s="586" t="s">
        <v>3058</v>
      </c>
      <c r="H397" s="586" t="s">
        <v>778</v>
      </c>
      <c r="I397" s="581" t="s">
        <v>3060</v>
      </c>
      <c r="J397" s="134"/>
      <c r="K397" s="585" t="s">
        <v>95</v>
      </c>
      <c r="L397" s="361"/>
      <c r="M397" s="582" t="s">
        <v>2924</v>
      </c>
      <c r="N397" s="594"/>
      <c r="O397" s="594"/>
      <c r="P397" s="361">
        <v>9.403208E9</v>
      </c>
      <c r="Q397" s="498">
        <v>67.04980842911877</v>
      </c>
      <c r="R397" s="592" t="s">
        <v>10</v>
      </c>
      <c r="S397" s="49"/>
      <c r="T397" s="224">
        <v>223.4993614303959</v>
      </c>
      <c r="U397" s="224">
        <v>134.09961685823754</v>
      </c>
      <c r="V397" s="224">
        <v>111.74968071519795</v>
      </c>
      <c r="W397" s="224">
        <v>89.39974457215837</v>
      </c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</row>
    <row r="398" ht="14.25" customHeight="1">
      <c r="A398" s="423" t="s">
        <v>84</v>
      </c>
      <c r="B398" s="423" t="s">
        <v>1886</v>
      </c>
      <c r="C398" s="585" t="s">
        <v>2920</v>
      </c>
      <c r="D398" s="582" t="s">
        <v>3029</v>
      </c>
      <c r="E398" s="134"/>
      <c r="F398" s="134"/>
      <c r="G398" s="586" t="s">
        <v>3061</v>
      </c>
      <c r="H398" s="586" t="s">
        <v>778</v>
      </c>
      <c r="I398" s="581" t="s">
        <v>3063</v>
      </c>
      <c r="J398" s="134"/>
      <c r="K398" s="585" t="s">
        <v>95</v>
      </c>
      <c r="L398" s="361"/>
      <c r="M398" s="582" t="s">
        <v>2924</v>
      </c>
      <c r="N398" s="594"/>
      <c r="O398" s="594"/>
      <c r="P398" s="361">
        <v>9.403208E9</v>
      </c>
      <c r="Q398" s="498">
        <v>74.79645593869732</v>
      </c>
      <c r="R398" s="592" t="s">
        <v>10</v>
      </c>
      <c r="S398" s="49"/>
      <c r="T398" s="224">
        <v>249.32151979565774</v>
      </c>
      <c r="U398" s="224">
        <v>149.59291187739464</v>
      </c>
      <c r="V398" s="224">
        <v>124.66075989782887</v>
      </c>
      <c r="W398" s="224">
        <v>99.7286079182631</v>
      </c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</row>
    <row r="399" ht="14.25" customHeight="1">
      <c r="A399" s="423" t="s">
        <v>84</v>
      </c>
      <c r="B399" s="423" t="s">
        <v>1886</v>
      </c>
      <c r="C399" s="585" t="s">
        <v>2920</v>
      </c>
      <c r="D399" s="582" t="s">
        <v>3029</v>
      </c>
      <c r="E399" s="134"/>
      <c r="F399" s="134"/>
      <c r="G399" s="586" t="s">
        <v>3064</v>
      </c>
      <c r="H399" s="586" t="s">
        <v>778</v>
      </c>
      <c r="I399" s="581" t="s">
        <v>3066</v>
      </c>
      <c r="J399" s="134"/>
      <c r="K399" s="585" t="s">
        <v>95</v>
      </c>
      <c r="L399" s="361"/>
      <c r="M399" s="582" t="s">
        <v>2924</v>
      </c>
      <c r="N399" s="594"/>
      <c r="O399" s="594"/>
      <c r="P399" s="361">
        <v>9.403208E9</v>
      </c>
      <c r="Q399" s="498">
        <v>81.38170498084291</v>
      </c>
      <c r="R399" s="592" t="s">
        <v>10</v>
      </c>
      <c r="S399" s="49"/>
      <c r="T399" s="224">
        <v>271.27234993614303</v>
      </c>
      <c r="U399" s="224">
        <v>162.76340996168582</v>
      </c>
      <c r="V399" s="224">
        <v>135.63617496807151</v>
      </c>
      <c r="W399" s="224">
        <v>108.50893997445722</v>
      </c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</row>
    <row r="400" ht="14.25" customHeight="1">
      <c r="A400" s="423" t="s">
        <v>84</v>
      </c>
      <c r="B400" s="423" t="s">
        <v>1886</v>
      </c>
      <c r="C400" s="585" t="s">
        <v>2920</v>
      </c>
      <c r="D400" s="582" t="s">
        <v>3029</v>
      </c>
      <c r="E400" s="134"/>
      <c r="F400" s="134"/>
      <c r="G400" s="586" t="s">
        <v>3067</v>
      </c>
      <c r="H400" s="586" t="s">
        <v>778</v>
      </c>
      <c r="I400" s="581" t="s">
        <v>3069</v>
      </c>
      <c r="J400" s="134"/>
      <c r="K400" s="585" t="s">
        <v>95</v>
      </c>
      <c r="L400" s="361"/>
      <c r="M400" s="582" t="s">
        <v>2924</v>
      </c>
      <c r="N400" s="594"/>
      <c r="O400" s="594"/>
      <c r="P400" s="361">
        <v>9.403208E9</v>
      </c>
      <c r="Q400" s="498">
        <v>90.30172413793105</v>
      </c>
      <c r="R400" s="592" t="s">
        <v>10</v>
      </c>
      <c r="S400" s="49"/>
      <c r="T400" s="224">
        <v>301.00574712643686</v>
      </c>
      <c r="U400" s="224">
        <v>180.60344827586212</v>
      </c>
      <c r="V400" s="224">
        <v>150.50287356321843</v>
      </c>
      <c r="W400" s="224">
        <v>120.40229885057475</v>
      </c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</row>
    <row r="401" ht="14.25" customHeight="1">
      <c r="A401" s="423" t="s">
        <v>84</v>
      </c>
      <c r="B401" s="423" t="s">
        <v>1886</v>
      </c>
      <c r="C401" s="585" t="s">
        <v>2920</v>
      </c>
      <c r="D401" s="582" t="s">
        <v>3029</v>
      </c>
      <c r="E401" s="134"/>
      <c r="F401" s="134"/>
      <c r="G401" s="586" t="s">
        <v>3070</v>
      </c>
      <c r="H401" s="586" t="s">
        <v>778</v>
      </c>
      <c r="I401" s="581" t="s">
        <v>3072</v>
      </c>
      <c r="J401" s="134"/>
      <c r="K401" s="585" t="s">
        <v>95</v>
      </c>
      <c r="L401" s="361"/>
      <c r="M401" s="582" t="s">
        <v>2924</v>
      </c>
      <c r="N401" s="595"/>
      <c r="O401" s="595"/>
      <c r="P401" s="361">
        <v>9.403208E9</v>
      </c>
      <c r="Q401" s="498">
        <v>13.88888888888889</v>
      </c>
      <c r="R401" s="592" t="s">
        <v>10</v>
      </c>
      <c r="S401" s="49"/>
      <c r="T401" s="224">
        <v>46.2962962962963</v>
      </c>
      <c r="U401" s="224">
        <v>27.77777777777778</v>
      </c>
      <c r="V401" s="224">
        <v>23.14814814814815</v>
      </c>
      <c r="W401" s="224">
        <v>18.51851851851852</v>
      </c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</row>
    <row r="402" ht="14.25" customHeight="1">
      <c r="A402" s="423" t="s">
        <v>84</v>
      </c>
      <c r="B402" s="423" t="s">
        <v>1886</v>
      </c>
      <c r="C402" s="585" t="s">
        <v>3074</v>
      </c>
      <c r="D402" s="582" t="s">
        <v>3029</v>
      </c>
      <c r="E402" s="134" t="s">
        <v>3075</v>
      </c>
      <c r="F402" s="134" t="s">
        <v>3076</v>
      </c>
      <c r="G402" s="583" t="s">
        <v>3077</v>
      </c>
      <c r="H402" s="583" t="s">
        <v>4221</v>
      </c>
      <c r="I402" s="581" t="s">
        <v>3079</v>
      </c>
      <c r="J402" s="134"/>
      <c r="K402" s="585" t="s">
        <v>147</v>
      </c>
      <c r="L402" s="361"/>
      <c r="M402" s="582" t="s">
        <v>3081</v>
      </c>
      <c r="N402" s="361"/>
      <c r="O402" s="361"/>
      <c r="P402" s="361">
        <v>9.403208E9</v>
      </c>
      <c r="Q402" s="498">
        <v>214.04109589041101</v>
      </c>
      <c r="R402" s="592" t="s">
        <v>10</v>
      </c>
      <c r="S402" s="49"/>
      <c r="T402" s="224">
        <v>713.4703196347034</v>
      </c>
      <c r="U402" s="224">
        <v>428.08219178082203</v>
      </c>
      <c r="V402" s="224">
        <v>356.7351598173517</v>
      </c>
      <c r="W402" s="224">
        <v>285.3881278538814</v>
      </c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</row>
    <row r="403" ht="14.25" customHeight="1">
      <c r="A403" s="423" t="s">
        <v>84</v>
      </c>
      <c r="B403" s="423" t="s">
        <v>1886</v>
      </c>
      <c r="C403" s="585" t="s">
        <v>3074</v>
      </c>
      <c r="D403" s="582" t="s">
        <v>3029</v>
      </c>
      <c r="E403" s="134" t="s">
        <v>3082</v>
      </c>
      <c r="F403" s="134" t="s">
        <v>3076</v>
      </c>
      <c r="G403" s="583" t="s">
        <v>3083</v>
      </c>
      <c r="H403" s="583" t="s">
        <v>4222</v>
      </c>
      <c r="I403" s="581" t="s">
        <v>3085</v>
      </c>
      <c r="J403" s="134"/>
      <c r="K403" s="585" t="s">
        <v>147</v>
      </c>
      <c r="L403" s="361"/>
      <c r="M403" s="582" t="s">
        <v>3081</v>
      </c>
      <c r="N403" s="361"/>
      <c r="O403" s="361"/>
      <c r="P403" s="361">
        <v>9.403208E9</v>
      </c>
      <c r="Q403" s="498">
        <v>228.80255077940484</v>
      </c>
      <c r="R403" s="592" t="s">
        <v>10</v>
      </c>
      <c r="S403" s="49"/>
      <c r="T403" s="224">
        <v>762.6751692646828</v>
      </c>
      <c r="U403" s="224">
        <v>457.6051015588097</v>
      </c>
      <c r="V403" s="224">
        <v>381.3375846323414</v>
      </c>
      <c r="W403" s="224">
        <v>305.07006770587316</v>
      </c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</row>
    <row r="404" ht="14.25" customHeight="1">
      <c r="A404" s="423" t="s">
        <v>84</v>
      </c>
      <c r="B404" s="423" t="s">
        <v>1886</v>
      </c>
      <c r="C404" s="585" t="s">
        <v>3074</v>
      </c>
      <c r="D404" s="582" t="s">
        <v>3029</v>
      </c>
      <c r="E404" s="134" t="s">
        <v>3086</v>
      </c>
      <c r="F404" s="134" t="s">
        <v>3076</v>
      </c>
      <c r="G404" s="583" t="s">
        <v>3087</v>
      </c>
      <c r="H404" s="583" t="s">
        <v>4223</v>
      </c>
      <c r="I404" s="581" t="s">
        <v>3089</v>
      </c>
      <c r="J404" s="134"/>
      <c r="K404" s="585" t="s">
        <v>147</v>
      </c>
      <c r="L404" s="361"/>
      <c r="M404" s="582" t="s">
        <v>3081</v>
      </c>
      <c r="N404" s="361"/>
      <c r="O404" s="361"/>
      <c r="P404" s="361">
        <v>9.403208E9</v>
      </c>
      <c r="Q404" s="498">
        <v>243.5640056683987</v>
      </c>
      <c r="R404" s="592" t="s">
        <v>10</v>
      </c>
      <c r="S404" s="49"/>
      <c r="T404" s="224">
        <v>811.8800188946624</v>
      </c>
      <c r="U404" s="224">
        <v>487.1280113367974</v>
      </c>
      <c r="V404" s="224">
        <v>405.9400094473312</v>
      </c>
      <c r="W404" s="224">
        <v>324.752007557865</v>
      </c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</row>
    <row r="405" ht="14.25" customHeight="1">
      <c r="A405" s="423" t="s">
        <v>84</v>
      </c>
      <c r="B405" s="423" t="s">
        <v>1886</v>
      </c>
      <c r="C405" s="585" t="s">
        <v>3074</v>
      </c>
      <c r="D405" s="582" t="s">
        <v>3029</v>
      </c>
      <c r="E405" s="134" t="s">
        <v>3090</v>
      </c>
      <c r="F405" s="134" t="s">
        <v>3076</v>
      </c>
      <c r="G405" s="583" t="s">
        <v>3091</v>
      </c>
      <c r="H405" s="583" t="s">
        <v>4224</v>
      </c>
      <c r="I405" s="581" t="s">
        <v>3093</v>
      </c>
      <c r="J405" s="134"/>
      <c r="K405" s="585" t="s">
        <v>147</v>
      </c>
      <c r="L405" s="361"/>
      <c r="M405" s="582" t="s">
        <v>3081</v>
      </c>
      <c r="N405" s="361"/>
      <c r="O405" s="361"/>
      <c r="P405" s="361">
        <v>9.403208E9</v>
      </c>
      <c r="Q405" s="498">
        <v>265.7061880018895</v>
      </c>
      <c r="R405" s="592" t="s">
        <v>10</v>
      </c>
      <c r="S405" s="49"/>
      <c r="T405" s="224">
        <v>885.6872933396317</v>
      </c>
      <c r="U405" s="224">
        <v>531.412376003779</v>
      </c>
      <c r="V405" s="224">
        <v>442.8436466698158</v>
      </c>
      <c r="W405" s="224">
        <v>354.2749173358527</v>
      </c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</row>
    <row r="406" ht="14.25" customHeight="1">
      <c r="A406" s="423" t="s">
        <v>84</v>
      </c>
      <c r="B406" s="423" t="s">
        <v>1886</v>
      </c>
      <c r="C406" s="585" t="s">
        <v>3074</v>
      </c>
      <c r="D406" s="582" t="s">
        <v>3029</v>
      </c>
      <c r="E406" s="134" t="s">
        <v>3094</v>
      </c>
      <c r="F406" s="134" t="s">
        <v>3076</v>
      </c>
      <c r="G406" s="583" t="s">
        <v>3095</v>
      </c>
      <c r="H406" s="583" t="s">
        <v>4225</v>
      </c>
      <c r="I406" s="581" t="s">
        <v>3097</v>
      </c>
      <c r="J406" s="134"/>
      <c r="K406" s="585" t="s">
        <v>147</v>
      </c>
      <c r="L406" s="361"/>
      <c r="M406" s="582" t="s">
        <v>3081</v>
      </c>
      <c r="N406" s="361"/>
      <c r="O406" s="361"/>
      <c r="P406" s="361">
        <v>9.403208E9</v>
      </c>
      <c r="Q406" s="498">
        <v>317.371280113368</v>
      </c>
      <c r="R406" s="592" t="s">
        <v>10</v>
      </c>
      <c r="S406" s="49"/>
      <c r="T406" s="224">
        <v>1057.9042670445601</v>
      </c>
      <c r="U406" s="224">
        <v>634.742560226736</v>
      </c>
      <c r="V406" s="224">
        <v>528.9521335222801</v>
      </c>
      <c r="W406" s="224">
        <v>423.1617068178241</v>
      </c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</row>
    <row r="407" ht="14.25" customHeight="1">
      <c r="A407" s="423" t="s">
        <v>84</v>
      </c>
      <c r="B407" s="423" t="s">
        <v>1886</v>
      </c>
      <c r="C407" s="585" t="s">
        <v>3074</v>
      </c>
      <c r="D407" s="582" t="s">
        <v>3029</v>
      </c>
      <c r="E407" s="134" t="s">
        <v>3094</v>
      </c>
      <c r="F407" s="134" t="s">
        <v>3076</v>
      </c>
      <c r="G407" s="583" t="s">
        <v>3098</v>
      </c>
      <c r="H407" s="583" t="s">
        <v>4226</v>
      </c>
      <c r="I407" s="581" t="s">
        <v>3100</v>
      </c>
      <c r="J407" s="134"/>
      <c r="K407" s="585" t="s">
        <v>147</v>
      </c>
      <c r="L407" s="361"/>
      <c r="M407" s="582" t="s">
        <v>3081</v>
      </c>
      <c r="N407" s="361"/>
      <c r="O407" s="361"/>
      <c r="P407" s="361">
        <v>9.403208E9</v>
      </c>
      <c r="Q407" s="498">
        <v>249.46858762399626</v>
      </c>
      <c r="R407" s="592" t="s">
        <v>10</v>
      </c>
      <c r="S407" s="49"/>
      <c r="T407" s="224">
        <v>831.5619587466542</v>
      </c>
      <c r="U407" s="224">
        <v>498.9371752479925</v>
      </c>
      <c r="V407" s="224">
        <v>415.7809793733271</v>
      </c>
      <c r="W407" s="224">
        <v>332.6247834986617</v>
      </c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</row>
    <row r="408" ht="14.25" customHeight="1">
      <c r="A408" s="423" t="s">
        <v>84</v>
      </c>
      <c r="B408" s="423" t="s">
        <v>1886</v>
      </c>
      <c r="C408" s="585" t="s">
        <v>3074</v>
      </c>
      <c r="D408" s="582" t="s">
        <v>3029</v>
      </c>
      <c r="E408" s="134" t="s">
        <v>3075</v>
      </c>
      <c r="F408" s="134" t="s">
        <v>3101</v>
      </c>
      <c r="G408" s="583" t="s">
        <v>3102</v>
      </c>
      <c r="H408" s="583" t="s">
        <v>4227</v>
      </c>
      <c r="I408" s="581" t="s">
        <v>3104</v>
      </c>
      <c r="J408" s="134"/>
      <c r="K408" s="585" t="s">
        <v>147</v>
      </c>
      <c r="L408" s="361"/>
      <c r="M408" s="582" t="s">
        <v>3081</v>
      </c>
      <c r="N408" s="361"/>
      <c r="O408" s="361"/>
      <c r="P408" s="361">
        <v>9.403208E9</v>
      </c>
      <c r="Q408" s="498">
        <v>250.94473311289562</v>
      </c>
      <c r="R408" s="592" t="s">
        <v>10</v>
      </c>
      <c r="S408" s="49"/>
      <c r="T408" s="224">
        <v>836.4824437096521</v>
      </c>
      <c r="U408" s="224">
        <v>501.88946622579124</v>
      </c>
      <c r="V408" s="224">
        <v>418.24122185482605</v>
      </c>
      <c r="W408" s="224">
        <v>334.59297748386086</v>
      </c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</row>
    <row r="409" ht="14.25" customHeight="1">
      <c r="A409" s="423" t="s">
        <v>84</v>
      </c>
      <c r="B409" s="423" t="s">
        <v>1886</v>
      </c>
      <c r="C409" s="585" t="s">
        <v>3074</v>
      </c>
      <c r="D409" s="582" t="s">
        <v>3029</v>
      </c>
      <c r="E409" s="134" t="s">
        <v>3082</v>
      </c>
      <c r="F409" s="134" t="s">
        <v>3101</v>
      </c>
      <c r="G409" s="583" t="s">
        <v>4228</v>
      </c>
      <c r="H409" s="583" t="s">
        <v>4229</v>
      </c>
      <c r="I409" s="581" t="s">
        <v>3107</v>
      </c>
      <c r="J409" s="134"/>
      <c r="K409" s="585" t="s">
        <v>147</v>
      </c>
      <c r="L409" s="361"/>
      <c r="M409" s="582" t="s">
        <v>3081</v>
      </c>
      <c r="N409" s="361"/>
      <c r="O409" s="361"/>
      <c r="P409" s="361">
        <v>9.403208E9</v>
      </c>
      <c r="Q409" s="498">
        <v>265.7061880018895</v>
      </c>
      <c r="R409" s="592" t="s">
        <v>10</v>
      </c>
      <c r="S409" s="49"/>
      <c r="T409" s="224">
        <v>885.6872933396317</v>
      </c>
      <c r="U409" s="224">
        <v>531.412376003779</v>
      </c>
      <c r="V409" s="224">
        <v>442.8436466698158</v>
      </c>
      <c r="W409" s="224">
        <v>354.2749173358527</v>
      </c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</row>
    <row r="410" ht="14.25" customHeight="1">
      <c r="A410" s="423" t="s">
        <v>84</v>
      </c>
      <c r="B410" s="423" t="s">
        <v>1886</v>
      </c>
      <c r="C410" s="585" t="s">
        <v>3074</v>
      </c>
      <c r="D410" s="582" t="s">
        <v>3029</v>
      </c>
      <c r="E410" s="134" t="s">
        <v>3086</v>
      </c>
      <c r="F410" s="134" t="s">
        <v>3101</v>
      </c>
      <c r="G410" s="583" t="s">
        <v>4230</v>
      </c>
      <c r="H410" s="583" t="s">
        <v>4231</v>
      </c>
      <c r="I410" s="581" t="s">
        <v>3110</v>
      </c>
      <c r="J410" s="134"/>
      <c r="K410" s="585" t="s">
        <v>147</v>
      </c>
      <c r="L410" s="361"/>
      <c r="M410" s="582" t="s">
        <v>3081</v>
      </c>
      <c r="N410" s="361"/>
      <c r="O410" s="361"/>
      <c r="P410" s="361">
        <v>9.403208E9</v>
      </c>
      <c r="Q410" s="498">
        <v>276.03920642418524</v>
      </c>
      <c r="R410" s="592" t="s">
        <v>10</v>
      </c>
      <c r="S410" s="49"/>
      <c r="T410" s="224">
        <v>920.1306880806175</v>
      </c>
      <c r="U410" s="224">
        <v>552.0784128483705</v>
      </c>
      <c r="V410" s="224">
        <v>460.06534404030873</v>
      </c>
      <c r="W410" s="224">
        <v>368.052275232247</v>
      </c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</row>
    <row r="411" ht="14.25" customHeight="1">
      <c r="A411" s="423" t="s">
        <v>84</v>
      </c>
      <c r="B411" s="423" t="s">
        <v>1886</v>
      </c>
      <c r="C411" s="585" t="s">
        <v>3074</v>
      </c>
      <c r="D411" s="582" t="s">
        <v>3029</v>
      </c>
      <c r="E411" s="134" t="s">
        <v>3090</v>
      </c>
      <c r="F411" s="134" t="s">
        <v>3101</v>
      </c>
      <c r="G411" s="583" t="s">
        <v>4232</v>
      </c>
      <c r="H411" s="583" t="s">
        <v>4233</v>
      </c>
      <c r="I411" s="581" t="s">
        <v>3113</v>
      </c>
      <c r="J411" s="134"/>
      <c r="K411" s="585" t="s">
        <v>147</v>
      </c>
      <c r="L411" s="361"/>
      <c r="M411" s="582" t="s">
        <v>3081</v>
      </c>
      <c r="N411" s="361"/>
      <c r="O411" s="361"/>
      <c r="P411" s="361">
        <v>9.403208E9</v>
      </c>
      <c r="Q411" s="498">
        <v>302.60982522437416</v>
      </c>
      <c r="R411" s="592" t="s">
        <v>10</v>
      </c>
      <c r="S411" s="49"/>
      <c r="T411" s="224">
        <v>1008.6994174145806</v>
      </c>
      <c r="U411" s="224">
        <v>605.2196504487483</v>
      </c>
      <c r="V411" s="224">
        <v>504.3497087072903</v>
      </c>
      <c r="W411" s="224">
        <v>403.47976696583225</v>
      </c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</row>
    <row r="412" ht="14.25" customHeight="1">
      <c r="A412" s="423" t="s">
        <v>84</v>
      </c>
      <c r="B412" s="423" t="s">
        <v>1886</v>
      </c>
      <c r="C412" s="585" t="s">
        <v>3074</v>
      </c>
      <c r="D412" s="582" t="s">
        <v>3029</v>
      </c>
      <c r="E412" s="134" t="s">
        <v>3094</v>
      </c>
      <c r="F412" s="134" t="s">
        <v>3101</v>
      </c>
      <c r="G412" s="583" t="s">
        <v>4234</v>
      </c>
      <c r="H412" s="583" t="s">
        <v>4235</v>
      </c>
      <c r="I412" s="581" t="s">
        <v>3116</v>
      </c>
      <c r="J412" s="134"/>
      <c r="K412" s="585" t="s">
        <v>147</v>
      </c>
      <c r="L412" s="361"/>
      <c r="M412" s="582" t="s">
        <v>3081</v>
      </c>
      <c r="N412" s="361"/>
      <c r="O412" s="361"/>
      <c r="P412" s="361">
        <v>9.403208E9</v>
      </c>
      <c r="Q412" s="498">
        <v>339.5134624468588</v>
      </c>
      <c r="R412" s="592" t="s">
        <v>10</v>
      </c>
      <c r="S412" s="49"/>
      <c r="T412" s="224">
        <v>1131.7115414895293</v>
      </c>
      <c r="U412" s="224">
        <v>679.0269248937176</v>
      </c>
      <c r="V412" s="224">
        <v>565.8557707447646</v>
      </c>
      <c r="W412" s="224">
        <v>452.68461659581175</v>
      </c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</row>
    <row r="413" ht="14.25" customHeight="1">
      <c r="A413" s="423" t="s">
        <v>84</v>
      </c>
      <c r="B413" s="423" t="s">
        <v>1886</v>
      </c>
      <c r="C413" s="585" t="s">
        <v>3074</v>
      </c>
      <c r="D413" s="582" t="s">
        <v>3029</v>
      </c>
      <c r="E413" s="134" t="s">
        <v>3094</v>
      </c>
      <c r="F413" s="134" t="s">
        <v>3101</v>
      </c>
      <c r="G413" s="583" t="s">
        <v>3117</v>
      </c>
      <c r="H413" s="583" t="s">
        <v>4236</v>
      </c>
      <c r="I413" s="581" t="s">
        <v>3119</v>
      </c>
      <c r="J413" s="134"/>
      <c r="K413" s="585" t="s">
        <v>147</v>
      </c>
      <c r="L413" s="361"/>
      <c r="M413" s="582" t="s">
        <v>3081</v>
      </c>
      <c r="N413" s="361"/>
      <c r="O413" s="361"/>
      <c r="P413" s="361">
        <v>9.403208E9</v>
      </c>
      <c r="Q413" s="498">
        <v>265.7061880018895</v>
      </c>
      <c r="R413" s="592" t="s">
        <v>10</v>
      </c>
      <c r="S413" s="49"/>
      <c r="T413" s="224">
        <v>885.6872933396317</v>
      </c>
      <c r="U413" s="224">
        <v>531.412376003779</v>
      </c>
      <c r="V413" s="224">
        <v>442.8436466698158</v>
      </c>
      <c r="W413" s="224">
        <v>354.2749173358527</v>
      </c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</row>
    <row r="414" ht="14.25" customHeight="1">
      <c r="A414" s="423" t="s">
        <v>84</v>
      </c>
      <c r="B414" s="423" t="s">
        <v>1886</v>
      </c>
      <c r="C414" s="585" t="s">
        <v>3074</v>
      </c>
      <c r="D414" s="582" t="s">
        <v>3029</v>
      </c>
      <c r="E414" s="134" t="s">
        <v>3094</v>
      </c>
      <c r="F414" s="134" t="s">
        <v>3120</v>
      </c>
      <c r="G414" s="583" t="s">
        <v>3121</v>
      </c>
      <c r="H414" s="583" t="s">
        <v>4237</v>
      </c>
      <c r="I414" s="581" t="s">
        <v>3123</v>
      </c>
      <c r="J414" s="134"/>
      <c r="K414" s="585" t="s">
        <v>147</v>
      </c>
      <c r="L414" s="361"/>
      <c r="M414" s="582" t="s">
        <v>3081</v>
      </c>
      <c r="N414" s="361"/>
      <c r="O414" s="361"/>
      <c r="P414" s="361">
        <v>9.403208E9</v>
      </c>
      <c r="Q414" s="498">
        <v>405.9400094473312</v>
      </c>
      <c r="R414" s="592" t="s">
        <v>10</v>
      </c>
      <c r="S414" s="49"/>
      <c r="T414" s="224">
        <v>1353.1333648244374</v>
      </c>
      <c r="U414" s="224">
        <v>811.8800188946624</v>
      </c>
      <c r="V414" s="224">
        <v>676.5666824122187</v>
      </c>
      <c r="W414" s="224">
        <v>541.253345929775</v>
      </c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</row>
    <row r="415" ht="14.25" customHeight="1">
      <c r="A415" s="423" t="s">
        <v>84</v>
      </c>
      <c r="B415" s="423" t="s">
        <v>1886</v>
      </c>
      <c r="C415" s="585" t="s">
        <v>3074</v>
      </c>
      <c r="D415" s="582" t="s">
        <v>3029</v>
      </c>
      <c r="E415" s="134" t="s">
        <v>3094</v>
      </c>
      <c r="F415" s="134" t="s">
        <v>3124</v>
      </c>
      <c r="G415" s="583" t="s">
        <v>3125</v>
      </c>
      <c r="H415" s="583" t="s">
        <v>4238</v>
      </c>
      <c r="I415" s="581" t="s">
        <v>3127</v>
      </c>
      <c r="J415" s="134"/>
      <c r="K415" s="585" t="s">
        <v>147</v>
      </c>
      <c r="L415" s="361"/>
      <c r="M415" s="582" t="s">
        <v>3081</v>
      </c>
      <c r="N415" s="361"/>
      <c r="O415" s="361"/>
      <c r="P415" s="361">
        <v>9.403208E9</v>
      </c>
      <c r="Q415" s="498">
        <v>361.6556447803496</v>
      </c>
      <c r="R415" s="592" t="s">
        <v>10</v>
      </c>
      <c r="S415" s="49"/>
      <c r="T415" s="224">
        <v>1205.5188159344987</v>
      </c>
      <c r="U415" s="224">
        <v>723.3112895606992</v>
      </c>
      <c r="V415" s="224">
        <v>602.7594079672493</v>
      </c>
      <c r="W415" s="224">
        <v>482.2075263737995</v>
      </c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</row>
    <row r="416" ht="14.25" customHeight="1">
      <c r="A416" s="423" t="s">
        <v>84</v>
      </c>
      <c r="B416" s="423" t="s">
        <v>1886</v>
      </c>
      <c r="C416" s="585" t="s">
        <v>3074</v>
      </c>
      <c r="D416" s="582" t="s">
        <v>3029</v>
      </c>
      <c r="E416" s="134" t="s">
        <v>3094</v>
      </c>
      <c r="F416" s="134" t="s">
        <v>3124</v>
      </c>
      <c r="G416" s="583" t="s">
        <v>3128</v>
      </c>
      <c r="H416" s="583" t="s">
        <v>4239</v>
      </c>
      <c r="I416" s="581" t="s">
        <v>3130</v>
      </c>
      <c r="J416" s="134"/>
      <c r="K416" s="585" t="s">
        <v>147</v>
      </c>
      <c r="L416" s="361"/>
      <c r="M416" s="582" t="s">
        <v>3081</v>
      </c>
      <c r="N416" s="361"/>
      <c r="O416" s="361"/>
      <c r="P416" s="361">
        <v>9.403208E9</v>
      </c>
      <c r="Q416" s="498">
        <v>273.08691544638646</v>
      </c>
      <c r="R416" s="592" t="s">
        <v>10</v>
      </c>
      <c r="S416" s="49"/>
      <c r="T416" s="224">
        <v>910.2897181546216</v>
      </c>
      <c r="U416" s="224">
        <v>546.1738308927729</v>
      </c>
      <c r="V416" s="224">
        <v>455.1448590773108</v>
      </c>
      <c r="W416" s="224">
        <v>364.1158872618487</v>
      </c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</row>
    <row r="417" ht="14.25" customHeight="1">
      <c r="A417" s="423" t="s">
        <v>84</v>
      </c>
      <c r="B417" s="423" t="s">
        <v>1886</v>
      </c>
      <c r="C417" s="585" t="s">
        <v>3074</v>
      </c>
      <c r="D417" s="582" t="s">
        <v>3029</v>
      </c>
      <c r="E417" s="134" t="s">
        <v>3086</v>
      </c>
      <c r="F417" s="134" t="s">
        <v>3134</v>
      </c>
      <c r="G417" s="583" t="s">
        <v>3141</v>
      </c>
      <c r="H417" s="583" t="s">
        <v>4240</v>
      </c>
      <c r="I417" s="581" t="s">
        <v>3143</v>
      </c>
      <c r="J417" s="134"/>
      <c r="K417" s="585" t="s">
        <v>147</v>
      </c>
      <c r="L417" s="361"/>
      <c r="M417" s="582" t="s">
        <v>3081</v>
      </c>
      <c r="N417" s="361"/>
      <c r="O417" s="361"/>
      <c r="P417" s="361">
        <v>9.403208E9</v>
      </c>
      <c r="Q417" s="498">
        <v>333.60888049126123</v>
      </c>
      <c r="R417" s="592" t="s">
        <v>10</v>
      </c>
      <c r="S417" s="49"/>
      <c r="T417" s="224">
        <v>1112.0296016375376</v>
      </c>
      <c r="U417" s="224">
        <v>667.2177609825225</v>
      </c>
      <c r="V417" s="224">
        <v>556.0148008187688</v>
      </c>
      <c r="W417" s="224">
        <v>444.81184065501503</v>
      </c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</row>
    <row r="418" ht="14.25" customHeight="1">
      <c r="A418" s="423" t="s">
        <v>84</v>
      </c>
      <c r="B418" s="423" t="s">
        <v>1886</v>
      </c>
      <c r="C418" s="585" t="s">
        <v>3074</v>
      </c>
      <c r="D418" s="582" t="s">
        <v>3029</v>
      </c>
      <c r="E418" s="134" t="s">
        <v>3090</v>
      </c>
      <c r="F418" s="134" t="s">
        <v>3134</v>
      </c>
      <c r="G418" s="583" t="s">
        <v>3147</v>
      </c>
      <c r="H418" s="583" t="s">
        <v>4241</v>
      </c>
      <c r="I418" s="581" t="s">
        <v>3149</v>
      </c>
      <c r="J418" s="134"/>
      <c r="K418" s="585" t="s">
        <v>147</v>
      </c>
      <c r="L418" s="361"/>
      <c r="M418" s="582" t="s">
        <v>3081</v>
      </c>
      <c r="N418" s="361"/>
      <c r="O418" s="361"/>
      <c r="P418" s="361">
        <v>9.403208E9</v>
      </c>
      <c r="Q418" s="498">
        <v>351.32262635805387</v>
      </c>
      <c r="R418" s="592" t="s">
        <v>10</v>
      </c>
      <c r="S418" s="49"/>
      <c r="T418" s="224">
        <v>1171.075421193513</v>
      </c>
      <c r="U418" s="224">
        <v>702.6452527161077</v>
      </c>
      <c r="V418" s="224">
        <v>585.5377105967565</v>
      </c>
      <c r="W418" s="224">
        <v>468.43016847740523</v>
      </c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</row>
    <row r="419" ht="14.25" customHeight="1">
      <c r="A419" s="423" t="s">
        <v>84</v>
      </c>
      <c r="B419" s="423" t="s">
        <v>1886</v>
      </c>
      <c r="C419" s="585" t="s">
        <v>3074</v>
      </c>
      <c r="D419" s="582" t="s">
        <v>3029</v>
      </c>
      <c r="E419" s="134" t="s">
        <v>3094</v>
      </c>
      <c r="F419" s="134" t="s">
        <v>3134</v>
      </c>
      <c r="G419" s="583" t="s">
        <v>3153</v>
      </c>
      <c r="H419" s="583" t="s">
        <v>4242</v>
      </c>
      <c r="I419" s="581" t="s">
        <v>3155</v>
      </c>
      <c r="J419" s="134"/>
      <c r="K419" s="585" t="s">
        <v>147</v>
      </c>
      <c r="L419" s="361"/>
      <c r="M419" s="582" t="s">
        <v>3081</v>
      </c>
      <c r="N419" s="361"/>
      <c r="O419" s="361"/>
      <c r="P419" s="361">
        <v>9.403208E9</v>
      </c>
      <c r="Q419" s="498">
        <v>391.1785545583373</v>
      </c>
      <c r="R419" s="592" t="s">
        <v>10</v>
      </c>
      <c r="S419" s="49"/>
      <c r="T419" s="224">
        <v>1303.9285151944578</v>
      </c>
      <c r="U419" s="224">
        <v>782.3571091166747</v>
      </c>
      <c r="V419" s="224">
        <v>651.9642575972289</v>
      </c>
      <c r="W419" s="224">
        <v>521.5714060777831</v>
      </c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</row>
    <row r="420" ht="14.25" customHeight="1">
      <c r="A420" s="423" t="s">
        <v>84</v>
      </c>
      <c r="B420" s="423" t="s">
        <v>1886</v>
      </c>
      <c r="C420" s="585" t="s">
        <v>3074</v>
      </c>
      <c r="D420" s="582" t="s">
        <v>3029</v>
      </c>
      <c r="E420" s="134" t="s">
        <v>3094</v>
      </c>
      <c r="F420" s="134" t="s">
        <v>3134</v>
      </c>
      <c r="G420" s="583" t="s">
        <v>3156</v>
      </c>
      <c r="H420" s="583" t="s">
        <v>4243</v>
      </c>
      <c r="I420" s="581" t="s">
        <v>3158</v>
      </c>
      <c r="J420" s="134"/>
      <c r="K420" s="585" t="s">
        <v>147</v>
      </c>
      <c r="L420" s="361"/>
      <c r="M420" s="582" t="s">
        <v>3081</v>
      </c>
      <c r="N420" s="361"/>
      <c r="O420" s="361"/>
      <c r="P420" s="361">
        <v>9.403208E9</v>
      </c>
      <c r="Q420" s="498">
        <v>309.9905526688711</v>
      </c>
      <c r="R420" s="592" t="s">
        <v>10</v>
      </c>
      <c r="S420" s="49"/>
      <c r="T420" s="224">
        <v>1033.3018422295704</v>
      </c>
      <c r="U420" s="224">
        <v>619.9811053377422</v>
      </c>
      <c r="V420" s="224">
        <v>516.6509211147852</v>
      </c>
      <c r="W420" s="224">
        <v>413.3207368918282</v>
      </c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</row>
    <row r="421" ht="14.25" customHeight="1">
      <c r="A421" s="423" t="s">
        <v>84</v>
      </c>
      <c r="B421" s="423" t="s">
        <v>1886</v>
      </c>
      <c r="C421" s="585" t="s">
        <v>3074</v>
      </c>
      <c r="D421" s="582" t="s">
        <v>3029</v>
      </c>
      <c r="E421" s="134" t="s">
        <v>3094</v>
      </c>
      <c r="F421" s="134" t="s">
        <v>3159</v>
      </c>
      <c r="G421" s="583" t="s">
        <v>3160</v>
      </c>
      <c r="H421" s="583" t="s">
        <v>4244</v>
      </c>
      <c r="I421" s="581" t="s">
        <v>3162</v>
      </c>
      <c r="J421" s="134"/>
      <c r="K421" s="585" t="s">
        <v>147</v>
      </c>
      <c r="L421" s="361"/>
      <c r="M421" s="582" t="s">
        <v>3081</v>
      </c>
      <c r="N421" s="361"/>
      <c r="O421" s="361"/>
      <c r="P421" s="361">
        <v>9.403208E9</v>
      </c>
      <c r="Q421" s="498">
        <v>442.8436466698159</v>
      </c>
      <c r="R421" s="592" t="s">
        <v>10</v>
      </c>
      <c r="S421" s="49"/>
      <c r="T421" s="224">
        <v>1476.1454888993862</v>
      </c>
      <c r="U421" s="224">
        <v>885.6872933396318</v>
      </c>
      <c r="V421" s="224">
        <v>738.0727444496931</v>
      </c>
      <c r="W421" s="224">
        <v>590.4581955597545</v>
      </c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</row>
    <row r="422" ht="14.25" customHeight="1">
      <c r="A422" s="423" t="s">
        <v>84</v>
      </c>
      <c r="B422" s="423" t="s">
        <v>1886</v>
      </c>
      <c r="C422" s="585" t="s">
        <v>3074</v>
      </c>
      <c r="D422" s="582" t="s">
        <v>3029</v>
      </c>
      <c r="E422" s="134" t="s">
        <v>3094</v>
      </c>
      <c r="F422" s="134" t="s">
        <v>3159</v>
      </c>
      <c r="G422" s="583" t="s">
        <v>3131</v>
      </c>
      <c r="H422" s="583" t="s">
        <v>4245</v>
      </c>
      <c r="I422" s="581" t="s">
        <v>3133</v>
      </c>
      <c r="J422" s="134"/>
      <c r="K422" s="585" t="s">
        <v>147</v>
      </c>
      <c r="L422" s="361"/>
      <c r="M422" s="582" t="s">
        <v>3081</v>
      </c>
      <c r="N422" s="361"/>
      <c r="O422" s="361"/>
      <c r="P422" s="361">
        <v>9.403208E9</v>
      </c>
      <c r="Q422" s="498">
        <v>361.6556447803496</v>
      </c>
      <c r="R422" s="592" t="s">
        <v>10</v>
      </c>
      <c r="S422" s="49"/>
      <c r="T422" s="224">
        <v>1205.5188159344987</v>
      </c>
      <c r="U422" s="224">
        <v>723.3112895606992</v>
      </c>
      <c r="V422" s="224">
        <v>602.7594079672493</v>
      </c>
      <c r="W422" s="224">
        <v>482.2075263737995</v>
      </c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</row>
    <row r="423" ht="14.25" customHeight="1">
      <c r="A423" s="423" t="s">
        <v>84</v>
      </c>
      <c r="B423" s="423" t="s">
        <v>1886</v>
      </c>
      <c r="C423" s="585" t="s">
        <v>3074</v>
      </c>
      <c r="D423" s="582" t="s">
        <v>3029</v>
      </c>
      <c r="E423" s="134"/>
      <c r="F423" s="134"/>
      <c r="G423" s="583" t="s">
        <v>3167</v>
      </c>
      <c r="H423" s="583" t="s">
        <v>778</v>
      </c>
      <c r="I423" s="581" t="s">
        <v>3169</v>
      </c>
      <c r="J423" s="134"/>
      <c r="K423" s="585" t="s">
        <v>147</v>
      </c>
      <c r="L423" s="361"/>
      <c r="M423" s="582" t="s">
        <v>3081</v>
      </c>
      <c r="N423" s="361"/>
      <c r="O423" s="361"/>
      <c r="P423" s="361">
        <v>9.403208E9</v>
      </c>
      <c r="Q423" s="498">
        <v>0.0</v>
      </c>
      <c r="R423" s="592" t="s">
        <v>10</v>
      </c>
      <c r="S423" s="49"/>
      <c r="T423" s="224">
        <v>0.0</v>
      </c>
      <c r="U423" s="224">
        <v>0.0</v>
      </c>
      <c r="V423" s="224">
        <v>0.0</v>
      </c>
      <c r="W423" s="224">
        <v>0.0</v>
      </c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</row>
    <row r="424" ht="14.25" customHeight="1">
      <c r="A424" s="423" t="s">
        <v>84</v>
      </c>
      <c r="B424" s="423" t="s">
        <v>1886</v>
      </c>
      <c r="C424" s="585" t="s">
        <v>3074</v>
      </c>
      <c r="D424" s="582" t="s">
        <v>3029</v>
      </c>
      <c r="E424" s="134"/>
      <c r="F424" s="134"/>
      <c r="G424" s="583" t="s">
        <v>3170</v>
      </c>
      <c r="H424" s="583" t="s">
        <v>778</v>
      </c>
      <c r="I424" s="581" t="s">
        <v>3172</v>
      </c>
      <c r="J424" s="134"/>
      <c r="K424" s="585" t="s">
        <v>147</v>
      </c>
      <c r="L424" s="361"/>
      <c r="M424" s="582" t="s">
        <v>3081</v>
      </c>
      <c r="N424" s="361"/>
      <c r="O424" s="361"/>
      <c r="P424" s="361">
        <v>9.403208E9</v>
      </c>
      <c r="Q424" s="498">
        <v>0.0</v>
      </c>
      <c r="R424" s="592" t="s">
        <v>10</v>
      </c>
      <c r="S424" s="49"/>
      <c r="T424" s="224">
        <v>0.0</v>
      </c>
      <c r="U424" s="224">
        <v>0.0</v>
      </c>
      <c r="V424" s="224">
        <v>0.0</v>
      </c>
      <c r="W424" s="224">
        <v>0.0</v>
      </c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</row>
    <row r="425" ht="14.25" customHeight="1">
      <c r="A425" s="423" t="s">
        <v>84</v>
      </c>
      <c r="B425" s="423" t="s">
        <v>1886</v>
      </c>
      <c r="C425" s="585" t="s">
        <v>3074</v>
      </c>
      <c r="D425" s="582" t="s">
        <v>3029</v>
      </c>
      <c r="E425" s="134"/>
      <c r="F425" s="134"/>
      <c r="G425" s="583" t="s">
        <v>3173</v>
      </c>
      <c r="H425" s="583" t="s">
        <v>778</v>
      </c>
      <c r="I425" s="581" t="s">
        <v>3175</v>
      </c>
      <c r="J425" s="134"/>
      <c r="K425" s="585" t="s">
        <v>147</v>
      </c>
      <c r="L425" s="361"/>
      <c r="M425" s="582" t="s">
        <v>3081</v>
      </c>
      <c r="N425" s="361"/>
      <c r="O425" s="361"/>
      <c r="P425" s="361">
        <v>9.403208E9</v>
      </c>
      <c r="Q425" s="498">
        <v>0.0</v>
      </c>
      <c r="R425" s="592" t="s">
        <v>10</v>
      </c>
      <c r="S425" s="49"/>
      <c r="T425" s="224">
        <v>0.0</v>
      </c>
      <c r="U425" s="224">
        <v>0.0</v>
      </c>
      <c r="V425" s="224">
        <v>0.0</v>
      </c>
      <c r="W425" s="224">
        <v>0.0</v>
      </c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</row>
    <row r="426" ht="14.25" customHeight="1">
      <c r="A426" s="423" t="s">
        <v>84</v>
      </c>
      <c r="B426" s="423" t="s">
        <v>1886</v>
      </c>
      <c r="C426" s="585" t="s">
        <v>3074</v>
      </c>
      <c r="D426" s="582" t="s">
        <v>3029</v>
      </c>
      <c r="E426" s="134"/>
      <c r="F426" s="134"/>
      <c r="G426" s="583" t="s">
        <v>3176</v>
      </c>
      <c r="H426" s="583" t="s">
        <v>778</v>
      </c>
      <c r="I426" s="581" t="s">
        <v>3178</v>
      </c>
      <c r="J426" s="134"/>
      <c r="K426" s="585" t="s">
        <v>147</v>
      </c>
      <c r="L426" s="361"/>
      <c r="M426" s="582" t="s">
        <v>3081</v>
      </c>
      <c r="N426" s="361"/>
      <c r="O426" s="361"/>
      <c r="P426" s="361">
        <v>9.403208E9</v>
      </c>
      <c r="Q426" s="498">
        <v>0.0</v>
      </c>
      <c r="R426" s="592" t="s">
        <v>10</v>
      </c>
      <c r="S426" s="49"/>
      <c r="T426" s="224">
        <v>0.0</v>
      </c>
      <c r="U426" s="224">
        <v>0.0</v>
      </c>
      <c r="V426" s="224">
        <v>0.0</v>
      </c>
      <c r="W426" s="224">
        <v>0.0</v>
      </c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</row>
    <row r="427" ht="14.25" customHeight="1">
      <c r="A427" s="423" t="s">
        <v>84</v>
      </c>
      <c r="B427" s="423" t="s">
        <v>1886</v>
      </c>
      <c r="C427" s="585" t="s">
        <v>3074</v>
      </c>
      <c r="D427" s="582" t="s">
        <v>3029</v>
      </c>
      <c r="E427" s="134"/>
      <c r="F427" s="134"/>
      <c r="G427" s="583" t="s">
        <v>3179</v>
      </c>
      <c r="H427" s="583" t="s">
        <v>778</v>
      </c>
      <c r="I427" s="581" t="s">
        <v>3181</v>
      </c>
      <c r="J427" s="134"/>
      <c r="K427" s="585" t="s">
        <v>147</v>
      </c>
      <c r="L427" s="361"/>
      <c r="M427" s="582" t="s">
        <v>3081</v>
      </c>
      <c r="N427" s="361"/>
      <c r="O427" s="361"/>
      <c r="P427" s="361">
        <v>9.403208E9</v>
      </c>
      <c r="Q427" s="498">
        <v>0.0</v>
      </c>
      <c r="R427" s="592" t="s">
        <v>10</v>
      </c>
      <c r="S427" s="49"/>
      <c r="T427" s="224">
        <v>0.0</v>
      </c>
      <c r="U427" s="224">
        <v>0.0</v>
      </c>
      <c r="V427" s="224">
        <v>0.0</v>
      </c>
      <c r="W427" s="224">
        <v>0.0</v>
      </c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</row>
    <row r="428" ht="14.25" customHeight="1">
      <c r="A428" s="423" t="s">
        <v>84</v>
      </c>
      <c r="B428" s="423" t="s">
        <v>1886</v>
      </c>
      <c r="C428" s="585" t="s">
        <v>3074</v>
      </c>
      <c r="D428" s="582" t="s">
        <v>3029</v>
      </c>
      <c r="E428" s="134"/>
      <c r="F428" s="134"/>
      <c r="G428" s="583" t="s">
        <v>3182</v>
      </c>
      <c r="H428" s="583" t="s">
        <v>778</v>
      </c>
      <c r="I428" s="581" t="s">
        <v>3184</v>
      </c>
      <c r="J428" s="134"/>
      <c r="K428" s="585" t="s">
        <v>147</v>
      </c>
      <c r="L428" s="361"/>
      <c r="M428" s="582" t="s">
        <v>3081</v>
      </c>
      <c r="N428" s="361"/>
      <c r="O428" s="361"/>
      <c r="P428" s="361">
        <v>9.403208E9</v>
      </c>
      <c r="Q428" s="498">
        <v>0.0</v>
      </c>
      <c r="R428" s="592" t="s">
        <v>10</v>
      </c>
      <c r="S428" s="49"/>
      <c r="T428" s="224">
        <v>0.0</v>
      </c>
      <c r="U428" s="224">
        <v>0.0</v>
      </c>
      <c r="V428" s="224">
        <v>0.0</v>
      </c>
      <c r="W428" s="224">
        <v>0.0</v>
      </c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</row>
    <row r="429" ht="14.25" customHeight="1">
      <c r="A429" s="423" t="s">
        <v>84</v>
      </c>
      <c r="B429" s="423" t="s">
        <v>1886</v>
      </c>
      <c r="C429" s="585" t="s">
        <v>3074</v>
      </c>
      <c r="D429" s="582" t="s">
        <v>3185</v>
      </c>
      <c r="E429" s="134" t="s">
        <v>3075</v>
      </c>
      <c r="F429" s="134" t="s">
        <v>3076</v>
      </c>
      <c r="G429" s="583" t="s">
        <v>3186</v>
      </c>
      <c r="H429" s="583" t="s">
        <v>4246</v>
      </c>
      <c r="I429" s="581" t="s">
        <v>3188</v>
      </c>
      <c r="J429" s="134"/>
      <c r="K429" s="585" t="s">
        <v>147</v>
      </c>
      <c r="L429" s="361"/>
      <c r="M429" s="582" t="s">
        <v>3081</v>
      </c>
      <c r="N429" s="361"/>
      <c r="O429" s="361"/>
      <c r="P429" s="361">
        <v>9.403208E9</v>
      </c>
      <c r="Q429" s="498">
        <v>251.43678160919538</v>
      </c>
      <c r="R429" s="592" t="s">
        <v>10</v>
      </c>
      <c r="S429" s="49"/>
      <c r="T429" s="224">
        <v>838.1226053639846</v>
      </c>
      <c r="U429" s="224">
        <v>502.8735632183907</v>
      </c>
      <c r="V429" s="224">
        <v>419.0613026819923</v>
      </c>
      <c r="W429" s="224">
        <v>335.2490421455939</v>
      </c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</row>
    <row r="430" ht="14.25" customHeight="1">
      <c r="A430" s="423" t="s">
        <v>84</v>
      </c>
      <c r="B430" s="423" t="s">
        <v>1886</v>
      </c>
      <c r="C430" s="585" t="s">
        <v>3074</v>
      </c>
      <c r="D430" s="582" t="s">
        <v>3185</v>
      </c>
      <c r="E430" s="134" t="s">
        <v>3082</v>
      </c>
      <c r="F430" s="134" t="s">
        <v>3076</v>
      </c>
      <c r="G430" s="583" t="s">
        <v>3189</v>
      </c>
      <c r="H430" s="583" t="s">
        <v>4247</v>
      </c>
      <c r="I430" s="581" t="s">
        <v>3191</v>
      </c>
      <c r="J430" s="134"/>
      <c r="K430" s="585" t="s">
        <v>147</v>
      </c>
      <c r="L430" s="361"/>
      <c r="M430" s="582" t="s">
        <v>3081</v>
      </c>
      <c r="N430" s="361"/>
      <c r="O430" s="361"/>
      <c r="P430" s="361">
        <v>9.403208E9</v>
      </c>
      <c r="Q430" s="498">
        <v>258.62068965517244</v>
      </c>
      <c r="R430" s="592" t="s">
        <v>10</v>
      </c>
      <c r="S430" s="49"/>
      <c r="T430" s="224">
        <v>862.0689655172415</v>
      </c>
      <c r="U430" s="224">
        <v>517.2413793103449</v>
      </c>
      <c r="V430" s="224">
        <v>431.03448275862075</v>
      </c>
      <c r="W430" s="224">
        <v>344.8275862068966</v>
      </c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</row>
    <row r="431" ht="14.25" customHeight="1">
      <c r="A431" s="423" t="s">
        <v>84</v>
      </c>
      <c r="B431" s="423" t="s">
        <v>1886</v>
      </c>
      <c r="C431" s="585" t="s">
        <v>3074</v>
      </c>
      <c r="D431" s="582" t="s">
        <v>3185</v>
      </c>
      <c r="E431" s="134" t="s">
        <v>3086</v>
      </c>
      <c r="F431" s="134" t="s">
        <v>3076</v>
      </c>
      <c r="G431" s="583" t="s">
        <v>3192</v>
      </c>
      <c r="H431" s="583" t="s">
        <v>4248</v>
      </c>
      <c r="I431" s="581" t="s">
        <v>3194</v>
      </c>
      <c r="J431" s="134"/>
      <c r="K431" s="585" t="s">
        <v>147</v>
      </c>
      <c r="L431" s="361"/>
      <c r="M431" s="582" t="s">
        <v>3081</v>
      </c>
      <c r="N431" s="361"/>
      <c r="O431" s="361"/>
      <c r="P431" s="361">
        <v>9.403208E9</v>
      </c>
      <c r="Q431" s="498">
        <v>272.98850574712645</v>
      </c>
      <c r="R431" s="592" t="s">
        <v>10</v>
      </c>
      <c r="S431" s="49"/>
      <c r="T431" s="224">
        <v>909.9616858237549</v>
      </c>
      <c r="U431" s="224">
        <v>545.9770114942529</v>
      </c>
      <c r="V431" s="224">
        <v>454.98084291187746</v>
      </c>
      <c r="W431" s="224">
        <v>363.984674329502</v>
      </c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</row>
    <row r="432" ht="14.25" customHeight="1">
      <c r="A432" s="423" t="s">
        <v>84</v>
      </c>
      <c r="B432" s="423" t="s">
        <v>1886</v>
      </c>
      <c r="C432" s="585" t="s">
        <v>3074</v>
      </c>
      <c r="D432" s="582" t="s">
        <v>3185</v>
      </c>
      <c r="E432" s="134" t="s">
        <v>3090</v>
      </c>
      <c r="F432" s="134" t="s">
        <v>3076</v>
      </c>
      <c r="G432" s="583" t="s">
        <v>3195</v>
      </c>
      <c r="H432" s="583" t="s">
        <v>4249</v>
      </c>
      <c r="I432" s="581" t="s">
        <v>3197</v>
      </c>
      <c r="J432" s="134"/>
      <c r="K432" s="585" t="s">
        <v>147</v>
      </c>
      <c r="L432" s="361"/>
      <c r="M432" s="582" t="s">
        <v>3081</v>
      </c>
      <c r="N432" s="361"/>
      <c r="O432" s="361"/>
      <c r="P432" s="361">
        <v>9.403208E9</v>
      </c>
      <c r="Q432" s="498">
        <v>301.7241379310345</v>
      </c>
      <c r="R432" s="592" t="s">
        <v>10</v>
      </c>
      <c r="S432" s="49"/>
      <c r="T432" s="224">
        <v>1005.7471264367816</v>
      </c>
      <c r="U432" s="224">
        <v>603.448275862069</v>
      </c>
      <c r="V432" s="224">
        <v>502.8735632183908</v>
      </c>
      <c r="W432" s="224">
        <v>402.2988505747127</v>
      </c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</row>
    <row r="433" ht="14.25" customHeight="1">
      <c r="A433" s="423" t="s">
        <v>84</v>
      </c>
      <c r="B433" s="423" t="s">
        <v>1886</v>
      </c>
      <c r="C433" s="585" t="s">
        <v>3074</v>
      </c>
      <c r="D433" s="582" t="s">
        <v>3185</v>
      </c>
      <c r="E433" s="134" t="s">
        <v>3094</v>
      </c>
      <c r="F433" s="134" t="s">
        <v>3076</v>
      </c>
      <c r="G433" s="583" t="s">
        <v>3198</v>
      </c>
      <c r="H433" s="583" t="s">
        <v>4250</v>
      </c>
      <c r="I433" s="581" t="s">
        <v>3200</v>
      </c>
      <c r="J433" s="134"/>
      <c r="K433" s="585" t="s">
        <v>147</v>
      </c>
      <c r="L433" s="361"/>
      <c r="M433" s="582" t="s">
        <v>3081</v>
      </c>
      <c r="N433" s="361"/>
      <c r="O433" s="361"/>
      <c r="P433" s="361">
        <v>9.403208E9</v>
      </c>
      <c r="Q433" s="498">
        <v>352.01149425287355</v>
      </c>
      <c r="R433" s="592" t="s">
        <v>10</v>
      </c>
      <c r="S433" s="49"/>
      <c r="T433" s="224">
        <v>1173.3716475095785</v>
      </c>
      <c r="U433" s="224">
        <v>704.0229885057471</v>
      </c>
      <c r="V433" s="224">
        <v>586.6858237547892</v>
      </c>
      <c r="W433" s="224">
        <v>469.3486590038314</v>
      </c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</row>
    <row r="434" ht="14.25" customHeight="1">
      <c r="A434" s="423" t="s">
        <v>84</v>
      </c>
      <c r="B434" s="423" t="s">
        <v>1886</v>
      </c>
      <c r="C434" s="585" t="s">
        <v>3074</v>
      </c>
      <c r="D434" s="582" t="s">
        <v>3185</v>
      </c>
      <c r="E434" s="134" t="s">
        <v>3075</v>
      </c>
      <c r="F434" s="134" t="s">
        <v>3101</v>
      </c>
      <c r="G434" s="583" t="s">
        <v>3201</v>
      </c>
      <c r="H434" s="583" t="s">
        <v>4251</v>
      </c>
      <c r="I434" s="581" t="s">
        <v>3203</v>
      </c>
      <c r="J434" s="134"/>
      <c r="K434" s="585" t="s">
        <v>147</v>
      </c>
      <c r="L434" s="361"/>
      <c r="M434" s="582" t="s">
        <v>3081</v>
      </c>
      <c r="N434" s="361"/>
      <c r="O434" s="361"/>
      <c r="P434" s="361">
        <v>9.403208E9</v>
      </c>
      <c r="Q434" s="498">
        <v>272.98850574712645</v>
      </c>
      <c r="R434" s="592" t="s">
        <v>10</v>
      </c>
      <c r="S434" s="49"/>
      <c r="T434" s="224">
        <v>909.9616858237549</v>
      </c>
      <c r="U434" s="224">
        <v>545.9770114942529</v>
      </c>
      <c r="V434" s="224">
        <v>454.98084291187746</v>
      </c>
      <c r="W434" s="224">
        <v>363.984674329502</v>
      </c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</row>
    <row r="435" ht="14.25" customHeight="1">
      <c r="A435" s="423" t="s">
        <v>84</v>
      </c>
      <c r="B435" s="423" t="s">
        <v>1886</v>
      </c>
      <c r="C435" s="585" t="s">
        <v>3074</v>
      </c>
      <c r="D435" s="582" t="s">
        <v>3185</v>
      </c>
      <c r="E435" s="134" t="s">
        <v>3086</v>
      </c>
      <c r="F435" s="134" t="s">
        <v>3101</v>
      </c>
      <c r="G435" s="583" t="s">
        <v>3204</v>
      </c>
      <c r="H435" s="583" t="s">
        <v>4252</v>
      </c>
      <c r="I435" s="581" t="s">
        <v>3206</v>
      </c>
      <c r="J435" s="134"/>
      <c r="K435" s="585" t="s">
        <v>147</v>
      </c>
      <c r="L435" s="361"/>
      <c r="M435" s="582" t="s">
        <v>3081</v>
      </c>
      <c r="N435" s="361"/>
      <c r="O435" s="361"/>
      <c r="P435" s="361">
        <v>9.403208E9</v>
      </c>
      <c r="Q435" s="498">
        <v>301.7241379310345</v>
      </c>
      <c r="R435" s="592" t="s">
        <v>10</v>
      </c>
      <c r="S435" s="49"/>
      <c r="T435" s="224">
        <v>1005.7471264367816</v>
      </c>
      <c r="U435" s="224">
        <v>603.448275862069</v>
      </c>
      <c r="V435" s="224">
        <v>502.8735632183908</v>
      </c>
      <c r="W435" s="224">
        <v>402.2988505747127</v>
      </c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</row>
    <row r="436" ht="14.25" customHeight="1">
      <c r="A436" s="423" t="s">
        <v>84</v>
      </c>
      <c r="B436" s="423" t="s">
        <v>1886</v>
      </c>
      <c r="C436" s="585" t="s">
        <v>3074</v>
      </c>
      <c r="D436" s="582" t="s">
        <v>3185</v>
      </c>
      <c r="E436" s="134" t="s">
        <v>3094</v>
      </c>
      <c r="F436" s="134" t="s">
        <v>3101</v>
      </c>
      <c r="G436" s="583" t="s">
        <v>3207</v>
      </c>
      <c r="H436" s="583" t="s">
        <v>4253</v>
      </c>
      <c r="I436" s="581" t="s">
        <v>3209</v>
      </c>
      <c r="J436" s="134"/>
      <c r="K436" s="585" t="s">
        <v>147</v>
      </c>
      <c r="L436" s="361"/>
      <c r="M436" s="582" t="s">
        <v>3081</v>
      </c>
      <c r="N436" s="361"/>
      <c r="O436" s="361"/>
      <c r="P436" s="361">
        <v>9.403208E9</v>
      </c>
      <c r="Q436" s="498">
        <v>380.7471264367816</v>
      </c>
      <c r="R436" s="592" t="s">
        <v>10</v>
      </c>
      <c r="S436" s="49"/>
      <c r="T436" s="224">
        <v>1269.1570881226055</v>
      </c>
      <c r="U436" s="224">
        <v>761.4942528735633</v>
      </c>
      <c r="V436" s="224">
        <v>634.5785440613028</v>
      </c>
      <c r="W436" s="224">
        <v>507.66283524904225</v>
      </c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</row>
    <row r="437" ht="14.25" customHeight="1">
      <c r="A437" s="423" t="s">
        <v>84</v>
      </c>
      <c r="B437" s="423" t="s">
        <v>1886</v>
      </c>
      <c r="C437" s="585" t="s">
        <v>3074</v>
      </c>
      <c r="D437" s="582" t="s">
        <v>3185</v>
      </c>
      <c r="E437" s="134" t="s">
        <v>3094</v>
      </c>
      <c r="F437" s="134" t="s">
        <v>3120</v>
      </c>
      <c r="G437" s="583" t="s">
        <v>3210</v>
      </c>
      <c r="H437" s="583" t="s">
        <v>4254</v>
      </c>
      <c r="I437" s="581" t="s">
        <v>3212</v>
      </c>
      <c r="J437" s="134"/>
      <c r="K437" s="585" t="s">
        <v>147</v>
      </c>
      <c r="L437" s="361"/>
      <c r="M437" s="582" t="s">
        <v>3081</v>
      </c>
      <c r="N437" s="361"/>
      <c r="O437" s="361"/>
      <c r="P437" s="361">
        <v>9.403208E9</v>
      </c>
      <c r="Q437" s="498">
        <v>416.66666666666674</v>
      </c>
      <c r="R437" s="592" t="s">
        <v>10</v>
      </c>
      <c r="S437" s="49"/>
      <c r="T437" s="224">
        <v>1388.8888888888891</v>
      </c>
      <c r="U437" s="224">
        <v>833.3333333333335</v>
      </c>
      <c r="V437" s="224">
        <v>694.4444444444446</v>
      </c>
      <c r="W437" s="224">
        <v>555.5555555555557</v>
      </c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</row>
    <row r="438" ht="14.25" customHeight="1">
      <c r="A438" s="423" t="s">
        <v>84</v>
      </c>
      <c r="B438" s="423" t="s">
        <v>1886</v>
      </c>
      <c r="C438" s="585" t="s">
        <v>3074</v>
      </c>
      <c r="D438" s="582" t="s">
        <v>3185</v>
      </c>
      <c r="E438" s="134" t="s">
        <v>3075</v>
      </c>
      <c r="F438" s="134" t="s">
        <v>3076</v>
      </c>
      <c r="G438" s="583" t="s">
        <v>3247</v>
      </c>
      <c r="H438" s="583" t="s">
        <v>4255</v>
      </c>
      <c r="I438" s="581" t="s">
        <v>3249</v>
      </c>
      <c r="J438" s="134"/>
      <c r="K438" s="585" t="s">
        <v>147</v>
      </c>
      <c r="L438" s="361"/>
      <c r="M438" s="582" t="s">
        <v>3081</v>
      </c>
      <c r="N438" s="361"/>
      <c r="O438" s="361"/>
      <c r="P438" s="361">
        <v>9.403208E9</v>
      </c>
      <c r="Q438" s="498">
        <v>294.5402298850575</v>
      </c>
      <c r="R438" s="592" t="s">
        <v>10</v>
      </c>
      <c r="S438" s="49"/>
      <c r="T438" s="224">
        <v>981.800766283525</v>
      </c>
      <c r="U438" s="224">
        <v>589.080459770115</v>
      </c>
      <c r="V438" s="224">
        <v>490.9003831417625</v>
      </c>
      <c r="W438" s="224">
        <v>392.72030651341004</v>
      </c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</row>
    <row r="439" ht="14.25" customHeight="1">
      <c r="A439" s="423" t="s">
        <v>84</v>
      </c>
      <c r="B439" s="423" t="s">
        <v>1886</v>
      </c>
      <c r="C439" s="585" t="s">
        <v>3074</v>
      </c>
      <c r="D439" s="582" t="s">
        <v>3185</v>
      </c>
      <c r="E439" s="134" t="s">
        <v>3082</v>
      </c>
      <c r="F439" s="134" t="s">
        <v>3076</v>
      </c>
      <c r="G439" s="583" t="s">
        <v>3250</v>
      </c>
      <c r="H439" s="583" t="s">
        <v>4256</v>
      </c>
      <c r="I439" s="581" t="s">
        <v>3252</v>
      </c>
      <c r="J439" s="134"/>
      <c r="K439" s="585" t="s">
        <v>147</v>
      </c>
      <c r="L439" s="361"/>
      <c r="M439" s="582" t="s">
        <v>3081</v>
      </c>
      <c r="N439" s="361"/>
      <c r="O439" s="361"/>
      <c r="P439" s="361">
        <v>9.403208E9</v>
      </c>
      <c r="Q439" s="498">
        <v>303.1609195402299</v>
      </c>
      <c r="R439" s="592" t="s">
        <v>10</v>
      </c>
      <c r="S439" s="49"/>
      <c r="T439" s="224">
        <v>1010.536398467433</v>
      </c>
      <c r="U439" s="224">
        <v>606.3218390804598</v>
      </c>
      <c r="V439" s="224">
        <v>505.2681992337165</v>
      </c>
      <c r="W439" s="224">
        <v>404.2145593869732</v>
      </c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</row>
    <row r="440" ht="14.25" customHeight="1">
      <c r="A440" s="423" t="s">
        <v>84</v>
      </c>
      <c r="B440" s="423" t="s">
        <v>1886</v>
      </c>
      <c r="C440" s="585" t="s">
        <v>3074</v>
      </c>
      <c r="D440" s="582" t="s">
        <v>3185</v>
      </c>
      <c r="E440" s="134" t="s">
        <v>3086</v>
      </c>
      <c r="F440" s="134" t="s">
        <v>3076</v>
      </c>
      <c r="G440" s="583" t="s">
        <v>3253</v>
      </c>
      <c r="H440" s="583" t="s">
        <v>4257</v>
      </c>
      <c r="I440" s="581" t="s">
        <v>3255</v>
      </c>
      <c r="J440" s="134"/>
      <c r="K440" s="585" t="s">
        <v>147</v>
      </c>
      <c r="L440" s="361"/>
      <c r="M440" s="582" t="s">
        <v>3081</v>
      </c>
      <c r="N440" s="361"/>
      <c r="O440" s="361"/>
      <c r="P440" s="361">
        <v>9.403208E9</v>
      </c>
      <c r="Q440" s="498">
        <v>316.09195402298855</v>
      </c>
      <c r="R440" s="592" t="s">
        <v>10</v>
      </c>
      <c r="S440" s="49"/>
      <c r="T440" s="224">
        <v>1053.6398467432953</v>
      </c>
      <c r="U440" s="224">
        <v>632.1839080459771</v>
      </c>
      <c r="V440" s="224">
        <v>526.8199233716476</v>
      </c>
      <c r="W440" s="224">
        <v>421.4559386973181</v>
      </c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</row>
    <row r="441" ht="14.25" customHeight="1">
      <c r="A441" s="423" t="s">
        <v>84</v>
      </c>
      <c r="B441" s="423" t="s">
        <v>1886</v>
      </c>
      <c r="C441" s="585" t="s">
        <v>3074</v>
      </c>
      <c r="D441" s="582" t="s">
        <v>3185</v>
      </c>
      <c r="E441" s="134" t="s">
        <v>3090</v>
      </c>
      <c r="F441" s="134" t="s">
        <v>3076</v>
      </c>
      <c r="G441" s="583" t="s">
        <v>3256</v>
      </c>
      <c r="H441" s="583" t="s">
        <v>4258</v>
      </c>
      <c r="I441" s="581" t="s">
        <v>3258</v>
      </c>
      <c r="J441" s="134"/>
      <c r="K441" s="585" t="s">
        <v>147</v>
      </c>
      <c r="L441" s="361"/>
      <c r="M441" s="582" t="s">
        <v>3081</v>
      </c>
      <c r="N441" s="361"/>
      <c r="O441" s="361"/>
      <c r="P441" s="361">
        <v>9.403208E9</v>
      </c>
      <c r="Q441" s="498">
        <v>354.8850574712644</v>
      </c>
      <c r="R441" s="592" t="s">
        <v>10</v>
      </c>
      <c r="S441" s="49"/>
      <c r="T441" s="224">
        <v>1182.9501915708815</v>
      </c>
      <c r="U441" s="224">
        <v>709.770114942529</v>
      </c>
      <c r="V441" s="224">
        <v>591.4750957854408</v>
      </c>
      <c r="W441" s="224">
        <v>473.18007662835265</v>
      </c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</row>
    <row r="442" ht="14.25" customHeight="1">
      <c r="A442" s="423" t="s">
        <v>84</v>
      </c>
      <c r="B442" s="423" t="s">
        <v>1886</v>
      </c>
      <c r="C442" s="585" t="s">
        <v>3074</v>
      </c>
      <c r="D442" s="582" t="s">
        <v>3185</v>
      </c>
      <c r="E442" s="134" t="s">
        <v>3094</v>
      </c>
      <c r="F442" s="134" t="s">
        <v>3076</v>
      </c>
      <c r="G442" s="583" t="s">
        <v>3259</v>
      </c>
      <c r="H442" s="583" t="s">
        <v>4259</v>
      </c>
      <c r="I442" s="581" t="s">
        <v>3261</v>
      </c>
      <c r="J442" s="134"/>
      <c r="K442" s="585" t="s">
        <v>147</v>
      </c>
      <c r="L442" s="361"/>
      <c r="M442" s="582" t="s">
        <v>3081</v>
      </c>
      <c r="N442" s="361"/>
      <c r="O442" s="361"/>
      <c r="P442" s="361">
        <v>9.403208E9</v>
      </c>
      <c r="Q442" s="498">
        <v>395.11494252873564</v>
      </c>
      <c r="R442" s="592" t="s">
        <v>10</v>
      </c>
      <c r="S442" s="49"/>
      <c r="T442" s="224">
        <v>1317.049808429119</v>
      </c>
      <c r="U442" s="224">
        <v>790.2298850574713</v>
      </c>
      <c r="V442" s="224">
        <v>658.5249042145595</v>
      </c>
      <c r="W442" s="224">
        <v>526.8199233716476</v>
      </c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</row>
    <row r="443" ht="14.25" customHeight="1">
      <c r="A443" s="423" t="s">
        <v>84</v>
      </c>
      <c r="B443" s="423" t="s">
        <v>1886</v>
      </c>
      <c r="C443" s="585" t="s">
        <v>3074</v>
      </c>
      <c r="D443" s="582" t="s">
        <v>3185</v>
      </c>
      <c r="E443" s="134" t="s">
        <v>3075</v>
      </c>
      <c r="F443" s="134" t="s">
        <v>3101</v>
      </c>
      <c r="G443" s="583" t="s">
        <v>3262</v>
      </c>
      <c r="H443" s="583" t="s">
        <v>4260</v>
      </c>
      <c r="I443" s="581" t="s">
        <v>3264</v>
      </c>
      <c r="J443" s="134"/>
      <c r="K443" s="585" t="s">
        <v>147</v>
      </c>
      <c r="L443" s="361"/>
      <c r="M443" s="582" t="s">
        <v>3081</v>
      </c>
      <c r="N443" s="361"/>
      <c r="O443" s="361"/>
      <c r="P443" s="361">
        <v>9.403208E9</v>
      </c>
      <c r="Q443" s="498">
        <v>316.09195402298855</v>
      </c>
      <c r="R443" s="592" t="s">
        <v>10</v>
      </c>
      <c r="S443" s="49"/>
      <c r="T443" s="224">
        <v>1053.6398467432953</v>
      </c>
      <c r="U443" s="224">
        <v>632.1839080459771</v>
      </c>
      <c r="V443" s="224">
        <v>526.8199233716476</v>
      </c>
      <c r="W443" s="224">
        <v>421.4559386973181</v>
      </c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</row>
    <row r="444" ht="14.25" customHeight="1">
      <c r="A444" s="423" t="s">
        <v>84</v>
      </c>
      <c r="B444" s="423" t="s">
        <v>1886</v>
      </c>
      <c r="C444" s="585" t="s">
        <v>3074</v>
      </c>
      <c r="D444" s="582" t="s">
        <v>3185</v>
      </c>
      <c r="E444" s="134" t="s">
        <v>3086</v>
      </c>
      <c r="F444" s="134" t="s">
        <v>3101</v>
      </c>
      <c r="G444" s="583" t="s">
        <v>3265</v>
      </c>
      <c r="H444" s="583" t="s">
        <v>4261</v>
      </c>
      <c r="I444" s="581" t="s">
        <v>3267</v>
      </c>
      <c r="J444" s="134"/>
      <c r="K444" s="585" t="s">
        <v>147</v>
      </c>
      <c r="L444" s="361"/>
      <c r="M444" s="582" t="s">
        <v>3081</v>
      </c>
      <c r="N444" s="361"/>
      <c r="O444" s="361"/>
      <c r="P444" s="361">
        <v>9.403208E9</v>
      </c>
      <c r="Q444" s="498">
        <v>344.82758620689657</v>
      </c>
      <c r="R444" s="592" t="s">
        <v>10</v>
      </c>
      <c r="S444" s="49"/>
      <c r="T444" s="224">
        <v>1149.4252873563219</v>
      </c>
      <c r="U444" s="224">
        <v>689.6551724137931</v>
      </c>
      <c r="V444" s="224">
        <v>574.7126436781609</v>
      </c>
      <c r="W444" s="224">
        <v>459.7701149425288</v>
      </c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</row>
    <row r="445" ht="14.25" customHeight="1">
      <c r="A445" s="423" t="s">
        <v>84</v>
      </c>
      <c r="B445" s="423" t="s">
        <v>1886</v>
      </c>
      <c r="C445" s="585" t="s">
        <v>3074</v>
      </c>
      <c r="D445" s="582" t="s">
        <v>3185</v>
      </c>
      <c r="E445" s="134" t="s">
        <v>3094</v>
      </c>
      <c r="F445" s="134" t="s">
        <v>3101</v>
      </c>
      <c r="G445" s="583" t="s">
        <v>3268</v>
      </c>
      <c r="H445" s="583" t="s">
        <v>4262</v>
      </c>
      <c r="I445" s="581" t="s">
        <v>3270</v>
      </c>
      <c r="J445" s="134"/>
      <c r="K445" s="585" t="s">
        <v>147</v>
      </c>
      <c r="L445" s="361"/>
      <c r="M445" s="582" t="s">
        <v>3081</v>
      </c>
      <c r="N445" s="361"/>
      <c r="O445" s="361"/>
      <c r="P445" s="361">
        <v>9.403208E9</v>
      </c>
      <c r="Q445" s="498">
        <v>431.03448275862075</v>
      </c>
      <c r="R445" s="592" t="s">
        <v>10</v>
      </c>
      <c r="S445" s="49"/>
      <c r="T445" s="224">
        <v>1436.7816091954026</v>
      </c>
      <c r="U445" s="224">
        <v>862.0689655172415</v>
      </c>
      <c r="V445" s="224">
        <v>718.3908045977013</v>
      </c>
      <c r="W445" s="224">
        <v>574.712643678161</v>
      </c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</row>
    <row r="446" ht="14.25" customHeight="1">
      <c r="A446" s="423" t="s">
        <v>84</v>
      </c>
      <c r="B446" s="423" t="s">
        <v>1886</v>
      </c>
      <c r="C446" s="585" t="s">
        <v>3074</v>
      </c>
      <c r="D446" s="582" t="s">
        <v>3185</v>
      </c>
      <c r="E446" s="134" t="s">
        <v>3094</v>
      </c>
      <c r="F446" s="134" t="s">
        <v>3120</v>
      </c>
      <c r="G446" s="583" t="s">
        <v>3271</v>
      </c>
      <c r="H446" s="583" t="s">
        <v>4263</v>
      </c>
      <c r="I446" s="581" t="s">
        <v>3273</v>
      </c>
      <c r="J446" s="134"/>
      <c r="K446" s="585" t="s">
        <v>147</v>
      </c>
      <c r="L446" s="361"/>
      <c r="M446" s="582" t="s">
        <v>3081</v>
      </c>
      <c r="N446" s="361"/>
      <c r="O446" s="361"/>
      <c r="P446" s="361">
        <v>9.403208E9</v>
      </c>
      <c r="Q446" s="498">
        <v>474.1379310344828</v>
      </c>
      <c r="R446" s="592" t="s">
        <v>10</v>
      </c>
      <c r="S446" s="49"/>
      <c r="T446" s="224">
        <v>1580.4597701149428</v>
      </c>
      <c r="U446" s="224">
        <v>948.2758620689656</v>
      </c>
      <c r="V446" s="224">
        <v>790.2298850574714</v>
      </c>
      <c r="W446" s="224">
        <v>632.1839080459772</v>
      </c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</row>
    <row r="447" ht="14.25" customHeight="1">
      <c r="A447" s="423" t="s">
        <v>84</v>
      </c>
      <c r="B447" s="423" t="s">
        <v>1886</v>
      </c>
      <c r="C447" s="585" t="s">
        <v>3074</v>
      </c>
      <c r="D447" s="582" t="s">
        <v>3185</v>
      </c>
      <c r="E447" s="134" t="s">
        <v>3094</v>
      </c>
      <c r="F447" s="134" t="s">
        <v>3124</v>
      </c>
      <c r="G447" s="583" t="s">
        <v>3274</v>
      </c>
      <c r="H447" s="583" t="s">
        <v>4264</v>
      </c>
      <c r="I447" s="581" t="s">
        <v>3276</v>
      </c>
      <c r="J447" s="134"/>
      <c r="K447" s="585" t="s">
        <v>147</v>
      </c>
      <c r="L447" s="361"/>
      <c r="M447" s="582" t="s">
        <v>3081</v>
      </c>
      <c r="N447" s="361"/>
      <c r="O447" s="361"/>
      <c r="P447" s="361">
        <v>9.403208E9</v>
      </c>
      <c r="Q447" s="498">
        <v>488.5057471264368</v>
      </c>
      <c r="R447" s="592" t="s">
        <v>10</v>
      </c>
      <c r="S447" s="49"/>
      <c r="T447" s="224">
        <v>1628.352490421456</v>
      </c>
      <c r="U447" s="224">
        <v>977.0114942528735</v>
      </c>
      <c r="V447" s="224">
        <v>814.176245210728</v>
      </c>
      <c r="W447" s="224">
        <v>651.3409961685825</v>
      </c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</row>
    <row r="448" ht="14.25" customHeight="1">
      <c r="A448" s="423" t="s">
        <v>84</v>
      </c>
      <c r="B448" s="423" t="s">
        <v>1886</v>
      </c>
      <c r="C448" s="585" t="s">
        <v>3074</v>
      </c>
      <c r="D448" s="582" t="s">
        <v>3185</v>
      </c>
      <c r="E448" s="134" t="s">
        <v>3090</v>
      </c>
      <c r="F448" s="134" t="s">
        <v>3134</v>
      </c>
      <c r="G448" s="583" t="s">
        <v>3277</v>
      </c>
      <c r="H448" s="583" t="s">
        <v>4265</v>
      </c>
      <c r="I448" s="581" t="s">
        <v>3279</v>
      </c>
      <c r="J448" s="134"/>
      <c r="K448" s="585" t="s">
        <v>147</v>
      </c>
      <c r="L448" s="361"/>
      <c r="M448" s="582" t="s">
        <v>3081</v>
      </c>
      <c r="N448" s="361"/>
      <c r="O448" s="361"/>
      <c r="P448" s="361">
        <v>9.403208E9</v>
      </c>
      <c r="Q448" s="498">
        <v>466.9540229885058</v>
      </c>
      <c r="R448" s="592" t="s">
        <v>10</v>
      </c>
      <c r="S448" s="49"/>
      <c r="T448" s="224">
        <v>1556.5134099616862</v>
      </c>
      <c r="U448" s="224">
        <v>933.9080459770116</v>
      </c>
      <c r="V448" s="224">
        <v>778.2567049808431</v>
      </c>
      <c r="W448" s="224">
        <v>622.6053639846746</v>
      </c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</row>
    <row r="449" ht="14.25" customHeight="1">
      <c r="A449" s="423" t="s">
        <v>84</v>
      </c>
      <c r="B449" s="423" t="s">
        <v>1886</v>
      </c>
      <c r="C449" s="585" t="s">
        <v>3074</v>
      </c>
      <c r="D449" s="582" t="s">
        <v>3185</v>
      </c>
      <c r="E449" s="134" t="s">
        <v>3094</v>
      </c>
      <c r="F449" s="134" t="s">
        <v>3134</v>
      </c>
      <c r="G449" s="583" t="s">
        <v>3280</v>
      </c>
      <c r="H449" s="583" t="s">
        <v>4266</v>
      </c>
      <c r="I449" s="581" t="s">
        <v>3282</v>
      </c>
      <c r="J449" s="134"/>
      <c r="K449" s="585" t="s">
        <v>147</v>
      </c>
      <c r="L449" s="361"/>
      <c r="M449" s="582" t="s">
        <v>3081</v>
      </c>
      <c r="N449" s="361"/>
      <c r="O449" s="361"/>
      <c r="P449" s="361">
        <v>9.403208E9</v>
      </c>
      <c r="Q449" s="498">
        <v>488.5057471264368</v>
      </c>
      <c r="R449" s="592" t="s">
        <v>10</v>
      </c>
      <c r="S449" s="49"/>
      <c r="T449" s="224">
        <v>1628.352490421456</v>
      </c>
      <c r="U449" s="224">
        <v>977.0114942528735</v>
      </c>
      <c r="V449" s="224">
        <v>814.176245210728</v>
      </c>
      <c r="W449" s="224">
        <v>651.3409961685825</v>
      </c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</row>
    <row r="450" ht="14.25" customHeight="1">
      <c r="A450" s="423" t="s">
        <v>84</v>
      </c>
      <c r="B450" s="423" t="s">
        <v>1886</v>
      </c>
      <c r="C450" s="585" t="s">
        <v>3074</v>
      </c>
      <c r="D450" s="582" t="s">
        <v>3185</v>
      </c>
      <c r="E450" s="134" t="s">
        <v>3228</v>
      </c>
      <c r="F450" s="134" t="s">
        <v>3134</v>
      </c>
      <c r="G450" s="583" t="s">
        <v>3283</v>
      </c>
      <c r="H450" s="583" t="s">
        <v>4267</v>
      </c>
      <c r="I450" s="581" t="s">
        <v>3285</v>
      </c>
      <c r="J450" s="134"/>
      <c r="K450" s="585" t="s">
        <v>147</v>
      </c>
      <c r="L450" s="361"/>
      <c r="M450" s="582" t="s">
        <v>3081</v>
      </c>
      <c r="N450" s="361"/>
      <c r="O450" s="361"/>
      <c r="P450" s="361">
        <v>9.403208E9</v>
      </c>
      <c r="Q450" s="498">
        <v>574.7126436781609</v>
      </c>
      <c r="R450" s="592" t="s">
        <v>10</v>
      </c>
      <c r="S450" s="49"/>
      <c r="T450" s="224">
        <v>1915.7088122605364</v>
      </c>
      <c r="U450" s="224">
        <v>1149.4252873563219</v>
      </c>
      <c r="V450" s="224">
        <v>957.8544061302682</v>
      </c>
      <c r="W450" s="224">
        <v>766.2835249042146</v>
      </c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</row>
    <row r="451" ht="14.25" customHeight="1">
      <c r="A451" s="423" t="s">
        <v>84</v>
      </c>
      <c r="B451" s="423" t="s">
        <v>1886</v>
      </c>
      <c r="C451" s="585" t="s">
        <v>3074</v>
      </c>
      <c r="D451" s="582" t="s">
        <v>3185</v>
      </c>
      <c r="E451" s="134" t="s">
        <v>3094</v>
      </c>
      <c r="F451" s="134" t="s">
        <v>3159</v>
      </c>
      <c r="G451" s="583" t="s">
        <v>3286</v>
      </c>
      <c r="H451" s="583" t="s">
        <v>4268</v>
      </c>
      <c r="I451" s="581" t="s">
        <v>3288</v>
      </c>
      <c r="J451" s="134"/>
      <c r="K451" s="585" t="s">
        <v>147</v>
      </c>
      <c r="L451" s="361"/>
      <c r="M451" s="582" t="s">
        <v>3081</v>
      </c>
      <c r="N451" s="361"/>
      <c r="O451" s="361"/>
      <c r="P451" s="361">
        <v>9.403208E9</v>
      </c>
      <c r="Q451" s="498">
        <v>553.1609195402299</v>
      </c>
      <c r="R451" s="592" t="s">
        <v>10</v>
      </c>
      <c r="S451" s="49"/>
      <c r="T451" s="224">
        <v>1843.8697318007664</v>
      </c>
      <c r="U451" s="224">
        <v>1106.3218390804598</v>
      </c>
      <c r="V451" s="224">
        <v>921.9348659003832</v>
      </c>
      <c r="W451" s="224">
        <v>737.5478927203067</v>
      </c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</row>
    <row r="452" ht="14.25" customHeight="1">
      <c r="A452" s="423" t="s">
        <v>84</v>
      </c>
      <c r="B452" s="423" t="s">
        <v>1886</v>
      </c>
      <c r="C452" s="585" t="s">
        <v>3074</v>
      </c>
      <c r="D452" s="582" t="s">
        <v>3185</v>
      </c>
      <c r="E452" s="134" t="s">
        <v>3094</v>
      </c>
      <c r="F452" s="134" t="s">
        <v>3240</v>
      </c>
      <c r="G452" s="583" t="s">
        <v>3289</v>
      </c>
      <c r="H452" s="583" t="s">
        <v>4269</v>
      </c>
      <c r="I452" s="581" t="s">
        <v>3291</v>
      </c>
      <c r="J452" s="134"/>
      <c r="K452" s="585" t="s">
        <v>147</v>
      </c>
      <c r="L452" s="361"/>
      <c r="M452" s="582" t="s">
        <v>3081</v>
      </c>
      <c r="N452" s="361"/>
      <c r="O452" s="361"/>
      <c r="P452" s="361">
        <v>9.403208E9</v>
      </c>
      <c r="Q452" s="498">
        <v>625.0</v>
      </c>
      <c r="R452" s="592" t="s">
        <v>10</v>
      </c>
      <c r="S452" s="49"/>
      <c r="T452" s="224">
        <v>2083.3333333333335</v>
      </c>
      <c r="U452" s="224">
        <v>1250.0</v>
      </c>
      <c r="V452" s="224">
        <v>1041.6666666666667</v>
      </c>
      <c r="W452" s="224">
        <v>833.3333333333335</v>
      </c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</row>
    <row r="453" ht="14.25" customHeight="1">
      <c r="A453" s="423" t="s">
        <v>84</v>
      </c>
      <c r="B453" s="423" t="s">
        <v>1886</v>
      </c>
      <c r="C453" s="585" t="s">
        <v>3074</v>
      </c>
      <c r="D453" s="582" t="s">
        <v>3185</v>
      </c>
      <c r="E453" s="134" t="s">
        <v>3228</v>
      </c>
      <c r="F453" s="134" t="s">
        <v>3240</v>
      </c>
      <c r="G453" s="583" t="s">
        <v>3292</v>
      </c>
      <c r="H453" s="583" t="s">
        <v>4270</v>
      </c>
      <c r="I453" s="581" t="s">
        <v>3294</v>
      </c>
      <c r="J453" s="134"/>
      <c r="K453" s="585" t="s">
        <v>147</v>
      </c>
      <c r="L453" s="361"/>
      <c r="M453" s="582" t="s">
        <v>3081</v>
      </c>
      <c r="N453" s="361"/>
      <c r="O453" s="361"/>
      <c r="P453" s="361">
        <v>9.403208E9</v>
      </c>
      <c r="Q453" s="498">
        <v>675.2873563218392</v>
      </c>
      <c r="R453" s="592" t="s">
        <v>10</v>
      </c>
      <c r="S453" s="49"/>
      <c r="T453" s="224">
        <v>2250.9578544061305</v>
      </c>
      <c r="U453" s="224">
        <v>1350.5747126436784</v>
      </c>
      <c r="V453" s="224">
        <v>1125.4789272030653</v>
      </c>
      <c r="W453" s="224">
        <v>900.3831417624523</v>
      </c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</row>
    <row r="454" ht="14.25" customHeight="1">
      <c r="A454" s="423" t="s">
        <v>84</v>
      </c>
      <c r="B454" s="423" t="s">
        <v>1886</v>
      </c>
      <c r="C454" s="585" t="s">
        <v>3074</v>
      </c>
      <c r="D454" s="582" t="s">
        <v>3185</v>
      </c>
      <c r="E454" s="134" t="s">
        <v>3090</v>
      </c>
      <c r="F454" s="134" t="s">
        <v>3134</v>
      </c>
      <c r="G454" s="583" t="s">
        <v>3295</v>
      </c>
      <c r="H454" s="583" t="s">
        <v>4271</v>
      </c>
      <c r="I454" s="581" t="s">
        <v>3297</v>
      </c>
      <c r="J454" s="134"/>
      <c r="K454" s="585" t="s">
        <v>147</v>
      </c>
      <c r="L454" s="361"/>
      <c r="M454" s="582" t="s">
        <v>3081</v>
      </c>
      <c r="N454" s="361"/>
      <c r="O454" s="361"/>
      <c r="P454" s="361">
        <v>9.403208E9</v>
      </c>
      <c r="Q454" s="498">
        <v>538.7931034482759</v>
      </c>
      <c r="R454" s="592" t="s">
        <v>10</v>
      </c>
      <c r="S454" s="49"/>
      <c r="T454" s="224">
        <v>1795.9770114942532</v>
      </c>
      <c r="U454" s="224">
        <v>1077.5862068965519</v>
      </c>
      <c r="V454" s="224">
        <v>897.9885057471266</v>
      </c>
      <c r="W454" s="224">
        <v>718.3908045977014</v>
      </c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</row>
    <row r="455" ht="14.25" customHeight="1">
      <c r="A455" s="423" t="s">
        <v>84</v>
      </c>
      <c r="B455" s="423" t="s">
        <v>1886</v>
      </c>
      <c r="C455" s="585" t="s">
        <v>3074</v>
      </c>
      <c r="D455" s="582" t="s">
        <v>3185</v>
      </c>
      <c r="E455" s="134" t="s">
        <v>3094</v>
      </c>
      <c r="F455" s="134" t="s">
        <v>3134</v>
      </c>
      <c r="G455" s="583" t="s">
        <v>3298</v>
      </c>
      <c r="H455" s="583" t="s">
        <v>4272</v>
      </c>
      <c r="I455" s="581" t="s">
        <v>3300</v>
      </c>
      <c r="J455" s="134"/>
      <c r="K455" s="585" t="s">
        <v>147</v>
      </c>
      <c r="L455" s="361"/>
      <c r="M455" s="582" t="s">
        <v>3081</v>
      </c>
      <c r="N455" s="361"/>
      <c r="O455" s="361"/>
      <c r="P455" s="361">
        <v>9.403208E9</v>
      </c>
      <c r="Q455" s="498">
        <v>603.448275862069</v>
      </c>
      <c r="R455" s="592" t="s">
        <v>10</v>
      </c>
      <c r="S455" s="49"/>
      <c r="T455" s="224">
        <v>2011.4942528735633</v>
      </c>
      <c r="U455" s="224">
        <v>1206.896551724138</v>
      </c>
      <c r="V455" s="224">
        <v>1005.7471264367816</v>
      </c>
      <c r="W455" s="224">
        <v>804.5977011494253</v>
      </c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</row>
    <row r="456" ht="14.25" customHeight="1">
      <c r="A456" s="423" t="s">
        <v>84</v>
      </c>
      <c r="B456" s="423" t="s">
        <v>1886</v>
      </c>
      <c r="C456" s="585" t="s">
        <v>3074</v>
      </c>
      <c r="D456" s="582" t="s">
        <v>3185</v>
      </c>
      <c r="E456" s="134" t="s">
        <v>3228</v>
      </c>
      <c r="F456" s="134" t="s">
        <v>3134</v>
      </c>
      <c r="G456" s="583" t="s">
        <v>3301</v>
      </c>
      <c r="H456" s="583" t="s">
        <v>4273</v>
      </c>
      <c r="I456" s="581" t="s">
        <v>3303</v>
      </c>
      <c r="J456" s="134"/>
      <c r="K456" s="585" t="s">
        <v>147</v>
      </c>
      <c r="L456" s="361"/>
      <c r="M456" s="582" t="s">
        <v>3081</v>
      </c>
      <c r="N456" s="361"/>
      <c r="O456" s="361"/>
      <c r="P456" s="361">
        <v>9.403208E9</v>
      </c>
      <c r="Q456" s="498">
        <v>653.7356321839081</v>
      </c>
      <c r="R456" s="592" t="s">
        <v>10</v>
      </c>
      <c r="S456" s="49"/>
      <c r="T456" s="224">
        <v>2179.1187739463608</v>
      </c>
      <c r="U456" s="224">
        <v>1307.4712643678165</v>
      </c>
      <c r="V456" s="224">
        <v>1089.5593869731804</v>
      </c>
      <c r="W456" s="224">
        <v>871.6475095785444</v>
      </c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</row>
    <row r="457" ht="14.25" customHeight="1">
      <c r="A457" s="423" t="s">
        <v>84</v>
      </c>
      <c r="B457" s="423" t="s">
        <v>1886</v>
      </c>
      <c r="C457" s="585" t="s">
        <v>3074</v>
      </c>
      <c r="D457" s="582" t="s">
        <v>3185</v>
      </c>
      <c r="E457" s="134" t="s">
        <v>3094</v>
      </c>
      <c r="F457" s="134" t="s">
        <v>3159</v>
      </c>
      <c r="G457" s="583" t="s">
        <v>3304</v>
      </c>
      <c r="H457" s="583" t="s">
        <v>4274</v>
      </c>
      <c r="I457" s="581" t="s">
        <v>3306</v>
      </c>
      <c r="J457" s="134"/>
      <c r="K457" s="585" t="s">
        <v>147</v>
      </c>
      <c r="L457" s="361"/>
      <c r="M457" s="582" t="s">
        <v>3081</v>
      </c>
      <c r="N457" s="361"/>
      <c r="O457" s="361"/>
      <c r="P457" s="361">
        <v>9.403208E9</v>
      </c>
      <c r="Q457" s="498">
        <v>639.3678160919541</v>
      </c>
      <c r="R457" s="592" t="s">
        <v>10</v>
      </c>
      <c r="S457" s="49"/>
      <c r="T457" s="224">
        <v>2131.226053639847</v>
      </c>
      <c r="U457" s="224">
        <v>1278.7356321839081</v>
      </c>
      <c r="V457" s="224">
        <v>1065.6130268199236</v>
      </c>
      <c r="W457" s="224">
        <v>852.4904214559389</v>
      </c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</row>
    <row r="458" ht="14.25" customHeight="1">
      <c r="A458" s="423" t="s">
        <v>84</v>
      </c>
      <c r="B458" s="423" t="s">
        <v>1886</v>
      </c>
      <c r="C458" s="585" t="s">
        <v>3074</v>
      </c>
      <c r="D458" s="582" t="s">
        <v>3185</v>
      </c>
      <c r="E458" s="134" t="s">
        <v>3094</v>
      </c>
      <c r="F458" s="134" t="s">
        <v>3240</v>
      </c>
      <c r="G458" s="583" t="s">
        <v>3307</v>
      </c>
      <c r="H458" s="583" t="s">
        <v>4275</v>
      </c>
      <c r="I458" s="581" t="s">
        <v>3309</v>
      </c>
      <c r="J458" s="134"/>
      <c r="K458" s="585" t="s">
        <v>147</v>
      </c>
      <c r="L458" s="361"/>
      <c r="M458" s="582" t="s">
        <v>3081</v>
      </c>
      <c r="N458" s="361"/>
      <c r="O458" s="361"/>
      <c r="P458" s="361">
        <v>9.403208E9</v>
      </c>
      <c r="Q458" s="498">
        <v>704.0229885057471</v>
      </c>
      <c r="R458" s="592" t="s">
        <v>10</v>
      </c>
      <c r="S458" s="49"/>
      <c r="T458" s="224">
        <v>2346.743295019157</v>
      </c>
      <c r="U458" s="224">
        <v>1408.0459770114942</v>
      </c>
      <c r="V458" s="224">
        <v>1173.3716475095785</v>
      </c>
      <c r="W458" s="224">
        <v>938.6973180076628</v>
      </c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</row>
    <row r="459" ht="14.25" customHeight="1">
      <c r="A459" s="423" t="s">
        <v>84</v>
      </c>
      <c r="B459" s="423" t="s">
        <v>1886</v>
      </c>
      <c r="C459" s="585" t="s">
        <v>3074</v>
      </c>
      <c r="D459" s="582" t="s">
        <v>3185</v>
      </c>
      <c r="E459" s="134" t="s">
        <v>3228</v>
      </c>
      <c r="F459" s="134" t="s">
        <v>3240</v>
      </c>
      <c r="G459" s="583" t="s">
        <v>3310</v>
      </c>
      <c r="H459" s="583" t="s">
        <v>4276</v>
      </c>
      <c r="I459" s="581" t="s">
        <v>3312</v>
      </c>
      <c r="J459" s="134"/>
      <c r="K459" s="585" t="s">
        <v>147</v>
      </c>
      <c r="L459" s="361"/>
      <c r="M459" s="582" t="s">
        <v>3081</v>
      </c>
      <c r="N459" s="361"/>
      <c r="O459" s="361"/>
      <c r="P459" s="361">
        <v>9.403208E9</v>
      </c>
      <c r="Q459" s="498">
        <v>761.4942528735633</v>
      </c>
      <c r="R459" s="592" t="s">
        <v>10</v>
      </c>
      <c r="S459" s="49"/>
      <c r="T459" s="224">
        <v>2538.314176245211</v>
      </c>
      <c r="U459" s="224">
        <v>1522.9885057471265</v>
      </c>
      <c r="V459" s="224">
        <v>1269.1570881226055</v>
      </c>
      <c r="W459" s="224">
        <v>1015.3256704980845</v>
      </c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</row>
    <row r="460" ht="14.25" customHeight="1">
      <c r="A460" s="423" t="s">
        <v>84</v>
      </c>
      <c r="B460" s="423" t="s">
        <v>1886</v>
      </c>
      <c r="C460" s="585" t="s">
        <v>3074</v>
      </c>
      <c r="D460" s="582" t="s">
        <v>3185</v>
      </c>
      <c r="E460" s="134" t="s">
        <v>3075</v>
      </c>
      <c r="F460" s="134"/>
      <c r="G460" s="583" t="s">
        <v>3313</v>
      </c>
      <c r="H460" s="583" t="s">
        <v>4277</v>
      </c>
      <c r="I460" s="581" t="s">
        <v>3315</v>
      </c>
      <c r="J460" s="134"/>
      <c r="K460" s="585" t="s">
        <v>147</v>
      </c>
      <c r="L460" s="361"/>
      <c r="M460" s="582" t="s">
        <v>3081</v>
      </c>
      <c r="N460" s="361"/>
      <c r="O460" s="361"/>
      <c r="P460" s="361">
        <v>9.403208E9</v>
      </c>
      <c r="Q460" s="498">
        <v>258.62068965517244</v>
      </c>
      <c r="R460" s="592" t="s">
        <v>10</v>
      </c>
      <c r="S460" s="49"/>
      <c r="T460" s="224">
        <v>862.0689655172415</v>
      </c>
      <c r="U460" s="224">
        <v>517.2413793103449</v>
      </c>
      <c r="V460" s="224">
        <v>431.03448275862075</v>
      </c>
      <c r="W460" s="224">
        <v>344.8275862068966</v>
      </c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</row>
    <row r="461" ht="14.25" customHeight="1">
      <c r="A461" s="423" t="s">
        <v>84</v>
      </c>
      <c r="B461" s="423" t="s">
        <v>1886</v>
      </c>
      <c r="C461" s="585" t="s">
        <v>3074</v>
      </c>
      <c r="D461" s="582" t="s">
        <v>3185</v>
      </c>
      <c r="E461" s="134" t="s">
        <v>3082</v>
      </c>
      <c r="F461" s="134"/>
      <c r="G461" s="583" t="s">
        <v>3316</v>
      </c>
      <c r="H461" s="583" t="s">
        <v>4278</v>
      </c>
      <c r="I461" s="581" t="s">
        <v>3318</v>
      </c>
      <c r="J461" s="134"/>
      <c r="K461" s="585" t="s">
        <v>147</v>
      </c>
      <c r="L461" s="361"/>
      <c r="M461" s="582" t="s">
        <v>3081</v>
      </c>
      <c r="N461" s="361"/>
      <c r="O461" s="361"/>
      <c r="P461" s="361">
        <v>9.403208E9</v>
      </c>
      <c r="Q461" s="498">
        <v>272.98850574712645</v>
      </c>
      <c r="R461" s="592" t="s">
        <v>10</v>
      </c>
      <c r="S461" s="49"/>
      <c r="T461" s="224">
        <v>909.9616858237549</v>
      </c>
      <c r="U461" s="224">
        <v>545.9770114942529</v>
      </c>
      <c r="V461" s="224">
        <v>454.98084291187746</v>
      </c>
      <c r="W461" s="224">
        <v>363.984674329502</v>
      </c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</row>
    <row r="462" ht="14.25" customHeight="1">
      <c r="A462" s="423" t="s">
        <v>84</v>
      </c>
      <c r="B462" s="423" t="s">
        <v>1886</v>
      </c>
      <c r="C462" s="585" t="s">
        <v>3074</v>
      </c>
      <c r="D462" s="582" t="s">
        <v>3185</v>
      </c>
      <c r="E462" s="134" t="s">
        <v>3086</v>
      </c>
      <c r="F462" s="134"/>
      <c r="G462" s="583" t="s">
        <v>3319</v>
      </c>
      <c r="H462" s="583" t="s">
        <v>4279</v>
      </c>
      <c r="I462" s="581" t="s">
        <v>3321</v>
      </c>
      <c r="J462" s="134"/>
      <c r="K462" s="585" t="s">
        <v>147</v>
      </c>
      <c r="L462" s="361"/>
      <c r="M462" s="582" t="s">
        <v>3081</v>
      </c>
      <c r="N462" s="361"/>
      <c r="O462" s="361"/>
      <c r="P462" s="361">
        <v>9.403208E9</v>
      </c>
      <c r="Q462" s="498">
        <v>287.35632183908046</v>
      </c>
      <c r="R462" s="592" t="s">
        <v>10</v>
      </c>
      <c r="S462" s="49"/>
      <c r="T462" s="224">
        <v>957.8544061302682</v>
      </c>
      <c r="U462" s="224">
        <v>574.7126436781609</v>
      </c>
      <c r="V462" s="224">
        <v>478.9272030651341</v>
      </c>
      <c r="W462" s="224">
        <v>383.1417624521073</v>
      </c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</row>
    <row r="463" ht="14.25" customHeight="1">
      <c r="A463" s="423" t="s">
        <v>84</v>
      </c>
      <c r="B463" s="423" t="s">
        <v>1886</v>
      </c>
      <c r="C463" s="585" t="s">
        <v>3074</v>
      </c>
      <c r="D463" s="582" t="s">
        <v>3185</v>
      </c>
      <c r="E463" s="134" t="s">
        <v>3090</v>
      </c>
      <c r="F463" s="134" t="s">
        <v>3076</v>
      </c>
      <c r="G463" s="583" t="s">
        <v>3322</v>
      </c>
      <c r="H463" s="583" t="s">
        <v>4280</v>
      </c>
      <c r="I463" s="581" t="s">
        <v>3324</v>
      </c>
      <c r="J463" s="134"/>
      <c r="K463" s="585" t="s">
        <v>147</v>
      </c>
      <c r="L463" s="361"/>
      <c r="M463" s="582" t="s">
        <v>3081</v>
      </c>
      <c r="N463" s="361"/>
      <c r="O463" s="361"/>
      <c r="P463" s="361">
        <v>9.403208E9</v>
      </c>
      <c r="Q463" s="498">
        <v>316.09195402298855</v>
      </c>
      <c r="R463" s="592" t="s">
        <v>10</v>
      </c>
      <c r="S463" s="49"/>
      <c r="T463" s="224">
        <v>1053.6398467432953</v>
      </c>
      <c r="U463" s="224">
        <v>632.1839080459771</v>
      </c>
      <c r="V463" s="224">
        <v>526.8199233716476</v>
      </c>
      <c r="W463" s="224">
        <v>421.4559386973181</v>
      </c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</row>
    <row r="464" ht="14.25" customHeight="1">
      <c r="A464" s="423" t="s">
        <v>84</v>
      </c>
      <c r="B464" s="423" t="s">
        <v>1886</v>
      </c>
      <c r="C464" s="585" t="s">
        <v>3074</v>
      </c>
      <c r="D464" s="582" t="s">
        <v>3185</v>
      </c>
      <c r="E464" s="134" t="s">
        <v>3094</v>
      </c>
      <c r="F464" s="134" t="s">
        <v>3076</v>
      </c>
      <c r="G464" s="583" t="s">
        <v>3325</v>
      </c>
      <c r="H464" s="583" t="s">
        <v>4281</v>
      </c>
      <c r="I464" s="581" t="s">
        <v>3327</v>
      </c>
      <c r="J464" s="134"/>
      <c r="K464" s="585" t="s">
        <v>147</v>
      </c>
      <c r="L464" s="361"/>
      <c r="M464" s="582" t="s">
        <v>3081</v>
      </c>
      <c r="N464" s="361"/>
      <c r="O464" s="361"/>
      <c r="P464" s="361">
        <v>9.403208E9</v>
      </c>
      <c r="Q464" s="498">
        <v>359.1954022988505</v>
      </c>
      <c r="R464" s="592" t="s">
        <v>10</v>
      </c>
      <c r="S464" s="49"/>
      <c r="T464" s="224">
        <v>1197.318007662835</v>
      </c>
      <c r="U464" s="224">
        <v>718.390804597701</v>
      </c>
      <c r="V464" s="224">
        <v>598.6590038314175</v>
      </c>
      <c r="W464" s="224">
        <v>478.92720306513405</v>
      </c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</row>
    <row r="465" ht="14.25" customHeight="1">
      <c r="A465" s="423" t="s">
        <v>84</v>
      </c>
      <c r="B465" s="423" t="s">
        <v>1886</v>
      </c>
      <c r="C465" s="585" t="s">
        <v>3074</v>
      </c>
      <c r="D465" s="582" t="s">
        <v>3185</v>
      </c>
      <c r="E465" s="134" t="s">
        <v>3075</v>
      </c>
      <c r="F465" s="134"/>
      <c r="G465" s="583" t="s">
        <v>3328</v>
      </c>
      <c r="H465" s="583" t="s">
        <v>4282</v>
      </c>
      <c r="I465" s="581" t="s">
        <v>3330</v>
      </c>
      <c r="J465" s="134"/>
      <c r="K465" s="585" t="s">
        <v>147</v>
      </c>
      <c r="L465" s="361"/>
      <c r="M465" s="582" t="s">
        <v>3081</v>
      </c>
      <c r="N465" s="361"/>
      <c r="O465" s="361"/>
      <c r="P465" s="361">
        <v>9.403208E9</v>
      </c>
      <c r="Q465" s="498">
        <v>287.35632183908046</v>
      </c>
      <c r="R465" s="592" t="s">
        <v>10</v>
      </c>
      <c r="S465" s="49"/>
      <c r="T465" s="224">
        <v>957.8544061302682</v>
      </c>
      <c r="U465" s="224">
        <v>574.7126436781609</v>
      </c>
      <c r="V465" s="224">
        <v>478.9272030651341</v>
      </c>
      <c r="W465" s="224">
        <v>383.1417624521073</v>
      </c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</row>
    <row r="466" ht="14.25" customHeight="1">
      <c r="A466" s="423" t="s">
        <v>84</v>
      </c>
      <c r="B466" s="423" t="s">
        <v>1886</v>
      </c>
      <c r="C466" s="585" t="s">
        <v>3074</v>
      </c>
      <c r="D466" s="582" t="s">
        <v>3185</v>
      </c>
      <c r="E466" s="134" t="s">
        <v>3086</v>
      </c>
      <c r="F466" s="134" t="s">
        <v>3101</v>
      </c>
      <c r="G466" s="583" t="s">
        <v>3331</v>
      </c>
      <c r="H466" s="583" t="s">
        <v>4283</v>
      </c>
      <c r="I466" s="581" t="s">
        <v>3333</v>
      </c>
      <c r="J466" s="134"/>
      <c r="K466" s="585" t="s">
        <v>147</v>
      </c>
      <c r="L466" s="361"/>
      <c r="M466" s="582" t="s">
        <v>3081</v>
      </c>
      <c r="N466" s="361"/>
      <c r="O466" s="361"/>
      <c r="P466" s="361">
        <v>9.403208E9</v>
      </c>
      <c r="Q466" s="498">
        <v>316.09195402298855</v>
      </c>
      <c r="R466" s="592" t="s">
        <v>10</v>
      </c>
      <c r="S466" s="49"/>
      <c r="T466" s="224">
        <v>1053.6398467432953</v>
      </c>
      <c r="U466" s="224">
        <v>632.1839080459771</v>
      </c>
      <c r="V466" s="224">
        <v>526.8199233716476</v>
      </c>
      <c r="W466" s="224">
        <v>421.4559386973181</v>
      </c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</row>
    <row r="467" ht="14.25" customHeight="1">
      <c r="A467" s="423" t="s">
        <v>84</v>
      </c>
      <c r="B467" s="423" t="s">
        <v>1886</v>
      </c>
      <c r="C467" s="585" t="s">
        <v>3074</v>
      </c>
      <c r="D467" s="582" t="s">
        <v>3185</v>
      </c>
      <c r="E467" s="134" t="s">
        <v>3094</v>
      </c>
      <c r="F467" s="134" t="s">
        <v>3101</v>
      </c>
      <c r="G467" s="583" t="s">
        <v>3334</v>
      </c>
      <c r="H467" s="583" t="s">
        <v>4284</v>
      </c>
      <c r="I467" s="581" t="s">
        <v>3336</v>
      </c>
      <c r="J467" s="134"/>
      <c r="K467" s="585" t="s">
        <v>147</v>
      </c>
      <c r="L467" s="361"/>
      <c r="M467" s="582" t="s">
        <v>3081</v>
      </c>
      <c r="N467" s="361"/>
      <c r="O467" s="361"/>
      <c r="P467" s="361">
        <v>9.403208E9</v>
      </c>
      <c r="Q467" s="498">
        <v>387.9310344827586</v>
      </c>
      <c r="R467" s="592" t="s">
        <v>10</v>
      </c>
      <c r="S467" s="49"/>
      <c r="T467" s="224">
        <v>1293.103448275862</v>
      </c>
      <c r="U467" s="224">
        <v>775.8620689655172</v>
      </c>
      <c r="V467" s="224">
        <v>646.551724137931</v>
      </c>
      <c r="W467" s="224">
        <v>517.2413793103449</v>
      </c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</row>
    <row r="468" ht="14.25" customHeight="1">
      <c r="A468" s="423" t="s">
        <v>84</v>
      </c>
      <c r="B468" s="423" t="s">
        <v>1886</v>
      </c>
      <c r="C468" s="585" t="s">
        <v>3074</v>
      </c>
      <c r="D468" s="582" t="s">
        <v>3185</v>
      </c>
      <c r="E468" s="134" t="s">
        <v>3228</v>
      </c>
      <c r="F468" s="134" t="s">
        <v>3101</v>
      </c>
      <c r="G468" s="583" t="s">
        <v>3337</v>
      </c>
      <c r="H468" s="583" t="s">
        <v>4285</v>
      </c>
      <c r="I468" s="581" t="s">
        <v>3339</v>
      </c>
      <c r="J468" s="134"/>
      <c r="K468" s="585" t="s">
        <v>147</v>
      </c>
      <c r="L468" s="361"/>
      <c r="M468" s="582" t="s">
        <v>3081</v>
      </c>
      <c r="N468" s="361"/>
      <c r="O468" s="361"/>
      <c r="P468" s="361">
        <v>9.403208E9</v>
      </c>
      <c r="Q468" s="498">
        <v>416.66666666666674</v>
      </c>
      <c r="R468" s="592" t="s">
        <v>10</v>
      </c>
      <c r="S468" s="49"/>
      <c r="T468" s="224">
        <v>1388.8888888888891</v>
      </c>
      <c r="U468" s="224">
        <v>833.3333333333335</v>
      </c>
      <c r="V468" s="224">
        <v>694.4444444444446</v>
      </c>
      <c r="W468" s="224">
        <v>555.5555555555557</v>
      </c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</row>
    <row r="469" ht="14.25" customHeight="1">
      <c r="A469" s="423" t="s">
        <v>84</v>
      </c>
      <c r="B469" s="423" t="s">
        <v>1886</v>
      </c>
      <c r="C469" s="585" t="s">
        <v>3074</v>
      </c>
      <c r="D469" s="582" t="s">
        <v>3185</v>
      </c>
      <c r="E469" s="134" t="s">
        <v>3094</v>
      </c>
      <c r="F469" s="134" t="s">
        <v>3120</v>
      </c>
      <c r="G469" s="583" t="s">
        <v>3340</v>
      </c>
      <c r="H469" s="583" t="s">
        <v>4286</v>
      </c>
      <c r="I469" s="581" t="s">
        <v>3342</v>
      </c>
      <c r="J469" s="134"/>
      <c r="K469" s="585" t="s">
        <v>147</v>
      </c>
      <c r="L469" s="361"/>
      <c r="M469" s="582" t="s">
        <v>3081</v>
      </c>
      <c r="N469" s="361"/>
      <c r="O469" s="361"/>
      <c r="P469" s="361">
        <v>9.403208E9</v>
      </c>
      <c r="Q469" s="498">
        <v>423.8505747126437</v>
      </c>
      <c r="R469" s="592" t="s">
        <v>10</v>
      </c>
      <c r="S469" s="49"/>
      <c r="T469" s="224">
        <v>1412.8352490421457</v>
      </c>
      <c r="U469" s="224">
        <v>847.7011494252874</v>
      </c>
      <c r="V469" s="224">
        <v>706.4176245210729</v>
      </c>
      <c r="W469" s="224">
        <v>565.1340996168583</v>
      </c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</row>
    <row r="470" ht="14.25" customHeight="1">
      <c r="A470" s="423" t="s">
        <v>84</v>
      </c>
      <c r="B470" s="423" t="s">
        <v>1886</v>
      </c>
      <c r="C470" s="585" t="s">
        <v>3074</v>
      </c>
      <c r="D470" s="582" t="s">
        <v>3185</v>
      </c>
      <c r="E470" s="134" t="s">
        <v>3075</v>
      </c>
      <c r="F470" s="134" t="s">
        <v>4372</v>
      </c>
      <c r="G470" s="583" t="s">
        <v>3344</v>
      </c>
      <c r="H470" s="583" t="s">
        <v>4287</v>
      </c>
      <c r="I470" s="581" t="s">
        <v>3346</v>
      </c>
      <c r="J470" s="134"/>
      <c r="K470" s="585" t="s">
        <v>147</v>
      </c>
      <c r="L470" s="361"/>
      <c r="M470" s="582" t="s">
        <v>3081</v>
      </c>
      <c r="N470" s="361"/>
      <c r="O470" s="361"/>
      <c r="P470" s="361">
        <v>9.403208E9</v>
      </c>
      <c r="Q470" s="498">
        <v>294.5402298850575</v>
      </c>
      <c r="R470" s="592" t="s">
        <v>10</v>
      </c>
      <c r="S470" s="49"/>
      <c r="T470" s="224">
        <v>981.800766283525</v>
      </c>
      <c r="U470" s="224">
        <v>589.080459770115</v>
      </c>
      <c r="V470" s="224">
        <v>490.9003831417625</v>
      </c>
      <c r="W470" s="224">
        <v>392.72030651341004</v>
      </c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</row>
    <row r="471" ht="14.25" customHeight="1">
      <c r="A471" s="423" t="s">
        <v>84</v>
      </c>
      <c r="B471" s="423" t="s">
        <v>1886</v>
      </c>
      <c r="C471" s="585" t="s">
        <v>3074</v>
      </c>
      <c r="D471" s="582" t="s">
        <v>3185</v>
      </c>
      <c r="E471" s="134" t="s">
        <v>3082</v>
      </c>
      <c r="F471" s="134" t="s">
        <v>3076</v>
      </c>
      <c r="G471" s="583" t="s">
        <v>3347</v>
      </c>
      <c r="H471" s="583" t="s">
        <v>4288</v>
      </c>
      <c r="I471" s="581" t="s">
        <v>3349</v>
      </c>
      <c r="J471" s="134"/>
      <c r="K471" s="585" t="s">
        <v>147</v>
      </c>
      <c r="L471" s="361"/>
      <c r="M471" s="582" t="s">
        <v>3081</v>
      </c>
      <c r="N471" s="361"/>
      <c r="O471" s="361"/>
      <c r="P471" s="361">
        <v>9.403208E9</v>
      </c>
      <c r="Q471" s="498">
        <v>308.90804597701157</v>
      </c>
      <c r="R471" s="592" t="s">
        <v>10</v>
      </c>
      <c r="S471" s="49"/>
      <c r="T471" s="224">
        <v>1029.6934865900387</v>
      </c>
      <c r="U471" s="224">
        <v>617.8160919540231</v>
      </c>
      <c r="V471" s="224">
        <v>514.8467432950193</v>
      </c>
      <c r="W471" s="224">
        <v>411.8773946360155</v>
      </c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</row>
    <row r="472" ht="14.25" customHeight="1">
      <c r="A472" s="423" t="s">
        <v>84</v>
      </c>
      <c r="B472" s="423" t="s">
        <v>1886</v>
      </c>
      <c r="C472" s="585" t="s">
        <v>3074</v>
      </c>
      <c r="D472" s="582" t="s">
        <v>3185</v>
      </c>
      <c r="E472" s="134" t="s">
        <v>3086</v>
      </c>
      <c r="F472" s="134" t="s">
        <v>3076</v>
      </c>
      <c r="G472" s="583" t="s">
        <v>3350</v>
      </c>
      <c r="H472" s="583" t="s">
        <v>4289</v>
      </c>
      <c r="I472" s="581" t="s">
        <v>3352</v>
      </c>
      <c r="J472" s="134"/>
      <c r="K472" s="585" t="s">
        <v>147</v>
      </c>
      <c r="L472" s="361"/>
      <c r="M472" s="582" t="s">
        <v>3081</v>
      </c>
      <c r="N472" s="361"/>
      <c r="O472" s="361"/>
      <c r="P472" s="361">
        <v>9.403208E9</v>
      </c>
      <c r="Q472" s="498">
        <v>323.2758620689655</v>
      </c>
      <c r="R472" s="592" t="s">
        <v>10</v>
      </c>
      <c r="S472" s="49"/>
      <c r="T472" s="224">
        <v>1077.5862068965519</v>
      </c>
      <c r="U472" s="224">
        <v>646.551724137931</v>
      </c>
      <c r="V472" s="224">
        <v>538.7931034482759</v>
      </c>
      <c r="W472" s="224">
        <v>431.03448275862075</v>
      </c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</row>
    <row r="473" ht="14.25" customHeight="1">
      <c r="A473" s="423" t="s">
        <v>84</v>
      </c>
      <c r="B473" s="423" t="s">
        <v>1886</v>
      </c>
      <c r="C473" s="585" t="s">
        <v>3074</v>
      </c>
      <c r="D473" s="582" t="s">
        <v>3185</v>
      </c>
      <c r="E473" s="134" t="s">
        <v>3090</v>
      </c>
      <c r="F473" s="134" t="s">
        <v>3076</v>
      </c>
      <c r="G473" s="583" t="s">
        <v>3353</v>
      </c>
      <c r="H473" s="583" t="s">
        <v>4290</v>
      </c>
      <c r="I473" s="581" t="s">
        <v>3355</v>
      </c>
      <c r="J473" s="134"/>
      <c r="K473" s="585" t="s">
        <v>147</v>
      </c>
      <c r="L473" s="361"/>
      <c r="M473" s="582" t="s">
        <v>3081</v>
      </c>
      <c r="N473" s="361"/>
      <c r="O473" s="361"/>
      <c r="P473" s="361">
        <v>9.403208E9</v>
      </c>
      <c r="Q473" s="498">
        <v>359.1954022988505</v>
      </c>
      <c r="R473" s="592" t="s">
        <v>10</v>
      </c>
      <c r="S473" s="49"/>
      <c r="T473" s="224">
        <v>1197.318007662835</v>
      </c>
      <c r="U473" s="224">
        <v>718.390804597701</v>
      </c>
      <c r="V473" s="224">
        <v>598.6590038314175</v>
      </c>
      <c r="W473" s="224">
        <v>478.92720306513405</v>
      </c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</row>
    <row r="474" ht="14.25" customHeight="1">
      <c r="A474" s="423" t="s">
        <v>84</v>
      </c>
      <c r="B474" s="423" t="s">
        <v>1886</v>
      </c>
      <c r="C474" s="585" t="s">
        <v>3074</v>
      </c>
      <c r="D474" s="582" t="s">
        <v>3185</v>
      </c>
      <c r="E474" s="134" t="s">
        <v>3094</v>
      </c>
      <c r="F474" s="134" t="s">
        <v>3076</v>
      </c>
      <c r="G474" s="583" t="s">
        <v>3356</v>
      </c>
      <c r="H474" s="583" t="s">
        <v>4291</v>
      </c>
      <c r="I474" s="581" t="s">
        <v>3358</v>
      </c>
      <c r="J474" s="134"/>
      <c r="K474" s="585" t="s">
        <v>147</v>
      </c>
      <c r="L474" s="361"/>
      <c r="M474" s="582" t="s">
        <v>3081</v>
      </c>
      <c r="N474" s="361"/>
      <c r="O474" s="361"/>
      <c r="P474" s="361">
        <v>9.403208E9</v>
      </c>
      <c r="Q474" s="498">
        <v>402.29885057471273</v>
      </c>
      <c r="R474" s="592" t="s">
        <v>10</v>
      </c>
      <c r="S474" s="49"/>
      <c r="T474" s="224">
        <v>1340.9961685823757</v>
      </c>
      <c r="U474" s="224">
        <v>804.5977011494255</v>
      </c>
      <c r="V474" s="224">
        <v>670.4980842911879</v>
      </c>
      <c r="W474" s="224">
        <v>536.3984674329503</v>
      </c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</row>
    <row r="475" ht="14.25" customHeight="1">
      <c r="A475" s="423" t="s">
        <v>84</v>
      </c>
      <c r="B475" s="423" t="s">
        <v>1886</v>
      </c>
      <c r="C475" s="585" t="s">
        <v>3074</v>
      </c>
      <c r="D475" s="582" t="s">
        <v>3185</v>
      </c>
      <c r="E475" s="134" t="s">
        <v>3075</v>
      </c>
      <c r="F475" s="134" t="s">
        <v>3101</v>
      </c>
      <c r="G475" s="583" t="s">
        <v>3359</v>
      </c>
      <c r="H475" s="583" t="s">
        <v>4292</v>
      </c>
      <c r="I475" s="581" t="s">
        <v>3361</v>
      </c>
      <c r="J475" s="134"/>
      <c r="K475" s="585" t="s">
        <v>147</v>
      </c>
      <c r="L475" s="361"/>
      <c r="M475" s="582" t="s">
        <v>3081</v>
      </c>
      <c r="N475" s="361"/>
      <c r="O475" s="361"/>
      <c r="P475" s="361">
        <v>9.403208E9</v>
      </c>
      <c r="Q475" s="498">
        <v>316.09195402298855</v>
      </c>
      <c r="R475" s="592" t="s">
        <v>10</v>
      </c>
      <c r="S475" s="49"/>
      <c r="T475" s="224">
        <v>1053.6398467432953</v>
      </c>
      <c r="U475" s="224">
        <v>632.1839080459771</v>
      </c>
      <c r="V475" s="224">
        <v>526.8199233716476</v>
      </c>
      <c r="W475" s="224">
        <v>421.4559386973181</v>
      </c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</row>
    <row r="476" ht="14.25" customHeight="1">
      <c r="A476" s="423" t="s">
        <v>84</v>
      </c>
      <c r="B476" s="423" t="s">
        <v>1886</v>
      </c>
      <c r="C476" s="585" t="s">
        <v>3074</v>
      </c>
      <c r="D476" s="582" t="s">
        <v>3185</v>
      </c>
      <c r="E476" s="134" t="s">
        <v>3086</v>
      </c>
      <c r="F476" s="134" t="s">
        <v>3101</v>
      </c>
      <c r="G476" s="583" t="s">
        <v>3362</v>
      </c>
      <c r="H476" s="583" t="s">
        <v>4293</v>
      </c>
      <c r="I476" s="581" t="s">
        <v>3364</v>
      </c>
      <c r="J476" s="134"/>
      <c r="K476" s="585" t="s">
        <v>147</v>
      </c>
      <c r="L476" s="361"/>
      <c r="M476" s="582" t="s">
        <v>3081</v>
      </c>
      <c r="N476" s="361"/>
      <c r="O476" s="361"/>
      <c r="P476" s="361">
        <v>9.403208E9</v>
      </c>
      <c r="Q476" s="498">
        <v>344.82758620689657</v>
      </c>
      <c r="R476" s="592" t="s">
        <v>10</v>
      </c>
      <c r="S476" s="49"/>
      <c r="T476" s="224">
        <v>1149.4252873563219</v>
      </c>
      <c r="U476" s="224">
        <v>689.6551724137931</v>
      </c>
      <c r="V476" s="224">
        <v>574.7126436781609</v>
      </c>
      <c r="W476" s="224">
        <v>459.7701149425288</v>
      </c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</row>
    <row r="477" ht="14.25" customHeight="1">
      <c r="A477" s="423" t="s">
        <v>84</v>
      </c>
      <c r="B477" s="423" t="s">
        <v>1886</v>
      </c>
      <c r="C477" s="585" t="s">
        <v>3074</v>
      </c>
      <c r="D477" s="582" t="s">
        <v>3185</v>
      </c>
      <c r="E477" s="134" t="s">
        <v>3094</v>
      </c>
      <c r="F477" s="134" t="s">
        <v>3101</v>
      </c>
      <c r="G477" s="583" t="s">
        <v>3365</v>
      </c>
      <c r="H477" s="583" t="s">
        <v>4294</v>
      </c>
      <c r="I477" s="581" t="s">
        <v>3367</v>
      </c>
      <c r="J477" s="134"/>
      <c r="K477" s="585" t="s">
        <v>147</v>
      </c>
      <c r="L477" s="361"/>
      <c r="M477" s="582" t="s">
        <v>3081</v>
      </c>
      <c r="N477" s="361"/>
      <c r="O477" s="361"/>
      <c r="P477" s="361">
        <v>9.403208E9</v>
      </c>
      <c r="Q477" s="498">
        <v>438.21839080459773</v>
      </c>
      <c r="R477" s="592" t="s">
        <v>10</v>
      </c>
      <c r="S477" s="49"/>
      <c r="T477" s="224">
        <v>1460.7279693486591</v>
      </c>
      <c r="U477" s="224">
        <v>876.4367816091955</v>
      </c>
      <c r="V477" s="224">
        <v>730.3639846743296</v>
      </c>
      <c r="W477" s="224">
        <v>584.2911877394637</v>
      </c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</row>
    <row r="478" ht="14.25" customHeight="1">
      <c r="A478" s="423" t="s">
        <v>84</v>
      </c>
      <c r="B478" s="423" t="s">
        <v>1886</v>
      </c>
      <c r="C478" s="585" t="s">
        <v>3074</v>
      </c>
      <c r="D478" s="582" t="s">
        <v>3185</v>
      </c>
      <c r="E478" s="134" t="s">
        <v>3228</v>
      </c>
      <c r="F478" s="134" t="s">
        <v>3101</v>
      </c>
      <c r="G478" s="583" t="s">
        <v>3368</v>
      </c>
      <c r="H478" s="583" t="s">
        <v>4295</v>
      </c>
      <c r="I478" s="581" t="s">
        <v>3370</v>
      </c>
      <c r="J478" s="134"/>
      <c r="K478" s="585" t="s">
        <v>147</v>
      </c>
      <c r="L478" s="361"/>
      <c r="M478" s="582" t="s">
        <v>3081</v>
      </c>
      <c r="N478" s="361"/>
      <c r="O478" s="361"/>
      <c r="P478" s="361">
        <v>9.403208E9</v>
      </c>
      <c r="Q478" s="498">
        <v>471.2643678160919</v>
      </c>
      <c r="R478" s="592" t="s">
        <v>10</v>
      </c>
      <c r="S478" s="49"/>
      <c r="T478" s="224">
        <v>1570.8812260536397</v>
      </c>
      <c r="U478" s="224">
        <v>942.5287356321837</v>
      </c>
      <c r="V478" s="224">
        <v>785.4406130268198</v>
      </c>
      <c r="W478" s="224">
        <v>628.352490421456</v>
      </c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</row>
    <row r="479" ht="14.25" customHeight="1">
      <c r="A479" s="423" t="s">
        <v>84</v>
      </c>
      <c r="B479" s="423" t="s">
        <v>1886</v>
      </c>
      <c r="C479" s="585" t="s">
        <v>3074</v>
      </c>
      <c r="D479" s="582" t="s">
        <v>3185</v>
      </c>
      <c r="E479" s="134" t="s">
        <v>3094</v>
      </c>
      <c r="F479" s="134" t="s">
        <v>3120</v>
      </c>
      <c r="G479" s="583" t="s">
        <v>3371</v>
      </c>
      <c r="H479" s="583" t="s">
        <v>4296</v>
      </c>
      <c r="I479" s="581" t="s">
        <v>3373</v>
      </c>
      <c r="J479" s="134"/>
      <c r="K479" s="585" t="s">
        <v>147</v>
      </c>
      <c r="L479" s="361"/>
      <c r="M479" s="582" t="s">
        <v>3081</v>
      </c>
      <c r="N479" s="361"/>
      <c r="O479" s="361"/>
      <c r="P479" s="361">
        <v>9.403208E9</v>
      </c>
      <c r="Q479" s="498">
        <v>478.448275862069</v>
      </c>
      <c r="R479" s="592" t="s">
        <v>10</v>
      </c>
      <c r="S479" s="49"/>
      <c r="T479" s="224">
        <v>1594.8275862068967</v>
      </c>
      <c r="U479" s="224">
        <v>956.896551724138</v>
      </c>
      <c r="V479" s="224">
        <v>797.4137931034484</v>
      </c>
      <c r="W479" s="224">
        <v>637.9310344827587</v>
      </c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</row>
    <row r="480" ht="14.25" customHeight="1">
      <c r="A480" s="423" t="s">
        <v>84</v>
      </c>
      <c r="B480" s="423" t="s">
        <v>1886</v>
      </c>
      <c r="C480" s="585" t="s">
        <v>3074</v>
      </c>
      <c r="D480" s="582" t="s">
        <v>3185</v>
      </c>
      <c r="E480" s="134" t="s">
        <v>3094</v>
      </c>
      <c r="F480" s="134" t="s">
        <v>3124</v>
      </c>
      <c r="G480" s="583" t="s">
        <v>3374</v>
      </c>
      <c r="H480" s="583" t="s">
        <v>4297</v>
      </c>
      <c r="I480" s="581" t="s">
        <v>3376</v>
      </c>
      <c r="J480" s="134"/>
      <c r="K480" s="585" t="s">
        <v>147</v>
      </c>
      <c r="L480" s="361"/>
      <c r="M480" s="582" t="s">
        <v>3081</v>
      </c>
      <c r="N480" s="361"/>
      <c r="O480" s="361"/>
      <c r="P480" s="361">
        <v>9.403208E9</v>
      </c>
      <c r="Q480" s="498">
        <v>481.32183908045977</v>
      </c>
      <c r="R480" s="592" t="s">
        <v>10</v>
      </c>
      <c r="S480" s="49"/>
      <c r="T480" s="224">
        <v>1604.4061302681994</v>
      </c>
      <c r="U480" s="224">
        <v>962.6436781609195</v>
      </c>
      <c r="V480" s="224">
        <v>802.2030651340997</v>
      </c>
      <c r="W480" s="224">
        <v>641.7624521072798</v>
      </c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</row>
    <row r="481" ht="14.25" customHeight="1">
      <c r="A481" s="423" t="s">
        <v>84</v>
      </c>
      <c r="B481" s="423" t="s">
        <v>1886</v>
      </c>
      <c r="C481" s="585" t="s">
        <v>3074</v>
      </c>
      <c r="D481" s="582" t="s">
        <v>3185</v>
      </c>
      <c r="E481" s="134" t="s">
        <v>3090</v>
      </c>
      <c r="F481" s="134" t="s">
        <v>3134</v>
      </c>
      <c r="G481" s="583" t="s">
        <v>3377</v>
      </c>
      <c r="H481" s="583" t="s">
        <v>4298</v>
      </c>
      <c r="I481" s="581" t="s">
        <v>3379</v>
      </c>
      <c r="J481" s="134"/>
      <c r="K481" s="585" t="s">
        <v>147</v>
      </c>
      <c r="L481" s="361"/>
      <c r="M481" s="582" t="s">
        <v>3081</v>
      </c>
      <c r="N481" s="361"/>
      <c r="O481" s="361"/>
      <c r="P481" s="361">
        <v>9.403208E9</v>
      </c>
      <c r="Q481" s="498">
        <v>459.7701149425288</v>
      </c>
      <c r="R481" s="592" t="s">
        <v>10</v>
      </c>
      <c r="S481" s="49"/>
      <c r="T481" s="224">
        <v>1532.5670498084294</v>
      </c>
      <c r="U481" s="224">
        <v>919.5402298850576</v>
      </c>
      <c r="V481" s="224">
        <v>766.2835249042147</v>
      </c>
      <c r="W481" s="224">
        <v>613.0268199233718</v>
      </c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</row>
    <row r="482" ht="14.25" customHeight="1">
      <c r="A482" s="423" t="s">
        <v>84</v>
      </c>
      <c r="B482" s="423" t="s">
        <v>1886</v>
      </c>
      <c r="C482" s="585" t="s">
        <v>3074</v>
      </c>
      <c r="D482" s="582" t="s">
        <v>3185</v>
      </c>
      <c r="E482" s="134" t="s">
        <v>3094</v>
      </c>
      <c r="F482" s="134" t="s">
        <v>3134</v>
      </c>
      <c r="G482" s="583" t="s">
        <v>3380</v>
      </c>
      <c r="H482" s="583" t="s">
        <v>4299</v>
      </c>
      <c r="I482" s="581" t="s">
        <v>3382</v>
      </c>
      <c r="J482" s="134"/>
      <c r="K482" s="585" t="s">
        <v>147</v>
      </c>
      <c r="L482" s="361"/>
      <c r="M482" s="582" t="s">
        <v>3081</v>
      </c>
      <c r="N482" s="361"/>
      <c r="O482" s="361"/>
      <c r="P482" s="361">
        <v>9.403208E9</v>
      </c>
      <c r="Q482" s="498">
        <v>488.5057471264368</v>
      </c>
      <c r="R482" s="592" t="s">
        <v>10</v>
      </c>
      <c r="S482" s="49"/>
      <c r="T482" s="224">
        <v>1628.352490421456</v>
      </c>
      <c r="U482" s="224">
        <v>977.0114942528735</v>
      </c>
      <c r="V482" s="224">
        <v>814.176245210728</v>
      </c>
      <c r="W482" s="224">
        <v>651.3409961685825</v>
      </c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</row>
    <row r="483" ht="14.25" customHeight="1">
      <c r="A483" s="423" t="s">
        <v>84</v>
      </c>
      <c r="B483" s="423" t="s">
        <v>1886</v>
      </c>
      <c r="C483" s="585" t="s">
        <v>3074</v>
      </c>
      <c r="D483" s="582" t="s">
        <v>3185</v>
      </c>
      <c r="E483" s="134" t="s">
        <v>3228</v>
      </c>
      <c r="F483" s="134" t="s">
        <v>3134</v>
      </c>
      <c r="G483" s="583" t="s">
        <v>3383</v>
      </c>
      <c r="H483" s="583" t="s">
        <v>4300</v>
      </c>
      <c r="I483" s="581" t="s">
        <v>3385</v>
      </c>
      <c r="J483" s="134"/>
      <c r="K483" s="585" t="s">
        <v>147</v>
      </c>
      <c r="L483" s="361"/>
      <c r="M483" s="582" t="s">
        <v>3081</v>
      </c>
      <c r="N483" s="361"/>
      <c r="O483" s="361"/>
      <c r="P483" s="361">
        <v>9.403208E9</v>
      </c>
      <c r="Q483" s="498">
        <v>574.7126436781609</v>
      </c>
      <c r="R483" s="592" t="s">
        <v>10</v>
      </c>
      <c r="S483" s="49"/>
      <c r="T483" s="224">
        <v>1915.7088122605364</v>
      </c>
      <c r="U483" s="224">
        <v>1149.4252873563219</v>
      </c>
      <c r="V483" s="224">
        <v>957.8544061302682</v>
      </c>
      <c r="W483" s="224">
        <v>766.2835249042146</v>
      </c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</row>
    <row r="484" ht="14.25" customHeight="1">
      <c r="A484" s="423" t="s">
        <v>84</v>
      </c>
      <c r="B484" s="423" t="s">
        <v>1886</v>
      </c>
      <c r="C484" s="585" t="s">
        <v>3074</v>
      </c>
      <c r="D484" s="582" t="s">
        <v>3185</v>
      </c>
      <c r="E484" s="134" t="s">
        <v>3094</v>
      </c>
      <c r="F484" s="134" t="s">
        <v>3159</v>
      </c>
      <c r="G484" s="583" t="s">
        <v>3386</v>
      </c>
      <c r="H484" s="583" t="s">
        <v>4301</v>
      </c>
      <c r="I484" s="581" t="s">
        <v>3388</v>
      </c>
      <c r="J484" s="134"/>
      <c r="K484" s="585" t="s">
        <v>147</v>
      </c>
      <c r="L484" s="361"/>
      <c r="M484" s="582" t="s">
        <v>3081</v>
      </c>
      <c r="N484" s="361"/>
      <c r="O484" s="361"/>
      <c r="P484" s="361">
        <v>9.403208E9</v>
      </c>
      <c r="Q484" s="498">
        <v>560.344827586207</v>
      </c>
      <c r="R484" s="592" t="s">
        <v>10</v>
      </c>
      <c r="S484" s="49"/>
      <c r="T484" s="224">
        <v>1867.8160919540232</v>
      </c>
      <c r="U484" s="224">
        <v>1120.689655172414</v>
      </c>
      <c r="V484" s="224">
        <v>933.9080459770116</v>
      </c>
      <c r="W484" s="224">
        <v>747.1264367816093</v>
      </c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</row>
    <row r="485" ht="14.25" customHeight="1">
      <c r="A485" s="423" t="s">
        <v>84</v>
      </c>
      <c r="B485" s="423" t="s">
        <v>1886</v>
      </c>
      <c r="C485" s="585" t="s">
        <v>3074</v>
      </c>
      <c r="D485" s="582" t="s">
        <v>3185</v>
      </c>
      <c r="E485" s="134" t="s">
        <v>3228</v>
      </c>
      <c r="F485" s="134" t="s">
        <v>3159</v>
      </c>
      <c r="G485" s="583" t="s">
        <v>3389</v>
      </c>
      <c r="H485" s="583" t="s">
        <v>4302</v>
      </c>
      <c r="I485" s="581" t="s">
        <v>3391</v>
      </c>
      <c r="J485" s="134"/>
      <c r="K485" s="585" t="s">
        <v>147</v>
      </c>
      <c r="L485" s="361"/>
      <c r="M485" s="582" t="s">
        <v>3081</v>
      </c>
      <c r="N485" s="361"/>
      <c r="O485" s="361"/>
      <c r="P485" s="361">
        <v>9.403208E9</v>
      </c>
      <c r="Q485" s="498">
        <v>610.632183908046</v>
      </c>
      <c r="R485" s="592" t="s">
        <v>10</v>
      </c>
      <c r="S485" s="49"/>
      <c r="T485" s="224">
        <v>2035.4406130268203</v>
      </c>
      <c r="U485" s="224">
        <v>1221.264367816092</v>
      </c>
      <c r="V485" s="224">
        <v>1017.7203065134102</v>
      </c>
      <c r="W485" s="224">
        <v>814.1762452107282</v>
      </c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</row>
    <row r="486" ht="14.25" customHeight="1">
      <c r="A486" s="423" t="s">
        <v>84</v>
      </c>
      <c r="B486" s="423" t="s">
        <v>1886</v>
      </c>
      <c r="C486" s="585" t="s">
        <v>3074</v>
      </c>
      <c r="D486" s="582" t="s">
        <v>3185</v>
      </c>
      <c r="E486" s="134" t="s">
        <v>3094</v>
      </c>
      <c r="F486" s="134" t="s">
        <v>3240</v>
      </c>
      <c r="G486" s="583" t="s">
        <v>3392</v>
      </c>
      <c r="H486" s="583" t="s">
        <v>4303</v>
      </c>
      <c r="I486" s="581" t="s">
        <v>3394</v>
      </c>
      <c r="J486" s="134"/>
      <c r="K486" s="585" t="s">
        <v>147</v>
      </c>
      <c r="L486" s="361"/>
      <c r="M486" s="582" t="s">
        <v>3081</v>
      </c>
      <c r="N486" s="361"/>
      <c r="O486" s="361"/>
      <c r="P486" s="361">
        <v>9.403208E9</v>
      </c>
      <c r="Q486" s="498">
        <v>619.2528735632185</v>
      </c>
      <c r="R486" s="592" t="s">
        <v>10</v>
      </c>
      <c r="S486" s="49"/>
      <c r="T486" s="224">
        <v>2064.176245210728</v>
      </c>
      <c r="U486" s="224">
        <v>1238.505747126437</v>
      </c>
      <c r="V486" s="224">
        <v>1032.088122605364</v>
      </c>
      <c r="W486" s="224">
        <v>825.6704980842914</v>
      </c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</row>
    <row r="487" ht="14.25" customHeight="1">
      <c r="A487" s="423" t="s">
        <v>84</v>
      </c>
      <c r="B487" s="423" t="s">
        <v>1886</v>
      </c>
      <c r="C487" s="585" t="s">
        <v>3074</v>
      </c>
      <c r="D487" s="582" t="s">
        <v>3185</v>
      </c>
      <c r="E487" s="134" t="s">
        <v>3228</v>
      </c>
      <c r="F487" s="134" t="s">
        <v>3240</v>
      </c>
      <c r="G487" s="583" t="s">
        <v>3395</v>
      </c>
      <c r="H487" s="583" t="s">
        <v>4304</v>
      </c>
      <c r="I487" s="581" t="s">
        <v>3397</v>
      </c>
      <c r="J487" s="134"/>
      <c r="K487" s="585" t="s">
        <v>147</v>
      </c>
      <c r="L487" s="361"/>
      <c r="M487" s="582" t="s">
        <v>3081</v>
      </c>
      <c r="N487" s="361"/>
      <c r="O487" s="361"/>
      <c r="P487" s="361">
        <v>9.403208E9</v>
      </c>
      <c r="Q487" s="498">
        <v>682.4712643678162</v>
      </c>
      <c r="R487" s="592" t="s">
        <v>10</v>
      </c>
      <c r="S487" s="49"/>
      <c r="T487" s="224">
        <v>2274.904214559387</v>
      </c>
      <c r="U487" s="224">
        <v>1364.9425287356323</v>
      </c>
      <c r="V487" s="224">
        <v>1137.4521072796936</v>
      </c>
      <c r="W487" s="224">
        <v>909.9616858237549</v>
      </c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</row>
    <row r="488" ht="14.25" customHeight="1">
      <c r="A488" s="423" t="s">
        <v>84</v>
      </c>
      <c r="B488" s="423" t="s">
        <v>1886</v>
      </c>
      <c r="C488" s="585" t="s">
        <v>3074</v>
      </c>
      <c r="D488" s="582" t="s">
        <v>3185</v>
      </c>
      <c r="E488" s="134" t="s">
        <v>3094</v>
      </c>
      <c r="F488" s="134" t="s">
        <v>3124</v>
      </c>
      <c r="G488" s="583" t="s">
        <v>3398</v>
      </c>
      <c r="H488" s="583" t="s">
        <v>4305</v>
      </c>
      <c r="I488" s="581" t="s">
        <v>3400</v>
      </c>
      <c r="J488" s="134"/>
      <c r="K488" s="585" t="s">
        <v>147</v>
      </c>
      <c r="L488" s="361"/>
      <c r="M488" s="582" t="s">
        <v>3081</v>
      </c>
      <c r="N488" s="361"/>
      <c r="O488" s="361"/>
      <c r="P488" s="361">
        <v>9.403208E9</v>
      </c>
      <c r="Q488" s="498">
        <v>545.9770114942529</v>
      </c>
      <c r="R488" s="592" t="s">
        <v>10</v>
      </c>
      <c r="S488" s="49"/>
      <c r="T488" s="224">
        <v>1819.9233716475098</v>
      </c>
      <c r="U488" s="224">
        <v>1091.9540229885058</v>
      </c>
      <c r="V488" s="224">
        <v>909.9616858237549</v>
      </c>
      <c r="W488" s="224">
        <v>727.969348659004</v>
      </c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</row>
    <row r="489" ht="14.25" customHeight="1">
      <c r="A489" s="423" t="s">
        <v>84</v>
      </c>
      <c r="B489" s="423" t="s">
        <v>1886</v>
      </c>
      <c r="C489" s="585" t="s">
        <v>3074</v>
      </c>
      <c r="D489" s="582" t="s">
        <v>3185</v>
      </c>
      <c r="E489" s="134" t="s">
        <v>3090</v>
      </c>
      <c r="F489" s="134" t="s">
        <v>3134</v>
      </c>
      <c r="G489" s="583" t="s">
        <v>3401</v>
      </c>
      <c r="H489" s="583" t="s">
        <v>4306</v>
      </c>
      <c r="I489" s="581" t="s">
        <v>3403</v>
      </c>
      <c r="J489" s="134"/>
      <c r="K489" s="585" t="s">
        <v>147</v>
      </c>
      <c r="L489" s="361"/>
      <c r="M489" s="582" t="s">
        <v>3081</v>
      </c>
      <c r="N489" s="361"/>
      <c r="O489" s="361"/>
      <c r="P489" s="361">
        <v>9.403208E9</v>
      </c>
      <c r="Q489" s="498">
        <v>517.2413793103449</v>
      </c>
      <c r="R489" s="592" t="s">
        <v>10</v>
      </c>
      <c r="S489" s="49"/>
      <c r="T489" s="224">
        <v>1724.137931034483</v>
      </c>
      <c r="U489" s="224">
        <v>1034.4827586206898</v>
      </c>
      <c r="V489" s="224">
        <v>862.0689655172415</v>
      </c>
      <c r="W489" s="224">
        <v>689.6551724137933</v>
      </c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</row>
    <row r="490" ht="14.25" customHeight="1">
      <c r="A490" s="423" t="s">
        <v>84</v>
      </c>
      <c r="B490" s="423" t="s">
        <v>1886</v>
      </c>
      <c r="C490" s="585" t="s">
        <v>3074</v>
      </c>
      <c r="D490" s="582" t="s">
        <v>3185</v>
      </c>
      <c r="E490" s="134" t="s">
        <v>3094</v>
      </c>
      <c r="F490" s="134" t="s">
        <v>3134</v>
      </c>
      <c r="G490" s="583" t="s">
        <v>3404</v>
      </c>
      <c r="H490" s="583" t="s">
        <v>4307</v>
      </c>
      <c r="I490" s="581" t="s">
        <v>3406</v>
      </c>
      <c r="J490" s="134"/>
      <c r="K490" s="585" t="s">
        <v>147</v>
      </c>
      <c r="L490" s="361"/>
      <c r="M490" s="582" t="s">
        <v>3081</v>
      </c>
      <c r="N490" s="361"/>
      <c r="O490" s="361"/>
      <c r="P490" s="361">
        <v>9.403208E9</v>
      </c>
      <c r="Q490" s="498">
        <v>545.9770114942529</v>
      </c>
      <c r="R490" s="592" t="s">
        <v>10</v>
      </c>
      <c r="S490" s="49"/>
      <c r="T490" s="224">
        <v>1819.9233716475098</v>
      </c>
      <c r="U490" s="224">
        <v>1091.9540229885058</v>
      </c>
      <c r="V490" s="224">
        <v>909.9616858237549</v>
      </c>
      <c r="W490" s="224">
        <v>727.969348659004</v>
      </c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</row>
    <row r="491" ht="14.25" customHeight="1">
      <c r="A491" s="423" t="s">
        <v>84</v>
      </c>
      <c r="B491" s="423" t="s">
        <v>1886</v>
      </c>
      <c r="C491" s="585" t="s">
        <v>3074</v>
      </c>
      <c r="D491" s="582" t="s">
        <v>3185</v>
      </c>
      <c r="E491" s="134" t="s">
        <v>3228</v>
      </c>
      <c r="F491" s="134" t="s">
        <v>3134</v>
      </c>
      <c r="G491" s="583" t="s">
        <v>3407</v>
      </c>
      <c r="H491" s="583" t="s">
        <v>4308</v>
      </c>
      <c r="I491" s="581" t="s">
        <v>3409</v>
      </c>
      <c r="J491" s="134"/>
      <c r="K491" s="585" t="s">
        <v>147</v>
      </c>
      <c r="L491" s="361"/>
      <c r="M491" s="582" t="s">
        <v>3081</v>
      </c>
      <c r="N491" s="361"/>
      <c r="O491" s="361"/>
      <c r="P491" s="361">
        <v>9.403208E9</v>
      </c>
      <c r="Q491" s="498">
        <v>653.7356321839081</v>
      </c>
      <c r="R491" s="592" t="s">
        <v>10</v>
      </c>
      <c r="S491" s="49"/>
      <c r="T491" s="224">
        <v>2179.1187739463608</v>
      </c>
      <c r="U491" s="224">
        <v>1307.4712643678165</v>
      </c>
      <c r="V491" s="224">
        <v>1089.5593869731804</v>
      </c>
      <c r="W491" s="224">
        <v>871.6475095785444</v>
      </c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</row>
    <row r="492" ht="14.25" customHeight="1">
      <c r="A492" s="423" t="s">
        <v>84</v>
      </c>
      <c r="B492" s="423" t="s">
        <v>1886</v>
      </c>
      <c r="C492" s="585" t="s">
        <v>3074</v>
      </c>
      <c r="D492" s="582" t="s">
        <v>3185</v>
      </c>
      <c r="E492" s="134" t="s">
        <v>3094</v>
      </c>
      <c r="F492" s="134" t="s">
        <v>3159</v>
      </c>
      <c r="G492" s="583" t="s">
        <v>3410</v>
      </c>
      <c r="H492" s="583" t="s">
        <v>4309</v>
      </c>
      <c r="I492" s="581" t="s">
        <v>3412</v>
      </c>
      <c r="J492" s="134"/>
      <c r="K492" s="585" t="s">
        <v>147</v>
      </c>
      <c r="L492" s="361"/>
      <c r="M492" s="582" t="s">
        <v>3081</v>
      </c>
      <c r="N492" s="361"/>
      <c r="O492" s="361"/>
      <c r="P492" s="361">
        <v>9.403208E9</v>
      </c>
      <c r="Q492" s="498">
        <v>610.632183908046</v>
      </c>
      <c r="R492" s="592" t="s">
        <v>10</v>
      </c>
      <c r="S492" s="49"/>
      <c r="T492" s="224">
        <v>2035.4406130268203</v>
      </c>
      <c r="U492" s="224">
        <v>1221.264367816092</v>
      </c>
      <c r="V492" s="224">
        <v>1017.7203065134102</v>
      </c>
      <c r="W492" s="224">
        <v>814.1762452107282</v>
      </c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</row>
    <row r="493" ht="14.25" customHeight="1">
      <c r="A493" s="423" t="s">
        <v>84</v>
      </c>
      <c r="B493" s="423" t="s">
        <v>1886</v>
      </c>
      <c r="C493" s="585" t="s">
        <v>3074</v>
      </c>
      <c r="D493" s="582" t="s">
        <v>3185</v>
      </c>
      <c r="E493" s="134" t="s">
        <v>3228</v>
      </c>
      <c r="F493" s="134" t="s">
        <v>3159</v>
      </c>
      <c r="G493" s="583" t="s">
        <v>3413</v>
      </c>
      <c r="H493" s="583" t="s">
        <v>4310</v>
      </c>
      <c r="I493" s="581" t="s">
        <v>3415</v>
      </c>
      <c r="J493" s="134"/>
      <c r="K493" s="585" t="s">
        <v>147</v>
      </c>
      <c r="L493" s="361"/>
      <c r="M493" s="582" t="s">
        <v>3081</v>
      </c>
      <c r="N493" s="361"/>
      <c r="O493" s="361"/>
      <c r="P493" s="361">
        <v>9.403208E9</v>
      </c>
      <c r="Q493" s="498">
        <v>668.1034482758621</v>
      </c>
      <c r="R493" s="592" t="s">
        <v>10</v>
      </c>
      <c r="S493" s="49"/>
      <c r="T493" s="224">
        <v>2227.011494252874</v>
      </c>
      <c r="U493" s="224">
        <v>1336.2068965517244</v>
      </c>
      <c r="V493" s="224">
        <v>1113.505747126437</v>
      </c>
      <c r="W493" s="224">
        <v>890.8045977011496</v>
      </c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</row>
    <row r="494" ht="14.25" customHeight="1">
      <c r="A494" s="423" t="s">
        <v>84</v>
      </c>
      <c r="B494" s="423" t="s">
        <v>1886</v>
      </c>
      <c r="C494" s="585" t="s">
        <v>3074</v>
      </c>
      <c r="D494" s="582" t="s">
        <v>3185</v>
      </c>
      <c r="E494" s="134" t="s">
        <v>3094</v>
      </c>
      <c r="F494" s="134" t="s">
        <v>3240</v>
      </c>
      <c r="G494" s="583" t="s">
        <v>3416</v>
      </c>
      <c r="H494" s="583" t="s">
        <v>4311</v>
      </c>
      <c r="I494" s="581" t="s">
        <v>3418</v>
      </c>
      <c r="J494" s="134"/>
      <c r="K494" s="585" t="s">
        <v>147</v>
      </c>
      <c r="L494" s="361"/>
      <c r="M494" s="582" t="s">
        <v>3081</v>
      </c>
      <c r="N494" s="361"/>
      <c r="O494" s="361"/>
      <c r="P494" s="361">
        <v>9.403208E9</v>
      </c>
      <c r="Q494" s="498">
        <v>675.2873563218392</v>
      </c>
      <c r="R494" s="592" t="s">
        <v>10</v>
      </c>
      <c r="S494" s="49"/>
      <c r="T494" s="224">
        <v>2250.9578544061305</v>
      </c>
      <c r="U494" s="224">
        <v>1350.5747126436784</v>
      </c>
      <c r="V494" s="224">
        <v>1125.4789272030653</v>
      </c>
      <c r="W494" s="224">
        <v>900.3831417624523</v>
      </c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</row>
    <row r="495" ht="14.25" customHeight="1">
      <c r="A495" s="423" t="s">
        <v>84</v>
      </c>
      <c r="B495" s="423" t="s">
        <v>1886</v>
      </c>
      <c r="C495" s="585" t="s">
        <v>3074</v>
      </c>
      <c r="D495" s="582" t="s">
        <v>3185</v>
      </c>
      <c r="E495" s="134" t="s">
        <v>3228</v>
      </c>
      <c r="F495" s="134" t="s">
        <v>3240</v>
      </c>
      <c r="G495" s="583" t="s">
        <v>3419</v>
      </c>
      <c r="H495" s="583" t="s">
        <v>4312</v>
      </c>
      <c r="I495" s="581" t="s">
        <v>3421</v>
      </c>
      <c r="J495" s="134"/>
      <c r="K495" s="585" t="s">
        <v>147</v>
      </c>
      <c r="L495" s="361"/>
      <c r="M495" s="582" t="s">
        <v>3081</v>
      </c>
      <c r="N495" s="361"/>
      <c r="O495" s="361"/>
      <c r="P495" s="361">
        <v>9.403208E9</v>
      </c>
      <c r="Q495" s="498">
        <v>739.9425287356322</v>
      </c>
      <c r="R495" s="592" t="s">
        <v>10</v>
      </c>
      <c r="S495" s="49"/>
      <c r="T495" s="224">
        <v>2466.4750957854408</v>
      </c>
      <c r="U495" s="224">
        <v>1479.8850574712644</v>
      </c>
      <c r="V495" s="224">
        <v>1233.2375478927204</v>
      </c>
      <c r="W495" s="224">
        <v>986.5900383141764</v>
      </c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</row>
    <row r="496" ht="14.25" customHeight="1">
      <c r="A496" s="423" t="s">
        <v>84</v>
      </c>
      <c r="B496" s="423" t="s">
        <v>1886</v>
      </c>
      <c r="C496" s="585" t="s">
        <v>3074</v>
      </c>
      <c r="D496" s="582" t="s">
        <v>3441</v>
      </c>
      <c r="E496" s="134" t="s">
        <v>3094</v>
      </c>
      <c r="F496" s="134" t="s">
        <v>3134</v>
      </c>
      <c r="G496" s="583" t="s">
        <v>3451</v>
      </c>
      <c r="H496" s="583" t="s">
        <v>4313</v>
      </c>
      <c r="I496" s="581" t="s">
        <v>3453</v>
      </c>
      <c r="J496" s="134"/>
      <c r="K496" s="585" t="s">
        <v>147</v>
      </c>
      <c r="L496" s="361"/>
      <c r="M496" s="582" t="s">
        <v>3081</v>
      </c>
      <c r="N496" s="361"/>
      <c r="O496" s="361"/>
      <c r="P496" s="361">
        <v>9.403208E9</v>
      </c>
      <c r="Q496" s="498">
        <v>605.2196504487483</v>
      </c>
      <c r="R496" s="592" t="s">
        <v>10</v>
      </c>
      <c r="S496" s="49"/>
      <c r="T496" s="224">
        <v>2017.3988348291612</v>
      </c>
      <c r="U496" s="224">
        <v>1210.4393008974967</v>
      </c>
      <c r="V496" s="224">
        <v>1008.6994174145806</v>
      </c>
      <c r="W496" s="224">
        <v>806.9595339316645</v>
      </c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</row>
    <row r="497" ht="14.25" customHeight="1">
      <c r="A497" s="423" t="s">
        <v>84</v>
      </c>
      <c r="B497" s="423" t="s">
        <v>1886</v>
      </c>
      <c r="C497" s="585" t="s">
        <v>3074</v>
      </c>
      <c r="D497" s="582" t="s">
        <v>3441</v>
      </c>
      <c r="E497" s="134" t="s">
        <v>3094</v>
      </c>
      <c r="F497" s="134" t="s">
        <v>3134</v>
      </c>
      <c r="G497" s="583" t="s">
        <v>3454</v>
      </c>
      <c r="H497" s="583" t="s">
        <v>4314</v>
      </c>
      <c r="I497" s="581" t="s">
        <v>3456</v>
      </c>
      <c r="J497" s="134"/>
      <c r="K497" s="585" t="s">
        <v>147</v>
      </c>
      <c r="L497" s="361"/>
      <c r="M497" s="582" t="s">
        <v>3081</v>
      </c>
      <c r="N497" s="361"/>
      <c r="O497" s="361"/>
      <c r="P497" s="361">
        <v>9.403208E9</v>
      </c>
      <c r="Q497" s="498">
        <v>524.0316485592821</v>
      </c>
      <c r="R497" s="592" t="s">
        <v>10</v>
      </c>
      <c r="S497" s="49"/>
      <c r="T497" s="224">
        <v>1746.7721618642736</v>
      </c>
      <c r="U497" s="224">
        <v>1048.0632971185642</v>
      </c>
      <c r="V497" s="224">
        <v>873.3860809321368</v>
      </c>
      <c r="W497" s="224">
        <v>698.7088647457094</v>
      </c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</row>
    <row r="498" ht="14.25" customHeight="1">
      <c r="A498" s="423" t="s">
        <v>84</v>
      </c>
      <c r="B498" s="423" t="s">
        <v>1886</v>
      </c>
      <c r="C498" s="585" t="s">
        <v>3074</v>
      </c>
      <c r="D498" s="582" t="s">
        <v>3441</v>
      </c>
      <c r="E498" s="134" t="s">
        <v>3094</v>
      </c>
      <c r="F498" s="134" t="s">
        <v>3076</v>
      </c>
      <c r="G498" s="583" t="s">
        <v>3457</v>
      </c>
      <c r="H498" s="583" t="s">
        <v>4315</v>
      </c>
      <c r="I498" s="581" t="s">
        <v>3459</v>
      </c>
      <c r="J498" s="134"/>
      <c r="K498" s="585" t="s">
        <v>147</v>
      </c>
      <c r="L498" s="361"/>
      <c r="M498" s="582" t="s">
        <v>3081</v>
      </c>
      <c r="N498" s="361"/>
      <c r="O498" s="361"/>
      <c r="P498" s="361">
        <v>9.403208E9</v>
      </c>
      <c r="Q498" s="498">
        <v>457.6051015588097</v>
      </c>
      <c r="R498" s="592" t="s">
        <v>10</v>
      </c>
      <c r="S498" s="49"/>
      <c r="T498" s="224">
        <v>1525.3503385293657</v>
      </c>
      <c r="U498" s="224">
        <v>915.2102031176194</v>
      </c>
      <c r="V498" s="224">
        <v>762.6751692646828</v>
      </c>
      <c r="W498" s="224">
        <v>610.1401354117463</v>
      </c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</row>
    <row r="499" ht="14.25" customHeight="1">
      <c r="A499" s="423" t="s">
        <v>84</v>
      </c>
      <c r="B499" s="423" t="s">
        <v>1886</v>
      </c>
      <c r="C499" s="585" t="s">
        <v>3074</v>
      </c>
      <c r="D499" s="582" t="s">
        <v>3441</v>
      </c>
      <c r="E499" s="134" t="s">
        <v>3094</v>
      </c>
      <c r="F499" s="134" t="s">
        <v>3076</v>
      </c>
      <c r="G499" s="583" t="s">
        <v>3460</v>
      </c>
      <c r="H499" s="583" t="s">
        <v>4316</v>
      </c>
      <c r="I499" s="581" t="s">
        <v>3462</v>
      </c>
      <c r="J499" s="134"/>
      <c r="K499" s="585" t="s">
        <v>147</v>
      </c>
      <c r="L499" s="361"/>
      <c r="M499" s="582" t="s">
        <v>3081</v>
      </c>
      <c r="N499" s="361"/>
      <c r="O499" s="361"/>
      <c r="P499" s="361">
        <v>9.403208E9</v>
      </c>
      <c r="Q499" s="498">
        <v>376.41709966934343</v>
      </c>
      <c r="R499" s="592" t="s">
        <v>10</v>
      </c>
      <c r="S499" s="49"/>
      <c r="T499" s="224">
        <v>1254.723665564478</v>
      </c>
      <c r="U499" s="224">
        <v>752.8341993386869</v>
      </c>
      <c r="V499" s="224">
        <v>627.361832782239</v>
      </c>
      <c r="W499" s="224">
        <v>501.88946622579124</v>
      </c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</row>
    <row r="500" ht="14.25" customHeight="1">
      <c r="A500" s="423" t="s">
        <v>84</v>
      </c>
      <c r="B500" s="423" t="s">
        <v>1886</v>
      </c>
      <c r="C500" s="585" t="s">
        <v>3074</v>
      </c>
      <c r="D500" s="582" t="s">
        <v>3441</v>
      </c>
      <c r="E500" s="134" t="s">
        <v>3094</v>
      </c>
      <c r="F500" s="134" t="s">
        <v>3101</v>
      </c>
      <c r="G500" s="583" t="s">
        <v>3463</v>
      </c>
      <c r="H500" s="583" t="s">
        <v>4317</v>
      </c>
      <c r="I500" s="581" t="s">
        <v>3465</v>
      </c>
      <c r="J500" s="134"/>
      <c r="K500" s="585" t="s">
        <v>147</v>
      </c>
      <c r="L500" s="361"/>
      <c r="M500" s="582" t="s">
        <v>3081</v>
      </c>
      <c r="N500" s="361"/>
      <c r="O500" s="361"/>
      <c r="P500" s="361">
        <v>9.403208E9</v>
      </c>
      <c r="Q500" s="498">
        <v>487.1280113367974</v>
      </c>
      <c r="R500" s="592" t="s">
        <v>10</v>
      </c>
      <c r="S500" s="49"/>
      <c r="T500" s="224">
        <v>1623.7600377893248</v>
      </c>
      <c r="U500" s="224">
        <v>974.2560226735948</v>
      </c>
      <c r="V500" s="224">
        <v>811.8800188946624</v>
      </c>
      <c r="W500" s="224">
        <v>649.50401511573</v>
      </c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</row>
    <row r="501" ht="14.25" customHeight="1">
      <c r="A501" s="423" t="s">
        <v>84</v>
      </c>
      <c r="B501" s="423" t="s">
        <v>1886</v>
      </c>
      <c r="C501" s="585" t="s">
        <v>3074</v>
      </c>
      <c r="D501" s="582" t="s">
        <v>3441</v>
      </c>
      <c r="E501" s="134" t="s">
        <v>3094</v>
      </c>
      <c r="F501" s="134" t="s">
        <v>3101</v>
      </c>
      <c r="G501" s="583" t="s">
        <v>3466</v>
      </c>
      <c r="H501" s="583" t="s">
        <v>4318</v>
      </c>
      <c r="I501" s="581" t="s">
        <v>3468</v>
      </c>
      <c r="J501" s="134"/>
      <c r="K501" s="585" t="s">
        <v>147</v>
      </c>
      <c r="L501" s="361"/>
      <c r="M501" s="582" t="s">
        <v>3081</v>
      </c>
      <c r="N501" s="361"/>
      <c r="O501" s="361"/>
      <c r="P501" s="361">
        <v>9.403208E9</v>
      </c>
      <c r="Q501" s="498">
        <v>391.1785545583373</v>
      </c>
      <c r="R501" s="592" t="s">
        <v>10</v>
      </c>
      <c r="S501" s="49"/>
      <c r="T501" s="224">
        <v>1303.9285151944578</v>
      </c>
      <c r="U501" s="224">
        <v>782.3571091166747</v>
      </c>
      <c r="V501" s="224">
        <v>651.9642575972289</v>
      </c>
      <c r="W501" s="224">
        <v>521.5714060777831</v>
      </c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</row>
    <row r="502" ht="14.25" customHeight="1">
      <c r="A502" s="423" t="s">
        <v>84</v>
      </c>
      <c r="B502" s="423" t="s">
        <v>1886</v>
      </c>
      <c r="C502" s="585" t="s">
        <v>3074</v>
      </c>
      <c r="D502" s="582" t="s">
        <v>3441</v>
      </c>
      <c r="E502" s="134" t="s">
        <v>3094</v>
      </c>
      <c r="F502" s="134" t="s">
        <v>3159</v>
      </c>
      <c r="G502" s="583" t="s">
        <v>3469</v>
      </c>
      <c r="H502" s="583" t="s">
        <v>4319</v>
      </c>
      <c r="I502" s="581" t="s">
        <v>3471</v>
      </c>
      <c r="J502" s="134"/>
      <c r="K502" s="585" t="s">
        <v>147</v>
      </c>
      <c r="L502" s="361"/>
      <c r="M502" s="582" t="s">
        <v>3081</v>
      </c>
      <c r="N502" s="361"/>
      <c r="O502" s="361"/>
      <c r="P502" s="361">
        <v>9.403208E9</v>
      </c>
      <c r="Q502" s="498">
        <v>656.8847425602269</v>
      </c>
      <c r="R502" s="592" t="s">
        <v>10</v>
      </c>
      <c r="S502" s="49"/>
      <c r="T502" s="224">
        <v>2189.61580853409</v>
      </c>
      <c r="U502" s="224">
        <v>1313.769485120454</v>
      </c>
      <c r="V502" s="224">
        <v>1094.807904267045</v>
      </c>
      <c r="W502" s="224">
        <v>875.846323413636</v>
      </c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</row>
    <row r="503" ht="14.25" customHeight="1">
      <c r="A503" s="423" t="s">
        <v>84</v>
      </c>
      <c r="B503" s="423" t="s">
        <v>1886</v>
      </c>
      <c r="C503" s="585" t="s">
        <v>3074</v>
      </c>
      <c r="D503" s="582" t="s">
        <v>3441</v>
      </c>
      <c r="E503" s="134" t="s">
        <v>3094</v>
      </c>
      <c r="F503" s="134" t="s">
        <v>3159</v>
      </c>
      <c r="G503" s="583" t="s">
        <v>3472</v>
      </c>
      <c r="H503" s="583" t="s">
        <v>4320</v>
      </c>
      <c r="I503" s="581" t="s">
        <v>3474</v>
      </c>
      <c r="J503" s="134"/>
      <c r="K503" s="585" t="s">
        <v>147</v>
      </c>
      <c r="L503" s="361"/>
      <c r="M503" s="582" t="s">
        <v>3081</v>
      </c>
      <c r="N503" s="361"/>
      <c r="O503" s="361"/>
      <c r="P503" s="361">
        <v>9.403208E9</v>
      </c>
      <c r="Q503" s="498">
        <v>546.1738308927729</v>
      </c>
      <c r="R503" s="592" t="s">
        <v>10</v>
      </c>
      <c r="S503" s="49"/>
      <c r="T503" s="224">
        <v>1820.5794363092432</v>
      </c>
      <c r="U503" s="224">
        <v>1092.3476617855458</v>
      </c>
      <c r="V503" s="224">
        <v>910.2897181546216</v>
      </c>
      <c r="W503" s="224">
        <v>728.2317745236974</v>
      </c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</row>
    <row r="504" ht="14.25" customHeight="1">
      <c r="A504" s="423" t="s">
        <v>84</v>
      </c>
      <c r="B504" s="423" t="s">
        <v>1886</v>
      </c>
      <c r="C504" s="585" t="s">
        <v>3074</v>
      </c>
      <c r="D504" s="582" t="s">
        <v>3441</v>
      </c>
      <c r="E504" s="134" t="s">
        <v>3228</v>
      </c>
      <c r="F504" s="134" t="s">
        <v>3134</v>
      </c>
      <c r="G504" s="583" t="s">
        <v>3475</v>
      </c>
      <c r="H504" s="583" t="s">
        <v>4321</v>
      </c>
      <c r="I504" s="581" t="s">
        <v>3477</v>
      </c>
      <c r="J504" s="134"/>
      <c r="K504" s="585" t="s">
        <v>147</v>
      </c>
      <c r="L504" s="361"/>
      <c r="M504" s="582" t="s">
        <v>3081</v>
      </c>
      <c r="N504" s="361"/>
      <c r="O504" s="361"/>
      <c r="P504" s="361">
        <v>9.403208E9</v>
      </c>
      <c r="Q504" s="498">
        <v>664.2654700047237</v>
      </c>
      <c r="R504" s="592" t="s">
        <v>10</v>
      </c>
      <c r="S504" s="49"/>
      <c r="T504" s="224">
        <v>2214.218233349079</v>
      </c>
      <c r="U504" s="224">
        <v>1328.5309400094475</v>
      </c>
      <c r="V504" s="224">
        <v>1107.1091166745396</v>
      </c>
      <c r="W504" s="224">
        <v>885.6872933396317</v>
      </c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</row>
    <row r="505" ht="14.25" customHeight="1">
      <c r="A505" s="423" t="s">
        <v>84</v>
      </c>
      <c r="B505" s="423" t="s">
        <v>1886</v>
      </c>
      <c r="C505" s="585" t="s">
        <v>3074</v>
      </c>
      <c r="D505" s="582" t="s">
        <v>3441</v>
      </c>
      <c r="E505" s="134" t="s">
        <v>3228</v>
      </c>
      <c r="F505" s="134" t="s">
        <v>3134</v>
      </c>
      <c r="G505" s="583" t="s">
        <v>3478</v>
      </c>
      <c r="H505" s="583" t="s">
        <v>4322</v>
      </c>
      <c r="I505" s="581" t="s">
        <v>3480</v>
      </c>
      <c r="J505" s="134"/>
      <c r="K505" s="585" t="s">
        <v>147</v>
      </c>
      <c r="L505" s="361"/>
      <c r="M505" s="582" t="s">
        <v>3081</v>
      </c>
      <c r="N505" s="361"/>
      <c r="O505" s="361"/>
      <c r="P505" s="361">
        <v>9.403208E9</v>
      </c>
      <c r="Q505" s="498">
        <v>575.6967406707606</v>
      </c>
      <c r="R505" s="592" t="s">
        <v>10</v>
      </c>
      <c r="S505" s="49"/>
      <c r="T505" s="224">
        <v>1918.989135569202</v>
      </c>
      <c r="U505" s="224">
        <v>1151.3934813415212</v>
      </c>
      <c r="V505" s="224">
        <v>959.494567784601</v>
      </c>
      <c r="W505" s="224">
        <v>767.5956542276808</v>
      </c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</row>
    <row r="506" ht="14.25" customHeight="1">
      <c r="A506" s="423" t="s">
        <v>84</v>
      </c>
      <c r="B506" s="423" t="s">
        <v>1886</v>
      </c>
      <c r="C506" s="585" t="s">
        <v>3074</v>
      </c>
      <c r="D506" s="582" t="s">
        <v>3441</v>
      </c>
      <c r="E506" s="134" t="s">
        <v>3228</v>
      </c>
      <c r="F506" s="134" t="s">
        <v>3159</v>
      </c>
      <c r="G506" s="583" t="s">
        <v>3481</v>
      </c>
      <c r="H506" s="583" t="s">
        <v>4323</v>
      </c>
      <c r="I506" s="581" t="s">
        <v>3483</v>
      </c>
      <c r="J506" s="134"/>
      <c r="K506" s="585" t="s">
        <v>147</v>
      </c>
      <c r="L506" s="361"/>
      <c r="M506" s="582" t="s">
        <v>3081</v>
      </c>
      <c r="N506" s="361"/>
      <c r="O506" s="361"/>
      <c r="P506" s="361">
        <v>9.403208E9</v>
      </c>
      <c r="Q506" s="498">
        <v>723.3112895606992</v>
      </c>
      <c r="R506" s="592" t="s">
        <v>10</v>
      </c>
      <c r="S506" s="49"/>
      <c r="T506" s="224">
        <v>2411.0376318689973</v>
      </c>
      <c r="U506" s="224">
        <v>1446.6225791213983</v>
      </c>
      <c r="V506" s="224">
        <v>1205.5188159344987</v>
      </c>
      <c r="W506" s="224">
        <v>964.415052747599</v>
      </c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</row>
    <row r="507" ht="14.25" customHeight="1">
      <c r="A507" s="423" t="s">
        <v>84</v>
      </c>
      <c r="B507" s="423" t="s">
        <v>1886</v>
      </c>
      <c r="C507" s="585" t="s">
        <v>3074</v>
      </c>
      <c r="D507" s="582" t="s">
        <v>3441</v>
      </c>
      <c r="E507" s="134" t="s">
        <v>3228</v>
      </c>
      <c r="F507" s="134" t="s">
        <v>3159</v>
      </c>
      <c r="G507" s="583" t="s">
        <v>3484</v>
      </c>
      <c r="H507" s="583" t="s">
        <v>4324</v>
      </c>
      <c r="I507" s="581" t="s">
        <v>3486</v>
      </c>
      <c r="J507" s="134"/>
      <c r="K507" s="585" t="s">
        <v>147</v>
      </c>
      <c r="L507" s="361"/>
      <c r="M507" s="582" t="s">
        <v>3081</v>
      </c>
      <c r="N507" s="361"/>
      <c r="O507" s="361"/>
      <c r="P507" s="361">
        <v>9.403208E9</v>
      </c>
      <c r="Q507" s="498">
        <v>612.6003778932452</v>
      </c>
      <c r="R507" s="592" t="s">
        <v>10</v>
      </c>
      <c r="S507" s="49"/>
      <c r="T507" s="224">
        <v>2042.0012596441507</v>
      </c>
      <c r="U507" s="224">
        <v>1225.2007557864904</v>
      </c>
      <c r="V507" s="224">
        <v>1021.0006298220753</v>
      </c>
      <c r="W507" s="224">
        <v>816.8005038576603</v>
      </c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</row>
    <row r="508" ht="14.25" customHeight="1">
      <c r="A508" s="423" t="s">
        <v>84</v>
      </c>
      <c r="B508" s="423" t="s">
        <v>1886</v>
      </c>
      <c r="C508" s="585" t="s">
        <v>2920</v>
      </c>
      <c r="D508" s="582" t="s">
        <v>3185</v>
      </c>
      <c r="E508" s="134" t="s">
        <v>3490</v>
      </c>
      <c r="F508" s="134"/>
      <c r="G508" s="583" t="s">
        <v>3491</v>
      </c>
      <c r="H508" s="583" t="s">
        <v>4325</v>
      </c>
      <c r="I508" s="581" t="s">
        <v>3493</v>
      </c>
      <c r="J508" s="134"/>
      <c r="K508" s="585" t="s">
        <v>147</v>
      </c>
      <c r="L508" s="361"/>
      <c r="M508" s="582" t="s">
        <v>3081</v>
      </c>
      <c r="N508" s="361"/>
      <c r="O508" s="361"/>
      <c r="P508" s="361">
        <v>9.403208E9</v>
      </c>
      <c r="Q508" s="498">
        <v>111.68411330049261</v>
      </c>
      <c r="R508" s="592" t="s">
        <v>10</v>
      </c>
      <c r="S508" s="49"/>
      <c r="T508" s="224">
        <v>372.28037766830874</v>
      </c>
      <c r="U508" s="224">
        <v>223.36822660098525</v>
      </c>
      <c r="V508" s="224">
        <v>186.14018883415437</v>
      </c>
      <c r="W508" s="224">
        <v>148.9121510673235</v>
      </c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</row>
    <row r="509" ht="14.25" customHeight="1">
      <c r="A509" s="423" t="s">
        <v>84</v>
      </c>
      <c r="B509" s="423" t="s">
        <v>1886</v>
      </c>
      <c r="C509" s="585" t="s">
        <v>2920</v>
      </c>
      <c r="D509" s="582" t="s">
        <v>3185</v>
      </c>
      <c r="E509" s="134" t="s">
        <v>3494</v>
      </c>
      <c r="F509" s="134"/>
      <c r="G509" s="583" t="s">
        <v>3495</v>
      </c>
      <c r="H509" s="583" t="s">
        <v>4326</v>
      </c>
      <c r="I509" s="581" t="s">
        <v>3497</v>
      </c>
      <c r="J509" s="134"/>
      <c r="K509" s="585" t="s">
        <v>147</v>
      </c>
      <c r="L509" s="361"/>
      <c r="M509" s="582" t="s">
        <v>3081</v>
      </c>
      <c r="N509" s="361"/>
      <c r="O509" s="361"/>
      <c r="P509" s="361">
        <v>9.403208E9</v>
      </c>
      <c r="Q509" s="498">
        <v>122.76785714285715</v>
      </c>
      <c r="R509" s="592" t="s">
        <v>10</v>
      </c>
      <c r="S509" s="49"/>
      <c r="T509" s="224">
        <v>409.22619047619054</v>
      </c>
      <c r="U509" s="224">
        <v>245.5357142857143</v>
      </c>
      <c r="V509" s="224">
        <v>204.61309523809527</v>
      </c>
      <c r="W509" s="224">
        <v>163.69047619047623</v>
      </c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</row>
    <row r="510" ht="14.25" customHeight="1">
      <c r="A510" s="423" t="s">
        <v>84</v>
      </c>
      <c r="B510" s="423" t="s">
        <v>1886</v>
      </c>
      <c r="C510" s="585" t="s">
        <v>2920</v>
      </c>
      <c r="D510" s="582" t="s">
        <v>3185</v>
      </c>
      <c r="E510" s="134" t="s">
        <v>3494</v>
      </c>
      <c r="F510" s="134"/>
      <c r="G510" s="583" t="s">
        <v>3498</v>
      </c>
      <c r="H510" s="583" t="s">
        <v>4327</v>
      </c>
      <c r="I510" s="581" t="s">
        <v>3500</v>
      </c>
      <c r="J510" s="134"/>
      <c r="K510" s="585" t="s">
        <v>147</v>
      </c>
      <c r="L510" s="361"/>
      <c r="M510" s="582" t="s">
        <v>3081</v>
      </c>
      <c r="N510" s="361"/>
      <c r="O510" s="361"/>
      <c r="P510" s="361">
        <v>9.403208E9</v>
      </c>
      <c r="Q510" s="498">
        <v>125.07697044334978</v>
      </c>
      <c r="R510" s="592" t="s">
        <v>10</v>
      </c>
      <c r="S510" s="49"/>
      <c r="T510" s="224">
        <v>416.92323481116597</v>
      </c>
      <c r="U510" s="224">
        <v>250.15394088669956</v>
      </c>
      <c r="V510" s="224">
        <v>208.46161740558298</v>
      </c>
      <c r="W510" s="224">
        <v>166.7692939244664</v>
      </c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</row>
    <row r="511" ht="14.25" customHeight="1">
      <c r="A511" s="423" t="s">
        <v>84</v>
      </c>
      <c r="B511" s="423" t="s">
        <v>1886</v>
      </c>
      <c r="C511" s="585" t="s">
        <v>2920</v>
      </c>
      <c r="D511" s="582" t="s">
        <v>3185</v>
      </c>
      <c r="E511" s="134" t="s">
        <v>3494</v>
      </c>
      <c r="F511" s="134"/>
      <c r="G511" s="583" t="s">
        <v>3501</v>
      </c>
      <c r="H511" s="583" t="s">
        <v>4328</v>
      </c>
      <c r="I511" s="581" t="s">
        <v>3503</v>
      </c>
      <c r="J511" s="134"/>
      <c r="K511" s="585" t="s">
        <v>147</v>
      </c>
      <c r="L511" s="361"/>
      <c r="M511" s="582" t="s">
        <v>3081</v>
      </c>
      <c r="N511" s="361"/>
      <c r="O511" s="361"/>
      <c r="P511" s="361">
        <v>9.403208E9</v>
      </c>
      <c r="Q511" s="498">
        <v>144.31958128078819</v>
      </c>
      <c r="R511" s="592" t="s">
        <v>10</v>
      </c>
      <c r="S511" s="49"/>
      <c r="T511" s="224">
        <v>481.06527093596065</v>
      </c>
      <c r="U511" s="224">
        <v>288.63916256157637</v>
      </c>
      <c r="V511" s="224">
        <v>240.53263546798033</v>
      </c>
      <c r="W511" s="224">
        <v>192.42610837438428</v>
      </c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</row>
    <row r="512" ht="14.25" customHeight="1">
      <c r="A512" s="423" t="s">
        <v>84</v>
      </c>
      <c r="B512" s="423" t="s">
        <v>1886</v>
      </c>
      <c r="C512" s="585" t="s">
        <v>2920</v>
      </c>
      <c r="D512" s="582" t="s">
        <v>3185</v>
      </c>
      <c r="E512" s="134" t="s">
        <v>3494</v>
      </c>
      <c r="F512" s="134"/>
      <c r="G512" s="583" t="s">
        <v>3504</v>
      </c>
      <c r="H512" s="583" t="s">
        <v>4329</v>
      </c>
      <c r="I512" s="581" t="s">
        <v>3506</v>
      </c>
      <c r="J512" s="134"/>
      <c r="K512" s="585" t="s">
        <v>147</v>
      </c>
      <c r="L512" s="361"/>
      <c r="M512" s="582" t="s">
        <v>3081</v>
      </c>
      <c r="N512" s="361"/>
      <c r="O512" s="361"/>
      <c r="P512" s="361">
        <v>9.403208E9</v>
      </c>
      <c r="Q512" s="498">
        <v>32.481527093596064</v>
      </c>
      <c r="R512" s="592" t="s">
        <v>10</v>
      </c>
      <c r="S512" s="49"/>
      <c r="T512" s="224">
        <v>108.27175697865356</v>
      </c>
      <c r="U512" s="224">
        <v>64.96305418719213</v>
      </c>
      <c r="V512" s="224">
        <v>54.13587848932678</v>
      </c>
      <c r="W512" s="224">
        <v>43.30870279146143</v>
      </c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</row>
    <row r="513" ht="14.25" customHeight="1">
      <c r="A513" s="423" t="s">
        <v>84</v>
      </c>
      <c r="B513" s="423" t="s">
        <v>1886</v>
      </c>
      <c r="C513" s="585" t="s">
        <v>2920</v>
      </c>
      <c r="D513" s="582" t="s">
        <v>3185</v>
      </c>
      <c r="E513" s="134" t="s">
        <v>3494</v>
      </c>
      <c r="F513" s="134"/>
      <c r="G513" s="583" t="s">
        <v>3507</v>
      </c>
      <c r="H513" s="583" t="s">
        <v>4330</v>
      </c>
      <c r="I513" s="581" t="s">
        <v>3509</v>
      </c>
      <c r="J513" s="134"/>
      <c r="K513" s="585" t="s">
        <v>147</v>
      </c>
      <c r="L513" s="361"/>
      <c r="M513" s="582" t="s">
        <v>3081</v>
      </c>
      <c r="N513" s="361"/>
      <c r="O513" s="361"/>
      <c r="P513" s="361">
        <v>9.403208E9</v>
      </c>
      <c r="Q513" s="498">
        <v>24.47660098522168</v>
      </c>
      <c r="R513" s="592" t="s">
        <v>10</v>
      </c>
      <c r="S513" s="49"/>
      <c r="T513" s="224">
        <v>81.58866995073893</v>
      </c>
      <c r="U513" s="224">
        <v>48.95320197044336</v>
      </c>
      <c r="V513" s="224">
        <v>40.794334975369466</v>
      </c>
      <c r="W513" s="224">
        <v>32.63546798029557</v>
      </c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</row>
    <row r="514" ht="14.25" customHeight="1">
      <c r="A514" s="423" t="s">
        <v>84</v>
      </c>
      <c r="B514" s="423" t="s">
        <v>1886</v>
      </c>
      <c r="C514" s="585" t="s">
        <v>2920</v>
      </c>
      <c r="D514" s="582" t="s">
        <v>3185</v>
      </c>
      <c r="E514" s="134" t="s">
        <v>3075</v>
      </c>
      <c r="F514" s="134"/>
      <c r="G514" s="583" t="s">
        <v>3510</v>
      </c>
      <c r="H514" s="583" t="s">
        <v>4331</v>
      </c>
      <c r="I514" s="581" t="s">
        <v>3512</v>
      </c>
      <c r="J514" s="134"/>
      <c r="K514" s="585" t="s">
        <v>147</v>
      </c>
      <c r="L514" s="361"/>
      <c r="M514" s="582" t="s">
        <v>3081</v>
      </c>
      <c r="N514" s="361"/>
      <c r="O514" s="361"/>
      <c r="P514" s="361">
        <v>9.403208E9</v>
      </c>
      <c r="Q514" s="498">
        <v>142.6570197044335</v>
      </c>
      <c r="R514" s="592" t="s">
        <v>10</v>
      </c>
      <c r="S514" s="49"/>
      <c r="T514" s="224">
        <v>475.52339901477836</v>
      </c>
      <c r="U514" s="224">
        <v>285.314039408867</v>
      </c>
      <c r="V514" s="224">
        <v>237.76169950738918</v>
      </c>
      <c r="W514" s="224">
        <v>190.20935960591135</v>
      </c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</row>
    <row r="515" ht="14.25" customHeight="1">
      <c r="A515" s="423" t="s">
        <v>84</v>
      </c>
      <c r="B515" s="423" t="s">
        <v>1886</v>
      </c>
      <c r="C515" s="585" t="s">
        <v>2920</v>
      </c>
      <c r="D515" s="582" t="s">
        <v>3185</v>
      </c>
      <c r="E515" s="134" t="s">
        <v>3075</v>
      </c>
      <c r="F515" s="134"/>
      <c r="G515" s="583" t="s">
        <v>3513</v>
      </c>
      <c r="H515" s="583" t="s">
        <v>4332</v>
      </c>
      <c r="I515" s="581" t="s">
        <v>3515</v>
      </c>
      <c r="J515" s="134"/>
      <c r="K515" s="585" t="s">
        <v>147</v>
      </c>
      <c r="L515" s="361"/>
      <c r="M515" s="582" t="s">
        <v>3081</v>
      </c>
      <c r="N515" s="361"/>
      <c r="O515" s="361"/>
      <c r="P515" s="361">
        <v>9.403208E9</v>
      </c>
      <c r="Q515" s="498">
        <v>144.96613300492612</v>
      </c>
      <c r="R515" s="592" t="s">
        <v>10</v>
      </c>
      <c r="S515" s="49"/>
      <c r="T515" s="224">
        <v>483.22044334975374</v>
      </c>
      <c r="U515" s="224">
        <v>289.93226600985224</v>
      </c>
      <c r="V515" s="224">
        <v>241.61022167487687</v>
      </c>
      <c r="W515" s="224">
        <v>193.2881773399015</v>
      </c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</row>
    <row r="516" ht="14.25" customHeight="1">
      <c r="A516" s="423" t="s">
        <v>84</v>
      </c>
      <c r="B516" s="423" t="s">
        <v>1886</v>
      </c>
      <c r="C516" s="585" t="s">
        <v>2920</v>
      </c>
      <c r="D516" s="582" t="s">
        <v>3185</v>
      </c>
      <c r="E516" s="134" t="s">
        <v>3075</v>
      </c>
      <c r="F516" s="134"/>
      <c r="G516" s="583" t="s">
        <v>3516</v>
      </c>
      <c r="H516" s="583" t="s">
        <v>4333</v>
      </c>
      <c r="I516" s="581" t="s">
        <v>3518</v>
      </c>
      <c r="J516" s="134"/>
      <c r="K516" s="585" t="s">
        <v>147</v>
      </c>
      <c r="L516" s="361"/>
      <c r="M516" s="582" t="s">
        <v>3081</v>
      </c>
      <c r="N516" s="361"/>
      <c r="O516" s="361"/>
      <c r="P516" s="361">
        <v>9.403208E9</v>
      </c>
      <c r="Q516" s="498">
        <v>161.6379310344828</v>
      </c>
      <c r="R516" s="592" t="s">
        <v>10</v>
      </c>
      <c r="S516" s="49"/>
      <c r="T516" s="224">
        <v>538.793103448276</v>
      </c>
      <c r="U516" s="224">
        <v>323.27586206896564</v>
      </c>
      <c r="V516" s="224">
        <v>269.396551724138</v>
      </c>
      <c r="W516" s="224">
        <v>215.51724137931043</v>
      </c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</row>
    <row r="517" ht="14.25" customHeight="1">
      <c r="A517" s="423" t="s">
        <v>84</v>
      </c>
      <c r="B517" s="423" t="s">
        <v>1886</v>
      </c>
      <c r="C517" s="585" t="s">
        <v>2920</v>
      </c>
      <c r="D517" s="582" t="s">
        <v>3185</v>
      </c>
      <c r="E517" s="134" t="s">
        <v>3075</v>
      </c>
      <c r="F517" s="134"/>
      <c r="G517" s="583" t="s">
        <v>3519</v>
      </c>
      <c r="H517" s="583" t="s">
        <v>4334</v>
      </c>
      <c r="I517" s="581" t="s">
        <v>3521</v>
      </c>
      <c r="J517" s="134"/>
      <c r="K517" s="585" t="s">
        <v>147</v>
      </c>
      <c r="L517" s="361"/>
      <c r="M517" s="582" t="s">
        <v>3081</v>
      </c>
      <c r="N517" s="361"/>
      <c r="O517" s="361"/>
      <c r="P517" s="361">
        <v>9.403208E9</v>
      </c>
      <c r="Q517" s="498">
        <v>167.21059113300498</v>
      </c>
      <c r="R517" s="592" t="s">
        <v>10</v>
      </c>
      <c r="S517" s="49"/>
      <c r="T517" s="224">
        <v>557.3686371100166</v>
      </c>
      <c r="U517" s="224">
        <v>334.42118226600996</v>
      </c>
      <c r="V517" s="224">
        <v>278.6843185550083</v>
      </c>
      <c r="W517" s="224">
        <v>222.94745484400664</v>
      </c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</row>
    <row r="518" ht="14.25" customHeight="1">
      <c r="A518" s="423" t="s">
        <v>84</v>
      </c>
      <c r="B518" s="423" t="s">
        <v>1886</v>
      </c>
      <c r="C518" s="585" t="s">
        <v>2920</v>
      </c>
      <c r="D518" s="582" t="s">
        <v>3185</v>
      </c>
      <c r="E518" s="134" t="s">
        <v>3075</v>
      </c>
      <c r="F518" s="134"/>
      <c r="G518" s="583" t="s">
        <v>3522</v>
      </c>
      <c r="H518" s="583" t="s">
        <v>4335</v>
      </c>
      <c r="I518" s="581" t="s">
        <v>3524</v>
      </c>
      <c r="J518" s="134"/>
      <c r="K518" s="585" t="s">
        <v>147</v>
      </c>
      <c r="L518" s="361"/>
      <c r="M518" s="582" t="s">
        <v>3081</v>
      </c>
      <c r="N518" s="361"/>
      <c r="O518" s="361"/>
      <c r="P518" s="361">
        <v>9.403208E9</v>
      </c>
      <c r="Q518" s="498">
        <v>169.33497536945816</v>
      </c>
      <c r="R518" s="592" t="s">
        <v>10</v>
      </c>
      <c r="S518" s="49"/>
      <c r="T518" s="224">
        <v>564.4499178981939</v>
      </c>
      <c r="U518" s="224">
        <v>338.6699507389163</v>
      </c>
      <c r="V518" s="224">
        <v>282.22495894909696</v>
      </c>
      <c r="W518" s="224">
        <v>225.7799671592776</v>
      </c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</row>
    <row r="519" ht="14.25" customHeight="1">
      <c r="A519" s="423" t="s">
        <v>84</v>
      </c>
      <c r="B519" s="423" t="s">
        <v>1886</v>
      </c>
      <c r="C519" s="585" t="s">
        <v>2920</v>
      </c>
      <c r="D519" s="582" t="s">
        <v>3185</v>
      </c>
      <c r="E519" s="134" t="s">
        <v>3075</v>
      </c>
      <c r="F519" s="134"/>
      <c r="G519" s="583" t="s">
        <v>3525</v>
      </c>
      <c r="H519" s="583" t="s">
        <v>4336</v>
      </c>
      <c r="I519" s="581" t="s">
        <v>3527</v>
      </c>
      <c r="J519" s="134"/>
      <c r="K519" s="585" t="s">
        <v>147</v>
      </c>
      <c r="L519" s="361"/>
      <c r="M519" s="582" t="s">
        <v>3081</v>
      </c>
      <c r="N519" s="361"/>
      <c r="O519" s="361"/>
      <c r="P519" s="361">
        <v>9.403208E9</v>
      </c>
      <c r="Q519" s="498">
        <v>186.45320197044336</v>
      </c>
      <c r="R519" s="592" t="s">
        <v>10</v>
      </c>
      <c r="S519" s="49"/>
      <c r="T519" s="224">
        <v>621.5106732348112</v>
      </c>
      <c r="U519" s="224">
        <v>372.9064039408867</v>
      </c>
      <c r="V519" s="224">
        <v>310.7553366174056</v>
      </c>
      <c r="W519" s="224">
        <v>248.6042692939245</v>
      </c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</row>
    <row r="520" ht="14.25" customHeight="1">
      <c r="A520" s="423" t="s">
        <v>84</v>
      </c>
      <c r="B520" s="423" t="s">
        <v>1886</v>
      </c>
      <c r="C520" s="585" t="s">
        <v>2920</v>
      </c>
      <c r="D520" s="582" t="s">
        <v>3185</v>
      </c>
      <c r="E520" s="134" t="s">
        <v>3075</v>
      </c>
      <c r="F520" s="134"/>
      <c r="G520" s="583" t="s">
        <v>3528</v>
      </c>
      <c r="H520" s="583" t="s">
        <v>4337</v>
      </c>
      <c r="I520" s="581" t="s">
        <v>3530</v>
      </c>
      <c r="J520" s="134"/>
      <c r="K520" s="585" t="s">
        <v>147</v>
      </c>
      <c r="L520" s="361"/>
      <c r="M520" s="582" t="s">
        <v>3081</v>
      </c>
      <c r="N520" s="361"/>
      <c r="O520" s="361"/>
      <c r="P520" s="361">
        <v>9.403208E9</v>
      </c>
      <c r="Q520" s="498">
        <v>34.944581280788185</v>
      </c>
      <c r="R520" s="592" t="s">
        <v>10</v>
      </c>
      <c r="S520" s="49"/>
      <c r="T520" s="224">
        <v>116.48193760262728</v>
      </c>
      <c r="U520" s="224">
        <v>69.88916256157637</v>
      </c>
      <c r="V520" s="224">
        <v>58.24096880131364</v>
      </c>
      <c r="W520" s="224">
        <v>46.59277504105091</v>
      </c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</row>
    <row r="521" ht="14.25" customHeight="1">
      <c r="A521" s="423" t="s">
        <v>84</v>
      </c>
      <c r="B521" s="423" t="s">
        <v>1886</v>
      </c>
      <c r="C521" s="585" t="s">
        <v>2920</v>
      </c>
      <c r="D521" s="582" t="s">
        <v>3185</v>
      </c>
      <c r="E521" s="134" t="s">
        <v>3075</v>
      </c>
      <c r="F521" s="134"/>
      <c r="G521" s="583" t="s">
        <v>3531</v>
      </c>
      <c r="H521" s="583" t="s">
        <v>4338</v>
      </c>
      <c r="I521" s="581" t="s">
        <v>3533</v>
      </c>
      <c r="J521" s="134"/>
      <c r="K521" s="585" t="s">
        <v>147</v>
      </c>
      <c r="L521" s="361"/>
      <c r="M521" s="582" t="s">
        <v>3081</v>
      </c>
      <c r="N521" s="361"/>
      <c r="O521" s="361"/>
      <c r="P521" s="361">
        <v>9.403208E9</v>
      </c>
      <c r="Q521" s="498">
        <v>46.64408866995075</v>
      </c>
      <c r="R521" s="592" t="s">
        <v>10</v>
      </c>
      <c r="S521" s="49"/>
      <c r="T521" s="224">
        <v>155.4802955665025</v>
      </c>
      <c r="U521" s="224">
        <v>93.2881773399015</v>
      </c>
      <c r="V521" s="224">
        <v>77.74014778325125</v>
      </c>
      <c r="W521" s="224">
        <v>62.192118226600996</v>
      </c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</row>
    <row r="522" ht="14.25" customHeight="1">
      <c r="A522" s="423" t="s">
        <v>84</v>
      </c>
      <c r="B522" s="423" t="s">
        <v>1886</v>
      </c>
      <c r="C522" s="585" t="s">
        <v>2920</v>
      </c>
      <c r="D522" s="582" t="s">
        <v>3534</v>
      </c>
      <c r="E522" s="134" t="s">
        <v>3535</v>
      </c>
      <c r="F522" s="134"/>
      <c r="G522" s="479" t="s">
        <v>3536</v>
      </c>
      <c r="H522" s="583"/>
      <c r="I522" s="581" t="s">
        <v>3539</v>
      </c>
      <c r="J522" s="134"/>
      <c r="K522" s="585" t="s">
        <v>147</v>
      </c>
      <c r="L522" s="361"/>
      <c r="M522" s="582" t="s">
        <v>3081</v>
      </c>
      <c r="N522" s="361"/>
      <c r="O522" s="361"/>
      <c r="P522" s="361">
        <v>9.403208E9</v>
      </c>
      <c r="Q522" s="498">
        <v>157.69554247266612</v>
      </c>
      <c r="R522" s="592" t="s">
        <v>10</v>
      </c>
      <c r="S522" s="49"/>
      <c r="T522" s="224">
        <v>525.6518082422205</v>
      </c>
      <c r="U522" s="224">
        <v>315.39108494533224</v>
      </c>
      <c r="V522" s="224">
        <v>262.8259041211102</v>
      </c>
      <c r="W522" s="224">
        <v>210.2607232968882</v>
      </c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</row>
    <row r="523" ht="14.25" customHeight="1">
      <c r="A523" s="423" t="s">
        <v>84</v>
      </c>
      <c r="B523" s="423" t="s">
        <v>1886</v>
      </c>
      <c r="C523" s="585" t="s">
        <v>2920</v>
      </c>
      <c r="D523" s="582" t="s">
        <v>3534</v>
      </c>
      <c r="E523" s="134" t="s">
        <v>3490</v>
      </c>
      <c r="F523" s="134"/>
      <c r="G523" s="479" t="s">
        <v>3540</v>
      </c>
      <c r="H523" s="583"/>
      <c r="I523" s="581" t="s">
        <v>3542</v>
      </c>
      <c r="J523" s="134"/>
      <c r="K523" s="585" t="s">
        <v>147</v>
      </c>
      <c r="L523" s="361"/>
      <c r="M523" s="582" t="s">
        <v>3081</v>
      </c>
      <c r="N523" s="361"/>
      <c r="O523" s="361"/>
      <c r="P523" s="361">
        <v>9.403208E9</v>
      </c>
      <c r="Q523" s="498">
        <v>170.8368376787216</v>
      </c>
      <c r="R523" s="592" t="s">
        <v>10</v>
      </c>
      <c r="S523" s="49"/>
      <c r="T523" s="224">
        <v>569.4561255957386</v>
      </c>
      <c r="U523" s="224">
        <v>341.6736753574432</v>
      </c>
      <c r="V523" s="224">
        <v>284.7280627978693</v>
      </c>
      <c r="W523" s="224">
        <v>227.78245023829547</v>
      </c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</row>
    <row r="524" ht="14.25" customHeight="1">
      <c r="A524" s="423" t="s">
        <v>84</v>
      </c>
      <c r="B524" s="423" t="s">
        <v>1886</v>
      </c>
      <c r="C524" s="585" t="s">
        <v>2920</v>
      </c>
      <c r="D524" s="582" t="s">
        <v>3534</v>
      </c>
      <c r="E524" s="134" t="s">
        <v>3494</v>
      </c>
      <c r="F524" s="134"/>
      <c r="G524" s="479" t="s">
        <v>3543</v>
      </c>
      <c r="H524" s="583"/>
      <c r="I524" s="581" t="s">
        <v>3545</v>
      </c>
      <c r="J524" s="134"/>
      <c r="K524" s="585" t="s">
        <v>147</v>
      </c>
      <c r="L524" s="361"/>
      <c r="M524" s="582" t="s">
        <v>3081</v>
      </c>
      <c r="N524" s="361"/>
      <c r="O524" s="361"/>
      <c r="P524" s="361">
        <v>9.403208E9</v>
      </c>
      <c r="Q524" s="498">
        <v>183.97813288477715</v>
      </c>
      <c r="R524" s="592" t="s">
        <v>10</v>
      </c>
      <c r="S524" s="49"/>
      <c r="T524" s="224">
        <v>613.2604429492573</v>
      </c>
      <c r="U524" s="224">
        <v>367.95626576955436</v>
      </c>
      <c r="V524" s="224">
        <v>306.6302214746286</v>
      </c>
      <c r="W524" s="224">
        <v>245.30417717970292</v>
      </c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</row>
    <row r="525" ht="14.25" customHeight="1">
      <c r="A525" s="423" t="s">
        <v>84</v>
      </c>
      <c r="B525" s="423" t="s">
        <v>1886</v>
      </c>
      <c r="C525" s="585" t="s">
        <v>2920</v>
      </c>
      <c r="D525" s="582" t="s">
        <v>3534</v>
      </c>
      <c r="E525" s="134" t="s">
        <v>3546</v>
      </c>
      <c r="F525" s="134"/>
      <c r="G525" s="479" t="s">
        <v>3547</v>
      </c>
      <c r="H525" s="583"/>
      <c r="I525" s="581" t="s">
        <v>3549</v>
      </c>
      <c r="J525" s="134"/>
      <c r="K525" s="585" t="s">
        <v>147</v>
      </c>
      <c r="L525" s="361"/>
      <c r="M525" s="582" t="s">
        <v>3081</v>
      </c>
      <c r="N525" s="361"/>
      <c r="O525" s="361"/>
      <c r="P525" s="361">
        <v>9.403208E9</v>
      </c>
      <c r="Q525" s="498">
        <v>210.26072329688813</v>
      </c>
      <c r="R525" s="592" t="s">
        <v>10</v>
      </c>
      <c r="S525" s="49"/>
      <c r="T525" s="224">
        <v>700.8690776562938</v>
      </c>
      <c r="U525" s="224">
        <v>420.52144659377626</v>
      </c>
      <c r="V525" s="224">
        <v>350.4345388281469</v>
      </c>
      <c r="W525" s="224">
        <v>280.34763106251756</v>
      </c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</row>
    <row r="526" ht="14.25" customHeight="1">
      <c r="A526" s="423" t="s">
        <v>84</v>
      </c>
      <c r="B526" s="423" t="s">
        <v>1886</v>
      </c>
      <c r="C526" s="585" t="s">
        <v>2920</v>
      </c>
      <c r="D526" s="582" t="s">
        <v>3534</v>
      </c>
      <c r="E526" s="134" t="s">
        <v>3550</v>
      </c>
      <c r="F526" s="134"/>
      <c r="G526" s="479" t="s">
        <v>3551</v>
      </c>
      <c r="H526" s="583"/>
      <c r="I526" s="581" t="s">
        <v>3553</v>
      </c>
      <c r="J526" s="134"/>
      <c r="K526" s="585" t="s">
        <v>147</v>
      </c>
      <c r="L526" s="361"/>
      <c r="M526" s="582" t="s">
        <v>3081</v>
      </c>
      <c r="N526" s="361"/>
      <c r="O526" s="361"/>
      <c r="P526" s="361">
        <v>9.403208E9</v>
      </c>
      <c r="Q526" s="498">
        <v>223.40201850294366</v>
      </c>
      <c r="R526" s="592" t="s">
        <v>10</v>
      </c>
      <c r="S526" s="49"/>
      <c r="T526" s="224">
        <v>744.6733950098122</v>
      </c>
      <c r="U526" s="224">
        <v>446.8040370058873</v>
      </c>
      <c r="V526" s="224">
        <v>372.3366975049061</v>
      </c>
      <c r="W526" s="224">
        <v>297.8693580039249</v>
      </c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</row>
    <row r="527" ht="14.25" customHeight="1">
      <c r="A527" s="423" t="s">
        <v>84</v>
      </c>
      <c r="B527" s="423" t="s">
        <v>1886</v>
      </c>
      <c r="C527" s="585" t="s">
        <v>2920</v>
      </c>
      <c r="D527" s="582" t="s">
        <v>3534</v>
      </c>
      <c r="E527" s="134" t="s">
        <v>3554</v>
      </c>
      <c r="F527" s="134"/>
      <c r="G527" s="479" t="s">
        <v>3555</v>
      </c>
      <c r="H527" s="583"/>
      <c r="I527" s="581" t="s">
        <v>3557</v>
      </c>
      <c r="J527" s="134"/>
      <c r="K527" s="585" t="s">
        <v>147</v>
      </c>
      <c r="L527" s="361"/>
      <c r="M527" s="582" t="s">
        <v>3081</v>
      </c>
      <c r="N527" s="361"/>
      <c r="O527" s="361"/>
      <c r="P527" s="361">
        <v>9.403208E9</v>
      </c>
      <c r="Q527" s="498">
        <v>236.54331370899916</v>
      </c>
      <c r="R527" s="592" t="s">
        <v>10</v>
      </c>
      <c r="S527" s="49"/>
      <c r="T527" s="224">
        <v>788.4777123633306</v>
      </c>
      <c r="U527" s="224">
        <v>473.08662741799833</v>
      </c>
      <c r="V527" s="224">
        <v>394.2388561816653</v>
      </c>
      <c r="W527" s="224">
        <v>315.3910849453323</v>
      </c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</row>
    <row r="528" ht="14.25" customHeight="1">
      <c r="A528" s="423" t="s">
        <v>84</v>
      </c>
      <c r="B528" s="423" t="s">
        <v>1886</v>
      </c>
      <c r="C528" s="585" t="s">
        <v>2920</v>
      </c>
      <c r="D528" s="582" t="s">
        <v>3534</v>
      </c>
      <c r="E528" s="134" t="s">
        <v>3075</v>
      </c>
      <c r="F528" s="134"/>
      <c r="G528" s="479" t="s">
        <v>3558</v>
      </c>
      <c r="H528" s="583"/>
      <c r="I528" s="581" t="s">
        <v>3560</v>
      </c>
      <c r="J528" s="134"/>
      <c r="K528" s="585" t="s">
        <v>147</v>
      </c>
      <c r="L528" s="361"/>
      <c r="M528" s="582" t="s">
        <v>3081</v>
      </c>
      <c r="N528" s="361"/>
      <c r="O528" s="361"/>
      <c r="P528" s="361">
        <v>9.403208E9</v>
      </c>
      <c r="Q528" s="498">
        <v>262.82590412111017</v>
      </c>
      <c r="R528" s="592" t="s">
        <v>10</v>
      </c>
      <c r="S528" s="49"/>
      <c r="T528" s="224">
        <v>876.0863470703673</v>
      </c>
      <c r="U528" s="224">
        <v>525.6518082422203</v>
      </c>
      <c r="V528" s="224">
        <v>438.04317353518366</v>
      </c>
      <c r="W528" s="224">
        <v>350.43453882814697</v>
      </c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</row>
    <row r="529" ht="14.25" customHeight="1">
      <c r="A529" s="423" t="s">
        <v>84</v>
      </c>
      <c r="B529" s="423" t="s">
        <v>1886</v>
      </c>
      <c r="C529" s="585" t="s">
        <v>2920</v>
      </c>
      <c r="D529" s="582" t="s">
        <v>3534</v>
      </c>
      <c r="E529" s="134" t="s">
        <v>3535</v>
      </c>
      <c r="F529" s="134"/>
      <c r="G529" s="479" t="s">
        <v>3562</v>
      </c>
      <c r="H529" s="583"/>
      <c r="I529" s="581" t="s">
        <v>3565</v>
      </c>
      <c r="J529" s="134"/>
      <c r="K529" s="585" t="s">
        <v>147</v>
      </c>
      <c r="L529" s="361"/>
      <c r="M529" s="582" t="s">
        <v>3081</v>
      </c>
      <c r="N529" s="361"/>
      <c r="O529" s="361"/>
      <c r="P529" s="361">
        <v>9.403208E9</v>
      </c>
      <c r="Q529" s="498">
        <v>243.11396131202693</v>
      </c>
      <c r="R529" s="592" t="s">
        <v>10</v>
      </c>
      <c r="S529" s="49"/>
      <c r="T529" s="224">
        <v>810.3798710400898</v>
      </c>
      <c r="U529" s="224">
        <v>486.22792262405386</v>
      </c>
      <c r="V529" s="224">
        <v>405.1899355200449</v>
      </c>
      <c r="W529" s="224">
        <v>324.15194841603596</v>
      </c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</row>
    <row r="530" ht="14.25" customHeight="1">
      <c r="A530" s="423" t="s">
        <v>84</v>
      </c>
      <c r="B530" s="423" t="s">
        <v>1886</v>
      </c>
      <c r="C530" s="585" t="s">
        <v>2920</v>
      </c>
      <c r="D530" s="582" t="s">
        <v>3534</v>
      </c>
      <c r="E530" s="134" t="s">
        <v>3490</v>
      </c>
      <c r="F530" s="134"/>
      <c r="G530" s="479" t="s">
        <v>3566</v>
      </c>
      <c r="H530" s="583"/>
      <c r="I530" s="581" t="s">
        <v>3568</v>
      </c>
      <c r="J530" s="134"/>
      <c r="K530" s="585" t="s">
        <v>147</v>
      </c>
      <c r="L530" s="361"/>
      <c r="M530" s="582" t="s">
        <v>3081</v>
      </c>
      <c r="N530" s="361"/>
      <c r="O530" s="361"/>
      <c r="P530" s="361">
        <v>9.403208E9</v>
      </c>
      <c r="Q530" s="498">
        <v>256.25525651808243</v>
      </c>
      <c r="R530" s="592" t="s">
        <v>10</v>
      </c>
      <c r="S530" s="49"/>
      <c r="T530" s="224">
        <v>854.1841883936081</v>
      </c>
      <c r="U530" s="224">
        <v>512.5105130361649</v>
      </c>
      <c r="V530" s="224">
        <v>427.09209419680406</v>
      </c>
      <c r="W530" s="224">
        <v>341.67367535744324</v>
      </c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</row>
    <row r="531" ht="14.25" customHeight="1">
      <c r="A531" s="423" t="s">
        <v>84</v>
      </c>
      <c r="B531" s="423" t="s">
        <v>1886</v>
      </c>
      <c r="C531" s="585" t="s">
        <v>2920</v>
      </c>
      <c r="D531" s="582" t="s">
        <v>3534</v>
      </c>
      <c r="E531" s="134" t="s">
        <v>3494</v>
      </c>
      <c r="F531" s="134"/>
      <c r="G531" s="479" t="s">
        <v>3569</v>
      </c>
      <c r="H531" s="583"/>
      <c r="I531" s="581" t="s">
        <v>3571</v>
      </c>
      <c r="J531" s="134"/>
      <c r="K531" s="585" t="s">
        <v>147</v>
      </c>
      <c r="L531" s="361"/>
      <c r="M531" s="582" t="s">
        <v>3081</v>
      </c>
      <c r="N531" s="361"/>
      <c r="O531" s="361"/>
      <c r="P531" s="361">
        <v>9.403208E9</v>
      </c>
      <c r="Q531" s="498">
        <v>275.9671993271657</v>
      </c>
      <c r="R531" s="592" t="s">
        <v>10</v>
      </c>
      <c r="S531" s="49"/>
      <c r="T531" s="224">
        <v>919.8906644238857</v>
      </c>
      <c r="U531" s="224">
        <v>551.9343986543314</v>
      </c>
      <c r="V531" s="224">
        <v>459.94533221194285</v>
      </c>
      <c r="W531" s="224">
        <v>367.9562657695543</v>
      </c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</row>
    <row r="532" ht="14.25" customHeight="1">
      <c r="A532" s="423" t="s">
        <v>84</v>
      </c>
      <c r="B532" s="423" t="s">
        <v>1886</v>
      </c>
      <c r="C532" s="585" t="s">
        <v>2920</v>
      </c>
      <c r="D532" s="582" t="s">
        <v>3534</v>
      </c>
      <c r="E532" s="134" t="s">
        <v>3546</v>
      </c>
      <c r="F532" s="134"/>
      <c r="G532" s="479" t="s">
        <v>3572</v>
      </c>
      <c r="H532" s="583"/>
      <c r="I532" s="581" t="s">
        <v>3574</v>
      </c>
      <c r="J532" s="134"/>
      <c r="K532" s="585" t="s">
        <v>147</v>
      </c>
      <c r="L532" s="361"/>
      <c r="M532" s="582" t="s">
        <v>3081</v>
      </c>
      <c r="N532" s="361"/>
      <c r="O532" s="361"/>
      <c r="P532" s="361">
        <v>9.403208E9</v>
      </c>
      <c r="Q532" s="498">
        <v>295.67914213624897</v>
      </c>
      <c r="R532" s="592" t="s">
        <v>10</v>
      </c>
      <c r="S532" s="49"/>
      <c r="T532" s="224">
        <v>985.5971404541633</v>
      </c>
      <c r="U532" s="224">
        <v>591.3582842724979</v>
      </c>
      <c r="V532" s="224">
        <v>492.79857022708165</v>
      </c>
      <c r="W532" s="224">
        <v>394.23885618166537</v>
      </c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</row>
    <row r="533" ht="14.25" customHeight="1">
      <c r="A533" s="423" t="s">
        <v>84</v>
      </c>
      <c r="B533" s="423" t="s">
        <v>1886</v>
      </c>
      <c r="C533" s="585" t="s">
        <v>2920</v>
      </c>
      <c r="D533" s="582" t="s">
        <v>3534</v>
      </c>
      <c r="E533" s="134" t="s">
        <v>3550</v>
      </c>
      <c r="F533" s="134"/>
      <c r="G533" s="479" t="s">
        <v>3575</v>
      </c>
      <c r="H533" s="583"/>
      <c r="I533" s="581" t="s">
        <v>3577</v>
      </c>
      <c r="J533" s="134"/>
      <c r="K533" s="585" t="s">
        <v>147</v>
      </c>
      <c r="L533" s="361"/>
      <c r="M533" s="582" t="s">
        <v>3081</v>
      </c>
      <c r="N533" s="361"/>
      <c r="O533" s="361"/>
      <c r="P533" s="361">
        <v>9.403208E9</v>
      </c>
      <c r="Q533" s="498">
        <v>328.53238015138766</v>
      </c>
      <c r="R533" s="592" t="s">
        <v>10</v>
      </c>
      <c r="S533" s="49"/>
      <c r="T533" s="224">
        <v>1095.1079338379589</v>
      </c>
      <c r="U533" s="224">
        <v>657.0647603027753</v>
      </c>
      <c r="V533" s="224">
        <v>547.5539669189794</v>
      </c>
      <c r="W533" s="224">
        <v>438.04317353518354</v>
      </c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</row>
    <row r="534" ht="14.25" customHeight="1">
      <c r="A534" s="423" t="s">
        <v>84</v>
      </c>
      <c r="B534" s="423" t="s">
        <v>1886</v>
      </c>
      <c r="C534" s="585" t="s">
        <v>2920</v>
      </c>
      <c r="D534" s="582" t="s">
        <v>3534</v>
      </c>
      <c r="E534" s="134" t="s">
        <v>3554</v>
      </c>
      <c r="F534" s="134"/>
      <c r="G534" s="479" t="s">
        <v>3578</v>
      </c>
      <c r="H534" s="583"/>
      <c r="I534" s="581" t="s">
        <v>3580</v>
      </c>
      <c r="J534" s="134"/>
      <c r="K534" s="585" t="s">
        <v>147</v>
      </c>
      <c r="L534" s="361"/>
      <c r="M534" s="582" t="s">
        <v>3081</v>
      </c>
      <c r="N534" s="361"/>
      <c r="O534" s="361"/>
      <c r="P534" s="361">
        <v>9.403208E9</v>
      </c>
      <c r="Q534" s="498">
        <v>354.8149705634987</v>
      </c>
      <c r="R534" s="592" t="s">
        <v>10</v>
      </c>
      <c r="S534" s="49"/>
      <c r="T534" s="224">
        <v>1182.7165685449959</v>
      </c>
      <c r="U534" s="224">
        <v>709.6299411269976</v>
      </c>
      <c r="V534" s="224">
        <v>591.3582842724979</v>
      </c>
      <c r="W534" s="224">
        <v>473.0866274179984</v>
      </c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</row>
    <row r="535" ht="14.25" customHeight="1">
      <c r="A535" s="423" t="s">
        <v>84</v>
      </c>
      <c r="B535" s="423" t="s">
        <v>1886</v>
      </c>
      <c r="C535" s="585" t="s">
        <v>2920</v>
      </c>
      <c r="D535" s="582" t="s">
        <v>3534</v>
      </c>
      <c r="E535" s="134" t="s">
        <v>3075</v>
      </c>
      <c r="F535" s="134"/>
      <c r="G535" s="479" t="s">
        <v>3581</v>
      </c>
      <c r="H535" s="583"/>
      <c r="I535" s="581" t="s">
        <v>3583</v>
      </c>
      <c r="J535" s="134"/>
      <c r="K535" s="585" t="s">
        <v>147</v>
      </c>
      <c r="L535" s="361"/>
      <c r="M535" s="582" t="s">
        <v>3081</v>
      </c>
      <c r="N535" s="361"/>
      <c r="O535" s="361"/>
      <c r="P535" s="361">
        <v>9.403208E9</v>
      </c>
      <c r="Q535" s="498">
        <v>367.9562657695543</v>
      </c>
      <c r="R535" s="592" t="s">
        <v>10</v>
      </c>
      <c r="S535" s="49"/>
      <c r="T535" s="224">
        <v>1226.5208858985145</v>
      </c>
      <c r="U535" s="224">
        <v>735.9125315391087</v>
      </c>
      <c r="V535" s="224">
        <v>613.2604429492573</v>
      </c>
      <c r="W535" s="224">
        <v>490.60835435940584</v>
      </c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</row>
    <row r="536" ht="14.25" customHeight="1">
      <c r="A536" s="423" t="s">
        <v>84</v>
      </c>
      <c r="B536" s="423" t="s">
        <v>1886</v>
      </c>
      <c r="C536" s="585" t="s">
        <v>2920</v>
      </c>
      <c r="D536" s="582" t="s">
        <v>3534</v>
      </c>
      <c r="E536" s="134" t="s">
        <v>3535</v>
      </c>
      <c r="F536" s="134"/>
      <c r="G536" s="479" t="s">
        <v>3584</v>
      </c>
      <c r="H536" s="583"/>
      <c r="I536" s="581" t="s">
        <v>3586</v>
      </c>
      <c r="J536" s="134"/>
      <c r="K536" s="585" t="s">
        <v>147</v>
      </c>
      <c r="L536" s="361"/>
      <c r="M536" s="582" t="s">
        <v>3081</v>
      </c>
      <c r="N536" s="361"/>
      <c r="O536" s="361"/>
      <c r="P536" s="361">
        <v>9.403208E9</v>
      </c>
      <c r="Q536" s="498">
        <v>256.25525651808243</v>
      </c>
      <c r="R536" s="592" t="s">
        <v>10</v>
      </c>
      <c r="S536" s="49"/>
      <c r="T536" s="224">
        <v>854.1841883936081</v>
      </c>
      <c r="U536" s="224">
        <v>512.5105130361649</v>
      </c>
      <c r="V536" s="224">
        <v>427.09209419680406</v>
      </c>
      <c r="W536" s="224">
        <v>341.67367535744324</v>
      </c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</row>
    <row r="537" ht="14.25" customHeight="1">
      <c r="A537" s="423" t="s">
        <v>84</v>
      </c>
      <c r="B537" s="423" t="s">
        <v>1886</v>
      </c>
      <c r="C537" s="585" t="s">
        <v>2920</v>
      </c>
      <c r="D537" s="582" t="s">
        <v>3534</v>
      </c>
      <c r="E537" s="134" t="s">
        <v>3490</v>
      </c>
      <c r="F537" s="134"/>
      <c r="G537" s="479" t="s">
        <v>3587</v>
      </c>
      <c r="H537" s="583"/>
      <c r="I537" s="581" t="s">
        <v>3589</v>
      </c>
      <c r="J537" s="134"/>
      <c r="K537" s="585" t="s">
        <v>147</v>
      </c>
      <c r="L537" s="361"/>
      <c r="M537" s="582" t="s">
        <v>3081</v>
      </c>
      <c r="N537" s="361"/>
      <c r="O537" s="361"/>
      <c r="P537" s="361">
        <v>9.403208E9</v>
      </c>
      <c r="Q537" s="498">
        <v>269.39655172413796</v>
      </c>
      <c r="R537" s="592" t="s">
        <v>10</v>
      </c>
      <c r="S537" s="49"/>
      <c r="T537" s="224">
        <v>897.9885057471266</v>
      </c>
      <c r="U537" s="224">
        <v>538.7931034482759</v>
      </c>
      <c r="V537" s="224">
        <v>448.9942528735633</v>
      </c>
      <c r="W537" s="224">
        <v>359.1954022988507</v>
      </c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</row>
    <row r="538" ht="14.25" customHeight="1">
      <c r="A538" s="423" t="s">
        <v>84</v>
      </c>
      <c r="B538" s="423" t="s">
        <v>1886</v>
      </c>
      <c r="C538" s="585" t="s">
        <v>2920</v>
      </c>
      <c r="D538" s="582" t="s">
        <v>3534</v>
      </c>
      <c r="E538" s="134" t="s">
        <v>3494</v>
      </c>
      <c r="F538" s="134"/>
      <c r="G538" s="479" t="s">
        <v>3590</v>
      </c>
      <c r="H538" s="583"/>
      <c r="I538" s="581" t="s">
        <v>3592</v>
      </c>
      <c r="J538" s="134"/>
      <c r="K538" s="585" t="s">
        <v>147</v>
      </c>
      <c r="L538" s="361"/>
      <c r="M538" s="582" t="s">
        <v>3081</v>
      </c>
      <c r="N538" s="361"/>
      <c r="O538" s="361"/>
      <c r="P538" s="361">
        <v>9.403208E9</v>
      </c>
      <c r="Q538" s="498">
        <v>289.1084945332212</v>
      </c>
      <c r="R538" s="592" t="s">
        <v>10</v>
      </c>
      <c r="S538" s="49"/>
      <c r="T538" s="224">
        <v>963.694981777404</v>
      </c>
      <c r="U538" s="224">
        <v>578.2169890664424</v>
      </c>
      <c r="V538" s="224">
        <v>481.847490888702</v>
      </c>
      <c r="W538" s="224">
        <v>385.47799271096164</v>
      </c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</row>
    <row r="539" ht="14.25" customHeight="1">
      <c r="A539" s="423" t="s">
        <v>84</v>
      </c>
      <c r="B539" s="423" t="s">
        <v>1886</v>
      </c>
      <c r="C539" s="585" t="s">
        <v>2920</v>
      </c>
      <c r="D539" s="582" t="s">
        <v>3534</v>
      </c>
      <c r="E539" s="134" t="s">
        <v>3546</v>
      </c>
      <c r="F539" s="134"/>
      <c r="G539" s="479" t="s">
        <v>3593</v>
      </c>
      <c r="H539" s="583"/>
      <c r="I539" s="581" t="s">
        <v>3595</v>
      </c>
      <c r="J539" s="134"/>
      <c r="K539" s="585" t="s">
        <v>147</v>
      </c>
      <c r="L539" s="361"/>
      <c r="M539" s="582" t="s">
        <v>3081</v>
      </c>
      <c r="N539" s="361"/>
      <c r="O539" s="361"/>
      <c r="P539" s="361">
        <v>9.403208E9</v>
      </c>
      <c r="Q539" s="498">
        <v>308.82043734230444</v>
      </c>
      <c r="R539" s="592" t="s">
        <v>10</v>
      </c>
      <c r="S539" s="49"/>
      <c r="T539" s="224">
        <v>1029.4014578076815</v>
      </c>
      <c r="U539" s="224">
        <v>617.6408746846089</v>
      </c>
      <c r="V539" s="224">
        <v>514.7007289038407</v>
      </c>
      <c r="W539" s="224">
        <v>411.7605831230726</v>
      </c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</row>
    <row r="540" ht="14.25" customHeight="1">
      <c r="A540" s="423" t="s">
        <v>84</v>
      </c>
      <c r="B540" s="423" t="s">
        <v>1886</v>
      </c>
      <c r="C540" s="585" t="s">
        <v>2920</v>
      </c>
      <c r="D540" s="582" t="s">
        <v>3534</v>
      </c>
      <c r="E540" s="134" t="s">
        <v>3550</v>
      </c>
      <c r="F540" s="134"/>
      <c r="G540" s="479" t="s">
        <v>3596</v>
      </c>
      <c r="H540" s="583"/>
      <c r="I540" s="581" t="s">
        <v>3598</v>
      </c>
      <c r="J540" s="134"/>
      <c r="K540" s="585" t="s">
        <v>147</v>
      </c>
      <c r="L540" s="361"/>
      <c r="M540" s="582" t="s">
        <v>3081</v>
      </c>
      <c r="N540" s="361"/>
      <c r="O540" s="361"/>
      <c r="P540" s="361">
        <v>9.403208E9</v>
      </c>
      <c r="Q540" s="498">
        <v>341.6736753574432</v>
      </c>
      <c r="R540" s="592" t="s">
        <v>10</v>
      </c>
      <c r="S540" s="49"/>
      <c r="T540" s="224">
        <v>1138.9122511914773</v>
      </c>
      <c r="U540" s="224">
        <v>683.3473507148864</v>
      </c>
      <c r="V540" s="224">
        <v>569.4561255957386</v>
      </c>
      <c r="W540" s="224">
        <v>455.56490047659094</v>
      </c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</row>
    <row r="541" ht="14.25" customHeight="1">
      <c r="A541" s="423" t="s">
        <v>84</v>
      </c>
      <c r="B541" s="423" t="s">
        <v>1886</v>
      </c>
      <c r="C541" s="585" t="s">
        <v>2920</v>
      </c>
      <c r="D541" s="582" t="s">
        <v>3534</v>
      </c>
      <c r="E541" s="134" t="s">
        <v>3554</v>
      </c>
      <c r="F541" s="134"/>
      <c r="G541" s="479" t="s">
        <v>3599</v>
      </c>
      <c r="H541" s="583"/>
      <c r="I541" s="581" t="s">
        <v>3601</v>
      </c>
      <c r="J541" s="134"/>
      <c r="K541" s="585" t="s">
        <v>147</v>
      </c>
      <c r="L541" s="361"/>
      <c r="M541" s="582" t="s">
        <v>3081</v>
      </c>
      <c r="N541" s="361"/>
      <c r="O541" s="361"/>
      <c r="P541" s="361">
        <v>9.403208E9</v>
      </c>
      <c r="Q541" s="498">
        <v>367.9562657695543</v>
      </c>
      <c r="R541" s="592" t="s">
        <v>10</v>
      </c>
      <c r="S541" s="49"/>
      <c r="T541" s="224">
        <v>1226.5208858985145</v>
      </c>
      <c r="U541" s="224">
        <v>735.9125315391087</v>
      </c>
      <c r="V541" s="224">
        <v>613.2604429492573</v>
      </c>
      <c r="W541" s="224">
        <v>490.60835435940584</v>
      </c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</row>
    <row r="542" ht="14.25" customHeight="1">
      <c r="A542" s="423" t="s">
        <v>84</v>
      </c>
      <c r="B542" s="423" t="s">
        <v>1886</v>
      </c>
      <c r="C542" s="585" t="s">
        <v>2920</v>
      </c>
      <c r="D542" s="582" t="s">
        <v>3534</v>
      </c>
      <c r="E542" s="134" t="s">
        <v>3075</v>
      </c>
      <c r="F542" s="134"/>
      <c r="G542" s="479" t="s">
        <v>3602</v>
      </c>
      <c r="H542" s="583"/>
      <c r="I542" s="581" t="s">
        <v>3604</v>
      </c>
      <c r="J542" s="134"/>
      <c r="K542" s="585" t="s">
        <v>147</v>
      </c>
      <c r="L542" s="361"/>
      <c r="M542" s="582" t="s">
        <v>3081</v>
      </c>
      <c r="N542" s="361"/>
      <c r="O542" s="361"/>
      <c r="P542" s="361">
        <v>9.403208E9</v>
      </c>
      <c r="Q542" s="498">
        <v>381.0975609756098</v>
      </c>
      <c r="R542" s="592" t="s">
        <v>10</v>
      </c>
      <c r="S542" s="49"/>
      <c r="T542" s="224">
        <v>1270.3252032520327</v>
      </c>
      <c r="U542" s="224">
        <v>762.1951219512196</v>
      </c>
      <c r="V542" s="224">
        <v>635.1626016260163</v>
      </c>
      <c r="W542" s="224">
        <v>508.1300813008131</v>
      </c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</row>
    <row r="543" ht="14.25" customHeight="1">
      <c r="A543" s="423" t="s">
        <v>84</v>
      </c>
      <c r="B543" s="423" t="s">
        <v>1886</v>
      </c>
      <c r="C543" s="585" t="s">
        <v>2920</v>
      </c>
      <c r="D543" s="582" t="s">
        <v>3534</v>
      </c>
      <c r="E543" s="134" t="s">
        <v>3535</v>
      </c>
      <c r="F543" s="134"/>
      <c r="G543" s="479" t="s">
        <v>3605</v>
      </c>
      <c r="H543" s="583"/>
      <c r="I543" s="581" t="s">
        <v>3607</v>
      </c>
      <c r="J543" s="134"/>
      <c r="K543" s="585" t="s">
        <v>147</v>
      </c>
      <c r="L543" s="361"/>
      <c r="M543" s="582" t="s">
        <v>3081</v>
      </c>
      <c r="N543" s="361"/>
      <c r="O543" s="361"/>
      <c r="P543" s="361">
        <v>9.403208E9</v>
      </c>
      <c r="Q543" s="498">
        <v>269.39655172413796</v>
      </c>
      <c r="R543" s="592" t="s">
        <v>10</v>
      </c>
      <c r="S543" s="49"/>
      <c r="T543" s="224">
        <v>897.9885057471266</v>
      </c>
      <c r="U543" s="224">
        <v>538.7931034482759</v>
      </c>
      <c r="V543" s="224">
        <v>448.9942528735633</v>
      </c>
      <c r="W543" s="224">
        <v>359.1954022988507</v>
      </c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</row>
    <row r="544" ht="14.25" customHeight="1">
      <c r="A544" s="423" t="s">
        <v>84</v>
      </c>
      <c r="B544" s="423" t="s">
        <v>1886</v>
      </c>
      <c r="C544" s="585" t="s">
        <v>2920</v>
      </c>
      <c r="D544" s="582" t="s">
        <v>3534</v>
      </c>
      <c r="E544" s="134" t="s">
        <v>3490</v>
      </c>
      <c r="F544" s="134"/>
      <c r="G544" s="479" t="s">
        <v>3608</v>
      </c>
      <c r="H544" s="583"/>
      <c r="I544" s="581" t="s">
        <v>3610</v>
      </c>
      <c r="J544" s="134"/>
      <c r="K544" s="585" t="s">
        <v>147</v>
      </c>
      <c r="L544" s="361"/>
      <c r="M544" s="582" t="s">
        <v>3081</v>
      </c>
      <c r="N544" s="361"/>
      <c r="O544" s="361"/>
      <c r="P544" s="361">
        <v>9.403208E9</v>
      </c>
      <c r="Q544" s="498">
        <v>282.5378469301935</v>
      </c>
      <c r="R544" s="592" t="s">
        <v>10</v>
      </c>
      <c r="S544" s="49"/>
      <c r="T544" s="224">
        <v>941.792823100645</v>
      </c>
      <c r="U544" s="224">
        <v>565.075693860387</v>
      </c>
      <c r="V544" s="224">
        <v>470.8964115503225</v>
      </c>
      <c r="W544" s="224">
        <v>376.71712924025803</v>
      </c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</row>
    <row r="545" ht="14.25" customHeight="1">
      <c r="A545" s="423" t="s">
        <v>84</v>
      </c>
      <c r="B545" s="423" t="s">
        <v>1886</v>
      </c>
      <c r="C545" s="585" t="s">
        <v>2920</v>
      </c>
      <c r="D545" s="582" t="s">
        <v>3534</v>
      </c>
      <c r="E545" s="134" t="s">
        <v>3494</v>
      </c>
      <c r="F545" s="134"/>
      <c r="G545" s="479" t="s">
        <v>3611</v>
      </c>
      <c r="H545" s="583"/>
      <c r="I545" s="581" t="s">
        <v>3613</v>
      </c>
      <c r="J545" s="134"/>
      <c r="K545" s="585" t="s">
        <v>147</v>
      </c>
      <c r="L545" s="361"/>
      <c r="M545" s="582" t="s">
        <v>3081</v>
      </c>
      <c r="N545" s="361"/>
      <c r="O545" s="361"/>
      <c r="P545" s="361">
        <v>9.403208E9</v>
      </c>
      <c r="Q545" s="498">
        <v>306.19217830109335</v>
      </c>
      <c r="R545" s="592" t="s">
        <v>10</v>
      </c>
      <c r="S545" s="49"/>
      <c r="T545" s="224">
        <v>1020.6405943369779</v>
      </c>
      <c r="U545" s="224">
        <v>612.3843566021867</v>
      </c>
      <c r="V545" s="224">
        <v>510.32029716848893</v>
      </c>
      <c r="W545" s="224">
        <v>408.25623773479117</v>
      </c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</row>
    <row r="546" ht="14.25" customHeight="1">
      <c r="A546" s="423" t="s">
        <v>84</v>
      </c>
      <c r="B546" s="423" t="s">
        <v>1886</v>
      </c>
      <c r="C546" s="585" t="s">
        <v>2920</v>
      </c>
      <c r="D546" s="582" t="s">
        <v>3534</v>
      </c>
      <c r="E546" s="134" t="s">
        <v>3546</v>
      </c>
      <c r="F546" s="134"/>
      <c r="G546" s="479" t="s">
        <v>3614</v>
      </c>
      <c r="H546" s="583"/>
      <c r="I546" s="581" t="s">
        <v>3616</v>
      </c>
      <c r="J546" s="134"/>
      <c r="K546" s="585" t="s">
        <v>147</v>
      </c>
      <c r="L546" s="361"/>
      <c r="M546" s="582" t="s">
        <v>3081</v>
      </c>
      <c r="N546" s="361"/>
      <c r="O546" s="361"/>
      <c r="P546" s="361">
        <v>9.403208E9</v>
      </c>
      <c r="Q546" s="498">
        <v>328.53238015138766</v>
      </c>
      <c r="R546" s="592" t="s">
        <v>10</v>
      </c>
      <c r="S546" s="49"/>
      <c r="T546" s="224">
        <v>1095.1079338379589</v>
      </c>
      <c r="U546" s="224">
        <v>657.0647603027753</v>
      </c>
      <c r="V546" s="224">
        <v>547.5539669189794</v>
      </c>
      <c r="W546" s="224">
        <v>438.04317353518354</v>
      </c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</row>
    <row r="547" ht="14.25" customHeight="1">
      <c r="A547" s="423" t="s">
        <v>84</v>
      </c>
      <c r="B547" s="423" t="s">
        <v>1886</v>
      </c>
      <c r="C547" s="585" t="s">
        <v>2920</v>
      </c>
      <c r="D547" s="582" t="s">
        <v>3534</v>
      </c>
      <c r="E547" s="134" t="s">
        <v>3550</v>
      </c>
      <c r="F547" s="134"/>
      <c r="G547" s="479" t="s">
        <v>3617</v>
      </c>
      <c r="H547" s="583"/>
      <c r="I547" s="581" t="s">
        <v>3619</v>
      </c>
      <c r="J547" s="134"/>
      <c r="K547" s="585" t="s">
        <v>147</v>
      </c>
      <c r="L547" s="361"/>
      <c r="M547" s="582" t="s">
        <v>3081</v>
      </c>
      <c r="N547" s="361"/>
      <c r="O547" s="361"/>
      <c r="P547" s="361">
        <v>9.403208E9</v>
      </c>
      <c r="Q547" s="498">
        <v>361.3856181665265</v>
      </c>
      <c r="R547" s="592" t="s">
        <v>10</v>
      </c>
      <c r="S547" s="49"/>
      <c r="T547" s="224">
        <v>1204.618727221755</v>
      </c>
      <c r="U547" s="224">
        <v>722.771236333053</v>
      </c>
      <c r="V547" s="224">
        <v>602.3093636108775</v>
      </c>
      <c r="W547" s="224">
        <v>481.84749088870205</v>
      </c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</row>
    <row r="548" ht="14.25" customHeight="1">
      <c r="A548" s="423" t="s">
        <v>84</v>
      </c>
      <c r="B548" s="423" t="s">
        <v>1886</v>
      </c>
      <c r="C548" s="585" t="s">
        <v>2920</v>
      </c>
      <c r="D548" s="582" t="s">
        <v>3534</v>
      </c>
      <c r="E548" s="134" t="s">
        <v>3554</v>
      </c>
      <c r="F548" s="134"/>
      <c r="G548" s="479" t="s">
        <v>3620</v>
      </c>
      <c r="H548" s="583"/>
      <c r="I548" s="581" t="s">
        <v>3622</v>
      </c>
      <c r="J548" s="134"/>
      <c r="K548" s="585" t="s">
        <v>147</v>
      </c>
      <c r="L548" s="361"/>
      <c r="M548" s="582" t="s">
        <v>3081</v>
      </c>
      <c r="N548" s="361"/>
      <c r="O548" s="361"/>
      <c r="P548" s="361">
        <v>9.403208E9</v>
      </c>
      <c r="Q548" s="498">
        <v>387.6682085786375</v>
      </c>
      <c r="R548" s="592" t="s">
        <v>10</v>
      </c>
      <c r="S548" s="49"/>
      <c r="T548" s="224">
        <v>1292.2273619287919</v>
      </c>
      <c r="U548" s="224">
        <v>775.3364171572752</v>
      </c>
      <c r="V548" s="224">
        <v>646.1136809643959</v>
      </c>
      <c r="W548" s="224">
        <v>516.8909447715167</v>
      </c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</row>
    <row r="549" ht="14.25" customHeight="1">
      <c r="A549" s="423" t="s">
        <v>84</v>
      </c>
      <c r="B549" s="423" t="s">
        <v>1886</v>
      </c>
      <c r="C549" s="585" t="s">
        <v>2920</v>
      </c>
      <c r="D549" s="582" t="s">
        <v>3534</v>
      </c>
      <c r="E549" s="134" t="s">
        <v>3075</v>
      </c>
      <c r="F549" s="134"/>
      <c r="G549" s="479" t="s">
        <v>3623</v>
      </c>
      <c r="H549" s="583"/>
      <c r="I549" s="581" t="s">
        <v>3625</v>
      </c>
      <c r="J549" s="134"/>
      <c r="K549" s="585" t="s">
        <v>147</v>
      </c>
      <c r="L549" s="361"/>
      <c r="M549" s="582" t="s">
        <v>3081</v>
      </c>
      <c r="N549" s="361"/>
      <c r="O549" s="361"/>
      <c r="P549" s="361">
        <v>9.403208E9</v>
      </c>
      <c r="Q549" s="498">
        <v>413.9507989907485</v>
      </c>
      <c r="R549" s="592" t="s">
        <v>10</v>
      </c>
      <c r="S549" s="49"/>
      <c r="T549" s="224">
        <v>1379.8359966358285</v>
      </c>
      <c r="U549" s="224">
        <v>827.901597981497</v>
      </c>
      <c r="V549" s="224">
        <v>689.9179983179142</v>
      </c>
      <c r="W549" s="224">
        <v>551.9343986543314</v>
      </c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</row>
    <row r="550" ht="14.25" customHeight="1">
      <c r="A550" s="423" t="s">
        <v>84</v>
      </c>
      <c r="B550" s="423" t="s">
        <v>1886</v>
      </c>
      <c r="C550" s="585" t="s">
        <v>2920</v>
      </c>
      <c r="D550" s="582" t="s">
        <v>3534</v>
      </c>
      <c r="E550" s="134" t="s">
        <v>3535</v>
      </c>
      <c r="F550" s="134"/>
      <c r="G550" s="479" t="s">
        <v>3626</v>
      </c>
      <c r="H550" s="583"/>
      <c r="I550" s="581" t="s">
        <v>3628</v>
      </c>
      <c r="J550" s="134"/>
      <c r="K550" s="585" t="s">
        <v>147</v>
      </c>
      <c r="L550" s="361"/>
      <c r="M550" s="582" t="s">
        <v>3081</v>
      </c>
      <c r="N550" s="361"/>
      <c r="O550" s="361"/>
      <c r="P550" s="361">
        <v>9.403208E9</v>
      </c>
      <c r="Q550" s="498">
        <v>282.5378469301935</v>
      </c>
      <c r="R550" s="592" t="s">
        <v>10</v>
      </c>
      <c r="S550" s="49"/>
      <c r="T550" s="224">
        <v>941.792823100645</v>
      </c>
      <c r="U550" s="224">
        <v>565.075693860387</v>
      </c>
      <c r="V550" s="224">
        <v>470.8964115503225</v>
      </c>
      <c r="W550" s="224">
        <v>376.71712924025803</v>
      </c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</row>
    <row r="551" ht="14.25" customHeight="1">
      <c r="A551" s="423" t="s">
        <v>84</v>
      </c>
      <c r="B551" s="423" t="s">
        <v>1886</v>
      </c>
      <c r="C551" s="585" t="s">
        <v>2920</v>
      </c>
      <c r="D551" s="582" t="s">
        <v>3534</v>
      </c>
      <c r="E551" s="134" t="s">
        <v>3490</v>
      </c>
      <c r="F551" s="134"/>
      <c r="G551" s="479" t="s">
        <v>3629</v>
      </c>
      <c r="H551" s="583"/>
      <c r="I551" s="581" t="s">
        <v>3631</v>
      </c>
      <c r="J551" s="134"/>
      <c r="K551" s="585" t="s">
        <v>147</v>
      </c>
      <c r="L551" s="361"/>
      <c r="M551" s="582" t="s">
        <v>3081</v>
      </c>
      <c r="N551" s="361"/>
      <c r="O551" s="361"/>
      <c r="P551" s="361">
        <v>9.403208E9</v>
      </c>
      <c r="Q551" s="498">
        <v>295.67914213624897</v>
      </c>
      <c r="R551" s="592" t="s">
        <v>10</v>
      </c>
      <c r="S551" s="49"/>
      <c r="T551" s="224">
        <v>985.5971404541633</v>
      </c>
      <c r="U551" s="224">
        <v>591.3582842724979</v>
      </c>
      <c r="V551" s="224">
        <v>492.79857022708165</v>
      </c>
      <c r="W551" s="224">
        <v>394.23885618166537</v>
      </c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</row>
    <row r="552" ht="14.25" customHeight="1">
      <c r="A552" s="423" t="s">
        <v>84</v>
      </c>
      <c r="B552" s="423" t="s">
        <v>1886</v>
      </c>
      <c r="C552" s="585" t="s">
        <v>2920</v>
      </c>
      <c r="D552" s="582" t="s">
        <v>3534</v>
      </c>
      <c r="E552" s="134" t="s">
        <v>3494</v>
      </c>
      <c r="F552" s="134"/>
      <c r="G552" s="479" t="s">
        <v>3632</v>
      </c>
      <c r="H552" s="583"/>
      <c r="I552" s="581" t="s">
        <v>3634</v>
      </c>
      <c r="J552" s="134"/>
      <c r="K552" s="585" t="s">
        <v>147</v>
      </c>
      <c r="L552" s="361"/>
      <c r="M552" s="582" t="s">
        <v>3081</v>
      </c>
      <c r="N552" s="361"/>
      <c r="O552" s="361"/>
      <c r="P552" s="361">
        <v>9.403208E9</v>
      </c>
      <c r="Q552" s="498">
        <v>315.39108494533224</v>
      </c>
      <c r="R552" s="592" t="s">
        <v>10</v>
      </c>
      <c r="S552" s="49"/>
      <c r="T552" s="224">
        <v>1051.303616484441</v>
      </c>
      <c r="U552" s="224">
        <v>630.7821698906645</v>
      </c>
      <c r="V552" s="224">
        <v>525.6518082422205</v>
      </c>
      <c r="W552" s="224">
        <v>420.5214465937764</v>
      </c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</row>
    <row r="553" ht="14.25" customHeight="1">
      <c r="A553" s="423" t="s">
        <v>84</v>
      </c>
      <c r="B553" s="423" t="s">
        <v>1886</v>
      </c>
      <c r="C553" s="585" t="s">
        <v>2920</v>
      </c>
      <c r="D553" s="582" t="s">
        <v>3534</v>
      </c>
      <c r="E553" s="134" t="s">
        <v>3546</v>
      </c>
      <c r="F553" s="134"/>
      <c r="G553" s="479" t="s">
        <v>3635</v>
      </c>
      <c r="H553" s="583"/>
      <c r="I553" s="581" t="s">
        <v>3637</v>
      </c>
      <c r="J553" s="134"/>
      <c r="K553" s="585" t="s">
        <v>147</v>
      </c>
      <c r="L553" s="361"/>
      <c r="M553" s="582" t="s">
        <v>3081</v>
      </c>
      <c r="N553" s="361"/>
      <c r="O553" s="361"/>
      <c r="P553" s="361">
        <v>9.403208E9</v>
      </c>
      <c r="Q553" s="498">
        <v>341.6736753574432</v>
      </c>
      <c r="R553" s="592" t="s">
        <v>10</v>
      </c>
      <c r="S553" s="49"/>
      <c r="T553" s="224">
        <v>1138.9122511914773</v>
      </c>
      <c r="U553" s="224">
        <v>683.3473507148864</v>
      </c>
      <c r="V553" s="224">
        <v>569.4561255957386</v>
      </c>
      <c r="W553" s="224">
        <v>455.56490047659094</v>
      </c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</row>
    <row r="554" ht="14.25" customHeight="1">
      <c r="A554" s="423" t="s">
        <v>84</v>
      </c>
      <c r="B554" s="423" t="s">
        <v>1886</v>
      </c>
      <c r="C554" s="585" t="s">
        <v>2920</v>
      </c>
      <c r="D554" s="582" t="s">
        <v>3534</v>
      </c>
      <c r="E554" s="134" t="s">
        <v>3550</v>
      </c>
      <c r="F554" s="134"/>
      <c r="G554" s="479" t="s">
        <v>3638</v>
      </c>
      <c r="H554" s="583"/>
      <c r="I554" s="581" t="s">
        <v>3640</v>
      </c>
      <c r="J554" s="134"/>
      <c r="K554" s="585" t="s">
        <v>147</v>
      </c>
      <c r="L554" s="361"/>
      <c r="M554" s="582" t="s">
        <v>3081</v>
      </c>
      <c r="N554" s="361"/>
      <c r="O554" s="361"/>
      <c r="P554" s="361">
        <v>9.403208E9</v>
      </c>
      <c r="Q554" s="498">
        <v>374.526913372582</v>
      </c>
      <c r="R554" s="592" t="s">
        <v>10</v>
      </c>
      <c r="S554" s="49"/>
      <c r="T554" s="224">
        <v>1248.4230445752733</v>
      </c>
      <c r="U554" s="224">
        <v>749.053826745164</v>
      </c>
      <c r="V554" s="224">
        <v>624.2115222876366</v>
      </c>
      <c r="W554" s="224">
        <v>499.36921783010933</v>
      </c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</row>
    <row r="555" ht="14.25" customHeight="1">
      <c r="A555" s="423" t="s">
        <v>84</v>
      </c>
      <c r="B555" s="423" t="s">
        <v>1886</v>
      </c>
      <c r="C555" s="585" t="s">
        <v>2920</v>
      </c>
      <c r="D555" s="582" t="s">
        <v>3534</v>
      </c>
      <c r="E555" s="134" t="s">
        <v>3554</v>
      </c>
      <c r="F555" s="134"/>
      <c r="G555" s="479" t="s">
        <v>3641</v>
      </c>
      <c r="H555" s="583"/>
      <c r="I555" s="581" t="s">
        <v>3643</v>
      </c>
      <c r="J555" s="134"/>
      <c r="K555" s="585" t="s">
        <v>147</v>
      </c>
      <c r="L555" s="361"/>
      <c r="M555" s="582" t="s">
        <v>3081</v>
      </c>
      <c r="N555" s="361"/>
      <c r="O555" s="361"/>
      <c r="P555" s="361">
        <v>9.403208E9</v>
      </c>
      <c r="Q555" s="498">
        <v>407.38015138772073</v>
      </c>
      <c r="R555" s="592" t="s">
        <v>10</v>
      </c>
      <c r="S555" s="49"/>
      <c r="T555" s="224">
        <v>1357.9338379590693</v>
      </c>
      <c r="U555" s="224">
        <v>814.7603027754416</v>
      </c>
      <c r="V555" s="224">
        <v>678.9669189795346</v>
      </c>
      <c r="W555" s="224">
        <v>543.1735351836277</v>
      </c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</row>
    <row r="556" ht="14.25" customHeight="1">
      <c r="A556" s="423" t="s">
        <v>84</v>
      </c>
      <c r="B556" s="423" t="s">
        <v>1886</v>
      </c>
      <c r="C556" s="585" t="s">
        <v>2920</v>
      </c>
      <c r="D556" s="582" t="s">
        <v>3534</v>
      </c>
      <c r="E556" s="134" t="s">
        <v>3075</v>
      </c>
      <c r="F556" s="134"/>
      <c r="G556" s="479" t="s">
        <v>3644</v>
      </c>
      <c r="H556" s="583"/>
      <c r="I556" s="581" t="s">
        <v>3646</v>
      </c>
      <c r="J556" s="134"/>
      <c r="K556" s="585" t="s">
        <v>147</v>
      </c>
      <c r="L556" s="361"/>
      <c r="M556" s="582" t="s">
        <v>3081</v>
      </c>
      <c r="N556" s="361"/>
      <c r="O556" s="361"/>
      <c r="P556" s="361">
        <v>9.403208E9</v>
      </c>
      <c r="Q556" s="498">
        <v>420.52144659377626</v>
      </c>
      <c r="R556" s="592" t="s">
        <v>10</v>
      </c>
      <c r="S556" s="49"/>
      <c r="T556" s="224">
        <v>1401.7381553125877</v>
      </c>
      <c r="U556" s="224">
        <v>841.0428931875525</v>
      </c>
      <c r="V556" s="224">
        <v>700.8690776562938</v>
      </c>
      <c r="W556" s="224">
        <v>560.6952621250351</v>
      </c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</row>
    <row r="557" ht="14.25" customHeight="1">
      <c r="A557" s="423" t="s">
        <v>84</v>
      </c>
      <c r="B557" s="423" t="s">
        <v>1886</v>
      </c>
      <c r="C557" s="585" t="s">
        <v>2920</v>
      </c>
      <c r="D557" s="582" t="s">
        <v>3185</v>
      </c>
      <c r="E557" s="134" t="s">
        <v>3647</v>
      </c>
      <c r="F557" s="134"/>
      <c r="G557" s="479" t="s">
        <v>3648</v>
      </c>
      <c r="H557" s="583"/>
      <c r="I557" s="581" t="s">
        <v>3650</v>
      </c>
      <c r="J557" s="134"/>
      <c r="K557" s="585" t="s">
        <v>147</v>
      </c>
      <c r="L557" s="361"/>
      <c r="M557" s="582" t="s">
        <v>3081</v>
      </c>
      <c r="N557" s="361"/>
      <c r="O557" s="361"/>
      <c r="P557" s="361">
        <v>9.403208E9</v>
      </c>
      <c r="Q557" s="498">
        <v>75.98364279398763</v>
      </c>
      <c r="R557" s="592" t="s">
        <v>10</v>
      </c>
      <c r="S557" s="49"/>
      <c r="T557" s="224">
        <v>253.2788093132921</v>
      </c>
      <c r="U557" s="224">
        <v>151.96728558797525</v>
      </c>
      <c r="V557" s="224">
        <v>126.63940465664605</v>
      </c>
      <c r="W557" s="224">
        <v>101.31152372531685</v>
      </c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</row>
    <row r="558" ht="14.25" customHeight="1">
      <c r="A558" s="423" t="s">
        <v>84</v>
      </c>
      <c r="B558" s="423" t="s">
        <v>1886</v>
      </c>
      <c r="C558" s="585" t="s">
        <v>2920</v>
      </c>
      <c r="D558" s="582" t="s">
        <v>3185</v>
      </c>
      <c r="E558" s="134" t="s">
        <v>3490</v>
      </c>
      <c r="F558" s="134"/>
      <c r="G558" s="479" t="s">
        <v>3651</v>
      </c>
      <c r="H558" s="583"/>
      <c r="I558" s="581" t="s">
        <v>3653</v>
      </c>
      <c r="J558" s="134"/>
      <c r="K558" s="585" t="s">
        <v>147</v>
      </c>
      <c r="L558" s="361"/>
      <c r="M558" s="582" t="s">
        <v>3081</v>
      </c>
      <c r="N558" s="361"/>
      <c r="O558" s="361"/>
      <c r="P558" s="361">
        <v>9.403208E9</v>
      </c>
      <c r="Q558" s="498">
        <v>82.89124668435014</v>
      </c>
      <c r="R558" s="592" t="s">
        <v>10</v>
      </c>
      <c r="S558" s="49"/>
      <c r="T558" s="224">
        <v>276.3041556145005</v>
      </c>
      <c r="U558" s="224">
        <v>165.78249336870027</v>
      </c>
      <c r="V558" s="224">
        <v>138.15207780725024</v>
      </c>
      <c r="W558" s="224">
        <v>110.5216622458002</v>
      </c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</row>
    <row r="559" ht="14.25" customHeight="1">
      <c r="A559" s="423" t="s">
        <v>84</v>
      </c>
      <c r="B559" s="423" t="s">
        <v>1886</v>
      </c>
      <c r="C559" s="585" t="s">
        <v>2920</v>
      </c>
      <c r="D559" s="582" t="s">
        <v>3185</v>
      </c>
      <c r="E559" s="134" t="s">
        <v>3494</v>
      </c>
      <c r="F559" s="134"/>
      <c r="G559" s="479" t="s">
        <v>3654</v>
      </c>
      <c r="H559" s="583"/>
      <c r="I559" s="581" t="s">
        <v>3656</v>
      </c>
      <c r="J559" s="134"/>
      <c r="K559" s="585" t="s">
        <v>147</v>
      </c>
      <c r="L559" s="361"/>
      <c r="M559" s="582" t="s">
        <v>3081</v>
      </c>
      <c r="N559" s="361"/>
      <c r="O559" s="361"/>
      <c r="P559" s="361">
        <v>9.403208E9</v>
      </c>
      <c r="Q559" s="498">
        <v>89.79885057471263</v>
      </c>
      <c r="R559" s="592" t="s">
        <v>10</v>
      </c>
      <c r="S559" s="49"/>
      <c r="T559" s="224">
        <v>299.32950191570876</v>
      </c>
      <c r="U559" s="224">
        <v>179.59770114942526</v>
      </c>
      <c r="V559" s="224">
        <v>149.66475095785438</v>
      </c>
      <c r="W559" s="224">
        <v>119.73180076628351</v>
      </c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</row>
    <row r="560" ht="14.25" customHeight="1">
      <c r="A560" s="423" t="s">
        <v>84</v>
      </c>
      <c r="B560" s="423" t="s">
        <v>1886</v>
      </c>
      <c r="C560" s="585" t="s">
        <v>2920</v>
      </c>
      <c r="D560" s="582" t="s">
        <v>3185</v>
      </c>
      <c r="E560" s="134" t="s">
        <v>3657</v>
      </c>
      <c r="F560" s="134"/>
      <c r="G560" s="479" t="s">
        <v>3658</v>
      </c>
      <c r="H560" s="583"/>
      <c r="I560" s="581" t="s">
        <v>3660</v>
      </c>
      <c r="J560" s="134"/>
      <c r="K560" s="585" t="s">
        <v>147</v>
      </c>
      <c r="L560" s="361"/>
      <c r="M560" s="582" t="s">
        <v>3081</v>
      </c>
      <c r="N560" s="361"/>
      <c r="O560" s="361"/>
      <c r="P560" s="361">
        <v>9.403208E9</v>
      </c>
      <c r="Q560" s="498">
        <v>103.61405835543768</v>
      </c>
      <c r="R560" s="592" t="s">
        <v>10</v>
      </c>
      <c r="S560" s="49"/>
      <c r="T560" s="224">
        <v>345.3801945181256</v>
      </c>
      <c r="U560" s="224">
        <v>207.22811671087536</v>
      </c>
      <c r="V560" s="224">
        <v>172.6900972590628</v>
      </c>
      <c r="W560" s="224">
        <v>138.15207780725027</v>
      </c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</row>
    <row r="561" ht="14.25" customHeight="1">
      <c r="A561" s="423" t="s">
        <v>84</v>
      </c>
      <c r="B561" s="423" t="s">
        <v>1886</v>
      </c>
      <c r="C561" s="585" t="s">
        <v>2920</v>
      </c>
      <c r="D561" s="582" t="s">
        <v>3185</v>
      </c>
      <c r="E561" s="134" t="s">
        <v>3550</v>
      </c>
      <c r="F561" s="134"/>
      <c r="G561" s="479" t="s">
        <v>3661</v>
      </c>
      <c r="H561" s="583"/>
      <c r="I561" s="581" t="s">
        <v>3663</v>
      </c>
      <c r="J561" s="134"/>
      <c r="K561" s="585" t="s">
        <v>147</v>
      </c>
      <c r="L561" s="361"/>
      <c r="M561" s="582" t="s">
        <v>3081</v>
      </c>
      <c r="N561" s="361"/>
      <c r="O561" s="361"/>
      <c r="P561" s="361">
        <v>9.403208E9</v>
      </c>
      <c r="Q561" s="498">
        <v>110.52166224580017</v>
      </c>
      <c r="R561" s="592" t="s">
        <v>10</v>
      </c>
      <c r="S561" s="49"/>
      <c r="T561" s="224">
        <v>368.4055408193339</v>
      </c>
      <c r="U561" s="224">
        <v>221.04332449160034</v>
      </c>
      <c r="V561" s="224">
        <v>184.20277040966695</v>
      </c>
      <c r="W561" s="224">
        <v>147.36221632773356</v>
      </c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</row>
    <row r="562" ht="14.25" customHeight="1">
      <c r="A562" s="423" t="s">
        <v>84</v>
      </c>
      <c r="B562" s="423" t="s">
        <v>1886</v>
      </c>
      <c r="C562" s="585" t="s">
        <v>2920</v>
      </c>
      <c r="D562" s="582" t="s">
        <v>3185</v>
      </c>
      <c r="E562" s="134" t="s">
        <v>3075</v>
      </c>
      <c r="F562" s="134"/>
      <c r="G562" s="479" t="s">
        <v>3664</v>
      </c>
      <c r="H562" s="583"/>
      <c r="I562" s="581" t="s">
        <v>3666</v>
      </c>
      <c r="J562" s="134"/>
      <c r="K562" s="585" t="s">
        <v>147</v>
      </c>
      <c r="L562" s="361"/>
      <c r="M562" s="582" t="s">
        <v>3081</v>
      </c>
      <c r="N562" s="361"/>
      <c r="O562" s="361"/>
      <c r="P562" s="361">
        <v>9.403208E9</v>
      </c>
      <c r="Q562" s="498">
        <v>124.3368700265252</v>
      </c>
      <c r="R562" s="592" t="s">
        <v>10</v>
      </c>
      <c r="S562" s="49"/>
      <c r="T562" s="224">
        <v>414.4562334217507</v>
      </c>
      <c r="U562" s="224">
        <v>248.6737400530504</v>
      </c>
      <c r="V562" s="224">
        <v>207.22811671087536</v>
      </c>
      <c r="W562" s="224">
        <v>165.7824933687003</v>
      </c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</row>
    <row r="563" ht="14.25" customHeight="1">
      <c r="A563" s="423" t="s">
        <v>84</v>
      </c>
      <c r="B563" s="423" t="s">
        <v>1886</v>
      </c>
      <c r="C563" s="585" t="s">
        <v>2920</v>
      </c>
      <c r="D563" s="582" t="s">
        <v>3185</v>
      </c>
      <c r="E563" s="134" t="s">
        <v>3647</v>
      </c>
      <c r="F563" s="134"/>
      <c r="G563" s="479" t="s">
        <v>3667</v>
      </c>
      <c r="H563" s="583"/>
      <c r="I563" s="581" t="s">
        <v>3669</v>
      </c>
      <c r="J563" s="134"/>
      <c r="K563" s="585" t="s">
        <v>147</v>
      </c>
      <c r="L563" s="361"/>
      <c r="M563" s="582" t="s">
        <v>3081</v>
      </c>
      <c r="N563" s="361"/>
      <c r="O563" s="361"/>
      <c r="P563" s="361">
        <v>9.403208E9</v>
      </c>
      <c r="Q563" s="498">
        <v>82.89124668435014</v>
      </c>
      <c r="R563" s="592" t="s">
        <v>10</v>
      </c>
      <c r="S563" s="49"/>
      <c r="T563" s="224">
        <v>276.3041556145005</v>
      </c>
      <c r="U563" s="224">
        <v>165.78249336870027</v>
      </c>
      <c r="V563" s="224">
        <v>138.15207780725024</v>
      </c>
      <c r="W563" s="224">
        <v>110.5216622458002</v>
      </c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</row>
    <row r="564" ht="14.25" customHeight="1">
      <c r="A564" s="423" t="s">
        <v>84</v>
      </c>
      <c r="B564" s="423" t="s">
        <v>1886</v>
      </c>
      <c r="C564" s="585" t="s">
        <v>2920</v>
      </c>
      <c r="D564" s="582" t="s">
        <v>3185</v>
      </c>
      <c r="E564" s="134" t="s">
        <v>3490</v>
      </c>
      <c r="F564" s="134"/>
      <c r="G564" s="479" t="s">
        <v>3670</v>
      </c>
      <c r="H564" s="583"/>
      <c r="I564" s="581" t="s">
        <v>3673</v>
      </c>
      <c r="J564" s="134"/>
      <c r="K564" s="585" t="s">
        <v>147</v>
      </c>
      <c r="L564" s="361"/>
      <c r="M564" s="582" t="s">
        <v>3081</v>
      </c>
      <c r="N564" s="361"/>
      <c r="O564" s="361"/>
      <c r="P564" s="361">
        <v>9.403208E9</v>
      </c>
      <c r="Q564" s="498">
        <v>89.79885057471263</v>
      </c>
      <c r="R564" s="592" t="s">
        <v>10</v>
      </c>
      <c r="S564" s="49"/>
      <c r="T564" s="224">
        <v>299.32950191570876</v>
      </c>
      <c r="U564" s="224">
        <v>179.59770114942526</v>
      </c>
      <c r="V564" s="224">
        <v>149.66475095785438</v>
      </c>
      <c r="W564" s="224">
        <v>119.73180076628351</v>
      </c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</row>
    <row r="565" ht="14.25" customHeight="1">
      <c r="A565" s="423" t="s">
        <v>84</v>
      </c>
      <c r="B565" s="423" t="s">
        <v>1886</v>
      </c>
      <c r="C565" s="585" t="s">
        <v>2920</v>
      </c>
      <c r="D565" s="582" t="s">
        <v>3185</v>
      </c>
      <c r="E565" s="134" t="s">
        <v>3494</v>
      </c>
      <c r="F565" s="134"/>
      <c r="G565" s="479" t="s">
        <v>3674</v>
      </c>
      <c r="H565" s="583"/>
      <c r="I565" s="581" t="s">
        <v>3676</v>
      </c>
      <c r="J565" s="134"/>
      <c r="K565" s="585" t="s">
        <v>147</v>
      </c>
      <c r="L565" s="361"/>
      <c r="M565" s="582" t="s">
        <v>3081</v>
      </c>
      <c r="N565" s="361"/>
      <c r="O565" s="361"/>
      <c r="P565" s="361">
        <v>9.403208E9</v>
      </c>
      <c r="Q565" s="498">
        <v>99.46949602122017</v>
      </c>
      <c r="R565" s="592" t="s">
        <v>10</v>
      </c>
      <c r="S565" s="49"/>
      <c r="T565" s="224">
        <v>331.56498673740055</v>
      </c>
      <c r="U565" s="224">
        <v>198.93899204244033</v>
      </c>
      <c r="V565" s="224">
        <v>165.78249336870027</v>
      </c>
      <c r="W565" s="224">
        <v>132.6259946949602</v>
      </c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</row>
    <row r="566" ht="14.25" customHeight="1">
      <c r="A566" s="423" t="s">
        <v>84</v>
      </c>
      <c r="B566" s="423" t="s">
        <v>1886</v>
      </c>
      <c r="C566" s="585" t="s">
        <v>2920</v>
      </c>
      <c r="D566" s="582" t="s">
        <v>3185</v>
      </c>
      <c r="E566" s="134" t="s">
        <v>3657</v>
      </c>
      <c r="F566" s="134"/>
      <c r="G566" s="479" t="s">
        <v>3677</v>
      </c>
      <c r="H566" s="583"/>
      <c r="I566" s="581" t="s">
        <v>3679</v>
      </c>
      <c r="J566" s="134"/>
      <c r="K566" s="585" t="s">
        <v>147</v>
      </c>
      <c r="L566" s="361"/>
      <c r="M566" s="582" t="s">
        <v>3081</v>
      </c>
      <c r="N566" s="361"/>
      <c r="O566" s="361"/>
      <c r="P566" s="361">
        <v>9.403208E9</v>
      </c>
      <c r="Q566" s="498">
        <v>110.52166224580017</v>
      </c>
      <c r="R566" s="592" t="s">
        <v>10</v>
      </c>
      <c r="S566" s="49"/>
      <c r="T566" s="224">
        <v>368.4055408193339</v>
      </c>
      <c r="U566" s="224">
        <v>221.04332449160034</v>
      </c>
      <c r="V566" s="224">
        <v>184.20277040966695</v>
      </c>
      <c r="W566" s="224">
        <v>147.36221632773356</v>
      </c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</row>
    <row r="567" ht="14.25" customHeight="1">
      <c r="A567" s="423" t="s">
        <v>84</v>
      </c>
      <c r="B567" s="423" t="s">
        <v>1886</v>
      </c>
      <c r="C567" s="585" t="s">
        <v>2920</v>
      </c>
      <c r="D567" s="582" t="s">
        <v>3185</v>
      </c>
      <c r="E567" s="134" t="s">
        <v>3550</v>
      </c>
      <c r="F567" s="134"/>
      <c r="G567" s="479" t="s">
        <v>3680</v>
      </c>
      <c r="H567" s="583"/>
      <c r="I567" s="581" t="s">
        <v>3682</v>
      </c>
      <c r="J567" s="134"/>
      <c r="K567" s="585" t="s">
        <v>147</v>
      </c>
      <c r="L567" s="361"/>
      <c r="M567" s="582" t="s">
        <v>3081</v>
      </c>
      <c r="N567" s="361"/>
      <c r="O567" s="361"/>
      <c r="P567" s="361">
        <v>9.403208E9</v>
      </c>
      <c r="Q567" s="498">
        <v>124.3368700265252</v>
      </c>
      <c r="R567" s="592" t="s">
        <v>10</v>
      </c>
      <c r="S567" s="49"/>
      <c r="T567" s="224">
        <v>414.4562334217507</v>
      </c>
      <c r="U567" s="224">
        <v>248.6737400530504</v>
      </c>
      <c r="V567" s="224">
        <v>207.22811671087536</v>
      </c>
      <c r="W567" s="224">
        <v>165.7824933687003</v>
      </c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</row>
    <row r="568" ht="14.25" customHeight="1">
      <c r="A568" s="423" t="s">
        <v>84</v>
      </c>
      <c r="B568" s="423" t="s">
        <v>1886</v>
      </c>
      <c r="C568" s="585" t="s">
        <v>2920</v>
      </c>
      <c r="D568" s="582" t="s">
        <v>3185</v>
      </c>
      <c r="E568" s="134" t="s">
        <v>3075</v>
      </c>
      <c r="F568" s="134"/>
      <c r="G568" s="479" t="s">
        <v>3683</v>
      </c>
      <c r="H568" s="583"/>
      <c r="I568" s="581" t="s">
        <v>3685</v>
      </c>
      <c r="J568" s="134"/>
      <c r="K568" s="585" t="s">
        <v>147</v>
      </c>
      <c r="L568" s="361"/>
      <c r="M568" s="582" t="s">
        <v>3081</v>
      </c>
      <c r="N568" s="361"/>
      <c r="O568" s="361"/>
      <c r="P568" s="361">
        <v>9.403208E9</v>
      </c>
      <c r="Q568" s="498">
        <v>138.1520778072502</v>
      </c>
      <c r="R568" s="592" t="s">
        <v>10</v>
      </c>
      <c r="S568" s="49"/>
      <c r="T568" s="224">
        <v>460.5069260241674</v>
      </c>
      <c r="U568" s="224">
        <v>276.3041556145004</v>
      </c>
      <c r="V568" s="224">
        <v>230.2534630120837</v>
      </c>
      <c r="W568" s="224">
        <v>184.20277040966698</v>
      </c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</row>
    <row r="569" ht="14.25" customHeight="1">
      <c r="A569" s="423" t="s">
        <v>84</v>
      </c>
      <c r="B569" s="423" t="s">
        <v>1886</v>
      </c>
      <c r="C569" s="585" t="s">
        <v>3686</v>
      </c>
      <c r="D569" s="582" t="s">
        <v>3687</v>
      </c>
      <c r="E569" s="134"/>
      <c r="F569" s="134" t="s">
        <v>3134</v>
      </c>
      <c r="G569" s="479" t="s">
        <v>3688</v>
      </c>
      <c r="H569" s="583"/>
      <c r="I569" s="581" t="s">
        <v>3691</v>
      </c>
      <c r="J569" s="134"/>
      <c r="K569" s="585" t="s">
        <v>147</v>
      </c>
      <c r="L569" s="361"/>
      <c r="M569" s="582" t="s">
        <v>3081</v>
      </c>
      <c r="N569" s="361"/>
      <c r="O569" s="361"/>
      <c r="P569" s="361">
        <v>9.403208E9</v>
      </c>
      <c r="Q569" s="498">
        <v>134.95484400656815</v>
      </c>
      <c r="R569" s="592" t="s">
        <v>10</v>
      </c>
      <c r="S569" s="49"/>
      <c r="T569" s="224">
        <v>449.84948002189384</v>
      </c>
      <c r="U569" s="224">
        <v>269.9096880131363</v>
      </c>
      <c r="V569" s="224">
        <v>224.92474001094692</v>
      </c>
      <c r="W569" s="224">
        <v>179.93979200875754</v>
      </c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</row>
    <row r="570" ht="14.25" customHeight="1">
      <c r="A570" s="423" t="s">
        <v>84</v>
      </c>
      <c r="B570" s="423" t="s">
        <v>1886</v>
      </c>
      <c r="C570" s="585" t="s">
        <v>3686</v>
      </c>
      <c r="D570" s="582" t="s">
        <v>3687</v>
      </c>
      <c r="E570" s="134"/>
      <c r="F570" s="134" t="s">
        <v>3134</v>
      </c>
      <c r="G570" s="479" t="s">
        <v>3692</v>
      </c>
      <c r="H570" s="583"/>
      <c r="I570" s="581" t="s">
        <v>3695</v>
      </c>
      <c r="J570" s="134"/>
      <c r="K570" s="585" t="s">
        <v>147</v>
      </c>
      <c r="L570" s="361"/>
      <c r="M570" s="582" t="s">
        <v>3081</v>
      </c>
      <c r="N570" s="361"/>
      <c r="O570" s="361"/>
      <c r="P570" s="361">
        <v>9.403208E9</v>
      </c>
      <c r="Q570" s="498">
        <v>144.02025177887248</v>
      </c>
      <c r="R570" s="592" t="s">
        <v>10</v>
      </c>
      <c r="S570" s="49"/>
      <c r="T570" s="224">
        <v>480.06750592957496</v>
      </c>
      <c r="U570" s="224">
        <v>288.04050355774496</v>
      </c>
      <c r="V570" s="224">
        <v>240.03375296478748</v>
      </c>
      <c r="W570" s="224">
        <v>192.02700237183</v>
      </c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</row>
    <row r="571" ht="14.25" customHeight="1">
      <c r="A571" s="423" t="s">
        <v>84</v>
      </c>
      <c r="B571" s="423" t="s">
        <v>1886</v>
      </c>
      <c r="C571" s="585" t="s">
        <v>3686</v>
      </c>
      <c r="D571" s="582" t="s">
        <v>3687</v>
      </c>
      <c r="E571" s="134"/>
      <c r="F571" s="134" t="s">
        <v>3159</v>
      </c>
      <c r="G571" s="479" t="s">
        <v>3696</v>
      </c>
      <c r="H571" s="583"/>
      <c r="I571" s="581" t="s">
        <v>3699</v>
      </c>
      <c r="J571" s="134"/>
      <c r="K571" s="585" t="s">
        <v>147</v>
      </c>
      <c r="L571" s="361"/>
      <c r="M571" s="582" t="s">
        <v>3081</v>
      </c>
      <c r="N571" s="361"/>
      <c r="O571" s="361"/>
      <c r="P571" s="361">
        <v>9.403208E9</v>
      </c>
      <c r="Q571" s="498">
        <v>149.83579638752053</v>
      </c>
      <c r="R571" s="592" t="s">
        <v>10</v>
      </c>
      <c r="S571" s="49"/>
      <c r="T571" s="224">
        <v>499.4526546250685</v>
      </c>
      <c r="U571" s="224">
        <v>299.67159277504106</v>
      </c>
      <c r="V571" s="224">
        <v>249.72632731253424</v>
      </c>
      <c r="W571" s="224">
        <v>199.7810618500274</v>
      </c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</row>
    <row r="572" ht="14.25" customHeight="1">
      <c r="A572" s="423" t="s">
        <v>84</v>
      </c>
      <c r="B572" s="423" t="s">
        <v>1886</v>
      </c>
      <c r="C572" s="585" t="s">
        <v>3686</v>
      </c>
      <c r="D572" s="582" t="s">
        <v>3687</v>
      </c>
      <c r="E572" s="134"/>
      <c r="F572" s="134" t="s">
        <v>3159</v>
      </c>
      <c r="G572" s="479" t="s">
        <v>3700</v>
      </c>
      <c r="H572" s="583"/>
      <c r="I572" s="581" t="s">
        <v>3703</v>
      </c>
      <c r="J572" s="134"/>
      <c r="K572" s="585" t="s">
        <v>147</v>
      </c>
      <c r="L572" s="361"/>
      <c r="M572" s="582" t="s">
        <v>3081</v>
      </c>
      <c r="N572" s="361"/>
      <c r="O572" s="361"/>
      <c r="P572" s="361">
        <v>9.403208E9</v>
      </c>
      <c r="Q572" s="498">
        <v>158.90120415982486</v>
      </c>
      <c r="R572" s="592" t="s">
        <v>10</v>
      </c>
      <c r="S572" s="49"/>
      <c r="T572" s="224">
        <v>529.6706805327495</v>
      </c>
      <c r="U572" s="224">
        <v>317.8024083196497</v>
      </c>
      <c r="V572" s="224">
        <v>264.83534026637477</v>
      </c>
      <c r="W572" s="224">
        <v>211.86827221309983</v>
      </c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</row>
    <row r="573" ht="14.25" customHeight="1">
      <c r="A573" s="423" t="s">
        <v>84</v>
      </c>
      <c r="B573" s="423" t="s">
        <v>1886</v>
      </c>
      <c r="C573" s="585" t="s">
        <v>3686</v>
      </c>
      <c r="D573" s="582" t="s">
        <v>3687</v>
      </c>
      <c r="E573" s="134"/>
      <c r="F573" s="134" t="s">
        <v>3076</v>
      </c>
      <c r="G573" s="479" t="s">
        <v>3710</v>
      </c>
      <c r="H573" s="583"/>
      <c r="I573" s="581" t="s">
        <v>3713</v>
      </c>
      <c r="J573" s="134"/>
      <c r="K573" s="585" t="s">
        <v>147</v>
      </c>
      <c r="L573" s="361"/>
      <c r="M573" s="582" t="s">
        <v>3081</v>
      </c>
      <c r="N573" s="361"/>
      <c r="O573" s="361"/>
      <c r="P573" s="361">
        <v>9.403208E9</v>
      </c>
      <c r="Q573" s="498">
        <v>111.86371100164205</v>
      </c>
      <c r="R573" s="592" t="s">
        <v>10</v>
      </c>
      <c r="S573" s="49"/>
      <c r="T573" s="224">
        <v>372.87903667214016</v>
      </c>
      <c r="U573" s="224">
        <v>223.7274220032841</v>
      </c>
      <c r="V573" s="224">
        <v>186.43951833607008</v>
      </c>
      <c r="W573" s="224">
        <v>149.15161466885607</v>
      </c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</row>
    <row r="574" ht="14.25" customHeight="1">
      <c r="A574" s="423" t="s">
        <v>84</v>
      </c>
      <c r="B574" s="423" t="s">
        <v>1886</v>
      </c>
      <c r="C574" s="585" t="s">
        <v>3686</v>
      </c>
      <c r="D574" s="582" t="s">
        <v>3687</v>
      </c>
      <c r="E574" s="134"/>
      <c r="F574" s="134" t="s">
        <v>3076</v>
      </c>
      <c r="G574" s="479" t="s">
        <v>3714</v>
      </c>
      <c r="H574" s="583"/>
      <c r="I574" s="581" t="s">
        <v>3717</v>
      </c>
      <c r="J574" s="134"/>
      <c r="K574" s="585" t="s">
        <v>147</v>
      </c>
      <c r="L574" s="361"/>
      <c r="M574" s="582" t="s">
        <v>3081</v>
      </c>
      <c r="N574" s="361"/>
      <c r="O574" s="361"/>
      <c r="P574" s="361">
        <v>9.403208E9</v>
      </c>
      <c r="Q574" s="498">
        <v>120.92911877394639</v>
      </c>
      <c r="R574" s="592" t="s">
        <v>10</v>
      </c>
      <c r="S574" s="49"/>
      <c r="T574" s="224">
        <v>403.0970625798213</v>
      </c>
      <c r="U574" s="224">
        <v>241.85823754789277</v>
      </c>
      <c r="V574" s="224">
        <v>201.54853128991064</v>
      </c>
      <c r="W574" s="224">
        <v>161.2388250319285</v>
      </c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</row>
    <row r="575" ht="14.25" customHeight="1">
      <c r="A575" s="423" t="s">
        <v>84</v>
      </c>
      <c r="B575" s="423" t="s">
        <v>1886</v>
      </c>
      <c r="C575" s="585" t="s">
        <v>3686</v>
      </c>
      <c r="D575" s="582" t="s">
        <v>3687</v>
      </c>
      <c r="E575" s="134"/>
      <c r="F575" s="134" t="s">
        <v>3101</v>
      </c>
      <c r="G575" s="479" t="s">
        <v>3718</v>
      </c>
      <c r="H575" s="583"/>
      <c r="I575" s="581" t="s">
        <v>3720</v>
      </c>
      <c r="J575" s="134"/>
      <c r="K575" s="585" t="s">
        <v>147</v>
      </c>
      <c r="L575" s="361"/>
      <c r="M575" s="582" t="s">
        <v>3081</v>
      </c>
      <c r="N575" s="361"/>
      <c r="O575" s="361"/>
      <c r="P575" s="361">
        <v>9.403208E9</v>
      </c>
      <c r="Q575" s="498">
        <v>123.32375478927203</v>
      </c>
      <c r="R575" s="592" t="s">
        <v>10</v>
      </c>
      <c r="S575" s="49"/>
      <c r="T575" s="224">
        <v>411.07918263090676</v>
      </c>
      <c r="U575" s="224">
        <v>246.64750957854403</v>
      </c>
      <c r="V575" s="224">
        <v>205.53959131545338</v>
      </c>
      <c r="W575" s="224">
        <v>164.43167305236273</v>
      </c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</row>
    <row r="576" ht="14.25" customHeight="1">
      <c r="A576" s="423" t="s">
        <v>84</v>
      </c>
      <c r="B576" s="423" t="s">
        <v>1886</v>
      </c>
      <c r="C576" s="585" t="s">
        <v>3686</v>
      </c>
      <c r="D576" s="582" t="s">
        <v>3687</v>
      </c>
      <c r="E576" s="134"/>
      <c r="F576" s="134" t="s">
        <v>3101</v>
      </c>
      <c r="G576" s="479" t="s">
        <v>3721</v>
      </c>
      <c r="H576" s="583"/>
      <c r="I576" s="581" t="s">
        <v>3723</v>
      </c>
      <c r="J576" s="134"/>
      <c r="K576" s="585" t="s">
        <v>147</v>
      </c>
      <c r="L576" s="361"/>
      <c r="M576" s="582" t="s">
        <v>3081</v>
      </c>
      <c r="N576" s="361"/>
      <c r="O576" s="361"/>
      <c r="P576" s="361">
        <v>9.403208E9</v>
      </c>
      <c r="Q576" s="498">
        <v>132.21811713191025</v>
      </c>
      <c r="R576" s="592" t="s">
        <v>10</v>
      </c>
      <c r="S576" s="49"/>
      <c r="T576" s="224">
        <v>440.7270571063675</v>
      </c>
      <c r="U576" s="224">
        <v>264.4362342638205</v>
      </c>
      <c r="V576" s="224">
        <v>220.36352855318376</v>
      </c>
      <c r="W576" s="224">
        <v>176.29082284254702</v>
      </c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</row>
    <row r="577" ht="14.25" customHeight="1">
      <c r="A577" s="423" t="s">
        <v>84</v>
      </c>
      <c r="B577" s="423" t="s">
        <v>1886</v>
      </c>
      <c r="C577" s="585" t="s">
        <v>3686</v>
      </c>
      <c r="D577" s="582" t="s">
        <v>3687</v>
      </c>
      <c r="E577" s="134"/>
      <c r="F577" s="134" t="s">
        <v>3120</v>
      </c>
      <c r="G577" s="479" t="s">
        <v>3724</v>
      </c>
      <c r="H577" s="583"/>
      <c r="I577" s="581" t="s">
        <v>3726</v>
      </c>
      <c r="J577" s="134"/>
      <c r="K577" s="585" t="s">
        <v>147</v>
      </c>
      <c r="L577" s="361"/>
      <c r="M577" s="582" t="s">
        <v>3081</v>
      </c>
      <c r="N577" s="361"/>
      <c r="O577" s="361"/>
      <c r="P577" s="361">
        <v>9.403208E9</v>
      </c>
      <c r="Q577" s="498">
        <v>135.81007115489876</v>
      </c>
      <c r="R577" s="592" t="s">
        <v>10</v>
      </c>
      <c r="S577" s="49"/>
      <c r="T577" s="224">
        <v>452.7002371829959</v>
      </c>
      <c r="U577" s="224">
        <v>271.62014230979753</v>
      </c>
      <c r="V577" s="224">
        <v>226.35011859149796</v>
      </c>
      <c r="W577" s="224">
        <v>181.0800948731984</v>
      </c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</row>
    <row r="578" ht="14.25" customHeight="1">
      <c r="A578" s="423" t="s">
        <v>84</v>
      </c>
      <c r="B578" s="423" t="s">
        <v>1886</v>
      </c>
      <c r="C578" s="585" t="s">
        <v>3686</v>
      </c>
      <c r="D578" s="582" t="s">
        <v>3687</v>
      </c>
      <c r="E578" s="134"/>
      <c r="F578" s="134" t="s">
        <v>3727</v>
      </c>
      <c r="G578" s="479" t="s">
        <v>3728</v>
      </c>
      <c r="H578" s="583"/>
      <c r="I578" s="581" t="s">
        <v>3730</v>
      </c>
      <c r="J578" s="134"/>
      <c r="K578" s="585" t="s">
        <v>147</v>
      </c>
      <c r="L578" s="361"/>
      <c r="M578" s="582" t="s">
        <v>3081</v>
      </c>
      <c r="N578" s="361"/>
      <c r="O578" s="361"/>
      <c r="P578" s="361">
        <v>9.403208E9</v>
      </c>
      <c r="Q578" s="498">
        <v>145.0465243568692</v>
      </c>
      <c r="R578" s="592" t="s">
        <v>10</v>
      </c>
      <c r="S578" s="49"/>
      <c r="T578" s="224">
        <v>483.4884145228974</v>
      </c>
      <c r="U578" s="224">
        <v>290.0930487137384</v>
      </c>
      <c r="V578" s="224">
        <v>241.7442072614487</v>
      </c>
      <c r="W578" s="224">
        <v>193.395365809159</v>
      </c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</row>
    <row r="579" ht="14.25" customHeight="1">
      <c r="A579" s="423" t="s">
        <v>84</v>
      </c>
      <c r="B579" s="423" t="s">
        <v>1886</v>
      </c>
      <c r="C579" s="585" t="s">
        <v>3686</v>
      </c>
      <c r="D579" s="582" t="s">
        <v>3687</v>
      </c>
      <c r="E579" s="134"/>
      <c r="F579" s="134"/>
      <c r="G579" s="479" t="s">
        <v>3731</v>
      </c>
      <c r="H579" s="583"/>
      <c r="I579" s="581" t="s">
        <v>3733</v>
      </c>
      <c r="J579" s="134"/>
      <c r="K579" s="585" t="s">
        <v>147</v>
      </c>
      <c r="L579" s="361"/>
      <c r="M579" s="582" t="s">
        <v>3081</v>
      </c>
      <c r="N579" s="361"/>
      <c r="O579" s="361"/>
      <c r="P579" s="361">
        <v>9.403208E9</v>
      </c>
      <c r="Q579" s="498">
        <v>42.76135741652983</v>
      </c>
      <c r="R579" s="592" t="s">
        <v>10</v>
      </c>
      <c r="S579" s="1"/>
      <c r="T579" s="224">
        <v>142.53785805509946</v>
      </c>
      <c r="U579" s="224">
        <v>85.52271483305968</v>
      </c>
      <c r="V579" s="224">
        <v>71.26892902754973</v>
      </c>
      <c r="W579" s="224">
        <v>57.01514322203979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4.25" customHeight="1">
      <c r="A580" s="423" t="s">
        <v>84</v>
      </c>
      <c r="B580" s="423" t="s">
        <v>1886</v>
      </c>
      <c r="C580" s="585" t="s">
        <v>3686</v>
      </c>
      <c r="D580" s="582" t="s">
        <v>3687</v>
      </c>
      <c r="E580" s="134"/>
      <c r="F580" s="134"/>
      <c r="G580" s="479" t="s">
        <v>3734</v>
      </c>
      <c r="H580" s="583"/>
      <c r="I580" s="581" t="s">
        <v>3736</v>
      </c>
      <c r="J580" s="134"/>
      <c r="K580" s="585" t="s">
        <v>147</v>
      </c>
      <c r="L580" s="361"/>
      <c r="M580" s="582" t="s">
        <v>3081</v>
      </c>
      <c r="N580" s="361"/>
      <c r="O580" s="361"/>
      <c r="P580" s="361">
        <v>9.403208E9</v>
      </c>
      <c r="Q580" s="498">
        <v>68.41817186644774</v>
      </c>
      <c r="R580" s="592" t="s">
        <v>10</v>
      </c>
      <c r="S580" s="1"/>
      <c r="T580" s="224">
        <v>228.06057288815913</v>
      </c>
      <c r="U580" s="224">
        <v>136.83634373289547</v>
      </c>
      <c r="V580" s="224">
        <v>114.03028644407956</v>
      </c>
      <c r="W580" s="224">
        <v>91.22422915526366</v>
      </c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4.25" customHeight="1">
      <c r="A581" s="423" t="s">
        <v>84</v>
      </c>
      <c r="B581" s="423" t="s">
        <v>1886</v>
      </c>
      <c r="C581" s="582" t="s">
        <v>1887</v>
      </c>
      <c r="D581" s="582" t="s">
        <v>1887</v>
      </c>
      <c r="E581" s="134"/>
      <c r="F581" s="134"/>
      <c r="G581" s="479" t="s">
        <v>3737</v>
      </c>
      <c r="H581" s="583"/>
      <c r="I581" s="423" t="s">
        <v>3739</v>
      </c>
      <c r="J581" s="134"/>
      <c r="K581" s="585" t="s">
        <v>147</v>
      </c>
      <c r="L581" s="361"/>
      <c r="M581" s="582" t="s">
        <v>3081</v>
      </c>
      <c r="N581" s="134" t="s">
        <v>3740</v>
      </c>
      <c r="O581" s="361"/>
      <c r="P581" s="361">
        <v>9.403208E9</v>
      </c>
      <c r="Q581" s="498">
        <v>13.084975369458132</v>
      </c>
      <c r="R581" s="592" t="s">
        <v>10</v>
      </c>
      <c r="S581" s="1"/>
      <c r="T581" s="224">
        <v>43.61658456486044</v>
      </c>
      <c r="U581" s="224">
        <v>26.169950738916263</v>
      </c>
      <c r="V581" s="224">
        <v>21.80829228243022</v>
      </c>
      <c r="W581" s="224">
        <v>17.446633825944176</v>
      </c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4.25" customHeight="1">
      <c r="A582" s="423" t="s">
        <v>84</v>
      </c>
      <c r="B582" s="423" t="s">
        <v>1886</v>
      </c>
      <c r="C582" s="582" t="s">
        <v>1887</v>
      </c>
      <c r="D582" s="582" t="s">
        <v>1887</v>
      </c>
      <c r="E582" s="134"/>
      <c r="F582" s="134"/>
      <c r="G582" s="479" t="s">
        <v>3741</v>
      </c>
      <c r="H582" s="583"/>
      <c r="I582" s="423" t="s">
        <v>3743</v>
      </c>
      <c r="J582" s="134"/>
      <c r="K582" s="585" t="s">
        <v>147</v>
      </c>
      <c r="L582" s="361"/>
      <c r="M582" s="582" t="s">
        <v>3081</v>
      </c>
      <c r="N582" s="134" t="s">
        <v>3740</v>
      </c>
      <c r="O582" s="361"/>
      <c r="P582" s="361">
        <v>9.403208E9</v>
      </c>
      <c r="Q582" s="498">
        <v>15.39408866995074</v>
      </c>
      <c r="R582" s="592" t="s">
        <v>10</v>
      </c>
      <c r="S582" s="1"/>
      <c r="T582" s="224">
        <v>51.313628899835805</v>
      </c>
      <c r="U582" s="224">
        <v>30.78817733990148</v>
      </c>
      <c r="V582" s="224">
        <v>25.656814449917903</v>
      </c>
      <c r="W582" s="224">
        <v>20.525451559934325</v>
      </c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4.25" customHeight="1">
      <c r="A583" s="423" t="s">
        <v>84</v>
      </c>
      <c r="B583" s="423" t="s">
        <v>1886</v>
      </c>
      <c r="C583" s="582" t="s">
        <v>1887</v>
      </c>
      <c r="D583" s="582" t="s">
        <v>1887</v>
      </c>
      <c r="E583" s="134"/>
      <c r="F583" s="134"/>
      <c r="G583" s="479" t="s">
        <v>3744</v>
      </c>
      <c r="H583" s="583"/>
      <c r="I583" s="423" t="s">
        <v>3746</v>
      </c>
      <c r="J583" s="134"/>
      <c r="K583" s="585" t="s">
        <v>147</v>
      </c>
      <c r="L583" s="361"/>
      <c r="M583" s="582" t="s">
        <v>3081</v>
      </c>
      <c r="N583" s="134" t="s">
        <v>3740</v>
      </c>
      <c r="O583" s="361"/>
      <c r="P583" s="361">
        <v>9.403208E9</v>
      </c>
      <c r="Q583" s="498">
        <v>17.95977011494253</v>
      </c>
      <c r="R583" s="592" t="s">
        <v>10</v>
      </c>
      <c r="S583" s="1"/>
      <c r="T583" s="224">
        <v>59.86590038314176</v>
      </c>
      <c r="U583" s="224">
        <v>35.91954022988506</v>
      </c>
      <c r="V583" s="224">
        <v>29.93295019157088</v>
      </c>
      <c r="W583" s="224">
        <v>23.946360153256705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4.25" customHeight="1">
      <c r="A584" s="423" t="s">
        <v>84</v>
      </c>
      <c r="B584" s="423" t="s">
        <v>1886</v>
      </c>
      <c r="C584" s="582" t="s">
        <v>1887</v>
      </c>
      <c r="D584" s="582" t="s">
        <v>1887</v>
      </c>
      <c r="E584" s="134"/>
      <c r="F584" s="134"/>
      <c r="G584" s="479" t="s">
        <v>3747</v>
      </c>
      <c r="H584" s="583"/>
      <c r="I584" s="423" t="s">
        <v>3749</v>
      </c>
      <c r="J584" s="134"/>
      <c r="K584" s="585" t="s">
        <v>147</v>
      </c>
      <c r="L584" s="361"/>
      <c r="M584" s="582" t="s">
        <v>3081</v>
      </c>
      <c r="N584" s="134" t="s">
        <v>3740</v>
      </c>
      <c r="O584" s="361"/>
      <c r="P584" s="361">
        <v>9.403208E9</v>
      </c>
      <c r="Q584" s="498">
        <v>18.814997263273128</v>
      </c>
      <c r="R584" s="592" t="s">
        <v>10</v>
      </c>
      <c r="S584" s="1"/>
      <c r="T584" s="224">
        <v>62.71665754424376</v>
      </c>
      <c r="U584" s="224">
        <v>37.629994526546255</v>
      </c>
      <c r="V584" s="224">
        <v>31.35832877212188</v>
      </c>
      <c r="W584" s="224">
        <v>25.086663017697504</v>
      </c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4.25" customHeight="1">
      <c r="A585" s="423" t="s">
        <v>84</v>
      </c>
      <c r="B585" s="423" t="s">
        <v>1886</v>
      </c>
      <c r="C585" s="582" t="s">
        <v>1887</v>
      </c>
      <c r="D585" s="582" t="s">
        <v>1887</v>
      </c>
      <c r="E585" s="134"/>
      <c r="F585" s="134"/>
      <c r="G585" s="479" t="s">
        <v>3753</v>
      </c>
      <c r="H585" s="583"/>
      <c r="I585" s="423" t="s">
        <v>3755</v>
      </c>
      <c r="J585" s="134"/>
      <c r="K585" s="585" t="s">
        <v>147</v>
      </c>
      <c r="L585" s="361"/>
      <c r="M585" s="582" t="s">
        <v>3081</v>
      </c>
      <c r="N585" s="134" t="s">
        <v>3740</v>
      </c>
      <c r="O585" s="361"/>
      <c r="P585" s="361">
        <v>9.403208E9</v>
      </c>
      <c r="Q585" s="498">
        <v>28.222495894909688</v>
      </c>
      <c r="R585" s="592" t="s">
        <v>10</v>
      </c>
      <c r="S585" s="1"/>
      <c r="T585" s="224">
        <v>94.07498631636562</v>
      </c>
      <c r="U585" s="224">
        <v>56.444991789819376</v>
      </c>
      <c r="V585" s="224">
        <v>47.03749315818281</v>
      </c>
      <c r="W585" s="224">
        <v>37.62999452654625</v>
      </c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4.25" customHeight="1">
      <c r="A586" s="423" t="s">
        <v>84</v>
      </c>
      <c r="B586" s="423" t="s">
        <v>1886</v>
      </c>
      <c r="C586" s="582" t="s">
        <v>1887</v>
      </c>
      <c r="D586" s="582" t="s">
        <v>1887</v>
      </c>
      <c r="E586" s="134"/>
      <c r="F586" s="134"/>
      <c r="G586" s="479" t="s">
        <v>3756</v>
      </c>
      <c r="H586" s="583"/>
      <c r="I586" s="423" t="s">
        <v>3758</v>
      </c>
      <c r="J586" s="134"/>
      <c r="K586" s="585" t="s">
        <v>147</v>
      </c>
      <c r="L586" s="361"/>
      <c r="M586" s="582" t="s">
        <v>3081</v>
      </c>
      <c r="N586" s="134" t="s">
        <v>3740</v>
      </c>
      <c r="O586" s="361"/>
      <c r="P586" s="361">
        <v>9.403208E9</v>
      </c>
      <c r="Q586" s="498">
        <v>23.51874657909141</v>
      </c>
      <c r="R586" s="592" t="s">
        <v>10</v>
      </c>
      <c r="S586" s="1"/>
      <c r="T586" s="224">
        <v>78.3958219303047</v>
      </c>
      <c r="U586" s="224">
        <v>47.03749315818282</v>
      </c>
      <c r="V586" s="224">
        <v>39.19791096515235</v>
      </c>
      <c r="W586" s="224">
        <v>31.358328772121883</v>
      </c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4.25" customHeight="1">
      <c r="A587" s="423" t="s">
        <v>84</v>
      </c>
      <c r="B587" s="423" t="s">
        <v>1886</v>
      </c>
      <c r="C587" s="582" t="s">
        <v>1887</v>
      </c>
      <c r="D587" s="582" t="s">
        <v>1887</v>
      </c>
      <c r="E587" s="134"/>
      <c r="F587" s="134"/>
      <c r="G587" s="479" t="s">
        <v>3759</v>
      </c>
      <c r="H587" s="583"/>
      <c r="I587" s="423" t="s">
        <v>3761</v>
      </c>
      <c r="J587" s="134"/>
      <c r="K587" s="585" t="s">
        <v>147</v>
      </c>
      <c r="L587" s="361"/>
      <c r="M587" s="582" t="s">
        <v>3081</v>
      </c>
      <c r="N587" s="134" t="s">
        <v>3740</v>
      </c>
      <c r="O587" s="361"/>
      <c r="P587" s="361">
        <v>9.403208E9</v>
      </c>
      <c r="Q587" s="498">
        <v>25.6568144499179</v>
      </c>
      <c r="R587" s="592" t="s">
        <v>10</v>
      </c>
      <c r="S587" s="1"/>
      <c r="T587" s="224">
        <v>85.52271483305967</v>
      </c>
      <c r="U587" s="224">
        <v>51.3136288998358</v>
      </c>
      <c r="V587" s="224">
        <v>42.76135741652983</v>
      </c>
      <c r="W587" s="224">
        <v>34.20908593322387</v>
      </c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4.25" customHeight="1">
      <c r="A588" s="423" t="s">
        <v>84</v>
      </c>
      <c r="B588" s="423" t="s">
        <v>1886</v>
      </c>
      <c r="C588" s="582" t="s">
        <v>1887</v>
      </c>
      <c r="D588" s="582" t="s">
        <v>1887</v>
      </c>
      <c r="E588" s="134"/>
      <c r="F588" s="134"/>
      <c r="G588" s="479" t="s">
        <v>3762</v>
      </c>
      <c r="H588" s="583"/>
      <c r="I588" s="423" t="s">
        <v>3764</v>
      </c>
      <c r="J588" s="134"/>
      <c r="K588" s="585" t="s">
        <v>147</v>
      </c>
      <c r="L588" s="361"/>
      <c r="M588" s="582" t="s">
        <v>3081</v>
      </c>
      <c r="N588" s="134" t="s">
        <v>3740</v>
      </c>
      <c r="O588" s="361"/>
      <c r="P588" s="361">
        <v>9.403208E9</v>
      </c>
      <c r="Q588" s="498">
        <v>30.78817733990148</v>
      </c>
      <c r="R588" s="592" t="s">
        <v>10</v>
      </c>
      <c r="S588" s="1"/>
      <c r="T588" s="224">
        <v>102.62725779967161</v>
      </c>
      <c r="U588" s="224">
        <v>61.57635467980296</v>
      </c>
      <c r="V588" s="224">
        <v>51.313628899835805</v>
      </c>
      <c r="W588" s="224">
        <v>41.05090311986865</v>
      </c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4.25" customHeight="1">
      <c r="A589" s="423" t="s">
        <v>84</v>
      </c>
      <c r="B589" s="423" t="s">
        <v>1886</v>
      </c>
      <c r="C589" s="585" t="s">
        <v>3686</v>
      </c>
      <c r="D589" s="582" t="s">
        <v>3687</v>
      </c>
      <c r="E589" s="134"/>
      <c r="F589" s="134"/>
      <c r="G589" s="479" t="s">
        <v>3765</v>
      </c>
      <c r="H589" s="583"/>
      <c r="I589" s="581" t="s">
        <v>3767</v>
      </c>
      <c r="J589" s="134"/>
      <c r="K589" s="585" t="s">
        <v>147</v>
      </c>
      <c r="L589" s="361"/>
      <c r="M589" s="582" t="s">
        <v>3081</v>
      </c>
      <c r="N589" s="361"/>
      <c r="O589" s="361"/>
      <c r="P589" s="361">
        <v>9.403208E9</v>
      </c>
      <c r="Q589" s="498">
        <v>25.6568144499179</v>
      </c>
      <c r="R589" s="592" t="s">
        <v>10</v>
      </c>
      <c r="S589" s="1"/>
      <c r="T589" s="224">
        <v>85.52271483305967</v>
      </c>
      <c r="U589" s="224">
        <v>51.3136288998358</v>
      </c>
      <c r="V589" s="224">
        <v>42.76135741652983</v>
      </c>
      <c r="W589" s="224">
        <v>34.20908593322387</v>
      </c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4.25" customHeight="1">
      <c r="A590" s="423" t="s">
        <v>84</v>
      </c>
      <c r="B590" s="423" t="s">
        <v>1886</v>
      </c>
      <c r="C590" s="585" t="s">
        <v>3686</v>
      </c>
      <c r="D590" s="582" t="s">
        <v>3687</v>
      </c>
      <c r="E590" s="134"/>
      <c r="F590" s="134"/>
      <c r="G590" s="479" t="s">
        <v>3768</v>
      </c>
      <c r="H590" s="583"/>
      <c r="I590" s="581" t="s">
        <v>3770</v>
      </c>
      <c r="J590" s="134"/>
      <c r="K590" s="585" t="s">
        <v>147</v>
      </c>
      <c r="L590" s="361"/>
      <c r="M590" s="582" t="s">
        <v>3081</v>
      </c>
      <c r="N590" s="361"/>
      <c r="O590" s="361"/>
      <c r="P590" s="361">
        <v>9.403208E9</v>
      </c>
      <c r="Q590" s="498">
        <v>10.00615763546798</v>
      </c>
      <c r="R590" s="592" t="s">
        <v>10</v>
      </c>
      <c r="S590" s="1"/>
      <c r="T590" s="224">
        <v>33.35385878489327</v>
      </c>
      <c r="U590" s="224">
        <v>20.01231527093596</v>
      </c>
      <c r="V590" s="224">
        <v>16.676929392446635</v>
      </c>
      <c r="W590" s="224">
        <v>13.341543513957308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4.25" customHeight="1">
      <c r="A591" s="423" t="s">
        <v>84</v>
      </c>
      <c r="B591" s="423" t="s">
        <v>1886</v>
      </c>
      <c r="C591" s="585" t="s">
        <v>3686</v>
      </c>
      <c r="D591" s="582" t="s">
        <v>3687</v>
      </c>
      <c r="E591" s="134"/>
      <c r="F591" s="134"/>
      <c r="G591" s="479" t="s">
        <v>3771</v>
      </c>
      <c r="H591" s="583"/>
      <c r="I591" s="581" t="s">
        <v>3773</v>
      </c>
      <c r="J591" s="134"/>
      <c r="K591" s="585" t="s">
        <v>147</v>
      </c>
      <c r="L591" s="361"/>
      <c r="M591" s="582" t="s">
        <v>3081</v>
      </c>
      <c r="N591" s="361"/>
      <c r="O591" s="361"/>
      <c r="P591" s="361">
        <v>9.403208E9</v>
      </c>
      <c r="Q591" s="498">
        <v>2.736726874657909</v>
      </c>
      <c r="R591" s="592" t="s">
        <v>10</v>
      </c>
      <c r="S591" s="1"/>
      <c r="T591" s="224">
        <v>9.122422915526364</v>
      </c>
      <c r="U591" s="224">
        <v>5.473453749315818</v>
      </c>
      <c r="V591" s="224">
        <v>4.561211457763182</v>
      </c>
      <c r="W591" s="224">
        <v>3.648969166210546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4.25" customHeight="1">
      <c r="A592" s="423" t="s">
        <v>84</v>
      </c>
      <c r="B592" s="423" t="s">
        <v>1886</v>
      </c>
      <c r="C592" s="585" t="s">
        <v>3686</v>
      </c>
      <c r="D592" s="582" t="s">
        <v>3687</v>
      </c>
      <c r="E592" s="134"/>
      <c r="F592" s="134"/>
      <c r="G592" s="479" t="s">
        <v>3774</v>
      </c>
      <c r="H592" s="583"/>
      <c r="I592" s="581" t="s">
        <v>3776</v>
      </c>
      <c r="J592" s="134"/>
      <c r="K592" s="585" t="s">
        <v>147</v>
      </c>
      <c r="L592" s="361"/>
      <c r="M592" s="582" t="s">
        <v>3081</v>
      </c>
      <c r="N592" s="361"/>
      <c r="O592" s="361"/>
      <c r="P592" s="361">
        <v>9.403208E9</v>
      </c>
      <c r="Q592" s="498">
        <v>7.69704433497537</v>
      </c>
      <c r="R592" s="592" t="s">
        <v>10</v>
      </c>
      <c r="S592" s="1"/>
      <c r="T592" s="224">
        <v>25.656814449917903</v>
      </c>
      <c r="U592" s="224">
        <v>15.39408866995074</v>
      </c>
      <c r="V592" s="224">
        <v>12.828407224958951</v>
      </c>
      <c r="W592" s="224">
        <v>10.262725779967163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4.25" customHeight="1">
      <c r="A593" s="423" t="s">
        <v>84</v>
      </c>
      <c r="B593" s="423" t="s">
        <v>1886</v>
      </c>
      <c r="C593" s="582" t="s">
        <v>1887</v>
      </c>
      <c r="D593" s="582" t="s">
        <v>1887</v>
      </c>
      <c r="E593" s="134"/>
      <c r="F593" s="134"/>
      <c r="G593" s="479" t="s">
        <v>3777</v>
      </c>
      <c r="H593" s="583"/>
      <c r="I593" s="581" t="s">
        <v>3779</v>
      </c>
      <c r="J593" s="134"/>
      <c r="K593" s="585" t="s">
        <v>147</v>
      </c>
      <c r="L593" s="361"/>
      <c r="M593" s="582" t="s">
        <v>3081</v>
      </c>
      <c r="N593" s="134" t="s">
        <v>3740</v>
      </c>
      <c r="O593" s="361"/>
      <c r="P593" s="361">
        <v>9.403208E9</v>
      </c>
      <c r="Q593" s="498">
        <v>3.4209085933223866</v>
      </c>
      <c r="R593" s="592" t="s">
        <v>10</v>
      </c>
      <c r="S593" s="1"/>
      <c r="T593" s="224">
        <v>11.403028644407955</v>
      </c>
      <c r="U593" s="224">
        <v>6.841817186644773</v>
      </c>
      <c r="V593" s="224">
        <v>5.701514322203978</v>
      </c>
      <c r="W593" s="224">
        <v>4.561211457763182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4.25" customHeight="1">
      <c r="A594" s="423" t="s">
        <v>84</v>
      </c>
      <c r="B594" s="423" t="s">
        <v>1886</v>
      </c>
      <c r="C594" s="582" t="s">
        <v>1887</v>
      </c>
      <c r="D594" s="582" t="s">
        <v>1887</v>
      </c>
      <c r="E594" s="134"/>
      <c r="F594" s="134"/>
      <c r="G594" s="479" t="s">
        <v>3780</v>
      </c>
      <c r="H594" s="583"/>
      <c r="I594" s="581" t="s">
        <v>3782</v>
      </c>
      <c r="J594" s="134"/>
      <c r="K594" s="585" t="s">
        <v>147</v>
      </c>
      <c r="L594" s="361"/>
      <c r="M594" s="582" t="s">
        <v>3081</v>
      </c>
      <c r="N594" s="134" t="s">
        <v>3740</v>
      </c>
      <c r="O594" s="361"/>
      <c r="P594" s="361">
        <v>9.403208E9</v>
      </c>
      <c r="Q594" s="498">
        <v>4.2761357416529835</v>
      </c>
      <c r="R594" s="592" t="s">
        <v>10</v>
      </c>
      <c r="S594" s="1"/>
      <c r="T594" s="224">
        <v>14.253785805509946</v>
      </c>
      <c r="U594" s="224">
        <v>8.552271483305967</v>
      </c>
      <c r="V594" s="224">
        <v>7.126892902754973</v>
      </c>
      <c r="W594" s="224">
        <v>5.701514322203979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4.25" customHeight="1">
      <c r="A595" s="423" t="s">
        <v>84</v>
      </c>
      <c r="B595" s="423" t="s">
        <v>1886</v>
      </c>
      <c r="C595" s="582" t="s">
        <v>1887</v>
      </c>
      <c r="D595" s="582" t="s">
        <v>1887</v>
      </c>
      <c r="E595" s="134"/>
      <c r="F595" s="134"/>
      <c r="G595" s="479" t="s">
        <v>3783</v>
      </c>
      <c r="H595" s="583"/>
      <c r="I595" s="581" t="s">
        <v>3785</v>
      </c>
      <c r="J595" s="134"/>
      <c r="K595" s="585" t="s">
        <v>147</v>
      </c>
      <c r="L595" s="361"/>
      <c r="M595" s="582" t="s">
        <v>3081</v>
      </c>
      <c r="N595" s="134" t="s">
        <v>3740</v>
      </c>
      <c r="O595" s="361"/>
      <c r="P595" s="361">
        <v>9.403208E9</v>
      </c>
      <c r="Q595" s="498">
        <v>5.1313628899835795</v>
      </c>
      <c r="R595" s="592" t="s">
        <v>10</v>
      </c>
      <c r="S595" s="1"/>
      <c r="T595" s="224">
        <v>17.104542966611934</v>
      </c>
      <c r="U595" s="224">
        <v>10.26272577996716</v>
      </c>
      <c r="V595" s="224">
        <v>8.552271483305967</v>
      </c>
      <c r="W595" s="224">
        <v>6.841817186644774</v>
      </c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4.25" customHeight="1">
      <c r="A596" s="423" t="s">
        <v>84</v>
      </c>
      <c r="B596" s="423" t="s">
        <v>1886</v>
      </c>
      <c r="C596" s="582" t="s">
        <v>1887</v>
      </c>
      <c r="D596" s="582" t="s">
        <v>1887</v>
      </c>
      <c r="E596" s="134"/>
      <c r="F596" s="134"/>
      <c r="G596" s="479" t="s">
        <v>3786</v>
      </c>
      <c r="H596" s="583"/>
      <c r="I596" s="581" t="s">
        <v>3788</v>
      </c>
      <c r="J596" s="134"/>
      <c r="K596" s="585" t="s">
        <v>147</v>
      </c>
      <c r="L596" s="361"/>
      <c r="M596" s="582" t="s">
        <v>3081</v>
      </c>
      <c r="N596" s="134" t="s">
        <v>3740</v>
      </c>
      <c r="O596" s="361"/>
      <c r="P596" s="361">
        <v>9.403208E9</v>
      </c>
      <c r="Q596" s="498">
        <v>7.012862616310892</v>
      </c>
      <c r="R596" s="592" t="s">
        <v>10</v>
      </c>
      <c r="S596" s="1"/>
      <c r="T596" s="224">
        <v>23.37620872103631</v>
      </c>
      <c r="U596" s="224">
        <v>14.025725232621786</v>
      </c>
      <c r="V596" s="224">
        <v>11.688104360518155</v>
      </c>
      <c r="W596" s="224">
        <v>9.350483488414524</v>
      </c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4.25" customHeight="1">
      <c r="A597" s="423" t="s">
        <v>84</v>
      </c>
      <c r="B597" s="423" t="s">
        <v>1886</v>
      </c>
      <c r="C597" s="585" t="s">
        <v>3686</v>
      </c>
      <c r="D597" s="582" t="s">
        <v>3687</v>
      </c>
      <c r="E597" s="134"/>
      <c r="F597" s="134" t="s">
        <v>3076</v>
      </c>
      <c r="G597" s="479" t="s">
        <v>3789</v>
      </c>
      <c r="H597" s="583"/>
      <c r="I597" s="581" t="s">
        <v>3791</v>
      </c>
      <c r="J597" s="134"/>
      <c r="K597" s="585" t="s">
        <v>147</v>
      </c>
      <c r="L597" s="361"/>
      <c r="M597" s="582" t="s">
        <v>3081</v>
      </c>
      <c r="N597" s="361"/>
      <c r="O597" s="361"/>
      <c r="P597" s="361">
        <v>9.403208E9</v>
      </c>
      <c r="Q597" s="498">
        <v>54.734537493158186</v>
      </c>
      <c r="R597" s="592" t="s">
        <v>10</v>
      </c>
      <c r="S597" s="1"/>
      <c r="T597" s="224">
        <v>182.4484583105273</v>
      </c>
      <c r="U597" s="224">
        <v>109.46907498631637</v>
      </c>
      <c r="V597" s="224">
        <v>91.22422915526364</v>
      </c>
      <c r="W597" s="224">
        <v>72.97938332421091</v>
      </c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4.25" customHeight="1">
      <c r="A598" s="423" t="s">
        <v>84</v>
      </c>
      <c r="B598" s="423" t="s">
        <v>1886</v>
      </c>
      <c r="C598" s="585" t="s">
        <v>3686</v>
      </c>
      <c r="D598" s="582" t="s">
        <v>3687</v>
      </c>
      <c r="E598" s="134"/>
      <c r="F598" s="134" t="s">
        <v>3101</v>
      </c>
      <c r="G598" s="479" t="s">
        <v>3792</v>
      </c>
      <c r="H598" s="583"/>
      <c r="I598" s="581" t="s">
        <v>3794</v>
      </c>
      <c r="J598" s="134"/>
      <c r="K598" s="585" t="s">
        <v>147</v>
      </c>
      <c r="L598" s="361"/>
      <c r="M598" s="582" t="s">
        <v>3081</v>
      </c>
      <c r="N598" s="361"/>
      <c r="O598" s="361"/>
      <c r="P598" s="361">
        <v>9.403208E9</v>
      </c>
      <c r="Q598" s="498">
        <v>59.86590038314177</v>
      </c>
      <c r="R598" s="592" t="s">
        <v>10</v>
      </c>
      <c r="S598" s="1"/>
      <c r="T598" s="224">
        <v>199.55300127713923</v>
      </c>
      <c r="U598" s="224">
        <v>119.73180076628353</v>
      </c>
      <c r="V598" s="224">
        <v>99.77650063856962</v>
      </c>
      <c r="W598" s="224">
        <v>79.8212005108557</v>
      </c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4.25" customHeight="1">
      <c r="A599" s="423" t="s">
        <v>84</v>
      </c>
      <c r="B599" s="423" t="s">
        <v>1886</v>
      </c>
      <c r="C599" s="585" t="s">
        <v>3686</v>
      </c>
      <c r="D599" s="582" t="s">
        <v>3687</v>
      </c>
      <c r="E599" s="134"/>
      <c r="F599" s="134" t="s">
        <v>3124</v>
      </c>
      <c r="G599" s="479" t="s">
        <v>3795</v>
      </c>
      <c r="H599" s="583"/>
      <c r="I599" s="581" t="s">
        <v>3797</v>
      </c>
      <c r="J599" s="134"/>
      <c r="K599" s="585" t="s">
        <v>147</v>
      </c>
      <c r="L599" s="361"/>
      <c r="M599" s="582" t="s">
        <v>3081</v>
      </c>
      <c r="N599" s="361"/>
      <c r="O599" s="361"/>
      <c r="P599" s="361">
        <v>9.403208E9</v>
      </c>
      <c r="Q599" s="498">
        <v>59.86590038314177</v>
      </c>
      <c r="R599" s="592" t="s">
        <v>10</v>
      </c>
      <c r="S599" s="1"/>
      <c r="T599" s="224">
        <v>199.55300127713923</v>
      </c>
      <c r="U599" s="224">
        <v>119.73180076628353</v>
      </c>
      <c r="V599" s="224">
        <v>99.77650063856962</v>
      </c>
      <c r="W599" s="224">
        <v>79.8212005108557</v>
      </c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4.25" customHeight="1">
      <c r="A600" s="423" t="s">
        <v>84</v>
      </c>
      <c r="B600" s="423" t="s">
        <v>1886</v>
      </c>
      <c r="C600" s="585" t="s">
        <v>3686</v>
      </c>
      <c r="D600" s="582" t="s">
        <v>3687</v>
      </c>
      <c r="E600" s="134"/>
      <c r="F600" s="134" t="s">
        <v>3134</v>
      </c>
      <c r="G600" s="479" t="s">
        <v>3798</v>
      </c>
      <c r="H600" s="583"/>
      <c r="I600" s="581" t="s">
        <v>3800</v>
      </c>
      <c r="J600" s="134"/>
      <c r="K600" s="585" t="s">
        <v>147</v>
      </c>
      <c r="L600" s="361"/>
      <c r="M600" s="582" t="s">
        <v>3081</v>
      </c>
      <c r="N600" s="361"/>
      <c r="O600" s="361"/>
      <c r="P600" s="361">
        <v>9.403208E9</v>
      </c>
      <c r="Q600" s="498">
        <v>68.41817186644774</v>
      </c>
      <c r="R600" s="592" t="s">
        <v>10</v>
      </c>
      <c r="S600" s="1"/>
      <c r="T600" s="224">
        <v>228.06057288815913</v>
      </c>
      <c r="U600" s="224">
        <v>136.83634373289547</v>
      </c>
      <c r="V600" s="224">
        <v>114.03028644407956</v>
      </c>
      <c r="W600" s="224">
        <v>91.22422915526366</v>
      </c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4.25" customHeight="1">
      <c r="A601" s="423" t="s">
        <v>84</v>
      </c>
      <c r="B601" s="423" t="s">
        <v>1886</v>
      </c>
      <c r="C601" s="585" t="s">
        <v>3686</v>
      </c>
      <c r="D601" s="582" t="s">
        <v>3687</v>
      </c>
      <c r="E601" s="134"/>
      <c r="F601" s="134" t="s">
        <v>3120</v>
      </c>
      <c r="G601" s="479" t="s">
        <v>3801</v>
      </c>
      <c r="H601" s="583"/>
      <c r="I601" s="581" t="s">
        <v>3803</v>
      </c>
      <c r="J601" s="134"/>
      <c r="K601" s="585" t="s">
        <v>147</v>
      </c>
      <c r="L601" s="361"/>
      <c r="M601" s="582" t="s">
        <v>3081</v>
      </c>
      <c r="N601" s="361"/>
      <c r="O601" s="361"/>
      <c r="P601" s="361">
        <v>9.403208E9</v>
      </c>
      <c r="Q601" s="498">
        <v>59.86590038314177</v>
      </c>
      <c r="R601" s="592" t="s">
        <v>10</v>
      </c>
      <c r="S601" s="1"/>
      <c r="T601" s="224">
        <v>199.55300127713923</v>
      </c>
      <c r="U601" s="224">
        <v>119.73180076628353</v>
      </c>
      <c r="V601" s="224">
        <v>99.77650063856962</v>
      </c>
      <c r="W601" s="224">
        <v>79.8212005108557</v>
      </c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4.25" customHeight="1">
      <c r="A602" s="423" t="s">
        <v>84</v>
      </c>
      <c r="B602" s="423" t="s">
        <v>1886</v>
      </c>
      <c r="C602" s="585" t="s">
        <v>3686</v>
      </c>
      <c r="D602" s="582" t="s">
        <v>3687</v>
      </c>
      <c r="E602" s="134"/>
      <c r="F602" s="134" t="s">
        <v>3159</v>
      </c>
      <c r="G602" s="479" t="s">
        <v>3804</v>
      </c>
      <c r="H602" s="583"/>
      <c r="I602" s="581" t="s">
        <v>3806</v>
      </c>
      <c r="J602" s="134"/>
      <c r="K602" s="585" t="s">
        <v>147</v>
      </c>
      <c r="L602" s="361"/>
      <c r="M602" s="582" t="s">
        <v>3081</v>
      </c>
      <c r="N602" s="361"/>
      <c r="O602" s="361"/>
      <c r="P602" s="361">
        <v>9.403208E9</v>
      </c>
      <c r="Q602" s="498">
        <v>76.97044334975371</v>
      </c>
      <c r="R602" s="592" t="s">
        <v>10</v>
      </c>
      <c r="S602" s="1"/>
      <c r="T602" s="224">
        <v>256.568144499179</v>
      </c>
      <c r="U602" s="224">
        <v>153.94088669950742</v>
      </c>
      <c r="V602" s="224">
        <v>128.2840722495895</v>
      </c>
      <c r="W602" s="224">
        <v>102.62725779967161</v>
      </c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4.25" customHeight="1">
      <c r="A603" s="423" t="s">
        <v>84</v>
      </c>
      <c r="B603" s="423" t="s">
        <v>1886</v>
      </c>
      <c r="C603" s="585" t="s">
        <v>3686</v>
      </c>
      <c r="D603" s="582" t="s">
        <v>3687</v>
      </c>
      <c r="E603" s="134"/>
      <c r="F603" s="134" t="s">
        <v>3240</v>
      </c>
      <c r="G603" s="479" t="s">
        <v>3807</v>
      </c>
      <c r="H603" s="583"/>
      <c r="I603" s="581" t="s">
        <v>3809</v>
      </c>
      <c r="J603" s="134"/>
      <c r="K603" s="585" t="s">
        <v>147</v>
      </c>
      <c r="L603" s="361"/>
      <c r="M603" s="582" t="s">
        <v>3081</v>
      </c>
      <c r="N603" s="361"/>
      <c r="O603" s="361"/>
      <c r="P603" s="361">
        <v>9.403208E9</v>
      </c>
      <c r="Q603" s="498">
        <v>85.52271483305967</v>
      </c>
      <c r="R603" s="592" t="s">
        <v>10</v>
      </c>
      <c r="S603" s="1"/>
      <c r="T603" s="224">
        <v>285.0757161101989</v>
      </c>
      <c r="U603" s="224">
        <v>171.04542966611936</v>
      </c>
      <c r="V603" s="224">
        <v>142.53785805509946</v>
      </c>
      <c r="W603" s="224">
        <v>114.03028644407958</v>
      </c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4.25" customHeight="1">
      <c r="A604" s="423" t="s">
        <v>84</v>
      </c>
      <c r="B604" s="423" t="s">
        <v>1886</v>
      </c>
      <c r="C604" s="585" t="s">
        <v>3686</v>
      </c>
      <c r="D604" s="582" t="s">
        <v>3687</v>
      </c>
      <c r="E604" s="134"/>
      <c r="F604" s="134"/>
      <c r="G604" s="479" t="s">
        <v>3810</v>
      </c>
      <c r="H604" s="583"/>
      <c r="I604" s="581" t="s">
        <v>3813</v>
      </c>
      <c r="J604" s="134"/>
      <c r="K604" s="585" t="s">
        <v>147</v>
      </c>
      <c r="L604" s="361"/>
      <c r="M604" s="582" t="s">
        <v>3081</v>
      </c>
      <c r="N604" s="361"/>
      <c r="O604" s="361"/>
      <c r="P604" s="361">
        <v>9.403208E9</v>
      </c>
      <c r="Q604" s="498">
        <v>31.899972632731256</v>
      </c>
      <c r="R604" s="592" t="s">
        <v>10</v>
      </c>
      <c r="S604" s="1"/>
      <c r="T604" s="224">
        <v>106.33324210910419</v>
      </c>
      <c r="U604" s="224">
        <v>63.79994526546251</v>
      </c>
      <c r="V604" s="224">
        <v>53.166621054552095</v>
      </c>
      <c r="W604" s="224">
        <v>42.53329684364168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4.25" customHeight="1">
      <c r="A605" s="423" t="s">
        <v>84</v>
      </c>
      <c r="B605" s="423" t="s">
        <v>1886</v>
      </c>
      <c r="C605" s="585" t="s">
        <v>3686</v>
      </c>
      <c r="D605" s="582" t="s">
        <v>3687</v>
      </c>
      <c r="E605" s="134"/>
      <c r="F605" s="134"/>
      <c r="G605" s="479" t="s">
        <v>3815</v>
      </c>
      <c r="H605" s="583"/>
      <c r="I605" s="581" t="s">
        <v>3817</v>
      </c>
      <c r="J605" s="134"/>
      <c r="K605" s="585" t="s">
        <v>147</v>
      </c>
      <c r="L605" s="361"/>
      <c r="M605" s="582" t="s">
        <v>3081</v>
      </c>
      <c r="N605" s="361"/>
      <c r="O605" s="361"/>
      <c r="P605" s="361">
        <v>9.403208E9</v>
      </c>
      <c r="Q605" s="498">
        <v>4.703749315818282</v>
      </c>
      <c r="R605" s="592" t="s">
        <v>10</v>
      </c>
      <c r="S605" s="1"/>
      <c r="T605" s="224">
        <v>15.67916438606094</v>
      </c>
      <c r="U605" s="224">
        <v>9.407498631636564</v>
      </c>
      <c r="V605" s="224">
        <v>7.83958219303047</v>
      </c>
      <c r="W605" s="224">
        <v>6.271665754424376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4.25" customHeight="1">
      <c r="A606" s="1"/>
      <c r="B606" s="1"/>
      <c r="C606" s="1"/>
      <c r="D606" s="13"/>
      <c r="E606" s="8"/>
      <c r="F606" s="8"/>
      <c r="G606" s="5"/>
      <c r="H606" s="5"/>
      <c r="I606" s="13"/>
      <c r="J606" s="8"/>
      <c r="K606" s="432"/>
      <c r="L606" s="225"/>
      <c r="M606" s="135"/>
      <c r="N606" s="225"/>
      <c r="O606" s="225"/>
      <c r="P606" s="225"/>
      <c r="Q606" s="509"/>
      <c r="R606" s="507"/>
      <c r="S606" s="1"/>
      <c r="T606" s="8"/>
      <c r="U606" s="8"/>
      <c r="V606" s="8"/>
      <c r="W606" s="8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4.25" customHeight="1">
      <c r="A607" s="1"/>
      <c r="B607" s="1"/>
      <c r="C607" s="1"/>
      <c r="D607" s="13"/>
      <c r="E607" s="8"/>
      <c r="F607" s="8"/>
      <c r="G607" s="5"/>
      <c r="H607" s="5"/>
      <c r="I607" s="13"/>
      <c r="J607" s="8"/>
      <c r="K607" s="432"/>
      <c r="L607" s="225"/>
      <c r="M607" s="135"/>
      <c r="N607" s="225"/>
      <c r="O607" s="225"/>
      <c r="P607" s="225"/>
      <c r="Q607" s="509"/>
      <c r="R607" s="507"/>
      <c r="S607" s="1"/>
      <c r="T607" s="8"/>
      <c r="U607" s="8"/>
      <c r="V607" s="8"/>
      <c r="W607" s="8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4.25" customHeight="1">
      <c r="A608" s="1"/>
      <c r="B608" s="1"/>
      <c r="C608" s="1"/>
      <c r="D608" s="13"/>
      <c r="E608" s="8"/>
      <c r="F608" s="8"/>
      <c r="G608" s="5"/>
      <c r="H608" s="5"/>
      <c r="I608" s="13"/>
      <c r="J608" s="8"/>
      <c r="K608" s="432"/>
      <c r="L608" s="225"/>
      <c r="M608" s="135"/>
      <c r="N608" s="225"/>
      <c r="O608" s="225"/>
      <c r="P608" s="225"/>
      <c r="Q608" s="509"/>
      <c r="R608" s="507"/>
      <c r="S608" s="1"/>
      <c r="T608" s="8"/>
      <c r="U608" s="8"/>
      <c r="V608" s="8"/>
      <c r="W608" s="8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4.25" customHeight="1">
      <c r="A609" s="1"/>
      <c r="B609" s="1"/>
      <c r="C609" s="1"/>
      <c r="D609" s="13"/>
      <c r="E609" s="8"/>
      <c r="F609" s="8"/>
      <c r="G609" s="5"/>
      <c r="H609" s="5"/>
      <c r="I609" s="13"/>
      <c r="J609" s="8"/>
      <c r="K609" s="432"/>
      <c r="L609" s="225"/>
      <c r="M609" s="135"/>
      <c r="N609" s="225"/>
      <c r="O609" s="225"/>
      <c r="P609" s="225"/>
      <c r="Q609" s="509"/>
      <c r="R609" s="507"/>
      <c r="S609" s="1"/>
      <c r="T609" s="8"/>
      <c r="U609" s="8"/>
      <c r="V609" s="8"/>
      <c r="W609" s="8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4.25" customHeight="1">
      <c r="A610" s="1"/>
      <c r="B610" s="1"/>
      <c r="C610" s="1"/>
      <c r="D610" s="13"/>
      <c r="E610" s="8"/>
      <c r="F610" s="8"/>
      <c r="G610" s="5"/>
      <c r="H610" s="5"/>
      <c r="I610" s="13"/>
      <c r="J610" s="8"/>
      <c r="K610" s="432"/>
      <c r="L610" s="225"/>
      <c r="M610" s="135"/>
      <c r="N610" s="225"/>
      <c r="O610" s="225"/>
      <c r="P610" s="225"/>
      <c r="Q610" s="509"/>
      <c r="R610" s="507"/>
      <c r="S610" s="1"/>
      <c r="T610" s="8"/>
      <c r="U610" s="8"/>
      <c r="V610" s="8"/>
      <c r="W610" s="8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4.25" customHeight="1">
      <c r="A611" s="1"/>
      <c r="B611" s="1"/>
      <c r="C611" s="1"/>
      <c r="D611" s="13"/>
      <c r="E611" s="8"/>
      <c r="F611" s="8"/>
      <c r="G611" s="5"/>
      <c r="H611" s="5"/>
      <c r="I611" s="13"/>
      <c r="J611" s="8"/>
      <c r="K611" s="432"/>
      <c r="L611" s="225"/>
      <c r="M611" s="135"/>
      <c r="N611" s="225"/>
      <c r="O611" s="225"/>
      <c r="P611" s="225"/>
      <c r="Q611" s="509"/>
      <c r="R611" s="507"/>
      <c r="S611" s="1"/>
      <c r="T611" s="8"/>
      <c r="U611" s="8"/>
      <c r="V611" s="8"/>
      <c r="W611" s="8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4.25" customHeight="1">
      <c r="A612" s="1"/>
      <c r="B612" s="1"/>
      <c r="C612" s="1"/>
      <c r="D612" s="13"/>
      <c r="E612" s="8"/>
      <c r="F612" s="8"/>
      <c r="G612" s="5"/>
      <c r="H612" s="5"/>
      <c r="I612" s="13"/>
      <c r="J612" s="8"/>
      <c r="K612" s="432"/>
      <c r="L612" s="225"/>
      <c r="M612" s="135"/>
      <c r="N612" s="225"/>
      <c r="O612" s="225"/>
      <c r="P612" s="225"/>
      <c r="Q612" s="509"/>
      <c r="R612" s="507"/>
      <c r="S612" s="1"/>
      <c r="T612" s="8"/>
      <c r="U612" s="8"/>
      <c r="V612" s="8"/>
      <c r="W612" s="8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4.25" customHeight="1">
      <c r="A613" s="1"/>
      <c r="B613" s="1"/>
      <c r="C613" s="1"/>
      <c r="D613" s="13"/>
      <c r="E613" s="8"/>
      <c r="F613" s="8"/>
      <c r="G613" s="5"/>
      <c r="H613" s="5"/>
      <c r="I613" s="13"/>
      <c r="J613" s="8"/>
      <c r="K613" s="432"/>
      <c r="L613" s="225"/>
      <c r="M613" s="135"/>
      <c r="N613" s="225"/>
      <c r="O613" s="225"/>
      <c r="P613" s="225"/>
      <c r="Q613" s="509"/>
      <c r="R613" s="507"/>
      <c r="S613" s="1"/>
      <c r="T613" s="8"/>
      <c r="U613" s="8"/>
      <c r="V613" s="8"/>
      <c r="W613" s="8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4.25" customHeight="1">
      <c r="A614" s="1"/>
      <c r="B614" s="1"/>
      <c r="C614" s="1"/>
      <c r="D614" s="13"/>
      <c r="E614" s="8"/>
      <c r="F614" s="8"/>
      <c r="G614" s="5"/>
      <c r="H614" s="5"/>
      <c r="I614" s="13"/>
      <c r="J614" s="8"/>
      <c r="K614" s="432"/>
      <c r="L614" s="225"/>
      <c r="M614" s="135"/>
      <c r="N614" s="225"/>
      <c r="O614" s="225"/>
      <c r="P614" s="225"/>
      <c r="Q614" s="509"/>
      <c r="R614" s="507"/>
      <c r="S614" s="1"/>
      <c r="T614" s="8"/>
      <c r="U614" s="8"/>
      <c r="V614" s="8"/>
      <c r="W614" s="8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4.25" customHeight="1">
      <c r="A615" s="1"/>
      <c r="B615" s="1"/>
      <c r="C615" s="1"/>
      <c r="D615" s="13"/>
      <c r="E615" s="8"/>
      <c r="F615" s="8"/>
      <c r="G615" s="5"/>
      <c r="H615" s="5"/>
      <c r="I615" s="13"/>
      <c r="J615" s="8"/>
      <c r="K615" s="432"/>
      <c r="L615" s="225"/>
      <c r="M615" s="135"/>
      <c r="N615" s="225"/>
      <c r="O615" s="225"/>
      <c r="P615" s="225"/>
      <c r="Q615" s="509"/>
      <c r="R615" s="507"/>
      <c r="S615" s="1"/>
      <c r="T615" s="8"/>
      <c r="U615" s="8"/>
      <c r="V615" s="8"/>
      <c r="W615" s="8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4.25" customHeight="1">
      <c r="A616" s="1"/>
      <c r="B616" s="1"/>
      <c r="C616" s="1"/>
      <c r="D616" s="13"/>
      <c r="E616" s="8"/>
      <c r="F616" s="8"/>
      <c r="G616" s="5"/>
      <c r="H616" s="5"/>
      <c r="I616" s="13"/>
      <c r="J616" s="8"/>
      <c r="K616" s="432"/>
      <c r="L616" s="225"/>
      <c r="M616" s="135"/>
      <c r="N616" s="225"/>
      <c r="O616" s="225"/>
      <c r="P616" s="225"/>
      <c r="Q616" s="509"/>
      <c r="R616" s="507"/>
      <c r="S616" s="1"/>
      <c r="T616" s="8"/>
      <c r="U616" s="8"/>
      <c r="V616" s="8"/>
      <c r="W616" s="8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4.25" customHeight="1">
      <c r="A617" s="1"/>
      <c r="B617" s="1"/>
      <c r="C617" s="1"/>
      <c r="D617" s="13"/>
      <c r="E617" s="8"/>
      <c r="F617" s="8"/>
      <c r="G617" s="5"/>
      <c r="H617" s="5"/>
      <c r="I617" s="13"/>
      <c r="J617" s="8"/>
      <c r="K617" s="432"/>
      <c r="L617" s="225"/>
      <c r="M617" s="135"/>
      <c r="N617" s="225"/>
      <c r="O617" s="225"/>
      <c r="P617" s="225"/>
      <c r="Q617" s="509"/>
      <c r="R617" s="507"/>
      <c r="S617" s="1"/>
      <c r="T617" s="8"/>
      <c r="U617" s="8"/>
      <c r="V617" s="8"/>
      <c r="W617" s="8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4.25" customHeight="1">
      <c r="A618" s="1"/>
      <c r="B618" s="1"/>
      <c r="C618" s="1"/>
      <c r="D618" s="13"/>
      <c r="E618" s="8"/>
      <c r="F618" s="8"/>
      <c r="G618" s="5"/>
      <c r="H618" s="5"/>
      <c r="I618" s="13"/>
      <c r="J618" s="8"/>
      <c r="K618" s="432"/>
      <c r="L618" s="225"/>
      <c r="M618" s="135"/>
      <c r="N618" s="225"/>
      <c r="O618" s="225"/>
      <c r="P618" s="225"/>
      <c r="Q618" s="509"/>
      <c r="R618" s="507"/>
      <c r="S618" s="1"/>
      <c r="T618" s="8"/>
      <c r="U618" s="8"/>
      <c r="V618" s="8"/>
      <c r="W618" s="8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4.25" customHeight="1">
      <c r="A619" s="1"/>
      <c r="B619" s="1"/>
      <c r="C619" s="1"/>
      <c r="D619" s="13"/>
      <c r="E619" s="8"/>
      <c r="F619" s="8"/>
      <c r="G619" s="5"/>
      <c r="H619" s="5"/>
      <c r="I619" s="13"/>
      <c r="J619" s="8"/>
      <c r="K619" s="432"/>
      <c r="L619" s="225"/>
      <c r="M619" s="135"/>
      <c r="N619" s="225"/>
      <c r="O619" s="225"/>
      <c r="P619" s="225"/>
      <c r="Q619" s="509"/>
      <c r="R619" s="507"/>
      <c r="S619" s="1"/>
      <c r="T619" s="8"/>
      <c r="U619" s="8"/>
      <c r="V619" s="8"/>
      <c r="W619" s="8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4.25" customHeight="1">
      <c r="A620" s="1"/>
      <c r="B620" s="1"/>
      <c r="C620" s="1"/>
      <c r="D620" s="13"/>
      <c r="E620" s="8"/>
      <c r="F620" s="8"/>
      <c r="G620" s="5"/>
      <c r="H620" s="5"/>
      <c r="I620" s="13"/>
      <c r="J620" s="8"/>
      <c r="K620" s="432"/>
      <c r="L620" s="225"/>
      <c r="M620" s="135"/>
      <c r="N620" s="225"/>
      <c r="O620" s="225"/>
      <c r="P620" s="225"/>
      <c r="Q620" s="509"/>
      <c r="R620" s="507"/>
      <c r="S620" s="1"/>
      <c r="T620" s="8"/>
      <c r="U620" s="8"/>
      <c r="V620" s="8"/>
      <c r="W620" s="8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4.25" customHeight="1">
      <c r="A621" s="1"/>
      <c r="B621" s="1"/>
      <c r="C621" s="1"/>
      <c r="D621" s="13"/>
      <c r="E621" s="8"/>
      <c r="F621" s="8"/>
      <c r="G621" s="5"/>
      <c r="H621" s="5"/>
      <c r="I621" s="13"/>
      <c r="J621" s="8"/>
      <c r="K621" s="432"/>
      <c r="L621" s="225"/>
      <c r="M621" s="135"/>
      <c r="N621" s="225"/>
      <c r="O621" s="225"/>
      <c r="P621" s="225"/>
      <c r="Q621" s="509"/>
      <c r="R621" s="507"/>
      <c r="S621" s="1"/>
      <c r="T621" s="8"/>
      <c r="U621" s="8"/>
      <c r="V621" s="8"/>
      <c r="W621" s="8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4.25" customHeight="1">
      <c r="A622" s="1"/>
      <c r="B622" s="1"/>
      <c r="C622" s="1"/>
      <c r="D622" s="13"/>
      <c r="E622" s="8"/>
      <c r="F622" s="8"/>
      <c r="G622" s="5"/>
      <c r="H622" s="5"/>
      <c r="I622" s="13"/>
      <c r="J622" s="8"/>
      <c r="K622" s="432"/>
      <c r="L622" s="225"/>
      <c r="M622" s="135"/>
      <c r="N622" s="225"/>
      <c r="O622" s="225"/>
      <c r="P622" s="225"/>
      <c r="Q622" s="509"/>
      <c r="R622" s="507"/>
      <c r="S622" s="1"/>
      <c r="T622" s="8"/>
      <c r="U622" s="8"/>
      <c r="V622" s="8"/>
      <c r="W622" s="8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4.25" customHeight="1">
      <c r="A623" s="1"/>
      <c r="B623" s="1"/>
      <c r="C623" s="1"/>
      <c r="D623" s="13"/>
      <c r="E623" s="8"/>
      <c r="F623" s="8"/>
      <c r="G623" s="5"/>
      <c r="H623" s="5"/>
      <c r="I623" s="13"/>
      <c r="J623" s="8"/>
      <c r="K623" s="432"/>
      <c r="L623" s="225"/>
      <c r="M623" s="135"/>
      <c r="N623" s="225"/>
      <c r="O623" s="225"/>
      <c r="P623" s="225"/>
      <c r="Q623" s="509"/>
      <c r="R623" s="507"/>
      <c r="S623" s="1"/>
      <c r="T623" s="8"/>
      <c r="U623" s="8"/>
      <c r="V623" s="8"/>
      <c r="W623" s="8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4.25" customHeight="1">
      <c r="A624" s="1"/>
      <c r="B624" s="1"/>
      <c r="C624" s="1"/>
      <c r="D624" s="13"/>
      <c r="E624" s="8"/>
      <c r="F624" s="8"/>
      <c r="G624" s="5"/>
      <c r="H624" s="5"/>
      <c r="I624" s="13"/>
      <c r="J624" s="8"/>
      <c r="K624" s="432"/>
      <c r="L624" s="225"/>
      <c r="M624" s="135"/>
      <c r="N624" s="225"/>
      <c r="O624" s="225"/>
      <c r="P624" s="225"/>
      <c r="Q624" s="509"/>
      <c r="R624" s="507"/>
      <c r="S624" s="1"/>
      <c r="T624" s="8"/>
      <c r="U624" s="8"/>
      <c r="V624" s="8"/>
      <c r="W624" s="8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4.25" customHeight="1">
      <c r="A625" s="1"/>
      <c r="B625" s="1"/>
      <c r="C625" s="1"/>
      <c r="D625" s="13"/>
      <c r="E625" s="8"/>
      <c r="F625" s="8"/>
      <c r="G625" s="5"/>
      <c r="H625" s="5"/>
      <c r="I625" s="13"/>
      <c r="J625" s="8"/>
      <c r="K625" s="432"/>
      <c r="L625" s="225"/>
      <c r="M625" s="135"/>
      <c r="N625" s="225"/>
      <c r="O625" s="225"/>
      <c r="P625" s="225"/>
      <c r="Q625" s="509"/>
      <c r="R625" s="507"/>
      <c r="S625" s="1"/>
      <c r="T625" s="8"/>
      <c r="U625" s="8"/>
      <c r="V625" s="8"/>
      <c r="W625" s="8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4.25" customHeight="1">
      <c r="A626" s="1"/>
      <c r="B626" s="1"/>
      <c r="C626" s="1"/>
      <c r="D626" s="13"/>
      <c r="E626" s="8"/>
      <c r="F626" s="8"/>
      <c r="G626" s="5"/>
      <c r="H626" s="5"/>
      <c r="I626" s="13"/>
      <c r="J626" s="8"/>
      <c r="K626" s="432"/>
      <c r="L626" s="225"/>
      <c r="M626" s="135"/>
      <c r="N626" s="225"/>
      <c r="O626" s="225"/>
      <c r="P626" s="225"/>
      <c r="Q626" s="509"/>
      <c r="R626" s="507"/>
      <c r="S626" s="1"/>
      <c r="T626" s="8"/>
      <c r="U626" s="8"/>
      <c r="V626" s="8"/>
      <c r="W626" s="8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4.25" customHeight="1">
      <c r="A627" s="1"/>
      <c r="B627" s="1"/>
      <c r="C627" s="1"/>
      <c r="D627" s="13"/>
      <c r="E627" s="8"/>
      <c r="F627" s="8"/>
      <c r="G627" s="5"/>
      <c r="H627" s="5"/>
      <c r="I627" s="13"/>
      <c r="J627" s="8"/>
      <c r="K627" s="432"/>
      <c r="L627" s="225"/>
      <c r="M627" s="135"/>
      <c r="N627" s="225"/>
      <c r="O627" s="225"/>
      <c r="P627" s="225"/>
      <c r="Q627" s="509"/>
      <c r="R627" s="507"/>
      <c r="S627" s="1"/>
      <c r="T627" s="8"/>
      <c r="U627" s="8"/>
      <c r="V627" s="8"/>
      <c r="W627" s="8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4.25" customHeight="1">
      <c r="A628" s="1"/>
      <c r="B628" s="1"/>
      <c r="C628" s="1"/>
      <c r="D628" s="13"/>
      <c r="E628" s="8"/>
      <c r="F628" s="8"/>
      <c r="G628" s="5"/>
      <c r="H628" s="5"/>
      <c r="I628" s="13"/>
      <c r="J628" s="8"/>
      <c r="K628" s="432"/>
      <c r="L628" s="225"/>
      <c r="M628" s="135"/>
      <c r="N628" s="225"/>
      <c r="O628" s="225"/>
      <c r="P628" s="225"/>
      <c r="Q628" s="509"/>
      <c r="R628" s="507"/>
      <c r="S628" s="1"/>
      <c r="T628" s="8"/>
      <c r="U628" s="8"/>
      <c r="V628" s="8"/>
      <c r="W628" s="8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4.25" customHeight="1">
      <c r="A629" s="1"/>
      <c r="B629" s="1"/>
      <c r="C629" s="1"/>
      <c r="D629" s="13"/>
      <c r="E629" s="8"/>
      <c r="F629" s="8"/>
      <c r="G629" s="5"/>
      <c r="H629" s="5"/>
      <c r="I629" s="13"/>
      <c r="J629" s="8"/>
      <c r="K629" s="432"/>
      <c r="L629" s="225"/>
      <c r="M629" s="135"/>
      <c r="N629" s="225"/>
      <c r="O629" s="225"/>
      <c r="P629" s="225"/>
      <c r="Q629" s="509"/>
      <c r="R629" s="507"/>
      <c r="S629" s="1"/>
      <c r="T629" s="8"/>
      <c r="U629" s="8"/>
      <c r="V629" s="8"/>
      <c r="W629" s="8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4.25" customHeight="1">
      <c r="A630" s="1"/>
      <c r="B630" s="1"/>
      <c r="C630" s="1"/>
      <c r="D630" s="13"/>
      <c r="E630" s="8"/>
      <c r="F630" s="8"/>
      <c r="G630" s="5"/>
      <c r="H630" s="5"/>
      <c r="I630" s="13"/>
      <c r="J630" s="8"/>
      <c r="K630" s="432"/>
      <c r="L630" s="225"/>
      <c r="M630" s="135"/>
      <c r="N630" s="225"/>
      <c r="O630" s="225"/>
      <c r="P630" s="225"/>
      <c r="Q630" s="509"/>
      <c r="R630" s="507"/>
      <c r="S630" s="1"/>
      <c r="T630" s="8"/>
      <c r="U630" s="8"/>
      <c r="V630" s="8"/>
      <c r="W630" s="8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4.25" customHeight="1">
      <c r="A631" s="1"/>
      <c r="B631" s="1"/>
      <c r="C631" s="1"/>
      <c r="D631" s="13"/>
      <c r="E631" s="8"/>
      <c r="F631" s="8"/>
      <c r="G631" s="5"/>
      <c r="H631" s="5"/>
      <c r="I631" s="13"/>
      <c r="J631" s="8"/>
      <c r="K631" s="432"/>
      <c r="L631" s="225"/>
      <c r="M631" s="135"/>
      <c r="N631" s="225"/>
      <c r="O631" s="225"/>
      <c r="P631" s="225"/>
      <c r="Q631" s="509"/>
      <c r="R631" s="507"/>
      <c r="S631" s="1"/>
      <c r="T631" s="8"/>
      <c r="U631" s="8"/>
      <c r="V631" s="8"/>
      <c r="W631" s="8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4.25" customHeight="1">
      <c r="A632" s="1"/>
      <c r="B632" s="1"/>
      <c r="C632" s="1"/>
      <c r="D632" s="13"/>
      <c r="E632" s="8"/>
      <c r="F632" s="8"/>
      <c r="G632" s="5"/>
      <c r="H632" s="5"/>
      <c r="I632" s="13"/>
      <c r="J632" s="8"/>
      <c r="K632" s="432"/>
      <c r="L632" s="225"/>
      <c r="M632" s="135"/>
      <c r="N632" s="225"/>
      <c r="O632" s="225"/>
      <c r="P632" s="225"/>
      <c r="Q632" s="509"/>
      <c r="R632" s="507"/>
      <c r="S632" s="1"/>
      <c r="T632" s="8"/>
      <c r="U632" s="8"/>
      <c r="V632" s="8"/>
      <c r="W632" s="8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4.25" customHeight="1">
      <c r="A633" s="1"/>
      <c r="B633" s="1"/>
      <c r="C633" s="1"/>
      <c r="D633" s="13"/>
      <c r="E633" s="8"/>
      <c r="F633" s="8"/>
      <c r="G633" s="5"/>
      <c r="H633" s="5"/>
      <c r="I633" s="13"/>
      <c r="J633" s="8"/>
      <c r="K633" s="432"/>
      <c r="L633" s="225"/>
      <c r="M633" s="135"/>
      <c r="N633" s="225"/>
      <c r="O633" s="225"/>
      <c r="P633" s="225"/>
      <c r="Q633" s="509"/>
      <c r="R633" s="507"/>
      <c r="S633" s="1"/>
      <c r="T633" s="8"/>
      <c r="U633" s="8"/>
      <c r="V633" s="8"/>
      <c r="W633" s="8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4.25" customHeight="1">
      <c r="A634" s="1"/>
      <c r="B634" s="1"/>
      <c r="C634" s="1"/>
      <c r="D634" s="13"/>
      <c r="E634" s="8"/>
      <c r="F634" s="8"/>
      <c r="G634" s="5"/>
      <c r="H634" s="5"/>
      <c r="I634" s="13"/>
      <c r="J634" s="8"/>
      <c r="K634" s="432"/>
      <c r="L634" s="225"/>
      <c r="M634" s="135"/>
      <c r="N634" s="225"/>
      <c r="O634" s="225"/>
      <c r="P634" s="225"/>
      <c r="Q634" s="509"/>
      <c r="R634" s="507"/>
      <c r="S634" s="1"/>
      <c r="T634" s="8"/>
      <c r="U634" s="8"/>
      <c r="V634" s="8"/>
      <c r="W634" s="8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4.25" customHeight="1">
      <c r="A635" s="1"/>
      <c r="B635" s="1"/>
      <c r="C635" s="1"/>
      <c r="D635" s="13"/>
      <c r="E635" s="8"/>
      <c r="F635" s="8"/>
      <c r="G635" s="5"/>
      <c r="H635" s="5"/>
      <c r="I635" s="13"/>
      <c r="J635" s="8"/>
      <c r="K635" s="432"/>
      <c r="L635" s="225"/>
      <c r="M635" s="135"/>
      <c r="N635" s="225"/>
      <c r="O635" s="225"/>
      <c r="P635" s="225"/>
      <c r="Q635" s="509"/>
      <c r="R635" s="507"/>
      <c r="S635" s="1"/>
      <c r="T635" s="8"/>
      <c r="U635" s="8"/>
      <c r="V635" s="8"/>
      <c r="W635" s="8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4.25" customHeight="1">
      <c r="A636" s="1"/>
      <c r="B636" s="1"/>
      <c r="C636" s="1"/>
      <c r="D636" s="13"/>
      <c r="E636" s="8"/>
      <c r="F636" s="8"/>
      <c r="G636" s="5"/>
      <c r="H636" s="5"/>
      <c r="I636" s="13"/>
      <c r="J636" s="8"/>
      <c r="K636" s="432"/>
      <c r="L636" s="225"/>
      <c r="M636" s="135"/>
      <c r="N636" s="225"/>
      <c r="O636" s="225"/>
      <c r="P636" s="225"/>
      <c r="Q636" s="509"/>
      <c r="R636" s="507"/>
      <c r="S636" s="1"/>
      <c r="T636" s="8"/>
      <c r="U636" s="8"/>
      <c r="V636" s="8"/>
      <c r="W636" s="8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4.25" customHeight="1">
      <c r="A637" s="1"/>
      <c r="B637" s="1"/>
      <c r="C637" s="1"/>
      <c r="D637" s="13"/>
      <c r="E637" s="8"/>
      <c r="F637" s="8"/>
      <c r="G637" s="5"/>
      <c r="H637" s="5"/>
      <c r="I637" s="13"/>
      <c r="J637" s="8"/>
      <c r="K637" s="432"/>
      <c r="L637" s="225"/>
      <c r="M637" s="135"/>
      <c r="N637" s="225"/>
      <c r="O637" s="225"/>
      <c r="P637" s="225"/>
      <c r="Q637" s="509"/>
      <c r="R637" s="507"/>
      <c r="S637" s="1"/>
      <c r="T637" s="8"/>
      <c r="U637" s="8"/>
      <c r="V637" s="8"/>
      <c r="W637" s="8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4.25" customHeight="1">
      <c r="A638" s="1"/>
      <c r="B638" s="1"/>
      <c r="C638" s="1"/>
      <c r="D638" s="13"/>
      <c r="E638" s="8"/>
      <c r="F638" s="8"/>
      <c r="G638" s="5"/>
      <c r="H638" s="5"/>
      <c r="I638" s="13"/>
      <c r="J638" s="8"/>
      <c r="K638" s="432"/>
      <c r="L638" s="225"/>
      <c r="M638" s="135"/>
      <c r="N638" s="225"/>
      <c r="O638" s="225"/>
      <c r="P638" s="225"/>
      <c r="Q638" s="509"/>
      <c r="R638" s="507"/>
      <c r="S638" s="1"/>
      <c r="T638" s="8"/>
      <c r="U638" s="8"/>
      <c r="V638" s="8"/>
      <c r="W638" s="8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4.25" customHeight="1">
      <c r="A639" s="1"/>
      <c r="B639" s="1"/>
      <c r="C639" s="1"/>
      <c r="D639" s="13"/>
      <c r="E639" s="8"/>
      <c r="F639" s="8"/>
      <c r="G639" s="5"/>
      <c r="H639" s="5"/>
      <c r="I639" s="13"/>
      <c r="J639" s="8"/>
      <c r="K639" s="432"/>
      <c r="L639" s="225"/>
      <c r="M639" s="135"/>
      <c r="N639" s="225"/>
      <c r="O639" s="225"/>
      <c r="P639" s="225"/>
      <c r="Q639" s="509"/>
      <c r="R639" s="507"/>
      <c r="S639" s="1"/>
      <c r="T639" s="8"/>
      <c r="U639" s="8"/>
      <c r="V639" s="8"/>
      <c r="W639" s="8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4.25" customHeight="1">
      <c r="A640" s="1"/>
      <c r="B640" s="1"/>
      <c r="C640" s="1"/>
      <c r="D640" s="13"/>
      <c r="E640" s="8"/>
      <c r="F640" s="8"/>
      <c r="G640" s="5"/>
      <c r="H640" s="5"/>
      <c r="I640" s="13"/>
      <c r="J640" s="8"/>
      <c r="K640" s="432"/>
      <c r="L640" s="225"/>
      <c r="M640" s="135"/>
      <c r="N640" s="225"/>
      <c r="O640" s="225"/>
      <c r="P640" s="225"/>
      <c r="Q640" s="509"/>
      <c r="R640" s="507"/>
      <c r="S640" s="1"/>
      <c r="T640" s="8"/>
      <c r="U640" s="8"/>
      <c r="V640" s="8"/>
      <c r="W640" s="8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4.25" customHeight="1">
      <c r="A641" s="1"/>
      <c r="B641" s="1"/>
      <c r="C641" s="1"/>
      <c r="D641" s="13"/>
      <c r="E641" s="8"/>
      <c r="F641" s="8"/>
      <c r="G641" s="5"/>
      <c r="H641" s="5"/>
      <c r="I641" s="13"/>
      <c r="J641" s="8"/>
      <c r="K641" s="432"/>
      <c r="L641" s="225"/>
      <c r="M641" s="135"/>
      <c r="N641" s="225"/>
      <c r="O641" s="225"/>
      <c r="P641" s="225"/>
      <c r="Q641" s="509"/>
      <c r="R641" s="507"/>
      <c r="S641" s="1"/>
      <c r="T641" s="8"/>
      <c r="U641" s="8"/>
      <c r="V641" s="8"/>
      <c r="W641" s="8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4.25" customHeight="1">
      <c r="A642" s="1"/>
      <c r="B642" s="1"/>
      <c r="C642" s="1"/>
      <c r="D642" s="13"/>
      <c r="E642" s="8"/>
      <c r="F642" s="8"/>
      <c r="G642" s="5"/>
      <c r="H642" s="5"/>
      <c r="I642" s="13"/>
      <c r="J642" s="8"/>
      <c r="K642" s="432"/>
      <c r="L642" s="225"/>
      <c r="M642" s="135"/>
      <c r="N642" s="225"/>
      <c r="O642" s="225"/>
      <c r="P642" s="225"/>
      <c r="Q642" s="509"/>
      <c r="R642" s="507"/>
      <c r="S642" s="1"/>
      <c r="T642" s="8"/>
      <c r="U642" s="8"/>
      <c r="V642" s="8"/>
      <c r="W642" s="8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4.25" customHeight="1">
      <c r="A643" s="1"/>
      <c r="B643" s="1"/>
      <c r="C643" s="1"/>
      <c r="D643" s="13"/>
      <c r="E643" s="8"/>
      <c r="F643" s="8"/>
      <c r="G643" s="5"/>
      <c r="H643" s="5"/>
      <c r="I643" s="13"/>
      <c r="J643" s="8"/>
      <c r="K643" s="432"/>
      <c r="L643" s="225"/>
      <c r="M643" s="135"/>
      <c r="N643" s="225"/>
      <c r="O643" s="225"/>
      <c r="P643" s="225"/>
      <c r="Q643" s="509"/>
      <c r="R643" s="507"/>
      <c r="S643" s="1"/>
      <c r="T643" s="8"/>
      <c r="U643" s="8"/>
      <c r="V643" s="8"/>
      <c r="W643" s="8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4.25" customHeight="1">
      <c r="A644" s="1"/>
      <c r="B644" s="1"/>
      <c r="C644" s="1"/>
      <c r="D644" s="13"/>
      <c r="E644" s="8"/>
      <c r="F644" s="8"/>
      <c r="G644" s="5"/>
      <c r="H644" s="5"/>
      <c r="I644" s="13"/>
      <c r="J644" s="8"/>
      <c r="K644" s="432"/>
      <c r="L644" s="225"/>
      <c r="M644" s="135"/>
      <c r="N644" s="225"/>
      <c r="O644" s="225"/>
      <c r="P644" s="225"/>
      <c r="Q644" s="509"/>
      <c r="R644" s="507"/>
      <c r="S644" s="1"/>
      <c r="T644" s="8"/>
      <c r="U644" s="8"/>
      <c r="V644" s="8"/>
      <c r="W644" s="8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4.25" customHeight="1">
      <c r="A645" s="1"/>
      <c r="B645" s="1"/>
      <c r="C645" s="1"/>
      <c r="D645" s="13"/>
      <c r="E645" s="8"/>
      <c r="F645" s="8"/>
      <c r="G645" s="5"/>
      <c r="H645" s="5"/>
      <c r="I645" s="13"/>
      <c r="J645" s="8"/>
      <c r="K645" s="432"/>
      <c r="L645" s="225"/>
      <c r="M645" s="135"/>
      <c r="N645" s="225"/>
      <c r="O645" s="225"/>
      <c r="P645" s="225"/>
      <c r="Q645" s="509"/>
      <c r="R645" s="507"/>
      <c r="S645" s="1"/>
      <c r="T645" s="8"/>
      <c r="U645" s="8"/>
      <c r="V645" s="8"/>
      <c r="W645" s="8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4.25" customHeight="1">
      <c r="A646" s="1"/>
      <c r="B646" s="1"/>
      <c r="C646" s="1"/>
      <c r="D646" s="13"/>
      <c r="E646" s="8"/>
      <c r="F646" s="8"/>
      <c r="G646" s="5"/>
      <c r="H646" s="5"/>
      <c r="I646" s="13"/>
      <c r="J646" s="8"/>
      <c r="K646" s="432"/>
      <c r="L646" s="225"/>
      <c r="M646" s="135"/>
      <c r="N646" s="225"/>
      <c r="O646" s="225"/>
      <c r="P646" s="225"/>
      <c r="Q646" s="509"/>
      <c r="R646" s="507"/>
      <c r="S646" s="1"/>
      <c r="T646" s="8"/>
      <c r="U646" s="8"/>
      <c r="V646" s="8"/>
      <c r="W646" s="8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4.25" customHeight="1">
      <c r="A647" s="1"/>
      <c r="B647" s="1"/>
      <c r="C647" s="1"/>
      <c r="D647" s="13"/>
      <c r="E647" s="8"/>
      <c r="F647" s="8"/>
      <c r="G647" s="5"/>
      <c r="H647" s="5"/>
      <c r="I647" s="13"/>
      <c r="J647" s="8"/>
      <c r="K647" s="432"/>
      <c r="L647" s="225"/>
      <c r="M647" s="135"/>
      <c r="N647" s="225"/>
      <c r="O647" s="225"/>
      <c r="P647" s="225"/>
      <c r="Q647" s="509"/>
      <c r="R647" s="507"/>
      <c r="S647" s="1"/>
      <c r="T647" s="8"/>
      <c r="U647" s="8"/>
      <c r="V647" s="8"/>
      <c r="W647" s="8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4.25" customHeight="1">
      <c r="A648" s="1"/>
      <c r="B648" s="1"/>
      <c r="C648" s="1"/>
      <c r="D648" s="13"/>
      <c r="E648" s="8"/>
      <c r="F648" s="8"/>
      <c r="G648" s="5"/>
      <c r="H648" s="5"/>
      <c r="I648" s="13"/>
      <c r="J648" s="8"/>
      <c r="K648" s="432"/>
      <c r="L648" s="225"/>
      <c r="M648" s="135"/>
      <c r="N648" s="225"/>
      <c r="O648" s="225"/>
      <c r="P648" s="225"/>
      <c r="Q648" s="509"/>
      <c r="R648" s="507"/>
      <c r="S648" s="1"/>
      <c r="T648" s="8"/>
      <c r="U648" s="8"/>
      <c r="V648" s="8"/>
      <c r="W648" s="8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4.25" customHeight="1">
      <c r="A649" s="1"/>
      <c r="B649" s="1"/>
      <c r="C649" s="1"/>
      <c r="D649" s="13"/>
      <c r="E649" s="8"/>
      <c r="F649" s="8"/>
      <c r="G649" s="5"/>
      <c r="H649" s="5"/>
      <c r="I649" s="13"/>
      <c r="J649" s="8"/>
      <c r="K649" s="432"/>
      <c r="L649" s="225"/>
      <c r="M649" s="135"/>
      <c r="N649" s="225"/>
      <c r="O649" s="225"/>
      <c r="P649" s="225"/>
      <c r="Q649" s="509"/>
      <c r="R649" s="507"/>
      <c r="S649" s="1"/>
      <c r="T649" s="8"/>
      <c r="U649" s="8"/>
      <c r="V649" s="8"/>
      <c r="W649" s="8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4.25" customHeight="1">
      <c r="A650" s="1"/>
      <c r="B650" s="1"/>
      <c r="C650" s="1"/>
      <c r="D650" s="13"/>
      <c r="E650" s="8"/>
      <c r="F650" s="8"/>
      <c r="G650" s="5"/>
      <c r="H650" s="5"/>
      <c r="I650" s="13"/>
      <c r="J650" s="8"/>
      <c r="K650" s="432"/>
      <c r="L650" s="225"/>
      <c r="M650" s="135"/>
      <c r="N650" s="225"/>
      <c r="O650" s="225"/>
      <c r="P650" s="225"/>
      <c r="Q650" s="509"/>
      <c r="R650" s="507"/>
      <c r="S650" s="1"/>
      <c r="T650" s="8"/>
      <c r="U650" s="8"/>
      <c r="V650" s="8"/>
      <c r="W650" s="8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4.25" customHeight="1">
      <c r="A651" s="1"/>
      <c r="B651" s="1"/>
      <c r="C651" s="1"/>
      <c r="D651" s="13"/>
      <c r="E651" s="8"/>
      <c r="F651" s="8"/>
      <c r="G651" s="5"/>
      <c r="H651" s="5"/>
      <c r="I651" s="13"/>
      <c r="J651" s="8"/>
      <c r="K651" s="432"/>
      <c r="L651" s="225"/>
      <c r="M651" s="135"/>
      <c r="N651" s="225"/>
      <c r="O651" s="225"/>
      <c r="P651" s="225"/>
      <c r="Q651" s="509"/>
      <c r="R651" s="507"/>
      <c r="S651" s="1"/>
      <c r="T651" s="8"/>
      <c r="U651" s="8"/>
      <c r="V651" s="8"/>
      <c r="W651" s="8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4.25" customHeight="1">
      <c r="A652" s="1"/>
      <c r="B652" s="1"/>
      <c r="C652" s="1"/>
      <c r="D652" s="13"/>
      <c r="E652" s="8"/>
      <c r="F652" s="8"/>
      <c r="G652" s="5"/>
      <c r="H652" s="5"/>
      <c r="I652" s="13"/>
      <c r="J652" s="8"/>
      <c r="K652" s="432"/>
      <c r="L652" s="225"/>
      <c r="M652" s="135"/>
      <c r="N652" s="225"/>
      <c r="O652" s="225"/>
      <c r="P652" s="225"/>
      <c r="Q652" s="509"/>
      <c r="R652" s="507"/>
      <c r="S652" s="1"/>
      <c r="T652" s="8"/>
      <c r="U652" s="8"/>
      <c r="V652" s="8"/>
      <c r="W652" s="8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4.25" customHeight="1">
      <c r="A653" s="1"/>
      <c r="B653" s="1"/>
      <c r="C653" s="1"/>
      <c r="D653" s="13"/>
      <c r="E653" s="8"/>
      <c r="F653" s="8"/>
      <c r="G653" s="5"/>
      <c r="H653" s="5"/>
      <c r="I653" s="13"/>
      <c r="J653" s="8"/>
      <c r="K653" s="432"/>
      <c r="L653" s="225"/>
      <c r="M653" s="135"/>
      <c r="N653" s="225"/>
      <c r="O653" s="225"/>
      <c r="P653" s="225"/>
      <c r="Q653" s="509"/>
      <c r="R653" s="507"/>
      <c r="S653" s="1"/>
      <c r="T653" s="8"/>
      <c r="U653" s="8"/>
      <c r="V653" s="8"/>
      <c r="W653" s="8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4.25" customHeight="1">
      <c r="A654" s="1"/>
      <c r="B654" s="1"/>
      <c r="C654" s="1"/>
      <c r="D654" s="13"/>
      <c r="E654" s="8"/>
      <c r="F654" s="8"/>
      <c r="G654" s="5"/>
      <c r="H654" s="5"/>
      <c r="I654" s="13"/>
      <c r="J654" s="8"/>
      <c r="K654" s="432"/>
      <c r="L654" s="225"/>
      <c r="M654" s="135"/>
      <c r="N654" s="225"/>
      <c r="O654" s="225"/>
      <c r="P654" s="225"/>
      <c r="Q654" s="509"/>
      <c r="R654" s="507"/>
      <c r="S654" s="1"/>
      <c r="T654" s="8"/>
      <c r="U654" s="8"/>
      <c r="V654" s="8"/>
      <c r="W654" s="8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4.25" customHeight="1">
      <c r="A655" s="1"/>
      <c r="B655" s="1"/>
      <c r="C655" s="1"/>
      <c r="D655" s="13"/>
      <c r="E655" s="8"/>
      <c r="F655" s="8"/>
      <c r="G655" s="5"/>
      <c r="H655" s="5"/>
      <c r="I655" s="13"/>
      <c r="J655" s="8"/>
      <c r="K655" s="432"/>
      <c r="L655" s="225"/>
      <c r="M655" s="135"/>
      <c r="N655" s="225"/>
      <c r="O655" s="225"/>
      <c r="P655" s="225"/>
      <c r="Q655" s="509"/>
      <c r="R655" s="507"/>
      <c r="S655" s="1"/>
      <c r="T655" s="8"/>
      <c r="U655" s="8"/>
      <c r="V655" s="8"/>
      <c r="W655" s="8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4.25" customHeight="1">
      <c r="A656" s="1"/>
      <c r="B656" s="1"/>
      <c r="C656" s="1"/>
      <c r="D656" s="13"/>
      <c r="E656" s="8"/>
      <c r="F656" s="8"/>
      <c r="G656" s="5"/>
      <c r="H656" s="5"/>
      <c r="I656" s="13"/>
      <c r="J656" s="8"/>
      <c r="K656" s="432"/>
      <c r="L656" s="225"/>
      <c r="M656" s="135"/>
      <c r="N656" s="225"/>
      <c r="O656" s="225"/>
      <c r="P656" s="225"/>
      <c r="Q656" s="509"/>
      <c r="R656" s="507"/>
      <c r="S656" s="1"/>
      <c r="T656" s="8"/>
      <c r="U656" s="8"/>
      <c r="V656" s="8"/>
      <c r="W656" s="8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4.25" customHeight="1">
      <c r="A657" s="1"/>
      <c r="B657" s="1"/>
      <c r="C657" s="1"/>
      <c r="D657" s="13"/>
      <c r="E657" s="8"/>
      <c r="F657" s="8"/>
      <c r="G657" s="5"/>
      <c r="H657" s="5"/>
      <c r="I657" s="13"/>
      <c r="J657" s="8"/>
      <c r="K657" s="432"/>
      <c r="L657" s="225"/>
      <c r="M657" s="135"/>
      <c r="N657" s="225"/>
      <c r="O657" s="225"/>
      <c r="P657" s="225"/>
      <c r="Q657" s="509"/>
      <c r="R657" s="507"/>
      <c r="S657" s="1"/>
      <c r="T657" s="8"/>
      <c r="U657" s="8"/>
      <c r="V657" s="8"/>
      <c r="W657" s="8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4.25" customHeight="1">
      <c r="A658" s="1"/>
      <c r="B658" s="1"/>
      <c r="C658" s="1"/>
      <c r="D658" s="13"/>
      <c r="E658" s="8"/>
      <c r="F658" s="8"/>
      <c r="G658" s="5"/>
      <c r="H658" s="5"/>
      <c r="I658" s="13"/>
      <c r="J658" s="8"/>
      <c r="K658" s="432"/>
      <c r="L658" s="225"/>
      <c r="M658" s="135"/>
      <c r="N658" s="225"/>
      <c r="O658" s="225"/>
      <c r="P658" s="225"/>
      <c r="Q658" s="509"/>
      <c r="R658" s="507"/>
      <c r="S658" s="1"/>
      <c r="T658" s="8"/>
      <c r="U658" s="8"/>
      <c r="V658" s="8"/>
      <c r="W658" s="8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4.25" customHeight="1">
      <c r="A659" s="1"/>
      <c r="B659" s="1"/>
      <c r="C659" s="1"/>
      <c r="D659" s="13"/>
      <c r="E659" s="8"/>
      <c r="F659" s="8"/>
      <c r="G659" s="5"/>
      <c r="H659" s="5"/>
      <c r="I659" s="13"/>
      <c r="J659" s="8"/>
      <c r="K659" s="432"/>
      <c r="L659" s="225"/>
      <c r="M659" s="135"/>
      <c r="N659" s="225"/>
      <c r="O659" s="225"/>
      <c r="P659" s="225"/>
      <c r="Q659" s="509"/>
      <c r="R659" s="507"/>
      <c r="S659" s="1"/>
      <c r="T659" s="8"/>
      <c r="U659" s="8"/>
      <c r="V659" s="8"/>
      <c r="W659" s="8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4.25" customHeight="1">
      <c r="A660" s="1"/>
      <c r="B660" s="1"/>
      <c r="C660" s="1"/>
      <c r="D660" s="13"/>
      <c r="E660" s="8"/>
      <c r="F660" s="8"/>
      <c r="G660" s="5"/>
      <c r="H660" s="5"/>
      <c r="I660" s="13"/>
      <c r="J660" s="8"/>
      <c r="K660" s="432"/>
      <c r="L660" s="225"/>
      <c r="M660" s="135"/>
      <c r="N660" s="225"/>
      <c r="O660" s="225"/>
      <c r="P660" s="225"/>
      <c r="Q660" s="509"/>
      <c r="R660" s="507"/>
      <c r="S660" s="1"/>
      <c r="T660" s="8"/>
      <c r="U660" s="8"/>
      <c r="V660" s="8"/>
      <c r="W660" s="8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4.25" customHeight="1">
      <c r="A661" s="1"/>
      <c r="B661" s="1"/>
      <c r="C661" s="1"/>
      <c r="D661" s="13"/>
      <c r="E661" s="8"/>
      <c r="F661" s="8"/>
      <c r="G661" s="5"/>
      <c r="H661" s="5"/>
      <c r="I661" s="13"/>
      <c r="J661" s="8"/>
      <c r="K661" s="432"/>
      <c r="L661" s="225"/>
      <c r="M661" s="135"/>
      <c r="N661" s="225"/>
      <c r="O661" s="225"/>
      <c r="P661" s="225"/>
      <c r="Q661" s="509"/>
      <c r="R661" s="507"/>
      <c r="S661" s="1"/>
      <c r="T661" s="8"/>
      <c r="U661" s="8"/>
      <c r="V661" s="8"/>
      <c r="W661" s="8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4.25" customHeight="1">
      <c r="A662" s="1"/>
      <c r="B662" s="1"/>
      <c r="C662" s="1"/>
      <c r="D662" s="13"/>
      <c r="E662" s="8"/>
      <c r="F662" s="8"/>
      <c r="G662" s="5"/>
      <c r="H662" s="5"/>
      <c r="I662" s="13"/>
      <c r="J662" s="8"/>
      <c r="K662" s="432"/>
      <c r="L662" s="225"/>
      <c r="M662" s="135"/>
      <c r="N662" s="225"/>
      <c r="O662" s="225"/>
      <c r="P662" s="225"/>
      <c r="Q662" s="509"/>
      <c r="R662" s="507"/>
      <c r="S662" s="1"/>
      <c r="T662" s="8"/>
      <c r="U662" s="8"/>
      <c r="V662" s="8"/>
      <c r="W662" s="8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4.25" customHeight="1">
      <c r="A663" s="1"/>
      <c r="B663" s="1"/>
      <c r="C663" s="1"/>
      <c r="D663" s="13"/>
      <c r="E663" s="8"/>
      <c r="F663" s="8"/>
      <c r="G663" s="5"/>
      <c r="H663" s="5"/>
      <c r="I663" s="13"/>
      <c r="J663" s="8"/>
      <c r="K663" s="432"/>
      <c r="L663" s="225"/>
      <c r="M663" s="135"/>
      <c r="N663" s="225"/>
      <c r="O663" s="225"/>
      <c r="P663" s="225"/>
      <c r="Q663" s="509"/>
      <c r="R663" s="507"/>
      <c r="S663" s="1"/>
      <c r="T663" s="8"/>
      <c r="U663" s="8"/>
      <c r="V663" s="8"/>
      <c r="W663" s="8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4.25" customHeight="1">
      <c r="A664" s="1"/>
      <c r="B664" s="1"/>
      <c r="C664" s="1"/>
      <c r="D664" s="13"/>
      <c r="E664" s="8"/>
      <c r="F664" s="8"/>
      <c r="G664" s="5"/>
      <c r="H664" s="5"/>
      <c r="I664" s="13"/>
      <c r="J664" s="8"/>
      <c r="K664" s="432"/>
      <c r="L664" s="225"/>
      <c r="M664" s="135"/>
      <c r="N664" s="225"/>
      <c r="O664" s="225"/>
      <c r="P664" s="225"/>
      <c r="Q664" s="509"/>
      <c r="R664" s="507"/>
      <c r="S664" s="1"/>
      <c r="T664" s="8"/>
      <c r="U664" s="8"/>
      <c r="V664" s="8"/>
      <c r="W664" s="8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4.25" customHeight="1">
      <c r="A665" s="1"/>
      <c r="B665" s="1"/>
      <c r="C665" s="1"/>
      <c r="D665" s="13"/>
      <c r="E665" s="8"/>
      <c r="F665" s="8"/>
      <c r="G665" s="5"/>
      <c r="H665" s="5"/>
      <c r="I665" s="13"/>
      <c r="J665" s="8"/>
      <c r="K665" s="432"/>
      <c r="L665" s="225"/>
      <c r="M665" s="135"/>
      <c r="N665" s="225"/>
      <c r="O665" s="225"/>
      <c r="P665" s="225"/>
      <c r="Q665" s="509"/>
      <c r="R665" s="507"/>
      <c r="S665" s="1"/>
      <c r="T665" s="8"/>
      <c r="U665" s="8"/>
      <c r="V665" s="8"/>
      <c r="W665" s="8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4.25" customHeight="1">
      <c r="A666" s="1"/>
      <c r="B666" s="1"/>
      <c r="C666" s="1"/>
      <c r="D666" s="13"/>
      <c r="E666" s="8"/>
      <c r="F666" s="8"/>
      <c r="G666" s="5"/>
      <c r="H666" s="5"/>
      <c r="I666" s="13"/>
      <c r="J666" s="8"/>
      <c r="K666" s="432"/>
      <c r="L666" s="225"/>
      <c r="M666" s="135"/>
      <c r="N666" s="225"/>
      <c r="O666" s="225"/>
      <c r="P666" s="225"/>
      <c r="Q666" s="509"/>
      <c r="R666" s="507"/>
      <c r="S666" s="1"/>
      <c r="T666" s="8"/>
      <c r="U666" s="8"/>
      <c r="V666" s="8"/>
      <c r="W666" s="8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4.25" customHeight="1">
      <c r="A667" s="1"/>
      <c r="B667" s="1"/>
      <c r="C667" s="1"/>
      <c r="D667" s="13"/>
      <c r="E667" s="8"/>
      <c r="F667" s="8"/>
      <c r="G667" s="5"/>
      <c r="H667" s="5"/>
      <c r="I667" s="13"/>
      <c r="J667" s="8"/>
      <c r="K667" s="432"/>
      <c r="L667" s="225"/>
      <c r="M667" s="135"/>
      <c r="N667" s="225"/>
      <c r="O667" s="225"/>
      <c r="P667" s="225"/>
      <c r="Q667" s="509"/>
      <c r="R667" s="507"/>
      <c r="S667" s="1"/>
      <c r="T667" s="8"/>
      <c r="U667" s="8"/>
      <c r="V667" s="8"/>
      <c r="W667" s="8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4.25" customHeight="1">
      <c r="A668" s="1"/>
      <c r="B668" s="1"/>
      <c r="C668" s="1"/>
      <c r="D668" s="13"/>
      <c r="E668" s="8"/>
      <c r="F668" s="8"/>
      <c r="G668" s="5"/>
      <c r="H668" s="5"/>
      <c r="I668" s="13"/>
      <c r="J668" s="8"/>
      <c r="K668" s="432"/>
      <c r="L668" s="225"/>
      <c r="M668" s="135"/>
      <c r="N668" s="225"/>
      <c r="O668" s="225"/>
      <c r="P668" s="225"/>
      <c r="Q668" s="509"/>
      <c r="R668" s="507"/>
      <c r="S668" s="1"/>
      <c r="T668" s="8"/>
      <c r="U668" s="8"/>
      <c r="V668" s="8"/>
      <c r="W668" s="8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4.25" customHeight="1">
      <c r="A669" s="1"/>
      <c r="B669" s="1"/>
      <c r="C669" s="1"/>
      <c r="D669" s="13"/>
      <c r="E669" s="8"/>
      <c r="F669" s="8"/>
      <c r="G669" s="5"/>
      <c r="H669" s="5"/>
      <c r="I669" s="13"/>
      <c r="J669" s="8"/>
      <c r="K669" s="432"/>
      <c r="L669" s="225"/>
      <c r="M669" s="135"/>
      <c r="N669" s="225"/>
      <c r="O669" s="225"/>
      <c r="P669" s="225"/>
      <c r="Q669" s="509"/>
      <c r="R669" s="507"/>
      <c r="S669" s="1"/>
      <c r="T669" s="8"/>
      <c r="U669" s="8"/>
      <c r="V669" s="8"/>
      <c r="W669" s="8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4.25" customHeight="1">
      <c r="A670" s="1"/>
      <c r="B670" s="1"/>
      <c r="C670" s="1"/>
      <c r="D670" s="13"/>
      <c r="E670" s="8"/>
      <c r="F670" s="8"/>
      <c r="G670" s="5"/>
      <c r="H670" s="5"/>
      <c r="I670" s="13"/>
      <c r="J670" s="8"/>
      <c r="K670" s="432"/>
      <c r="L670" s="225"/>
      <c r="M670" s="135"/>
      <c r="N670" s="225"/>
      <c r="O670" s="225"/>
      <c r="P670" s="225"/>
      <c r="Q670" s="509"/>
      <c r="R670" s="507"/>
      <c r="S670" s="1"/>
      <c r="T670" s="8"/>
      <c r="U670" s="8"/>
      <c r="V670" s="8"/>
      <c r="W670" s="8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4.25" customHeight="1">
      <c r="A671" s="1"/>
      <c r="B671" s="1"/>
      <c r="C671" s="1"/>
      <c r="D671" s="13"/>
      <c r="E671" s="8"/>
      <c r="F671" s="8"/>
      <c r="G671" s="5"/>
      <c r="H671" s="5"/>
      <c r="I671" s="13"/>
      <c r="J671" s="8"/>
      <c r="K671" s="432"/>
      <c r="L671" s="225"/>
      <c r="M671" s="135"/>
      <c r="N671" s="225"/>
      <c r="O671" s="225"/>
      <c r="P671" s="225"/>
      <c r="Q671" s="509"/>
      <c r="R671" s="507"/>
      <c r="S671" s="1"/>
      <c r="T671" s="8"/>
      <c r="U671" s="8"/>
      <c r="V671" s="8"/>
      <c r="W671" s="8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4.25" customHeight="1">
      <c r="A672" s="1"/>
      <c r="B672" s="1"/>
      <c r="C672" s="1"/>
      <c r="D672" s="13"/>
      <c r="E672" s="8"/>
      <c r="F672" s="8"/>
      <c r="G672" s="5"/>
      <c r="H672" s="5"/>
      <c r="I672" s="13"/>
      <c r="J672" s="8"/>
      <c r="K672" s="432"/>
      <c r="L672" s="225"/>
      <c r="M672" s="135"/>
      <c r="N672" s="225"/>
      <c r="O672" s="225"/>
      <c r="P672" s="225"/>
      <c r="Q672" s="509"/>
      <c r="R672" s="507"/>
      <c r="S672" s="1"/>
      <c r="T672" s="8"/>
      <c r="U672" s="8"/>
      <c r="V672" s="8"/>
      <c r="W672" s="8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4.25" customHeight="1">
      <c r="A673" s="1"/>
      <c r="B673" s="1"/>
      <c r="C673" s="1"/>
      <c r="D673" s="13"/>
      <c r="E673" s="8"/>
      <c r="F673" s="8"/>
      <c r="G673" s="5"/>
      <c r="H673" s="5"/>
      <c r="I673" s="13"/>
      <c r="J673" s="8"/>
      <c r="K673" s="432"/>
      <c r="L673" s="225"/>
      <c r="M673" s="135"/>
      <c r="N673" s="225"/>
      <c r="O673" s="225"/>
      <c r="P673" s="225"/>
      <c r="Q673" s="509"/>
      <c r="R673" s="507"/>
      <c r="S673" s="1"/>
      <c r="T673" s="8"/>
      <c r="U673" s="8"/>
      <c r="V673" s="8"/>
      <c r="W673" s="8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4.25" customHeight="1">
      <c r="A674" s="1"/>
      <c r="B674" s="1"/>
      <c r="C674" s="1"/>
      <c r="D674" s="13"/>
      <c r="E674" s="8"/>
      <c r="F674" s="8"/>
      <c r="G674" s="5"/>
      <c r="H674" s="5"/>
      <c r="I674" s="13"/>
      <c r="J674" s="8"/>
      <c r="K674" s="432"/>
      <c r="L674" s="225"/>
      <c r="M674" s="135"/>
      <c r="N674" s="225"/>
      <c r="O674" s="225"/>
      <c r="P674" s="225"/>
      <c r="Q674" s="509"/>
      <c r="R674" s="507"/>
      <c r="S674" s="1"/>
      <c r="T674" s="8"/>
      <c r="U674" s="8"/>
      <c r="V674" s="8"/>
      <c r="W674" s="8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4.25" customHeight="1">
      <c r="A675" s="1"/>
      <c r="B675" s="1"/>
      <c r="C675" s="1"/>
      <c r="D675" s="13"/>
      <c r="E675" s="8"/>
      <c r="F675" s="8"/>
      <c r="G675" s="5"/>
      <c r="H675" s="5"/>
      <c r="I675" s="13"/>
      <c r="J675" s="8"/>
      <c r="K675" s="432"/>
      <c r="L675" s="225"/>
      <c r="M675" s="135"/>
      <c r="N675" s="225"/>
      <c r="O675" s="225"/>
      <c r="P675" s="225"/>
      <c r="Q675" s="509"/>
      <c r="R675" s="507"/>
      <c r="S675" s="1"/>
      <c r="T675" s="8"/>
      <c r="U675" s="8"/>
      <c r="V675" s="8"/>
      <c r="W675" s="8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4.25" customHeight="1">
      <c r="A676" s="1"/>
      <c r="B676" s="1"/>
      <c r="C676" s="1"/>
      <c r="D676" s="13"/>
      <c r="E676" s="8"/>
      <c r="F676" s="8"/>
      <c r="G676" s="5"/>
      <c r="H676" s="5"/>
      <c r="I676" s="13"/>
      <c r="J676" s="8"/>
      <c r="K676" s="432"/>
      <c r="L676" s="225"/>
      <c r="M676" s="135"/>
      <c r="N676" s="225"/>
      <c r="O676" s="225"/>
      <c r="P676" s="225"/>
      <c r="Q676" s="509"/>
      <c r="R676" s="507"/>
      <c r="S676" s="1"/>
      <c r="T676" s="8"/>
      <c r="U676" s="8"/>
      <c r="V676" s="8"/>
      <c r="W676" s="8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4.25" customHeight="1">
      <c r="A677" s="1"/>
      <c r="B677" s="1"/>
      <c r="C677" s="1"/>
      <c r="D677" s="13"/>
      <c r="E677" s="8"/>
      <c r="F677" s="8"/>
      <c r="G677" s="5"/>
      <c r="H677" s="5"/>
      <c r="I677" s="13"/>
      <c r="J677" s="8"/>
      <c r="K677" s="432"/>
      <c r="L677" s="225"/>
      <c r="M677" s="135"/>
      <c r="N677" s="225"/>
      <c r="O677" s="225"/>
      <c r="P677" s="225"/>
      <c r="Q677" s="509"/>
      <c r="R677" s="507"/>
      <c r="S677" s="1"/>
      <c r="T677" s="8"/>
      <c r="U677" s="8"/>
      <c r="V677" s="8"/>
      <c r="W677" s="8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4.25" customHeight="1">
      <c r="A678" s="1"/>
      <c r="B678" s="1"/>
      <c r="C678" s="1"/>
      <c r="D678" s="13"/>
      <c r="E678" s="8"/>
      <c r="F678" s="8"/>
      <c r="G678" s="5"/>
      <c r="H678" s="5"/>
      <c r="I678" s="13"/>
      <c r="J678" s="8"/>
      <c r="K678" s="432"/>
      <c r="L678" s="225"/>
      <c r="M678" s="135"/>
      <c r="N678" s="225"/>
      <c r="O678" s="225"/>
      <c r="P678" s="225"/>
      <c r="Q678" s="509"/>
      <c r="R678" s="507"/>
      <c r="S678" s="1"/>
      <c r="T678" s="8"/>
      <c r="U678" s="8"/>
      <c r="V678" s="8"/>
      <c r="W678" s="8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4.25" customHeight="1">
      <c r="A679" s="1"/>
      <c r="B679" s="1"/>
      <c r="C679" s="1"/>
      <c r="D679" s="13"/>
      <c r="E679" s="8"/>
      <c r="F679" s="8"/>
      <c r="G679" s="5"/>
      <c r="H679" s="5"/>
      <c r="I679" s="13"/>
      <c r="J679" s="8"/>
      <c r="K679" s="432"/>
      <c r="L679" s="225"/>
      <c r="M679" s="135"/>
      <c r="N679" s="225"/>
      <c r="O679" s="225"/>
      <c r="P679" s="225"/>
      <c r="Q679" s="509"/>
      <c r="R679" s="507"/>
      <c r="S679" s="1"/>
      <c r="T679" s="8"/>
      <c r="U679" s="8"/>
      <c r="V679" s="8"/>
      <c r="W679" s="8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4.25" customHeight="1">
      <c r="A680" s="1"/>
      <c r="B680" s="1"/>
      <c r="C680" s="1"/>
      <c r="D680" s="13"/>
      <c r="E680" s="8"/>
      <c r="F680" s="8"/>
      <c r="G680" s="5"/>
      <c r="H680" s="5"/>
      <c r="I680" s="13"/>
      <c r="J680" s="8"/>
      <c r="K680" s="432"/>
      <c r="L680" s="225"/>
      <c r="M680" s="135"/>
      <c r="N680" s="225"/>
      <c r="O680" s="225"/>
      <c r="P680" s="225"/>
      <c r="Q680" s="509"/>
      <c r="R680" s="507"/>
      <c r="S680" s="1"/>
      <c r="T680" s="8"/>
      <c r="U680" s="8"/>
      <c r="V680" s="8"/>
      <c r="W680" s="8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4.25" customHeight="1">
      <c r="A681" s="1"/>
      <c r="B681" s="1"/>
      <c r="C681" s="1"/>
      <c r="D681" s="13"/>
      <c r="E681" s="8"/>
      <c r="F681" s="8"/>
      <c r="G681" s="5"/>
      <c r="H681" s="5"/>
      <c r="I681" s="13"/>
      <c r="J681" s="8"/>
      <c r="K681" s="432"/>
      <c r="L681" s="225"/>
      <c r="M681" s="135"/>
      <c r="N681" s="225"/>
      <c r="O681" s="225"/>
      <c r="P681" s="225"/>
      <c r="Q681" s="509"/>
      <c r="R681" s="507"/>
      <c r="S681" s="1"/>
      <c r="T681" s="8"/>
      <c r="U681" s="8"/>
      <c r="V681" s="8"/>
      <c r="W681" s="8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4.25" customHeight="1">
      <c r="A682" s="1"/>
      <c r="B682" s="1"/>
      <c r="C682" s="1"/>
      <c r="D682" s="13"/>
      <c r="E682" s="8"/>
      <c r="F682" s="8"/>
      <c r="G682" s="5"/>
      <c r="H682" s="5"/>
      <c r="I682" s="13"/>
      <c r="J682" s="8"/>
      <c r="K682" s="432"/>
      <c r="L682" s="225"/>
      <c r="M682" s="135"/>
      <c r="N682" s="225"/>
      <c r="O682" s="225"/>
      <c r="P682" s="225"/>
      <c r="Q682" s="509"/>
      <c r="R682" s="507"/>
      <c r="S682" s="1"/>
      <c r="T682" s="8"/>
      <c r="U682" s="8"/>
      <c r="V682" s="8"/>
      <c r="W682" s="8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4.25" customHeight="1">
      <c r="A683" s="1"/>
      <c r="B683" s="1"/>
      <c r="C683" s="1"/>
      <c r="D683" s="13"/>
      <c r="E683" s="8"/>
      <c r="F683" s="8"/>
      <c r="G683" s="5"/>
      <c r="H683" s="5"/>
      <c r="I683" s="13"/>
      <c r="J683" s="8"/>
      <c r="K683" s="432"/>
      <c r="L683" s="225"/>
      <c r="M683" s="135"/>
      <c r="N683" s="225"/>
      <c r="O683" s="225"/>
      <c r="P683" s="225"/>
      <c r="Q683" s="509"/>
      <c r="R683" s="507"/>
      <c r="S683" s="1"/>
      <c r="T683" s="8"/>
      <c r="U683" s="8"/>
      <c r="V683" s="8"/>
      <c r="W683" s="8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4.25" customHeight="1">
      <c r="A684" s="1"/>
      <c r="B684" s="1"/>
      <c r="C684" s="1"/>
      <c r="D684" s="13"/>
      <c r="E684" s="8"/>
      <c r="F684" s="8"/>
      <c r="G684" s="5"/>
      <c r="H684" s="5"/>
      <c r="I684" s="13"/>
      <c r="J684" s="8"/>
      <c r="K684" s="432"/>
      <c r="L684" s="225"/>
      <c r="M684" s="135"/>
      <c r="N684" s="225"/>
      <c r="O684" s="225"/>
      <c r="P684" s="225"/>
      <c r="Q684" s="509"/>
      <c r="R684" s="507"/>
      <c r="S684" s="1"/>
      <c r="T684" s="8"/>
      <c r="U684" s="8"/>
      <c r="V684" s="8"/>
      <c r="W684" s="8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4.25" customHeight="1">
      <c r="A685" s="1"/>
      <c r="B685" s="1"/>
      <c r="C685" s="1"/>
      <c r="D685" s="13"/>
      <c r="E685" s="8"/>
      <c r="F685" s="8"/>
      <c r="G685" s="5"/>
      <c r="H685" s="5"/>
      <c r="I685" s="13"/>
      <c r="J685" s="8"/>
      <c r="K685" s="432"/>
      <c r="L685" s="225"/>
      <c r="M685" s="135"/>
      <c r="N685" s="225"/>
      <c r="O685" s="225"/>
      <c r="P685" s="225"/>
      <c r="Q685" s="509"/>
      <c r="R685" s="507"/>
      <c r="S685" s="1"/>
      <c r="T685" s="8"/>
      <c r="U685" s="8"/>
      <c r="V685" s="8"/>
      <c r="W685" s="8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4.25" customHeight="1">
      <c r="A686" s="1"/>
      <c r="B686" s="1"/>
      <c r="C686" s="1"/>
      <c r="D686" s="13"/>
      <c r="E686" s="8"/>
      <c r="F686" s="8"/>
      <c r="G686" s="5"/>
      <c r="H686" s="5"/>
      <c r="I686" s="13"/>
      <c r="J686" s="8"/>
      <c r="K686" s="432"/>
      <c r="L686" s="225"/>
      <c r="M686" s="135"/>
      <c r="N686" s="225"/>
      <c r="O686" s="225"/>
      <c r="P686" s="225"/>
      <c r="Q686" s="509"/>
      <c r="R686" s="507"/>
      <c r="S686" s="1"/>
      <c r="T686" s="8"/>
      <c r="U686" s="8"/>
      <c r="V686" s="8"/>
      <c r="W686" s="8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4.25" customHeight="1">
      <c r="A687" s="1"/>
      <c r="B687" s="1"/>
      <c r="C687" s="1"/>
      <c r="D687" s="13"/>
      <c r="E687" s="8"/>
      <c r="F687" s="8"/>
      <c r="G687" s="5"/>
      <c r="H687" s="5"/>
      <c r="I687" s="13"/>
      <c r="J687" s="8"/>
      <c r="K687" s="432"/>
      <c r="L687" s="225"/>
      <c r="M687" s="135"/>
      <c r="N687" s="225"/>
      <c r="O687" s="225"/>
      <c r="P687" s="225"/>
      <c r="Q687" s="509"/>
      <c r="R687" s="507"/>
      <c r="S687" s="1"/>
      <c r="T687" s="8"/>
      <c r="U687" s="8"/>
      <c r="V687" s="8"/>
      <c r="W687" s="8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</sheetData>
  <autoFilter ref="$A$13:$W$605"/>
  <mergeCells count="2">
    <mergeCell ref="N388:N401"/>
    <mergeCell ref="O388:O401"/>
  </mergeCells>
  <printOptions/>
  <pageMargins bottom="0.7480314960629921" footer="0.0" header="0.0" left="0.7086614173228347" right="0.7086614173228347" top="0.7480314960629921"/>
  <pageSetup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10.14"/>
    <col customWidth="1" min="2" max="2" width="27.14"/>
    <col customWidth="1" min="3" max="3" width="35.14"/>
    <col customWidth="1" min="4" max="4" width="42.86"/>
    <col customWidth="1" min="5" max="5" width="11.14"/>
    <col customWidth="1" min="6" max="6" width="15.86"/>
    <col customWidth="1" min="7" max="7" width="24.0"/>
    <col customWidth="1" min="8" max="8" width="12.14"/>
    <col customWidth="1" min="9" max="9" width="121.86" outlineLevel="1"/>
    <col customWidth="1" min="10" max="11" width="9.14"/>
    <col customWidth="1" min="12" max="12" width="15.14"/>
    <col customWidth="1" min="13" max="13" width="29.86"/>
    <col customWidth="1" min="14" max="14" width="20.14"/>
    <col customWidth="1" min="15" max="15" width="15.14"/>
    <col customWidth="1" min="16" max="16" width="13.14" outlineLevel="1"/>
    <col customWidth="1" min="17" max="17" width="27.14" outlineLevel="1"/>
    <col customWidth="1" min="18" max="18" width="19.14" outlineLevel="1"/>
    <col customWidth="1" min="19" max="19" width="13.14"/>
    <col customWidth="1" min="20" max="20" width="15.14" outlineLevel="1"/>
    <col customWidth="1" min="21" max="23" width="20.0" outlineLevel="1"/>
    <col customWidth="1" min="24" max="43" width="9.14"/>
  </cols>
  <sheetData>
    <row r="1" ht="13.5" customHeight="1">
      <c r="A1" s="1"/>
      <c r="B1" s="1"/>
      <c r="C1" s="2" t="s">
        <v>0</v>
      </c>
      <c r="D1" s="573" t="s">
        <v>3986</v>
      </c>
      <c r="E1" s="4"/>
      <c r="F1" s="4"/>
      <c r="G1" s="5"/>
      <c r="H1" s="5"/>
      <c r="I1" s="6"/>
      <c r="J1" s="7"/>
      <c r="K1" s="6"/>
      <c r="L1" s="8"/>
      <c r="M1" s="1"/>
      <c r="N1" s="8"/>
      <c r="O1" s="8"/>
      <c r="P1" s="9"/>
      <c r="Q1" s="8"/>
      <c r="R1" s="8"/>
      <c r="S1" s="1"/>
      <c r="T1" s="8"/>
      <c r="U1" s="8"/>
      <c r="V1" s="8"/>
      <c r="W1" s="8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3.5" customHeight="1">
      <c r="A2" s="1"/>
      <c r="B2" s="1"/>
      <c r="C2" s="2" t="s">
        <v>3</v>
      </c>
      <c r="D2" s="574">
        <v>80000.0</v>
      </c>
      <c r="E2" s="21"/>
      <c r="F2" s="21"/>
      <c r="G2" s="5"/>
      <c r="H2" s="5"/>
      <c r="I2" s="6"/>
      <c r="J2" s="7"/>
      <c r="K2" s="6"/>
      <c r="L2" s="8"/>
      <c r="M2" s="1"/>
      <c r="N2" s="8"/>
      <c r="O2" s="8"/>
      <c r="P2" s="9"/>
      <c r="Q2" s="23" t="s">
        <v>4</v>
      </c>
      <c r="R2" s="24"/>
      <c r="S2" s="1"/>
      <c r="T2" s="8"/>
      <c r="U2" s="8"/>
      <c r="V2" s="8"/>
      <c r="W2" s="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ht="13.5" customHeight="1">
      <c r="A3" s="1"/>
      <c r="B3" s="1"/>
      <c r="C3" s="2" t="s">
        <v>5</v>
      </c>
      <c r="D3" s="575">
        <v>9860.0</v>
      </c>
      <c r="E3" s="26"/>
      <c r="F3" s="26"/>
      <c r="G3" s="5"/>
      <c r="H3" s="5"/>
      <c r="I3" s="6"/>
      <c r="J3" s="7"/>
      <c r="K3" s="6"/>
      <c r="L3" s="8"/>
      <c r="M3" s="1"/>
      <c r="N3" s="8"/>
      <c r="O3" s="8"/>
      <c r="P3" s="9"/>
      <c r="Q3" s="28" t="s">
        <v>6</v>
      </c>
      <c r="R3" s="29">
        <v>0.1</v>
      </c>
      <c r="S3" s="1"/>
      <c r="T3" s="8"/>
      <c r="U3" s="8"/>
      <c r="V3" s="8"/>
      <c r="W3" s="8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ht="13.5" customHeight="1">
      <c r="A4" s="1"/>
      <c r="B4" s="1"/>
      <c r="C4" s="2" t="s">
        <v>7</v>
      </c>
      <c r="D4" s="576">
        <v>8500.0</v>
      </c>
      <c r="E4" s="26"/>
      <c r="F4" s="577"/>
      <c r="G4" s="5"/>
      <c r="H4" s="5"/>
      <c r="I4" s="6"/>
      <c r="J4" s="7"/>
      <c r="K4" s="6"/>
      <c r="L4" s="8"/>
      <c r="M4" s="1"/>
      <c r="N4" s="8"/>
      <c r="O4" s="8"/>
      <c r="P4" s="9"/>
      <c r="Q4" s="28" t="s">
        <v>8</v>
      </c>
      <c r="R4" s="29">
        <v>0.05</v>
      </c>
      <c r="S4" s="1"/>
      <c r="T4" s="8"/>
      <c r="U4" s="8"/>
      <c r="V4" s="8"/>
      <c r="W4" s="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ht="13.5" customHeight="1">
      <c r="A5" s="1"/>
      <c r="B5" s="1"/>
      <c r="C5" s="2" t="s">
        <v>9</v>
      </c>
      <c r="D5" s="596">
        <v>7.06</v>
      </c>
      <c r="E5" s="34"/>
      <c r="F5" s="577"/>
      <c r="G5" s="5"/>
      <c r="H5" s="5"/>
      <c r="I5" s="6"/>
      <c r="J5" s="7"/>
      <c r="K5" s="6"/>
      <c r="L5" s="8"/>
      <c r="M5" s="1"/>
      <c r="N5" s="8"/>
      <c r="O5" s="8"/>
      <c r="P5" s="9"/>
      <c r="Q5" s="35" t="s">
        <v>10</v>
      </c>
      <c r="R5" s="36">
        <v>0.0</v>
      </c>
      <c r="S5" s="1"/>
      <c r="T5" s="8"/>
      <c r="U5" s="8"/>
      <c r="V5" s="8"/>
      <c r="W5" s="8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ht="13.5" customHeight="1">
      <c r="A6" s="39"/>
      <c r="B6" s="39" t="s">
        <v>11</v>
      </c>
      <c r="C6" s="2" t="s">
        <v>12</v>
      </c>
      <c r="D6" s="576">
        <v>1.16</v>
      </c>
      <c r="E6" s="42"/>
      <c r="F6" s="34"/>
      <c r="G6" s="5"/>
      <c r="H6" s="5"/>
      <c r="I6" s="13"/>
      <c r="J6" s="8"/>
      <c r="K6" s="13"/>
      <c r="L6" s="8"/>
      <c r="M6" s="1"/>
      <c r="N6" s="8"/>
      <c r="O6" s="8"/>
      <c r="P6" s="9"/>
      <c r="Q6" s="8"/>
      <c r="R6" s="8"/>
      <c r="S6" s="1"/>
      <c r="T6" s="8"/>
      <c r="U6" s="8"/>
      <c r="V6" s="8"/>
      <c r="W6" s="8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ht="13.5" customHeight="1">
      <c r="A7" s="39"/>
      <c r="B7" s="39"/>
      <c r="C7" s="2" t="s">
        <v>16</v>
      </c>
      <c r="D7" s="596">
        <v>8.189599999999999</v>
      </c>
      <c r="E7" s="42"/>
      <c r="F7" s="34"/>
      <c r="G7" s="5"/>
      <c r="H7" s="5"/>
      <c r="I7" s="13"/>
      <c r="J7" s="8"/>
      <c r="K7" s="13"/>
      <c r="L7" s="8"/>
      <c r="M7" s="1"/>
      <c r="N7" s="8"/>
      <c r="O7" s="8"/>
      <c r="P7" s="9"/>
      <c r="Q7" s="8"/>
      <c r="R7" s="8"/>
      <c r="S7" s="1"/>
      <c r="T7" s="8"/>
      <c r="U7" s="8"/>
      <c r="V7" s="8"/>
      <c r="W7" s="8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ht="13.5" customHeight="1">
      <c r="A8" s="48"/>
      <c r="B8" s="48" t="s">
        <v>4373</v>
      </c>
      <c r="C8" s="2"/>
      <c r="D8" s="2"/>
      <c r="E8" s="2"/>
      <c r="F8" s="51"/>
      <c r="G8" s="2"/>
      <c r="H8" s="2"/>
      <c r="I8" s="53"/>
      <c r="J8" s="8"/>
      <c r="K8" s="13"/>
      <c r="L8" s="8"/>
      <c r="M8" s="1"/>
      <c r="N8" s="8"/>
      <c r="O8" s="8"/>
      <c r="P8" s="9"/>
      <c r="Q8" s="8"/>
      <c r="R8" s="8"/>
      <c r="S8" s="1"/>
      <c r="T8" s="8"/>
      <c r="U8" s="8"/>
      <c r="V8" s="8"/>
      <c r="W8" s="8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ht="13.5" customHeight="1">
      <c r="A9" s="1"/>
      <c r="B9" s="1"/>
      <c r="C9" s="1"/>
      <c r="D9" s="13"/>
      <c r="E9" s="8"/>
      <c r="F9" s="8"/>
      <c r="G9" s="5"/>
      <c r="H9" s="5"/>
      <c r="I9" s="13"/>
      <c r="J9" s="8"/>
      <c r="K9" s="13"/>
      <c r="L9" s="8"/>
      <c r="M9" s="1"/>
      <c r="N9" s="8"/>
      <c r="O9" s="8"/>
      <c r="P9" s="9"/>
      <c r="Q9" s="8"/>
      <c r="R9" s="8"/>
      <c r="S9" s="1"/>
      <c r="T9" s="8"/>
      <c r="U9" s="8"/>
      <c r="V9" s="8"/>
      <c r="W9" s="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ht="34.5" customHeight="1">
      <c r="A10" s="78" t="s">
        <v>24</v>
      </c>
      <c r="B10" s="78" t="s">
        <v>3911</v>
      </c>
      <c r="C10" s="80" t="s">
        <v>28</v>
      </c>
      <c r="D10" s="80" t="s">
        <v>29</v>
      </c>
      <c r="E10" s="81" t="s">
        <v>30</v>
      </c>
      <c r="F10" s="81" t="s">
        <v>31</v>
      </c>
      <c r="G10" s="80" t="s">
        <v>33</v>
      </c>
      <c r="H10" s="80" t="s">
        <v>34</v>
      </c>
      <c r="I10" s="80" t="s">
        <v>36</v>
      </c>
      <c r="J10" s="81" t="s">
        <v>37</v>
      </c>
      <c r="K10" s="80" t="s">
        <v>38</v>
      </c>
      <c r="L10" s="82" t="s">
        <v>39</v>
      </c>
      <c r="M10" s="83" t="s">
        <v>40</v>
      </c>
      <c r="N10" s="81" t="s">
        <v>41</v>
      </c>
      <c r="O10" s="82" t="s">
        <v>42</v>
      </c>
      <c r="P10" s="84" t="s">
        <v>44</v>
      </c>
      <c r="Q10" s="86" t="s">
        <v>3984</v>
      </c>
      <c r="R10" s="86" t="s">
        <v>61</v>
      </c>
      <c r="S10" s="1"/>
      <c r="T10" s="86" t="s">
        <v>80</v>
      </c>
      <c r="U10" s="86" t="s">
        <v>81</v>
      </c>
      <c r="V10" s="86" t="s">
        <v>82</v>
      </c>
      <c r="W10" s="86" t="s">
        <v>83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13.5" customHeight="1">
      <c r="A11" s="423" t="s">
        <v>84</v>
      </c>
      <c r="B11" s="423" t="s">
        <v>86</v>
      </c>
      <c r="C11" s="581" t="s">
        <v>87</v>
      </c>
      <c r="D11" s="582" t="s">
        <v>121</v>
      </c>
      <c r="E11" s="361" t="s">
        <v>107</v>
      </c>
      <c r="F11" s="361">
        <v>23.0</v>
      </c>
      <c r="G11" s="583" t="s">
        <v>164</v>
      </c>
      <c r="H11" s="583" t="s">
        <v>3992</v>
      </c>
      <c r="I11" s="582" t="s">
        <v>166</v>
      </c>
      <c r="J11" s="361" t="s">
        <v>106</v>
      </c>
      <c r="K11" s="585" t="s">
        <v>95</v>
      </c>
      <c r="L11" s="134">
        <v>17.5</v>
      </c>
      <c r="M11" s="423" t="s">
        <v>96</v>
      </c>
      <c r="N11" s="134" t="s">
        <v>97</v>
      </c>
      <c r="O11" s="134">
        <v>9.0</v>
      </c>
      <c r="P11" s="361" t="s">
        <v>101</v>
      </c>
      <c r="Q11" s="597">
        <v>353.5697035806931</v>
      </c>
      <c r="R11" s="126" t="s">
        <v>10</v>
      </c>
      <c r="S11" s="49"/>
      <c r="T11" s="118">
        <v>1178.5656786023103</v>
      </c>
      <c r="U11" s="118">
        <v>707.1394071613862</v>
      </c>
      <c r="V11" s="118">
        <v>589.2828393011551</v>
      </c>
      <c r="W11" s="118">
        <v>471.42627144092415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</row>
    <row r="12" ht="13.5" customHeight="1">
      <c r="A12" s="423" t="s">
        <v>84</v>
      </c>
      <c r="B12" s="423" t="s">
        <v>86</v>
      </c>
      <c r="C12" s="581" t="s">
        <v>87</v>
      </c>
      <c r="D12" s="582" t="s">
        <v>121</v>
      </c>
      <c r="E12" s="361" t="s">
        <v>107</v>
      </c>
      <c r="F12" s="361">
        <v>23.0</v>
      </c>
      <c r="G12" s="583" t="s">
        <v>169</v>
      </c>
      <c r="H12" s="583" t="s">
        <v>3993</v>
      </c>
      <c r="I12" s="582" t="s">
        <v>171</v>
      </c>
      <c r="J12" s="361" t="s">
        <v>106</v>
      </c>
      <c r="K12" s="585" t="s">
        <v>95</v>
      </c>
      <c r="L12" s="134">
        <v>35.0</v>
      </c>
      <c r="M12" s="423" t="s">
        <v>96</v>
      </c>
      <c r="N12" s="134" t="s">
        <v>97</v>
      </c>
      <c r="O12" s="134">
        <v>4.0</v>
      </c>
      <c r="P12" s="361" t="s">
        <v>101</v>
      </c>
      <c r="Q12" s="597">
        <v>724.4840490257443</v>
      </c>
      <c r="R12" s="126" t="s">
        <v>10</v>
      </c>
      <c r="S12" s="49"/>
      <c r="T12" s="118">
        <v>2414.9468300858143</v>
      </c>
      <c r="U12" s="118">
        <v>1448.9680980514886</v>
      </c>
      <c r="V12" s="118">
        <v>1207.4734150429072</v>
      </c>
      <c r="W12" s="118">
        <v>965.9787320343257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</row>
    <row r="13" ht="13.5" customHeight="1">
      <c r="A13" s="423" t="s">
        <v>179</v>
      </c>
      <c r="B13" s="423" t="s">
        <v>86</v>
      </c>
      <c r="C13" s="581" t="s">
        <v>87</v>
      </c>
      <c r="D13" s="582" t="s">
        <v>121</v>
      </c>
      <c r="E13" s="361" t="s">
        <v>107</v>
      </c>
      <c r="F13" s="361">
        <v>24.0</v>
      </c>
      <c r="G13" s="583" t="s">
        <v>187</v>
      </c>
      <c r="H13" s="583" t="s">
        <v>778</v>
      </c>
      <c r="I13" s="582" t="s">
        <v>189</v>
      </c>
      <c r="J13" s="361" t="s">
        <v>106</v>
      </c>
      <c r="K13" s="585" t="s">
        <v>95</v>
      </c>
      <c r="L13" s="134">
        <v>17.5</v>
      </c>
      <c r="M13" s="423" t="s">
        <v>96</v>
      </c>
      <c r="N13" s="134" t="s">
        <v>97</v>
      </c>
      <c r="O13" s="134">
        <v>9.0</v>
      </c>
      <c r="P13" s="361" t="s">
        <v>101</v>
      </c>
      <c r="Q13" s="597">
        <v>315.1957858024089</v>
      </c>
      <c r="R13" s="126" t="s">
        <v>10</v>
      </c>
      <c r="S13" s="49"/>
      <c r="T13" s="118">
        <v>1050.652619341363</v>
      </c>
      <c r="U13" s="118">
        <v>630.3915716048178</v>
      </c>
      <c r="V13" s="118">
        <v>525.3263096706816</v>
      </c>
      <c r="W13" s="118">
        <v>420.26104773654527</v>
      </c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</row>
    <row r="14" ht="13.5" customHeight="1">
      <c r="A14" s="423" t="s">
        <v>179</v>
      </c>
      <c r="B14" s="423" t="s">
        <v>86</v>
      </c>
      <c r="C14" s="581" t="s">
        <v>87</v>
      </c>
      <c r="D14" s="582" t="s">
        <v>121</v>
      </c>
      <c r="E14" s="361" t="s">
        <v>107</v>
      </c>
      <c r="F14" s="361">
        <v>24.0</v>
      </c>
      <c r="G14" s="583" t="s">
        <v>191</v>
      </c>
      <c r="H14" s="583" t="s">
        <v>778</v>
      </c>
      <c r="I14" s="582" t="s">
        <v>193</v>
      </c>
      <c r="J14" s="361" t="s">
        <v>106</v>
      </c>
      <c r="K14" s="585" t="s">
        <v>95</v>
      </c>
      <c r="L14" s="134">
        <v>17.5</v>
      </c>
      <c r="M14" s="423" t="s">
        <v>177</v>
      </c>
      <c r="N14" s="134" t="s">
        <v>97</v>
      </c>
      <c r="O14" s="134">
        <v>6.8625</v>
      </c>
      <c r="P14" s="361" t="s">
        <v>101</v>
      </c>
      <c r="Q14" s="597">
        <v>320.63764646632643</v>
      </c>
      <c r="R14" s="126" t="s">
        <v>10</v>
      </c>
      <c r="S14" s="49"/>
      <c r="T14" s="118">
        <v>1068.7921548877548</v>
      </c>
      <c r="U14" s="118">
        <v>641.2752929326529</v>
      </c>
      <c r="V14" s="118">
        <v>534.3960774438774</v>
      </c>
      <c r="W14" s="118">
        <v>427.51686195510194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</row>
    <row r="15" ht="13.5" customHeight="1">
      <c r="A15" s="423" t="s">
        <v>84</v>
      </c>
      <c r="B15" s="423" t="s">
        <v>86</v>
      </c>
      <c r="C15" s="581" t="s">
        <v>87</v>
      </c>
      <c r="D15" s="582" t="s">
        <v>207</v>
      </c>
      <c r="E15" s="361" t="s">
        <v>246</v>
      </c>
      <c r="F15" s="361">
        <v>23.0</v>
      </c>
      <c r="G15" s="583" t="s">
        <v>248</v>
      </c>
      <c r="H15" s="583" t="s">
        <v>3995</v>
      </c>
      <c r="I15" s="582" t="s">
        <v>250</v>
      </c>
      <c r="J15" s="361" t="s">
        <v>106</v>
      </c>
      <c r="K15" s="585" t="s">
        <v>95</v>
      </c>
      <c r="L15" s="134">
        <v>17.8</v>
      </c>
      <c r="M15" s="423" t="s">
        <v>96</v>
      </c>
      <c r="N15" s="134" t="s">
        <v>97</v>
      </c>
      <c r="O15" s="134">
        <v>9.0</v>
      </c>
      <c r="P15" s="361" t="s">
        <v>101</v>
      </c>
      <c r="Q15" s="597">
        <v>368.81760537372537</v>
      </c>
      <c r="R15" s="126" t="s">
        <v>10</v>
      </c>
      <c r="S15" s="49"/>
      <c r="T15" s="118">
        <v>1229.392017912418</v>
      </c>
      <c r="U15" s="118">
        <v>737.6352107474507</v>
      </c>
      <c r="V15" s="118">
        <v>614.696008956209</v>
      </c>
      <c r="W15" s="118">
        <v>491.7568071649672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</row>
    <row r="16" ht="13.5" customHeight="1">
      <c r="A16" s="423" t="s">
        <v>84</v>
      </c>
      <c r="B16" s="423" t="s">
        <v>86</v>
      </c>
      <c r="C16" s="581" t="s">
        <v>87</v>
      </c>
      <c r="D16" s="582" t="s">
        <v>207</v>
      </c>
      <c r="E16" s="361" t="s">
        <v>246</v>
      </c>
      <c r="F16" s="361">
        <v>23.0</v>
      </c>
      <c r="G16" s="583" t="s">
        <v>253</v>
      </c>
      <c r="H16" s="583" t="s">
        <v>3996</v>
      </c>
      <c r="I16" s="582" t="s">
        <v>255</v>
      </c>
      <c r="J16" s="361" t="s">
        <v>106</v>
      </c>
      <c r="K16" s="585" t="s">
        <v>95</v>
      </c>
      <c r="L16" s="134">
        <v>35.6</v>
      </c>
      <c r="M16" s="423" t="s">
        <v>96</v>
      </c>
      <c r="N16" s="134" t="s">
        <v>97</v>
      </c>
      <c r="O16" s="134">
        <v>4.0</v>
      </c>
      <c r="P16" s="361" t="s">
        <v>101</v>
      </c>
      <c r="Q16" s="597">
        <v>755.3327900900556</v>
      </c>
      <c r="R16" s="126" t="s">
        <v>10</v>
      </c>
      <c r="S16" s="49"/>
      <c r="T16" s="118">
        <v>2517.775966966852</v>
      </c>
      <c r="U16" s="118">
        <v>1510.6655801801112</v>
      </c>
      <c r="V16" s="118">
        <v>1258.887983483426</v>
      </c>
      <c r="W16" s="118">
        <v>1007.110386786741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</row>
    <row r="17" ht="13.5" customHeight="1">
      <c r="A17" s="423" t="s">
        <v>84</v>
      </c>
      <c r="B17" s="423" t="s">
        <v>86</v>
      </c>
      <c r="C17" s="581" t="s">
        <v>87</v>
      </c>
      <c r="D17" s="582" t="s">
        <v>207</v>
      </c>
      <c r="E17" s="361" t="s">
        <v>107</v>
      </c>
      <c r="F17" s="361">
        <v>23.0</v>
      </c>
      <c r="G17" s="583" t="s">
        <v>290</v>
      </c>
      <c r="H17" s="583" t="s">
        <v>3997</v>
      </c>
      <c r="I17" s="582" t="s">
        <v>292</v>
      </c>
      <c r="J17" s="361" t="s">
        <v>106</v>
      </c>
      <c r="K17" s="585" t="s">
        <v>95</v>
      </c>
      <c r="L17" s="134">
        <v>16.6</v>
      </c>
      <c r="M17" s="423" t="s">
        <v>96</v>
      </c>
      <c r="N17" s="134" t="s">
        <v>97</v>
      </c>
      <c r="O17" s="134">
        <v>9.0</v>
      </c>
      <c r="P17" s="361" t="s">
        <v>101</v>
      </c>
      <c r="Q17" s="597">
        <v>350.6782557292105</v>
      </c>
      <c r="R17" s="126" t="s">
        <v>10</v>
      </c>
      <c r="S17" s="49"/>
      <c r="T17" s="178">
        <v>1168.9275190973683</v>
      </c>
      <c r="U17" s="178">
        <v>701.356511458421</v>
      </c>
      <c r="V17" s="178">
        <v>584.4637595486842</v>
      </c>
      <c r="W17" s="178">
        <v>467.5710076389473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</row>
    <row r="18" ht="13.5" customHeight="1">
      <c r="A18" s="423" t="s">
        <v>84</v>
      </c>
      <c r="B18" s="423" t="s">
        <v>86</v>
      </c>
      <c r="C18" s="581" t="s">
        <v>87</v>
      </c>
      <c r="D18" s="582" t="s">
        <v>207</v>
      </c>
      <c r="E18" s="361" t="s">
        <v>107</v>
      </c>
      <c r="F18" s="361">
        <v>23.0</v>
      </c>
      <c r="G18" s="583" t="s">
        <v>294</v>
      </c>
      <c r="H18" s="583" t="s">
        <v>778</v>
      </c>
      <c r="I18" s="582" t="s">
        <v>296</v>
      </c>
      <c r="J18" s="361" t="s">
        <v>162</v>
      </c>
      <c r="K18" s="585" t="s">
        <v>95</v>
      </c>
      <c r="L18" s="134">
        <v>16.6</v>
      </c>
      <c r="M18" s="423" t="s">
        <v>96</v>
      </c>
      <c r="N18" s="134" t="s">
        <v>97</v>
      </c>
      <c r="O18" s="134">
        <v>9.0</v>
      </c>
      <c r="P18" s="361" t="s">
        <v>101</v>
      </c>
      <c r="Q18" s="597">
        <v>364.36544092595665</v>
      </c>
      <c r="R18" s="126" t="s">
        <v>10</v>
      </c>
      <c r="S18" s="49"/>
      <c r="T18" s="178">
        <v>1214.551469753189</v>
      </c>
      <c r="U18" s="178">
        <v>728.7308818519133</v>
      </c>
      <c r="V18" s="178">
        <v>607.2757348765945</v>
      </c>
      <c r="W18" s="178">
        <v>485.8205879012756</v>
      </c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</row>
    <row r="19" ht="13.5" customHeight="1">
      <c r="A19" s="423" t="s">
        <v>84</v>
      </c>
      <c r="B19" s="423" t="s">
        <v>86</v>
      </c>
      <c r="C19" s="581" t="s">
        <v>87</v>
      </c>
      <c r="D19" s="582" t="s">
        <v>207</v>
      </c>
      <c r="E19" s="361" t="s">
        <v>299</v>
      </c>
      <c r="F19" s="361">
        <v>23.0</v>
      </c>
      <c r="G19" s="583" t="s">
        <v>301</v>
      </c>
      <c r="H19" s="583" t="s">
        <v>3998</v>
      </c>
      <c r="I19" s="582" t="s">
        <v>303</v>
      </c>
      <c r="J19" s="361" t="s">
        <v>106</v>
      </c>
      <c r="K19" s="585" t="s">
        <v>95</v>
      </c>
      <c r="L19" s="134">
        <v>17.8</v>
      </c>
      <c r="M19" s="423" t="s">
        <v>96</v>
      </c>
      <c r="N19" s="134" t="s">
        <v>97</v>
      </c>
      <c r="O19" s="134">
        <v>9.0</v>
      </c>
      <c r="P19" s="361" t="s">
        <v>101</v>
      </c>
      <c r="Q19" s="597">
        <v>371.61080374912547</v>
      </c>
      <c r="R19" s="126" t="s">
        <v>10</v>
      </c>
      <c r="S19" s="49"/>
      <c r="T19" s="118">
        <v>1238.7026791637516</v>
      </c>
      <c r="U19" s="118">
        <v>743.2216074982509</v>
      </c>
      <c r="V19" s="118">
        <v>619.3513395818758</v>
      </c>
      <c r="W19" s="118">
        <v>495.4810716655006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</row>
    <row r="20" ht="13.5" customHeight="1">
      <c r="A20" s="423" t="s">
        <v>84</v>
      </c>
      <c r="B20" s="423" t="s">
        <v>86</v>
      </c>
      <c r="C20" s="581" t="s">
        <v>87</v>
      </c>
      <c r="D20" s="582" t="s">
        <v>207</v>
      </c>
      <c r="E20" s="361" t="s">
        <v>299</v>
      </c>
      <c r="F20" s="361">
        <v>23.0</v>
      </c>
      <c r="G20" s="583" t="s">
        <v>306</v>
      </c>
      <c r="H20" s="583" t="s">
        <v>3999</v>
      </c>
      <c r="I20" s="582" t="s">
        <v>308</v>
      </c>
      <c r="J20" s="361" t="s">
        <v>106</v>
      </c>
      <c r="K20" s="585" t="s">
        <v>95</v>
      </c>
      <c r="L20" s="134">
        <v>35.6</v>
      </c>
      <c r="M20" s="423" t="s">
        <v>96</v>
      </c>
      <c r="N20" s="134" t="s">
        <v>97</v>
      </c>
      <c r="O20" s="134">
        <v>4.0</v>
      </c>
      <c r="P20" s="361" t="s">
        <v>101</v>
      </c>
      <c r="Q20" s="597">
        <v>766.0536415973684</v>
      </c>
      <c r="R20" s="126" t="s">
        <v>10</v>
      </c>
      <c r="S20" s="49"/>
      <c r="T20" s="118">
        <v>2553.512138657895</v>
      </c>
      <c r="U20" s="118">
        <v>1532.107283194737</v>
      </c>
      <c r="V20" s="118">
        <v>1276.7560693289474</v>
      </c>
      <c r="W20" s="118">
        <v>1021.404855463158</v>
      </c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</row>
    <row r="21" ht="13.5" customHeight="1">
      <c r="A21" s="423" t="s">
        <v>84</v>
      </c>
      <c r="B21" s="423" t="s">
        <v>86</v>
      </c>
      <c r="C21" s="581" t="s">
        <v>87</v>
      </c>
      <c r="D21" s="582" t="s">
        <v>207</v>
      </c>
      <c r="E21" s="361" t="s">
        <v>299</v>
      </c>
      <c r="F21" s="361">
        <v>23.0</v>
      </c>
      <c r="G21" s="583" t="s">
        <v>311</v>
      </c>
      <c r="H21" s="583" t="s">
        <v>4000</v>
      </c>
      <c r="I21" s="582" t="s">
        <v>313</v>
      </c>
      <c r="J21" s="361" t="s">
        <v>106</v>
      </c>
      <c r="K21" s="585" t="s">
        <v>95</v>
      </c>
      <c r="L21" s="134">
        <v>17.8</v>
      </c>
      <c r="M21" s="423" t="s">
        <v>96</v>
      </c>
      <c r="N21" s="134" t="s">
        <v>97</v>
      </c>
      <c r="O21" s="134">
        <v>9.0</v>
      </c>
      <c r="P21" s="361" t="s">
        <v>101</v>
      </c>
      <c r="Q21" s="597">
        <v>371.61080374912547</v>
      </c>
      <c r="R21" s="126" t="s">
        <v>10</v>
      </c>
      <c r="S21" s="49"/>
      <c r="T21" s="118">
        <v>1238.7026791637516</v>
      </c>
      <c r="U21" s="118">
        <v>743.2216074982509</v>
      </c>
      <c r="V21" s="118">
        <v>619.3513395818758</v>
      </c>
      <c r="W21" s="118">
        <v>495.4810716655006</v>
      </c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</row>
    <row r="22" ht="13.5" customHeight="1">
      <c r="A22" s="423" t="s">
        <v>84</v>
      </c>
      <c r="B22" s="423" t="s">
        <v>86</v>
      </c>
      <c r="C22" s="581" t="s">
        <v>87</v>
      </c>
      <c r="D22" s="582" t="s">
        <v>207</v>
      </c>
      <c r="E22" s="361" t="s">
        <v>299</v>
      </c>
      <c r="F22" s="361">
        <v>23.0</v>
      </c>
      <c r="G22" s="583" t="s">
        <v>315</v>
      </c>
      <c r="H22" s="583" t="s">
        <v>4001</v>
      </c>
      <c r="I22" s="582" t="s">
        <v>317</v>
      </c>
      <c r="J22" s="361" t="s">
        <v>106</v>
      </c>
      <c r="K22" s="585" t="s">
        <v>95</v>
      </c>
      <c r="L22" s="134">
        <v>35.6</v>
      </c>
      <c r="M22" s="423" t="s">
        <v>96</v>
      </c>
      <c r="N22" s="134" t="s">
        <v>97</v>
      </c>
      <c r="O22" s="134">
        <v>4.0</v>
      </c>
      <c r="P22" s="361" t="s">
        <v>101</v>
      </c>
      <c r="Q22" s="597">
        <v>766.0536415973684</v>
      </c>
      <c r="R22" s="126" t="s">
        <v>10</v>
      </c>
      <c r="S22" s="49"/>
      <c r="T22" s="118">
        <v>2553.512138657895</v>
      </c>
      <c r="U22" s="118">
        <v>1532.107283194737</v>
      </c>
      <c r="V22" s="118">
        <v>1276.7560693289474</v>
      </c>
      <c r="W22" s="118">
        <v>1021.404855463158</v>
      </c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</row>
    <row r="23" ht="13.5" customHeight="1">
      <c r="A23" s="423" t="s">
        <v>84</v>
      </c>
      <c r="B23" s="423" t="s">
        <v>86</v>
      </c>
      <c r="C23" s="581" t="s">
        <v>87</v>
      </c>
      <c r="D23" s="582" t="s">
        <v>207</v>
      </c>
      <c r="E23" s="361" t="s">
        <v>299</v>
      </c>
      <c r="F23" s="361">
        <v>23.0</v>
      </c>
      <c r="G23" s="583" t="s">
        <v>319</v>
      </c>
      <c r="H23" s="583" t="s">
        <v>4002</v>
      </c>
      <c r="I23" s="582" t="s">
        <v>303</v>
      </c>
      <c r="J23" s="361" t="s">
        <v>106</v>
      </c>
      <c r="K23" s="585" t="s">
        <v>95</v>
      </c>
      <c r="L23" s="134">
        <v>17.8</v>
      </c>
      <c r="M23" s="423" t="s">
        <v>132</v>
      </c>
      <c r="N23" s="134" t="s">
        <v>97</v>
      </c>
      <c r="O23" s="134">
        <v>5.49</v>
      </c>
      <c r="P23" s="361" t="s">
        <v>101</v>
      </c>
      <c r="Q23" s="597">
        <v>387.74208970075136</v>
      </c>
      <c r="R23" s="126" t="s">
        <v>10</v>
      </c>
      <c r="S23" s="49"/>
      <c r="T23" s="118">
        <v>1292.473632335838</v>
      </c>
      <c r="U23" s="118">
        <v>775.4841794015027</v>
      </c>
      <c r="V23" s="118">
        <v>646.236816167919</v>
      </c>
      <c r="W23" s="118">
        <v>516.9894529343352</v>
      </c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</row>
    <row r="24" ht="13.5" customHeight="1">
      <c r="A24" s="423" t="s">
        <v>84</v>
      </c>
      <c r="B24" s="423" t="s">
        <v>86</v>
      </c>
      <c r="C24" s="581" t="s">
        <v>87</v>
      </c>
      <c r="D24" s="582" t="s">
        <v>207</v>
      </c>
      <c r="E24" s="361" t="s">
        <v>299</v>
      </c>
      <c r="F24" s="361">
        <v>23.0</v>
      </c>
      <c r="G24" s="583" t="s">
        <v>324</v>
      </c>
      <c r="H24" s="583" t="s">
        <v>4003</v>
      </c>
      <c r="I24" s="582" t="s">
        <v>326</v>
      </c>
      <c r="J24" s="361" t="s">
        <v>162</v>
      </c>
      <c r="K24" s="585" t="s">
        <v>95</v>
      </c>
      <c r="L24" s="134">
        <v>17.8</v>
      </c>
      <c r="M24" s="423" t="s">
        <v>96</v>
      </c>
      <c r="N24" s="134" t="s">
        <v>97</v>
      </c>
      <c r="O24" s="134">
        <v>9.0</v>
      </c>
      <c r="P24" s="361" t="s">
        <v>101</v>
      </c>
      <c r="Q24" s="597">
        <v>396.91154435207227</v>
      </c>
      <c r="R24" s="126" t="s">
        <v>10</v>
      </c>
      <c r="S24" s="49"/>
      <c r="T24" s="118">
        <v>1323.0384811735744</v>
      </c>
      <c r="U24" s="118">
        <v>793.8230887041447</v>
      </c>
      <c r="V24" s="118">
        <v>661.5192405867872</v>
      </c>
      <c r="W24" s="118">
        <v>529.2153924694297</v>
      </c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</row>
    <row r="25" ht="13.5" customHeight="1">
      <c r="A25" s="423" t="s">
        <v>84</v>
      </c>
      <c r="B25" s="423" t="s">
        <v>86</v>
      </c>
      <c r="C25" s="581" t="s">
        <v>87</v>
      </c>
      <c r="D25" s="582" t="s">
        <v>207</v>
      </c>
      <c r="E25" s="361" t="s">
        <v>299</v>
      </c>
      <c r="F25" s="361">
        <v>23.0</v>
      </c>
      <c r="G25" s="583" t="s">
        <v>329</v>
      </c>
      <c r="H25" s="583" t="s">
        <v>4004</v>
      </c>
      <c r="I25" s="582" t="s">
        <v>331</v>
      </c>
      <c r="J25" s="361" t="s">
        <v>162</v>
      </c>
      <c r="K25" s="585" t="s">
        <v>95</v>
      </c>
      <c r="L25" s="134">
        <v>35.6</v>
      </c>
      <c r="M25" s="423" t="s">
        <v>96</v>
      </c>
      <c r="N25" s="134" t="s">
        <v>97</v>
      </c>
      <c r="O25" s="134">
        <v>9.0</v>
      </c>
      <c r="P25" s="361" t="s">
        <v>101</v>
      </c>
      <c r="Q25" s="597">
        <v>811.7190486699783</v>
      </c>
      <c r="R25" s="126" t="s">
        <v>10</v>
      </c>
      <c r="S25" s="49"/>
      <c r="T25" s="118">
        <v>2705.730162233261</v>
      </c>
      <c r="U25" s="118">
        <v>1623.4380973399566</v>
      </c>
      <c r="V25" s="118">
        <v>1352.8650811166306</v>
      </c>
      <c r="W25" s="118">
        <v>1082.2920648933045</v>
      </c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</row>
    <row r="26" ht="13.5" customHeight="1">
      <c r="A26" s="423" t="s">
        <v>84</v>
      </c>
      <c r="B26" s="423" t="s">
        <v>86</v>
      </c>
      <c r="C26" s="581" t="s">
        <v>87</v>
      </c>
      <c r="D26" s="582" t="s">
        <v>207</v>
      </c>
      <c r="E26" s="361" t="s">
        <v>299</v>
      </c>
      <c r="F26" s="361">
        <v>23.0</v>
      </c>
      <c r="G26" s="583" t="s">
        <v>301</v>
      </c>
      <c r="H26" s="583" t="s">
        <v>3998</v>
      </c>
      <c r="I26" s="582" t="s">
        <v>303</v>
      </c>
      <c r="J26" s="361" t="s">
        <v>106</v>
      </c>
      <c r="K26" s="585" t="s">
        <v>147</v>
      </c>
      <c r="L26" s="134">
        <v>19.0</v>
      </c>
      <c r="M26" s="423" t="s">
        <v>96</v>
      </c>
      <c r="N26" s="134" t="s">
        <v>97</v>
      </c>
      <c r="O26" s="134">
        <v>9.0</v>
      </c>
      <c r="P26" s="361" t="s">
        <v>98</v>
      </c>
      <c r="Q26" s="597">
        <v>390.583021742141</v>
      </c>
      <c r="R26" s="126" t="s">
        <v>10</v>
      </c>
      <c r="S26" s="49"/>
      <c r="T26" s="118">
        <v>1301.9434058071367</v>
      </c>
      <c r="U26" s="118">
        <v>781.166043484282</v>
      </c>
      <c r="V26" s="118">
        <v>650.9717029035684</v>
      </c>
      <c r="W26" s="118">
        <v>520.7773623228547</v>
      </c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</row>
    <row r="27" ht="13.5" customHeight="1">
      <c r="A27" s="423" t="s">
        <v>84</v>
      </c>
      <c r="B27" s="423" t="s">
        <v>86</v>
      </c>
      <c r="C27" s="581" t="s">
        <v>87</v>
      </c>
      <c r="D27" s="582" t="s">
        <v>207</v>
      </c>
      <c r="E27" s="361" t="s">
        <v>299</v>
      </c>
      <c r="F27" s="361">
        <v>23.0</v>
      </c>
      <c r="G27" s="583" t="s">
        <v>306</v>
      </c>
      <c r="H27" s="583" t="s">
        <v>3999</v>
      </c>
      <c r="I27" s="582" t="s">
        <v>308</v>
      </c>
      <c r="J27" s="361" t="s">
        <v>106</v>
      </c>
      <c r="K27" s="585" t="s">
        <v>147</v>
      </c>
      <c r="L27" s="134">
        <v>37.0</v>
      </c>
      <c r="M27" s="423" t="s">
        <v>96</v>
      </c>
      <c r="N27" s="134" t="s">
        <v>97</v>
      </c>
      <c r="O27" s="134">
        <v>3.0</v>
      </c>
      <c r="P27" s="361" t="s">
        <v>98</v>
      </c>
      <c r="Q27" s="597">
        <v>819.8224241172827</v>
      </c>
      <c r="R27" s="126" t="s">
        <v>10</v>
      </c>
      <c r="S27" s="49"/>
      <c r="T27" s="118">
        <v>2732.741413724276</v>
      </c>
      <c r="U27" s="118">
        <v>1639.6448482345654</v>
      </c>
      <c r="V27" s="118">
        <v>1366.370706862138</v>
      </c>
      <c r="W27" s="118">
        <v>1093.0965654897104</v>
      </c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</row>
    <row r="28" ht="13.5" customHeight="1">
      <c r="A28" s="423" t="s">
        <v>84</v>
      </c>
      <c r="B28" s="423" t="s">
        <v>86</v>
      </c>
      <c r="C28" s="581" t="s">
        <v>87</v>
      </c>
      <c r="D28" s="582" t="s">
        <v>207</v>
      </c>
      <c r="E28" s="361" t="s">
        <v>299</v>
      </c>
      <c r="F28" s="361">
        <v>23.0</v>
      </c>
      <c r="G28" s="583" t="s">
        <v>311</v>
      </c>
      <c r="H28" s="583" t="s">
        <v>4000</v>
      </c>
      <c r="I28" s="582" t="s">
        <v>313</v>
      </c>
      <c r="J28" s="361" t="s">
        <v>106</v>
      </c>
      <c r="K28" s="585" t="s">
        <v>147</v>
      </c>
      <c r="L28" s="134">
        <v>19.0</v>
      </c>
      <c r="M28" s="423" t="s">
        <v>96</v>
      </c>
      <c r="N28" s="134" t="s">
        <v>97</v>
      </c>
      <c r="O28" s="134">
        <v>9.0</v>
      </c>
      <c r="P28" s="361" t="s">
        <v>98</v>
      </c>
      <c r="Q28" s="597">
        <v>390.583021742141</v>
      </c>
      <c r="R28" s="126" t="s">
        <v>10</v>
      </c>
      <c r="S28" s="49"/>
      <c r="T28" s="118">
        <v>1301.9434058071367</v>
      </c>
      <c r="U28" s="118">
        <v>781.166043484282</v>
      </c>
      <c r="V28" s="118">
        <v>650.9717029035684</v>
      </c>
      <c r="W28" s="118">
        <v>520.7773623228547</v>
      </c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</row>
    <row r="29" ht="13.5" customHeight="1">
      <c r="A29" s="423" t="s">
        <v>84</v>
      </c>
      <c r="B29" s="423" t="s">
        <v>86</v>
      </c>
      <c r="C29" s="581" t="s">
        <v>87</v>
      </c>
      <c r="D29" s="582" t="s">
        <v>207</v>
      </c>
      <c r="E29" s="361" t="s">
        <v>299</v>
      </c>
      <c r="F29" s="361">
        <v>23.0</v>
      </c>
      <c r="G29" s="583" t="s">
        <v>315</v>
      </c>
      <c r="H29" s="583" t="s">
        <v>4001</v>
      </c>
      <c r="I29" s="582" t="s">
        <v>317</v>
      </c>
      <c r="J29" s="361" t="s">
        <v>106</v>
      </c>
      <c r="K29" s="585" t="s">
        <v>147</v>
      </c>
      <c r="L29" s="134">
        <v>37.0</v>
      </c>
      <c r="M29" s="423" t="s">
        <v>96</v>
      </c>
      <c r="N29" s="134" t="s">
        <v>97</v>
      </c>
      <c r="O29" s="134">
        <v>3.0</v>
      </c>
      <c r="P29" s="361" t="s">
        <v>98</v>
      </c>
      <c r="Q29" s="597">
        <v>819.8224241172827</v>
      </c>
      <c r="R29" s="126" t="s">
        <v>10</v>
      </c>
      <c r="S29" s="49"/>
      <c r="T29" s="118">
        <v>2732.741413724276</v>
      </c>
      <c r="U29" s="118">
        <v>1639.6448482345654</v>
      </c>
      <c r="V29" s="118">
        <v>1366.370706862138</v>
      </c>
      <c r="W29" s="118">
        <v>1093.0965654897104</v>
      </c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</row>
    <row r="30" ht="13.5" customHeight="1">
      <c r="A30" s="582" t="s">
        <v>84</v>
      </c>
      <c r="B30" s="582" t="s">
        <v>86</v>
      </c>
      <c r="C30" s="582" t="s">
        <v>87</v>
      </c>
      <c r="D30" s="582" t="s">
        <v>207</v>
      </c>
      <c r="E30" s="361" t="s">
        <v>351</v>
      </c>
      <c r="F30" s="361">
        <v>23.0</v>
      </c>
      <c r="G30" s="583" t="s">
        <v>362</v>
      </c>
      <c r="H30" s="583" t="s">
        <v>4005</v>
      </c>
      <c r="I30" s="582" t="s">
        <v>364</v>
      </c>
      <c r="J30" s="361" t="s">
        <v>162</v>
      </c>
      <c r="K30" s="585" t="s">
        <v>95</v>
      </c>
      <c r="L30" s="134">
        <v>21.0</v>
      </c>
      <c r="M30" s="423" t="s">
        <v>96</v>
      </c>
      <c r="N30" s="134" t="s">
        <v>97</v>
      </c>
      <c r="O30" s="134">
        <v>9.0</v>
      </c>
      <c r="P30" s="361" t="s">
        <v>101</v>
      </c>
      <c r="Q30" s="597">
        <v>458.79199147249705</v>
      </c>
      <c r="R30" s="126" t="s">
        <v>10</v>
      </c>
      <c r="S30" s="49"/>
      <c r="T30" s="118">
        <v>1529.3066382416569</v>
      </c>
      <c r="U30" s="118">
        <v>917.5839829449941</v>
      </c>
      <c r="V30" s="118">
        <v>764.6533191208284</v>
      </c>
      <c r="W30" s="118">
        <v>611.7226552966628</v>
      </c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</row>
    <row r="31" ht="13.5" customHeight="1">
      <c r="A31" s="582" t="s">
        <v>84</v>
      </c>
      <c r="B31" s="582" t="s">
        <v>86</v>
      </c>
      <c r="C31" s="582" t="s">
        <v>87</v>
      </c>
      <c r="D31" s="582" t="s">
        <v>207</v>
      </c>
      <c r="E31" s="361" t="s">
        <v>351</v>
      </c>
      <c r="F31" s="361">
        <v>23.0</v>
      </c>
      <c r="G31" s="583" t="s">
        <v>366</v>
      </c>
      <c r="H31" s="583" t="s">
        <v>4006</v>
      </c>
      <c r="I31" s="582" t="s">
        <v>368</v>
      </c>
      <c r="J31" s="361" t="s">
        <v>162</v>
      </c>
      <c r="K31" s="585" t="s">
        <v>95</v>
      </c>
      <c r="L31" s="134">
        <v>42.0</v>
      </c>
      <c r="M31" s="423" t="s">
        <v>96</v>
      </c>
      <c r="N31" s="134" t="s">
        <v>97</v>
      </c>
      <c r="O31" s="134">
        <v>9.0</v>
      </c>
      <c r="P31" s="361" t="s">
        <v>101</v>
      </c>
      <c r="Q31" s="597">
        <v>928.3276716057826</v>
      </c>
      <c r="R31" s="126" t="s">
        <v>10</v>
      </c>
      <c r="S31" s="49"/>
      <c r="T31" s="118">
        <v>3094.4255720192755</v>
      </c>
      <c r="U31" s="118">
        <v>1856.6553432115652</v>
      </c>
      <c r="V31" s="118">
        <v>1547.2127860096377</v>
      </c>
      <c r="W31" s="118">
        <v>1237.7702288077103</v>
      </c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</row>
    <row r="32" ht="13.5" customHeight="1">
      <c r="A32" s="582" t="s">
        <v>84</v>
      </c>
      <c r="B32" s="582" t="s">
        <v>86</v>
      </c>
      <c r="C32" s="582" t="s">
        <v>87</v>
      </c>
      <c r="D32" s="582" t="s">
        <v>207</v>
      </c>
      <c r="E32" s="361" t="s">
        <v>351</v>
      </c>
      <c r="F32" s="361">
        <v>23.0</v>
      </c>
      <c r="G32" s="583" t="s">
        <v>362</v>
      </c>
      <c r="H32" s="583" t="s">
        <v>4005</v>
      </c>
      <c r="I32" s="582" t="s">
        <v>364</v>
      </c>
      <c r="J32" s="361" t="s">
        <v>162</v>
      </c>
      <c r="K32" s="585" t="s">
        <v>147</v>
      </c>
      <c r="L32" s="134">
        <v>23.0</v>
      </c>
      <c r="M32" s="423" t="s">
        <v>96</v>
      </c>
      <c r="N32" s="134" t="s">
        <v>97</v>
      </c>
      <c r="O32" s="134">
        <v>9.0</v>
      </c>
      <c r="P32" s="361" t="s">
        <v>98</v>
      </c>
      <c r="Q32" s="597">
        <v>482.7298850574713</v>
      </c>
      <c r="R32" s="126" t="s">
        <v>10</v>
      </c>
      <c r="S32" s="49"/>
      <c r="T32" s="118">
        <v>1609.0996168582376</v>
      </c>
      <c r="U32" s="118">
        <v>965.4597701149426</v>
      </c>
      <c r="V32" s="118">
        <v>804.5498084291188</v>
      </c>
      <c r="W32" s="118">
        <v>643.639846743295</v>
      </c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</row>
    <row r="33" ht="13.5" customHeight="1">
      <c r="A33" s="582" t="s">
        <v>84</v>
      </c>
      <c r="B33" s="582" t="s">
        <v>86</v>
      </c>
      <c r="C33" s="582" t="s">
        <v>87</v>
      </c>
      <c r="D33" s="582" t="s">
        <v>207</v>
      </c>
      <c r="E33" s="361" t="s">
        <v>351</v>
      </c>
      <c r="F33" s="361">
        <v>23.0</v>
      </c>
      <c r="G33" s="583" t="s">
        <v>366</v>
      </c>
      <c r="H33" s="583" t="s">
        <v>4006</v>
      </c>
      <c r="I33" s="582" t="s">
        <v>368</v>
      </c>
      <c r="J33" s="361" t="s">
        <v>162</v>
      </c>
      <c r="K33" s="585" t="s">
        <v>147</v>
      </c>
      <c r="L33" s="134">
        <v>46.0</v>
      </c>
      <c r="M33" s="423" t="s">
        <v>96</v>
      </c>
      <c r="N33" s="134" t="s">
        <v>97</v>
      </c>
      <c r="O33" s="134">
        <v>9.0</v>
      </c>
      <c r="P33" s="361" t="s">
        <v>98</v>
      </c>
      <c r="Q33" s="597">
        <v>982.6212679823609</v>
      </c>
      <c r="R33" s="126" t="s">
        <v>10</v>
      </c>
      <c r="S33" s="49"/>
      <c r="T33" s="118">
        <v>3275.40422660787</v>
      </c>
      <c r="U33" s="118">
        <v>1965.2425359647218</v>
      </c>
      <c r="V33" s="118">
        <v>1637.702113303935</v>
      </c>
      <c r="W33" s="118">
        <v>1310.1616906431482</v>
      </c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</row>
    <row r="34" ht="13.5" customHeight="1">
      <c r="A34" s="582" t="s">
        <v>84</v>
      </c>
      <c r="B34" s="582" t="s">
        <v>86</v>
      </c>
      <c r="C34" s="582" t="s">
        <v>87</v>
      </c>
      <c r="D34" s="582" t="s">
        <v>207</v>
      </c>
      <c r="E34" s="361" t="s">
        <v>351</v>
      </c>
      <c r="F34" s="361">
        <v>23.0</v>
      </c>
      <c r="G34" s="583" t="s">
        <v>372</v>
      </c>
      <c r="H34" s="583" t="s">
        <v>778</v>
      </c>
      <c r="I34" s="582" t="s">
        <v>374</v>
      </c>
      <c r="J34" s="361" t="s">
        <v>162</v>
      </c>
      <c r="K34" s="585" t="s">
        <v>95</v>
      </c>
      <c r="L34" s="134">
        <v>21.0</v>
      </c>
      <c r="M34" s="423" t="s">
        <v>96</v>
      </c>
      <c r="N34" s="134" t="s">
        <v>97</v>
      </c>
      <c r="O34" s="134">
        <v>9.0</v>
      </c>
      <c r="P34" s="361" t="s">
        <v>101</v>
      </c>
      <c r="Q34" s="597">
        <v>497.71657355593095</v>
      </c>
      <c r="R34" s="126" t="s">
        <v>10</v>
      </c>
      <c r="S34" s="49"/>
      <c r="T34" s="118">
        <v>1659.0552451864367</v>
      </c>
      <c r="U34" s="118">
        <v>995.4331471118619</v>
      </c>
      <c r="V34" s="118">
        <v>829.5276225932183</v>
      </c>
      <c r="W34" s="118">
        <v>663.6220980745748</v>
      </c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</row>
    <row r="35" ht="13.5" customHeight="1">
      <c r="A35" s="582" t="s">
        <v>84</v>
      </c>
      <c r="B35" s="582" t="s">
        <v>86</v>
      </c>
      <c r="C35" s="582" t="s">
        <v>87</v>
      </c>
      <c r="D35" s="582" t="s">
        <v>207</v>
      </c>
      <c r="E35" s="361" t="s">
        <v>351</v>
      </c>
      <c r="F35" s="361">
        <v>23.0</v>
      </c>
      <c r="G35" s="583" t="s">
        <v>376</v>
      </c>
      <c r="H35" s="583" t="s">
        <v>778</v>
      </c>
      <c r="I35" s="582" t="s">
        <v>378</v>
      </c>
      <c r="J35" s="361" t="s">
        <v>201</v>
      </c>
      <c r="K35" s="585" t="s">
        <v>95</v>
      </c>
      <c r="L35" s="134">
        <v>35.12</v>
      </c>
      <c r="M35" s="423" t="s">
        <v>96</v>
      </c>
      <c r="N35" s="134" t="s">
        <v>379</v>
      </c>
      <c r="O35" s="134">
        <v>6.0</v>
      </c>
      <c r="P35" s="361" t="s">
        <v>101</v>
      </c>
      <c r="Q35" s="597">
        <v>1814.392353600618</v>
      </c>
      <c r="R35" s="126" t="s">
        <v>10</v>
      </c>
      <c r="S35" s="49"/>
      <c r="T35" s="118">
        <v>6047.97451200206</v>
      </c>
      <c r="U35" s="118">
        <v>3628.784707201236</v>
      </c>
      <c r="V35" s="118">
        <v>3023.98725600103</v>
      </c>
      <c r="W35" s="118">
        <v>2419.189804800824</v>
      </c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</row>
    <row r="36" ht="13.5" customHeight="1">
      <c r="A36" s="423" t="s">
        <v>84</v>
      </c>
      <c r="B36" s="423" t="s">
        <v>86</v>
      </c>
      <c r="C36" s="581" t="s">
        <v>87</v>
      </c>
      <c r="D36" s="582" t="s">
        <v>386</v>
      </c>
      <c r="E36" s="361" t="s">
        <v>351</v>
      </c>
      <c r="F36" s="361">
        <v>23.0</v>
      </c>
      <c r="G36" s="583" t="s">
        <v>398</v>
      </c>
      <c r="H36" s="583" t="s">
        <v>4008</v>
      </c>
      <c r="I36" s="582" t="s">
        <v>400</v>
      </c>
      <c r="J36" s="361" t="s">
        <v>162</v>
      </c>
      <c r="K36" s="585" t="s">
        <v>95</v>
      </c>
      <c r="L36" s="134">
        <v>21.0</v>
      </c>
      <c r="M36" s="423" t="s">
        <v>96</v>
      </c>
      <c r="N36" s="134" t="s">
        <v>97</v>
      </c>
      <c r="O36" s="134">
        <v>6.0</v>
      </c>
      <c r="P36" s="361" t="s">
        <v>101</v>
      </c>
      <c r="Q36" s="597">
        <v>462.07656322924475</v>
      </c>
      <c r="R36" s="126" t="s">
        <v>10</v>
      </c>
      <c r="S36" s="49"/>
      <c r="T36" s="118">
        <v>1540.2552107641493</v>
      </c>
      <c r="U36" s="118">
        <v>924.1531264584895</v>
      </c>
      <c r="V36" s="118">
        <v>770.1276053820746</v>
      </c>
      <c r="W36" s="118">
        <v>616.1020843056598</v>
      </c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</row>
    <row r="37" ht="13.5" customHeight="1">
      <c r="A37" s="423" t="s">
        <v>84</v>
      </c>
      <c r="B37" s="423" t="s">
        <v>86</v>
      </c>
      <c r="C37" s="581" t="s">
        <v>87</v>
      </c>
      <c r="D37" s="582" t="s">
        <v>386</v>
      </c>
      <c r="E37" s="361" t="s">
        <v>351</v>
      </c>
      <c r="F37" s="361">
        <v>23.0</v>
      </c>
      <c r="G37" s="583" t="s">
        <v>403</v>
      </c>
      <c r="H37" s="583" t="s">
        <v>4009</v>
      </c>
      <c r="I37" s="582" t="s">
        <v>405</v>
      </c>
      <c r="J37" s="361" t="s">
        <v>162</v>
      </c>
      <c r="K37" s="585" t="s">
        <v>95</v>
      </c>
      <c r="L37" s="134">
        <v>42.0</v>
      </c>
      <c r="M37" s="423" t="s">
        <v>96</v>
      </c>
      <c r="N37" s="134" t="s">
        <v>97</v>
      </c>
      <c r="O37" s="134">
        <v>4.0</v>
      </c>
      <c r="P37" s="361" t="s">
        <v>101</v>
      </c>
      <c r="Q37" s="597">
        <v>948.3315053485558</v>
      </c>
      <c r="R37" s="126" t="s">
        <v>10</v>
      </c>
      <c r="S37" s="49"/>
      <c r="T37" s="118">
        <v>3161.1050178285195</v>
      </c>
      <c r="U37" s="118">
        <v>1896.6630106971115</v>
      </c>
      <c r="V37" s="118">
        <v>1580.5525089142598</v>
      </c>
      <c r="W37" s="118">
        <v>1264.442007131408</v>
      </c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</row>
    <row r="38" ht="13.5" customHeight="1">
      <c r="A38" s="423" t="s">
        <v>84</v>
      </c>
      <c r="B38" s="423" t="s">
        <v>86</v>
      </c>
      <c r="C38" s="581" t="s">
        <v>87</v>
      </c>
      <c r="D38" s="582" t="s">
        <v>386</v>
      </c>
      <c r="E38" s="361" t="s">
        <v>351</v>
      </c>
      <c r="F38" s="361">
        <v>23.0</v>
      </c>
      <c r="G38" s="583" t="s">
        <v>398</v>
      </c>
      <c r="H38" s="583" t="s">
        <v>4008</v>
      </c>
      <c r="I38" s="582" t="s">
        <v>400</v>
      </c>
      <c r="J38" s="361" t="s">
        <v>162</v>
      </c>
      <c r="K38" s="585" t="s">
        <v>147</v>
      </c>
      <c r="L38" s="134">
        <v>23.0</v>
      </c>
      <c r="M38" s="423" t="s">
        <v>96</v>
      </c>
      <c r="N38" s="134" t="s">
        <v>97</v>
      </c>
      <c r="O38" s="134">
        <v>8.0</v>
      </c>
      <c r="P38" s="361" t="s">
        <v>98</v>
      </c>
      <c r="Q38" s="597">
        <v>480.6258396775638</v>
      </c>
      <c r="R38" s="126" t="s">
        <v>10</v>
      </c>
      <c r="S38" s="49"/>
      <c r="T38" s="118">
        <v>1602.086132258546</v>
      </c>
      <c r="U38" s="118">
        <v>961.2516793551276</v>
      </c>
      <c r="V38" s="118">
        <v>801.043066129273</v>
      </c>
      <c r="W38" s="118">
        <v>640.8344529034184</v>
      </c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</row>
    <row r="39" ht="13.5" customHeight="1">
      <c r="A39" s="423" t="s">
        <v>84</v>
      </c>
      <c r="B39" s="423" t="s">
        <v>86</v>
      </c>
      <c r="C39" s="581" t="s">
        <v>87</v>
      </c>
      <c r="D39" s="582" t="s">
        <v>386</v>
      </c>
      <c r="E39" s="361" t="s">
        <v>351</v>
      </c>
      <c r="F39" s="361">
        <v>26.0</v>
      </c>
      <c r="G39" s="583" t="s">
        <v>422</v>
      </c>
      <c r="H39" s="583" t="s">
        <v>778</v>
      </c>
      <c r="I39" s="582" t="s">
        <v>424</v>
      </c>
      <c r="J39" s="361" t="s">
        <v>106</v>
      </c>
      <c r="K39" s="585" t="s">
        <v>95</v>
      </c>
      <c r="L39" s="134">
        <v>9.9</v>
      </c>
      <c r="M39" s="423" t="s">
        <v>96</v>
      </c>
      <c r="N39" s="134" t="s">
        <v>97</v>
      </c>
      <c r="O39" s="134">
        <v>4.0</v>
      </c>
      <c r="P39" s="361" t="s">
        <v>101</v>
      </c>
      <c r="Q39" s="597">
        <v>383.54219288575064</v>
      </c>
      <c r="R39" s="126" t="s">
        <v>10</v>
      </c>
      <c r="S39" s="49"/>
      <c r="T39" s="118">
        <v>1278.4739762858355</v>
      </c>
      <c r="U39" s="118">
        <v>767.0843857715013</v>
      </c>
      <c r="V39" s="118">
        <v>639.2369881429178</v>
      </c>
      <c r="W39" s="118">
        <v>511.38959051433426</v>
      </c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</row>
    <row r="40" ht="13.5" customHeight="1">
      <c r="A40" s="423" t="s">
        <v>84</v>
      </c>
      <c r="B40" s="423" t="s">
        <v>86</v>
      </c>
      <c r="C40" s="581" t="s">
        <v>87</v>
      </c>
      <c r="D40" s="582" t="s">
        <v>426</v>
      </c>
      <c r="E40" s="361" t="s">
        <v>351</v>
      </c>
      <c r="F40" s="361">
        <v>23.0</v>
      </c>
      <c r="G40" s="583" t="s">
        <v>428</v>
      </c>
      <c r="H40" s="583" t="s">
        <v>778</v>
      </c>
      <c r="I40" s="582" t="s">
        <v>431</v>
      </c>
      <c r="J40" s="361" t="s">
        <v>201</v>
      </c>
      <c r="K40" s="585" t="s">
        <v>95</v>
      </c>
      <c r="L40" s="134">
        <v>26.0</v>
      </c>
      <c r="M40" s="423" t="s">
        <v>96</v>
      </c>
      <c r="N40" s="134" t="s">
        <v>97</v>
      </c>
      <c r="O40" s="134">
        <v>9.0</v>
      </c>
      <c r="P40" s="361" t="s">
        <v>101</v>
      </c>
      <c r="Q40" s="597">
        <v>606.3787210351146</v>
      </c>
      <c r="R40" s="126" t="s">
        <v>10</v>
      </c>
      <c r="S40" s="49"/>
      <c r="T40" s="118">
        <v>2021.2624034503822</v>
      </c>
      <c r="U40" s="118">
        <v>1212.7574420702292</v>
      </c>
      <c r="V40" s="118">
        <v>1010.6312017251911</v>
      </c>
      <c r="W40" s="118">
        <v>808.504961380153</v>
      </c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</row>
    <row r="41" ht="13.5" customHeight="1">
      <c r="A41" s="423" t="s">
        <v>84</v>
      </c>
      <c r="B41" s="423" t="s">
        <v>86</v>
      </c>
      <c r="C41" s="581" t="s">
        <v>87</v>
      </c>
      <c r="D41" s="582" t="s">
        <v>426</v>
      </c>
      <c r="E41" s="361" t="s">
        <v>351</v>
      </c>
      <c r="F41" s="361">
        <v>23.0</v>
      </c>
      <c r="G41" s="583" t="s">
        <v>428</v>
      </c>
      <c r="H41" s="583" t="s">
        <v>778</v>
      </c>
      <c r="I41" s="582" t="s">
        <v>431</v>
      </c>
      <c r="J41" s="361" t="s">
        <v>201</v>
      </c>
      <c r="K41" s="585" t="s">
        <v>147</v>
      </c>
      <c r="L41" s="134">
        <v>25.0</v>
      </c>
      <c r="M41" s="423" t="s">
        <v>96</v>
      </c>
      <c r="N41" s="134" t="s">
        <v>97</v>
      </c>
      <c r="O41" s="134">
        <v>9.0</v>
      </c>
      <c r="P41" s="361" t="s">
        <v>98</v>
      </c>
      <c r="Q41" s="597">
        <v>568.6630369026013</v>
      </c>
      <c r="R41" s="126" t="s">
        <v>10</v>
      </c>
      <c r="S41" s="49"/>
      <c r="T41" s="118">
        <v>1895.5434563420044</v>
      </c>
      <c r="U41" s="118">
        <v>1137.3260738052027</v>
      </c>
      <c r="V41" s="118">
        <v>947.7717281710022</v>
      </c>
      <c r="W41" s="118">
        <v>758.2173825368018</v>
      </c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</row>
    <row r="42" ht="13.5" customHeight="1">
      <c r="A42" s="423" t="s">
        <v>84</v>
      </c>
      <c r="B42" s="423" t="s">
        <v>86</v>
      </c>
      <c r="C42" s="581" t="s">
        <v>87</v>
      </c>
      <c r="D42" s="582" t="s">
        <v>426</v>
      </c>
      <c r="E42" s="361" t="s">
        <v>351</v>
      </c>
      <c r="F42" s="361">
        <v>22.0</v>
      </c>
      <c r="G42" s="583" t="s">
        <v>435</v>
      </c>
      <c r="H42" s="583" t="s">
        <v>778</v>
      </c>
      <c r="I42" s="582" t="s">
        <v>437</v>
      </c>
      <c r="J42" s="361" t="s">
        <v>201</v>
      </c>
      <c r="K42" s="585" t="s">
        <v>95</v>
      </c>
      <c r="L42" s="134">
        <v>27.6</v>
      </c>
      <c r="M42" s="423" t="s">
        <v>96</v>
      </c>
      <c r="N42" s="134" t="s">
        <v>97</v>
      </c>
      <c r="O42" s="134">
        <v>9.0</v>
      </c>
      <c r="P42" s="361" t="s">
        <v>98</v>
      </c>
      <c r="Q42" s="597">
        <v>661.1491139525413</v>
      </c>
      <c r="R42" s="126" t="s">
        <v>10</v>
      </c>
      <c r="S42" s="49"/>
      <c r="T42" s="118">
        <v>2203.830379841804</v>
      </c>
      <c r="U42" s="118">
        <v>1322.2982279050825</v>
      </c>
      <c r="V42" s="118">
        <v>1101.915189920902</v>
      </c>
      <c r="W42" s="118">
        <v>881.5321519367217</v>
      </c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</row>
    <row r="43" ht="13.5" customHeight="1">
      <c r="A43" s="423" t="s">
        <v>84</v>
      </c>
      <c r="B43" s="423" t="s">
        <v>86</v>
      </c>
      <c r="C43" s="581" t="s">
        <v>87</v>
      </c>
      <c r="D43" s="582" t="s">
        <v>447</v>
      </c>
      <c r="E43" s="361" t="s">
        <v>351</v>
      </c>
      <c r="F43" s="361">
        <v>22.0</v>
      </c>
      <c r="G43" s="583" t="s">
        <v>449</v>
      </c>
      <c r="H43" s="583" t="s">
        <v>4012</v>
      </c>
      <c r="I43" s="582" t="s">
        <v>451</v>
      </c>
      <c r="J43" s="361" t="s">
        <v>201</v>
      </c>
      <c r="K43" s="585" t="s">
        <v>95</v>
      </c>
      <c r="L43" s="134">
        <v>27.6</v>
      </c>
      <c r="M43" s="423" t="s">
        <v>96</v>
      </c>
      <c r="N43" s="134" t="s">
        <v>97</v>
      </c>
      <c r="O43" s="134">
        <v>6.0</v>
      </c>
      <c r="P43" s="361" t="s">
        <v>101</v>
      </c>
      <c r="Q43" s="597">
        <v>790.1466304147267</v>
      </c>
      <c r="R43" s="126" t="s">
        <v>10</v>
      </c>
      <c r="S43" s="49"/>
      <c r="T43" s="118">
        <v>2633.8221013824223</v>
      </c>
      <c r="U43" s="118">
        <v>1580.2932608294534</v>
      </c>
      <c r="V43" s="118">
        <v>1316.9110506912111</v>
      </c>
      <c r="W43" s="118">
        <v>1053.5288405529689</v>
      </c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</row>
    <row r="44" ht="13.5" customHeight="1">
      <c r="A44" s="423" t="s">
        <v>84</v>
      </c>
      <c r="B44" s="423" t="s">
        <v>86</v>
      </c>
      <c r="C44" s="581" t="s">
        <v>87</v>
      </c>
      <c r="D44" s="582" t="s">
        <v>447</v>
      </c>
      <c r="E44" s="361" t="s">
        <v>351</v>
      </c>
      <c r="F44" s="361">
        <v>22.0</v>
      </c>
      <c r="G44" s="583" t="s">
        <v>454</v>
      </c>
      <c r="H44" s="583" t="s">
        <v>778</v>
      </c>
      <c r="I44" s="582" t="s">
        <v>456</v>
      </c>
      <c r="J44" s="361" t="s">
        <v>162</v>
      </c>
      <c r="K44" s="585" t="s">
        <v>95</v>
      </c>
      <c r="L44" s="134">
        <v>27.6</v>
      </c>
      <c r="M44" s="423" t="s">
        <v>96</v>
      </c>
      <c r="N44" s="134" t="s">
        <v>97</v>
      </c>
      <c r="O44" s="134">
        <v>6.0</v>
      </c>
      <c r="P44" s="361" t="s">
        <v>101</v>
      </c>
      <c r="Q44" s="597">
        <v>767.803609998589</v>
      </c>
      <c r="R44" s="126" t="s">
        <v>10</v>
      </c>
      <c r="S44" s="49"/>
      <c r="T44" s="118">
        <v>2559.3453666619635</v>
      </c>
      <c r="U44" s="118">
        <v>1535.607219997178</v>
      </c>
      <c r="V44" s="118">
        <v>1279.6726833309817</v>
      </c>
      <c r="W44" s="118">
        <v>1023.7381466647854</v>
      </c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</row>
    <row r="45" ht="13.5" customHeight="1">
      <c r="A45" s="423" t="s">
        <v>179</v>
      </c>
      <c r="B45" s="423" t="s">
        <v>86</v>
      </c>
      <c r="C45" s="581" t="s">
        <v>87</v>
      </c>
      <c r="D45" s="582" t="s">
        <v>467</v>
      </c>
      <c r="E45" s="361" t="s">
        <v>299</v>
      </c>
      <c r="F45" s="361" t="s">
        <v>468</v>
      </c>
      <c r="G45" s="583" t="s">
        <v>470</v>
      </c>
      <c r="H45" s="583" t="s">
        <v>4015</v>
      </c>
      <c r="I45" s="582" t="s">
        <v>472</v>
      </c>
      <c r="J45" s="361" t="s">
        <v>106</v>
      </c>
      <c r="K45" s="585" t="s">
        <v>95</v>
      </c>
      <c r="L45" s="134">
        <v>17.8</v>
      </c>
      <c r="M45" s="423" t="s">
        <v>96</v>
      </c>
      <c r="N45" s="134" t="s">
        <v>473</v>
      </c>
      <c r="O45" s="134">
        <v>8.0</v>
      </c>
      <c r="P45" s="361" t="s">
        <v>101</v>
      </c>
      <c r="Q45" s="597">
        <v>487.514652730292</v>
      </c>
      <c r="R45" s="126" t="s">
        <v>10</v>
      </c>
      <c r="S45" s="49"/>
      <c r="T45" s="118">
        <v>1625.0488424343068</v>
      </c>
      <c r="U45" s="118">
        <v>975.029305460584</v>
      </c>
      <c r="V45" s="118">
        <v>812.5244212171534</v>
      </c>
      <c r="W45" s="118">
        <v>650.0195369737228</v>
      </c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</row>
    <row r="46" ht="13.5" customHeight="1">
      <c r="A46" s="423" t="s">
        <v>179</v>
      </c>
      <c r="B46" s="423" t="s">
        <v>86</v>
      </c>
      <c r="C46" s="581" t="s">
        <v>87</v>
      </c>
      <c r="D46" s="582" t="s">
        <v>467</v>
      </c>
      <c r="E46" s="361" t="s">
        <v>299</v>
      </c>
      <c r="F46" s="361" t="s">
        <v>468</v>
      </c>
      <c r="G46" s="583" t="s">
        <v>477</v>
      </c>
      <c r="H46" s="583" t="s">
        <v>4016</v>
      </c>
      <c r="I46" s="582" t="s">
        <v>479</v>
      </c>
      <c r="J46" s="361" t="s">
        <v>106</v>
      </c>
      <c r="K46" s="585" t="s">
        <v>95</v>
      </c>
      <c r="L46" s="134">
        <v>17.8</v>
      </c>
      <c r="M46" s="423" t="s">
        <v>480</v>
      </c>
      <c r="N46" s="134" t="s">
        <v>473</v>
      </c>
      <c r="O46" s="134">
        <v>8.0</v>
      </c>
      <c r="P46" s="361" t="s">
        <v>101</v>
      </c>
      <c r="Q46" s="597">
        <v>487.514652730292</v>
      </c>
      <c r="R46" s="126" t="s">
        <v>10</v>
      </c>
      <c r="S46" s="49"/>
      <c r="T46" s="118">
        <v>1625.0488424343068</v>
      </c>
      <c r="U46" s="118">
        <v>975.029305460584</v>
      </c>
      <c r="V46" s="118">
        <v>812.5244212171534</v>
      </c>
      <c r="W46" s="118">
        <v>650.0195369737228</v>
      </c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</row>
    <row r="47" ht="13.5" customHeight="1">
      <c r="A47" s="423" t="s">
        <v>179</v>
      </c>
      <c r="B47" s="423" t="s">
        <v>86</v>
      </c>
      <c r="C47" s="581" t="s">
        <v>87</v>
      </c>
      <c r="D47" s="582" t="s">
        <v>467</v>
      </c>
      <c r="E47" s="361" t="s">
        <v>299</v>
      </c>
      <c r="F47" s="361" t="s">
        <v>468</v>
      </c>
      <c r="G47" s="583" t="s">
        <v>487</v>
      </c>
      <c r="H47" s="583" t="s">
        <v>778</v>
      </c>
      <c r="I47" s="582" t="s">
        <v>479</v>
      </c>
      <c r="J47" s="361" t="s">
        <v>162</v>
      </c>
      <c r="K47" s="585" t="s">
        <v>95</v>
      </c>
      <c r="L47" s="134">
        <v>17.8</v>
      </c>
      <c r="M47" s="423" t="s">
        <v>96</v>
      </c>
      <c r="N47" s="134" t="s">
        <v>473</v>
      </c>
      <c r="O47" s="134">
        <v>8.0</v>
      </c>
      <c r="P47" s="361" t="s">
        <v>101</v>
      </c>
      <c r="Q47" s="597">
        <v>510.6369663964052</v>
      </c>
      <c r="R47" s="126" t="s">
        <v>10</v>
      </c>
      <c r="S47" s="49"/>
      <c r="T47" s="118">
        <v>1702.123221321351</v>
      </c>
      <c r="U47" s="118">
        <v>1021.2739327928105</v>
      </c>
      <c r="V47" s="118">
        <v>851.0616106606755</v>
      </c>
      <c r="W47" s="118">
        <v>680.8492885285405</v>
      </c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</row>
    <row r="48" ht="13.5" customHeight="1">
      <c r="A48" s="423" t="s">
        <v>179</v>
      </c>
      <c r="B48" s="423" t="s">
        <v>86</v>
      </c>
      <c r="C48" s="581" t="s">
        <v>87</v>
      </c>
      <c r="D48" s="582" t="s">
        <v>467</v>
      </c>
      <c r="E48" s="361" t="s">
        <v>299</v>
      </c>
      <c r="F48" s="361" t="s">
        <v>468</v>
      </c>
      <c r="G48" s="583" t="s">
        <v>492</v>
      </c>
      <c r="H48" s="583" t="s">
        <v>778</v>
      </c>
      <c r="I48" s="582" t="s">
        <v>495</v>
      </c>
      <c r="J48" s="361" t="s">
        <v>162</v>
      </c>
      <c r="K48" s="585" t="s">
        <v>95</v>
      </c>
      <c r="L48" s="134">
        <v>17.8</v>
      </c>
      <c r="M48" s="423" t="s">
        <v>480</v>
      </c>
      <c r="N48" s="134" t="s">
        <v>473</v>
      </c>
      <c r="O48" s="134">
        <v>8.0</v>
      </c>
      <c r="P48" s="361" t="s">
        <v>101</v>
      </c>
      <c r="Q48" s="597">
        <v>510.6369663964052</v>
      </c>
      <c r="R48" s="126" t="s">
        <v>10</v>
      </c>
      <c r="S48" s="49"/>
      <c r="T48" s="118">
        <v>1702.123221321351</v>
      </c>
      <c r="U48" s="118">
        <v>1021.2739327928105</v>
      </c>
      <c r="V48" s="118">
        <v>851.0616106606755</v>
      </c>
      <c r="W48" s="118">
        <v>680.8492885285405</v>
      </c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</row>
    <row r="49" ht="13.5" customHeight="1">
      <c r="A49" s="423" t="s">
        <v>84</v>
      </c>
      <c r="B49" s="423" t="s">
        <v>86</v>
      </c>
      <c r="C49" s="581" t="s">
        <v>501</v>
      </c>
      <c r="D49" s="581" t="s">
        <v>502</v>
      </c>
      <c r="E49" s="134"/>
      <c r="F49" s="134"/>
      <c r="G49" s="358" t="s">
        <v>503</v>
      </c>
      <c r="H49" s="358" t="s">
        <v>4017</v>
      </c>
      <c r="I49" s="581" t="s">
        <v>505</v>
      </c>
      <c r="J49" s="134"/>
      <c r="K49" s="581" t="s">
        <v>95</v>
      </c>
      <c r="L49" s="134"/>
      <c r="M49" s="423" t="s">
        <v>506</v>
      </c>
      <c r="N49" s="134" t="s">
        <v>507</v>
      </c>
      <c r="O49" s="134">
        <v>8640.0</v>
      </c>
      <c r="P49" s="134" t="s">
        <v>4340</v>
      </c>
      <c r="Q49" s="132">
        <v>0.43916724920681166</v>
      </c>
      <c r="R49" s="126" t="s">
        <v>6</v>
      </c>
      <c r="S49" s="49"/>
      <c r="T49" s="224">
        <v>1.4638908306893723</v>
      </c>
      <c r="U49" s="224">
        <v>0.8783344984136233</v>
      </c>
      <c r="V49" s="224">
        <v>0.7319454153446862</v>
      </c>
      <c r="W49" s="224">
        <v>0.585556332275749</v>
      </c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</row>
    <row r="50" ht="13.5" customHeight="1">
      <c r="A50" s="423" t="s">
        <v>84</v>
      </c>
      <c r="B50" s="423" t="s">
        <v>86</v>
      </c>
      <c r="C50" s="581" t="s">
        <v>501</v>
      </c>
      <c r="D50" s="581" t="s">
        <v>502</v>
      </c>
      <c r="E50" s="134"/>
      <c r="F50" s="134"/>
      <c r="G50" s="358" t="s">
        <v>511</v>
      </c>
      <c r="H50" s="358" t="s">
        <v>4018</v>
      </c>
      <c r="I50" s="581" t="s">
        <v>513</v>
      </c>
      <c r="J50" s="134"/>
      <c r="K50" s="581" t="s">
        <v>95</v>
      </c>
      <c r="L50" s="134"/>
      <c r="M50" s="423" t="s">
        <v>514</v>
      </c>
      <c r="N50" s="134" t="s">
        <v>507</v>
      </c>
      <c r="O50" s="134">
        <v>8640.0</v>
      </c>
      <c r="P50" s="134" t="s">
        <v>4340</v>
      </c>
      <c r="Q50" s="132">
        <v>0.4730493778921053</v>
      </c>
      <c r="R50" s="126" t="s">
        <v>6</v>
      </c>
      <c r="S50" s="49"/>
      <c r="T50" s="224">
        <v>1.576831259640351</v>
      </c>
      <c r="U50" s="224">
        <v>0.9460987557842107</v>
      </c>
      <c r="V50" s="224">
        <v>0.7884156298201755</v>
      </c>
      <c r="W50" s="224">
        <v>0.6307325038561404</v>
      </c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</row>
    <row r="51" ht="13.5" customHeight="1">
      <c r="A51" s="423" t="s">
        <v>84</v>
      </c>
      <c r="B51" s="423" t="s">
        <v>86</v>
      </c>
      <c r="C51" s="581" t="s">
        <v>501</v>
      </c>
      <c r="D51" s="581" t="s">
        <v>502</v>
      </c>
      <c r="E51" s="134"/>
      <c r="F51" s="134"/>
      <c r="G51" s="358" t="s">
        <v>516</v>
      </c>
      <c r="H51" s="358" t="s">
        <v>4019</v>
      </c>
      <c r="I51" s="581" t="s">
        <v>518</v>
      </c>
      <c r="J51" s="134"/>
      <c r="K51" s="581" t="s">
        <v>95</v>
      </c>
      <c r="L51" s="134"/>
      <c r="M51" s="423" t="s">
        <v>506</v>
      </c>
      <c r="N51" s="134" t="s">
        <v>507</v>
      </c>
      <c r="O51" s="134">
        <v>11520.0</v>
      </c>
      <c r="P51" s="134" t="s">
        <v>4340</v>
      </c>
      <c r="Q51" s="132">
        <v>0.39485205388755307</v>
      </c>
      <c r="R51" s="126" t="s">
        <v>6</v>
      </c>
      <c r="S51" s="49"/>
      <c r="T51" s="224">
        <v>1.3161735129585104</v>
      </c>
      <c r="U51" s="224">
        <v>0.7897041077751062</v>
      </c>
      <c r="V51" s="224">
        <v>0.6580867564792552</v>
      </c>
      <c r="W51" s="224">
        <v>0.5264694051834041</v>
      </c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</row>
    <row r="52" ht="13.5" customHeight="1">
      <c r="A52" s="423" t="s">
        <v>84</v>
      </c>
      <c r="B52" s="423" t="s">
        <v>86</v>
      </c>
      <c r="C52" s="581" t="s">
        <v>501</v>
      </c>
      <c r="D52" s="581" t="s">
        <v>502</v>
      </c>
      <c r="E52" s="134"/>
      <c r="F52" s="134"/>
      <c r="G52" s="358" t="s">
        <v>520</v>
      </c>
      <c r="H52" s="358" t="s">
        <v>4020</v>
      </c>
      <c r="I52" s="581" t="s">
        <v>522</v>
      </c>
      <c r="J52" s="134"/>
      <c r="K52" s="581" t="s">
        <v>95</v>
      </c>
      <c r="L52" s="134"/>
      <c r="M52" s="423" t="s">
        <v>514</v>
      </c>
      <c r="N52" s="134" t="s">
        <v>507</v>
      </c>
      <c r="O52" s="134">
        <v>11520.0</v>
      </c>
      <c r="P52" s="134" t="s">
        <v>4340</v>
      </c>
      <c r="Q52" s="132">
        <v>0.41774202802596194</v>
      </c>
      <c r="R52" s="126" t="s">
        <v>6</v>
      </c>
      <c r="S52" s="49"/>
      <c r="T52" s="224">
        <v>1.3924734267532066</v>
      </c>
      <c r="U52" s="224">
        <v>0.835484056051924</v>
      </c>
      <c r="V52" s="224">
        <v>0.6962367133766033</v>
      </c>
      <c r="W52" s="224">
        <v>0.5569893707012826</v>
      </c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</row>
    <row r="53" ht="13.5" customHeight="1">
      <c r="A53" s="423" t="s">
        <v>84</v>
      </c>
      <c r="B53" s="423" t="s">
        <v>86</v>
      </c>
      <c r="C53" s="423" t="s">
        <v>501</v>
      </c>
      <c r="D53" s="581" t="s">
        <v>502</v>
      </c>
      <c r="E53" s="134"/>
      <c r="F53" s="134"/>
      <c r="G53" s="358" t="s">
        <v>524</v>
      </c>
      <c r="H53" s="358" t="s">
        <v>4021</v>
      </c>
      <c r="I53" s="581" t="s">
        <v>526</v>
      </c>
      <c r="J53" s="134"/>
      <c r="K53" s="581" t="s">
        <v>95</v>
      </c>
      <c r="L53" s="134"/>
      <c r="M53" s="423" t="s">
        <v>514</v>
      </c>
      <c r="N53" s="134" t="s">
        <v>507</v>
      </c>
      <c r="O53" s="134">
        <v>11520.0</v>
      </c>
      <c r="P53" s="134" t="s">
        <v>4340</v>
      </c>
      <c r="Q53" s="132">
        <v>0.540197887181088</v>
      </c>
      <c r="R53" s="126" t="s">
        <v>6</v>
      </c>
      <c r="S53" s="49"/>
      <c r="T53" s="224">
        <v>1.8006596239369599</v>
      </c>
      <c r="U53" s="224">
        <v>1.080395774362176</v>
      </c>
      <c r="V53" s="224">
        <v>0.9003298119684799</v>
      </c>
      <c r="W53" s="224">
        <v>0.720263849574784</v>
      </c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</row>
    <row r="54" ht="13.5" customHeight="1">
      <c r="A54" s="423" t="s">
        <v>84</v>
      </c>
      <c r="B54" s="423" t="s">
        <v>86</v>
      </c>
      <c r="C54" s="423" t="s">
        <v>501</v>
      </c>
      <c r="D54" s="581" t="s">
        <v>502</v>
      </c>
      <c r="E54" s="134"/>
      <c r="F54" s="134"/>
      <c r="G54" s="358" t="s">
        <v>528</v>
      </c>
      <c r="H54" s="358" t="s">
        <v>4022</v>
      </c>
      <c r="I54" s="581" t="s">
        <v>530</v>
      </c>
      <c r="J54" s="134"/>
      <c r="K54" s="581" t="s">
        <v>95</v>
      </c>
      <c r="L54" s="134"/>
      <c r="M54" s="423" t="s">
        <v>514</v>
      </c>
      <c r="N54" s="134" t="s">
        <v>507</v>
      </c>
      <c r="O54" s="134">
        <v>11520.0</v>
      </c>
      <c r="P54" s="134" t="s">
        <v>4340</v>
      </c>
      <c r="Q54" s="132">
        <v>0.5696632264818746</v>
      </c>
      <c r="R54" s="126" t="s">
        <v>6</v>
      </c>
      <c r="S54" s="49"/>
      <c r="T54" s="224">
        <v>1.8988774216062487</v>
      </c>
      <c r="U54" s="224">
        <v>1.1393264529637492</v>
      </c>
      <c r="V54" s="224">
        <v>0.9494387108031244</v>
      </c>
      <c r="W54" s="224">
        <v>0.7595509686424995</v>
      </c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</row>
    <row r="55" ht="13.5" customHeight="1">
      <c r="A55" s="582" t="s">
        <v>84</v>
      </c>
      <c r="B55" s="582" t="s">
        <v>86</v>
      </c>
      <c r="C55" s="582" t="s">
        <v>566</v>
      </c>
      <c r="D55" s="582" t="s">
        <v>567</v>
      </c>
      <c r="E55" s="361" t="s">
        <v>577</v>
      </c>
      <c r="F55" s="134"/>
      <c r="G55" s="584" t="s">
        <v>578</v>
      </c>
      <c r="H55" s="584" t="s">
        <v>778</v>
      </c>
      <c r="I55" s="582" t="s">
        <v>580</v>
      </c>
      <c r="J55" s="134"/>
      <c r="K55" s="581" t="s">
        <v>95</v>
      </c>
      <c r="L55" s="134"/>
      <c r="M55" s="423" t="s">
        <v>572</v>
      </c>
      <c r="N55" s="134" t="s">
        <v>573</v>
      </c>
      <c r="O55" s="134">
        <v>8064.0</v>
      </c>
      <c r="P55" s="134" t="s">
        <v>574</v>
      </c>
      <c r="Q55" s="132">
        <v>1.4580774503966545</v>
      </c>
      <c r="R55" s="126" t="s">
        <v>10</v>
      </c>
      <c r="S55" s="49"/>
      <c r="T55" s="224">
        <v>4.860258167988849</v>
      </c>
      <c r="U55" s="224">
        <v>2.916154900793309</v>
      </c>
      <c r="V55" s="224">
        <v>2.4301290839944243</v>
      </c>
      <c r="W55" s="224">
        <v>1.9441032671955396</v>
      </c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</row>
    <row r="56" ht="13.5" customHeight="1">
      <c r="A56" s="582" t="s">
        <v>84</v>
      </c>
      <c r="B56" s="582" t="s">
        <v>86</v>
      </c>
      <c r="C56" s="582" t="s">
        <v>566</v>
      </c>
      <c r="D56" s="582" t="s">
        <v>567</v>
      </c>
      <c r="E56" s="361" t="s">
        <v>581</v>
      </c>
      <c r="F56" s="134"/>
      <c r="G56" s="584" t="s">
        <v>582</v>
      </c>
      <c r="H56" s="584" t="s">
        <v>778</v>
      </c>
      <c r="I56" s="582" t="s">
        <v>584</v>
      </c>
      <c r="J56" s="134"/>
      <c r="K56" s="581" t="s">
        <v>95</v>
      </c>
      <c r="L56" s="134"/>
      <c r="M56" s="423" t="s">
        <v>572</v>
      </c>
      <c r="N56" s="134" t="s">
        <v>573</v>
      </c>
      <c r="O56" s="134">
        <v>8064.0</v>
      </c>
      <c r="P56" s="134" t="s">
        <v>574</v>
      </c>
      <c r="Q56" s="132">
        <v>0.76094411373354</v>
      </c>
      <c r="R56" s="126" t="s">
        <v>10</v>
      </c>
      <c r="S56" s="49"/>
      <c r="T56" s="224">
        <v>2.5364803791118002</v>
      </c>
      <c r="U56" s="224">
        <v>1.5218882274670802</v>
      </c>
      <c r="V56" s="224">
        <v>1.2682401895559001</v>
      </c>
      <c r="W56" s="224">
        <v>1.01459215164472</v>
      </c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</row>
    <row r="57" ht="15.75" customHeight="1">
      <c r="A57" s="582" t="s">
        <v>84</v>
      </c>
      <c r="B57" s="582" t="s">
        <v>86</v>
      </c>
      <c r="C57" s="582" t="s">
        <v>566</v>
      </c>
      <c r="D57" s="582" t="s">
        <v>567</v>
      </c>
      <c r="E57" s="361" t="s">
        <v>577</v>
      </c>
      <c r="F57" s="134"/>
      <c r="G57" s="584" t="s">
        <v>585</v>
      </c>
      <c r="H57" s="584" t="s">
        <v>778</v>
      </c>
      <c r="I57" s="582" t="s">
        <v>587</v>
      </c>
      <c r="J57" s="134"/>
      <c r="K57" s="581" t="s">
        <v>95</v>
      </c>
      <c r="L57" s="134"/>
      <c r="M57" s="423" t="s">
        <v>572</v>
      </c>
      <c r="N57" s="134" t="s">
        <v>573</v>
      </c>
      <c r="O57" s="134">
        <v>8064.0</v>
      </c>
      <c r="P57" s="134" t="s">
        <v>574</v>
      </c>
      <c r="Q57" s="132">
        <v>1.5022292325130069</v>
      </c>
      <c r="R57" s="126" t="s">
        <v>10</v>
      </c>
      <c r="S57" s="49"/>
      <c r="T57" s="224">
        <v>5.007430775043357</v>
      </c>
      <c r="U57" s="224">
        <v>3.004458465026014</v>
      </c>
      <c r="V57" s="224">
        <v>2.5037153875216784</v>
      </c>
      <c r="W57" s="224">
        <v>2.0029723100173427</v>
      </c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</row>
    <row r="58" ht="13.5" customHeight="1">
      <c r="A58" s="582" t="s">
        <v>84</v>
      </c>
      <c r="B58" s="582" t="s">
        <v>86</v>
      </c>
      <c r="C58" s="582" t="s">
        <v>566</v>
      </c>
      <c r="D58" s="582" t="s">
        <v>567</v>
      </c>
      <c r="E58" s="361" t="s">
        <v>577</v>
      </c>
      <c r="F58" s="134"/>
      <c r="G58" s="584" t="s">
        <v>589</v>
      </c>
      <c r="H58" s="584" t="s">
        <v>778</v>
      </c>
      <c r="I58" s="582" t="s">
        <v>591</v>
      </c>
      <c r="J58" s="134"/>
      <c r="K58" s="581" t="s">
        <v>95</v>
      </c>
      <c r="L58" s="134"/>
      <c r="M58" s="423" t="s">
        <v>572</v>
      </c>
      <c r="N58" s="134" t="s">
        <v>573</v>
      </c>
      <c r="O58" s="134">
        <v>8064.0</v>
      </c>
      <c r="P58" s="134" t="s">
        <v>574</v>
      </c>
      <c r="Q58" s="132">
        <v>1.3402205310454798</v>
      </c>
      <c r="R58" s="126" t="s">
        <v>10</v>
      </c>
      <c r="S58" s="49"/>
      <c r="T58" s="224">
        <v>4.467401770151599</v>
      </c>
      <c r="U58" s="224">
        <v>2.6804410620909596</v>
      </c>
      <c r="V58" s="224">
        <v>2.2337008850757996</v>
      </c>
      <c r="W58" s="224">
        <v>1.7869607080606398</v>
      </c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</row>
    <row r="59" ht="13.5" customHeight="1">
      <c r="A59" s="582" t="s">
        <v>84</v>
      </c>
      <c r="B59" s="582" t="s">
        <v>86</v>
      </c>
      <c r="C59" s="582" t="s">
        <v>566</v>
      </c>
      <c r="D59" s="582" t="s">
        <v>598</v>
      </c>
      <c r="E59" s="361" t="s">
        <v>577</v>
      </c>
      <c r="F59" s="134"/>
      <c r="G59" s="584" t="s">
        <v>599</v>
      </c>
      <c r="H59" s="584" t="s">
        <v>778</v>
      </c>
      <c r="I59" s="582" t="s">
        <v>601</v>
      </c>
      <c r="J59" s="134"/>
      <c r="K59" s="581" t="s">
        <v>95</v>
      </c>
      <c r="L59" s="134"/>
      <c r="M59" s="423" t="s">
        <v>572</v>
      </c>
      <c r="N59" s="134" t="s">
        <v>602</v>
      </c>
      <c r="O59" s="134">
        <v>8064.0</v>
      </c>
      <c r="P59" s="134"/>
      <c r="Q59" s="132">
        <v>2.904918097698307</v>
      </c>
      <c r="R59" s="126" t="s">
        <v>10</v>
      </c>
      <c r="S59" s="49"/>
      <c r="T59" s="224">
        <v>9.683060325661025</v>
      </c>
      <c r="U59" s="224">
        <v>5.809836195396614</v>
      </c>
      <c r="V59" s="224">
        <v>4.841530162830512</v>
      </c>
      <c r="W59" s="224">
        <v>3.87322413026441</v>
      </c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</row>
    <row r="60" ht="13.5" customHeight="1">
      <c r="A60" s="423" t="s">
        <v>84</v>
      </c>
      <c r="B60" s="423" t="s">
        <v>86</v>
      </c>
      <c r="C60" s="581" t="s">
        <v>566</v>
      </c>
      <c r="D60" s="582" t="s">
        <v>619</v>
      </c>
      <c r="E60" s="361" t="s">
        <v>577</v>
      </c>
      <c r="F60" s="134"/>
      <c r="G60" s="584" t="s">
        <v>638</v>
      </c>
      <c r="H60" s="584" t="s">
        <v>4025</v>
      </c>
      <c r="I60" s="582" t="s">
        <v>640</v>
      </c>
      <c r="J60" s="134"/>
      <c r="K60" s="581" t="s">
        <v>95</v>
      </c>
      <c r="L60" s="134"/>
      <c r="M60" s="423" t="s">
        <v>641</v>
      </c>
      <c r="N60" s="134" t="s">
        <v>573</v>
      </c>
      <c r="O60" s="134">
        <v>6912.0</v>
      </c>
      <c r="P60" s="134" t="s">
        <v>574</v>
      </c>
      <c r="Q60" s="132">
        <v>1.3550591392937987</v>
      </c>
      <c r="R60" s="126" t="s">
        <v>6</v>
      </c>
      <c r="S60" s="49"/>
      <c r="T60" s="224">
        <v>4.516863797645996</v>
      </c>
      <c r="U60" s="224">
        <v>2.7101182785875975</v>
      </c>
      <c r="V60" s="224">
        <v>2.258431898822998</v>
      </c>
      <c r="W60" s="224">
        <v>1.8067455190583985</v>
      </c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</row>
    <row r="61" ht="13.5" customHeight="1">
      <c r="A61" s="423" t="s">
        <v>84</v>
      </c>
      <c r="B61" s="423" t="s">
        <v>86</v>
      </c>
      <c r="C61" s="581" t="s">
        <v>566</v>
      </c>
      <c r="D61" s="582" t="s">
        <v>619</v>
      </c>
      <c r="E61" s="361" t="s">
        <v>577</v>
      </c>
      <c r="F61" s="134"/>
      <c r="G61" s="584" t="s">
        <v>647</v>
      </c>
      <c r="H61" s="584" t="s">
        <v>4026</v>
      </c>
      <c r="I61" s="582" t="s">
        <v>649</v>
      </c>
      <c r="J61" s="134"/>
      <c r="K61" s="581" t="s">
        <v>95</v>
      </c>
      <c r="L61" s="134"/>
      <c r="M61" s="423" t="s">
        <v>614</v>
      </c>
      <c r="N61" s="134" t="s">
        <v>573</v>
      </c>
      <c r="O61" s="134">
        <v>10368.0</v>
      </c>
      <c r="P61" s="134" t="s">
        <v>574</v>
      </c>
      <c r="Q61" s="132">
        <v>1.3094124250127934</v>
      </c>
      <c r="R61" s="126" t="s">
        <v>6</v>
      </c>
      <c r="S61" s="49"/>
      <c r="T61" s="224">
        <v>4.364708083375978</v>
      </c>
      <c r="U61" s="224">
        <v>2.618824850025587</v>
      </c>
      <c r="V61" s="224">
        <v>2.182354041687989</v>
      </c>
      <c r="W61" s="224">
        <v>1.7458832333503915</v>
      </c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</row>
    <row r="62" ht="13.5" customHeight="1">
      <c r="A62" s="423" t="s">
        <v>84</v>
      </c>
      <c r="B62" s="423" t="s">
        <v>86</v>
      </c>
      <c r="C62" s="581" t="s">
        <v>566</v>
      </c>
      <c r="D62" s="582" t="s">
        <v>659</v>
      </c>
      <c r="E62" s="361" t="s">
        <v>577</v>
      </c>
      <c r="F62" s="134"/>
      <c r="G62" s="584" t="s">
        <v>672</v>
      </c>
      <c r="H62" s="584" t="s">
        <v>4027</v>
      </c>
      <c r="I62" s="582" t="s">
        <v>674</v>
      </c>
      <c r="J62" s="134"/>
      <c r="K62" s="581" t="s">
        <v>95</v>
      </c>
      <c r="L62" s="134"/>
      <c r="M62" s="423" t="s">
        <v>641</v>
      </c>
      <c r="N62" s="134" t="s">
        <v>573</v>
      </c>
      <c r="O62" s="134">
        <v>6912.0</v>
      </c>
      <c r="P62" s="134" t="s">
        <v>574</v>
      </c>
      <c r="Q62" s="132">
        <v>1.4503090017154605</v>
      </c>
      <c r="R62" s="126" t="s">
        <v>6</v>
      </c>
      <c r="S62" s="49"/>
      <c r="T62" s="224">
        <v>4.834363339051535</v>
      </c>
      <c r="U62" s="224">
        <v>2.900618003430921</v>
      </c>
      <c r="V62" s="224">
        <v>2.4171816695257675</v>
      </c>
      <c r="W62" s="224">
        <v>1.933745335620614</v>
      </c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</row>
    <row r="63" ht="13.5" customHeight="1">
      <c r="A63" s="423" t="s">
        <v>84</v>
      </c>
      <c r="B63" s="423" t="s">
        <v>86</v>
      </c>
      <c r="C63" s="581" t="s">
        <v>566</v>
      </c>
      <c r="D63" s="582" t="s">
        <v>659</v>
      </c>
      <c r="E63" s="361" t="s">
        <v>577</v>
      </c>
      <c r="F63" s="134"/>
      <c r="G63" s="584" t="s">
        <v>680</v>
      </c>
      <c r="H63" s="584" t="s">
        <v>4028</v>
      </c>
      <c r="I63" s="582" t="s">
        <v>682</v>
      </c>
      <c r="J63" s="134"/>
      <c r="K63" s="581" t="s">
        <v>95</v>
      </c>
      <c r="L63" s="134"/>
      <c r="M63" s="423" t="s">
        <v>609</v>
      </c>
      <c r="N63" s="134" t="s">
        <v>573</v>
      </c>
      <c r="O63" s="134">
        <v>10368.0</v>
      </c>
      <c r="P63" s="134" t="s">
        <v>574</v>
      </c>
      <c r="Q63" s="132">
        <v>1.4088119887327286</v>
      </c>
      <c r="R63" s="126" t="s">
        <v>6</v>
      </c>
      <c r="S63" s="49"/>
      <c r="T63" s="224">
        <v>4.696039962442429</v>
      </c>
      <c r="U63" s="224">
        <v>2.8176239774654572</v>
      </c>
      <c r="V63" s="224">
        <v>2.3480199812212144</v>
      </c>
      <c r="W63" s="224">
        <v>1.8784159849769715</v>
      </c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</row>
    <row r="64" ht="13.5" customHeight="1">
      <c r="A64" s="423" t="s">
        <v>84</v>
      </c>
      <c r="B64" s="423" t="s">
        <v>86</v>
      </c>
      <c r="C64" s="581" t="s">
        <v>566</v>
      </c>
      <c r="D64" s="582" t="s">
        <v>659</v>
      </c>
      <c r="E64" s="361" t="s">
        <v>577</v>
      </c>
      <c r="F64" s="134"/>
      <c r="G64" s="584" t="s">
        <v>692</v>
      </c>
      <c r="H64" s="584" t="s">
        <v>4029</v>
      </c>
      <c r="I64" s="582" t="s">
        <v>694</v>
      </c>
      <c r="J64" s="134" t="s">
        <v>667</v>
      </c>
      <c r="K64" s="581" t="s">
        <v>95</v>
      </c>
      <c r="L64" s="134"/>
      <c r="M64" s="423" t="s">
        <v>614</v>
      </c>
      <c r="N64" s="134" t="s">
        <v>573</v>
      </c>
      <c r="O64" s="134">
        <v>10368.0</v>
      </c>
      <c r="P64" s="134" t="s">
        <v>574</v>
      </c>
      <c r="Q64" s="132">
        <v>1.6628370305715123</v>
      </c>
      <c r="R64" s="126" t="s">
        <v>6</v>
      </c>
      <c r="S64" s="49"/>
      <c r="T64" s="224">
        <v>5.542790101905041</v>
      </c>
      <c r="U64" s="224">
        <v>3.3256740611430247</v>
      </c>
      <c r="V64" s="224">
        <v>2.7713950509525205</v>
      </c>
      <c r="W64" s="224">
        <v>2.2171160407620163</v>
      </c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</row>
    <row r="65" ht="13.5" customHeight="1">
      <c r="A65" s="423" t="s">
        <v>84</v>
      </c>
      <c r="B65" s="423" t="s">
        <v>86</v>
      </c>
      <c r="C65" s="581" t="s">
        <v>566</v>
      </c>
      <c r="D65" s="582" t="s">
        <v>705</v>
      </c>
      <c r="E65" s="361" t="s">
        <v>577</v>
      </c>
      <c r="F65" s="134"/>
      <c r="G65" s="584" t="s">
        <v>706</v>
      </c>
      <c r="H65" s="584" t="s">
        <v>4030</v>
      </c>
      <c r="I65" s="582" t="s">
        <v>708</v>
      </c>
      <c r="J65" s="134"/>
      <c r="K65" s="581" t="s">
        <v>95</v>
      </c>
      <c r="L65" s="134"/>
      <c r="M65" s="423" t="s">
        <v>614</v>
      </c>
      <c r="N65" s="134" t="s">
        <v>602</v>
      </c>
      <c r="O65" s="134">
        <v>10368.0</v>
      </c>
      <c r="P65" s="134" t="s">
        <v>574</v>
      </c>
      <c r="Q65" s="132">
        <v>3.0200628434535757</v>
      </c>
      <c r="R65" s="126" t="s">
        <v>10</v>
      </c>
      <c r="S65" s="49"/>
      <c r="T65" s="224">
        <v>10.066876144845253</v>
      </c>
      <c r="U65" s="224">
        <v>6.040125686907151</v>
      </c>
      <c r="V65" s="224">
        <v>5.033438072422626</v>
      </c>
      <c r="W65" s="224">
        <v>4.0267504579381015</v>
      </c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</row>
    <row r="66" ht="13.5" customHeight="1">
      <c r="A66" s="582" t="s">
        <v>84</v>
      </c>
      <c r="B66" s="582" t="s">
        <v>86</v>
      </c>
      <c r="C66" s="582" t="s">
        <v>566</v>
      </c>
      <c r="D66" s="582" t="s">
        <v>709</v>
      </c>
      <c r="E66" s="361"/>
      <c r="F66" s="134"/>
      <c r="G66" s="584" t="s">
        <v>710</v>
      </c>
      <c r="H66" s="584" t="s">
        <v>4032</v>
      </c>
      <c r="I66" s="582" t="s">
        <v>712</v>
      </c>
      <c r="J66" s="134"/>
      <c r="K66" s="581" t="s">
        <v>95</v>
      </c>
      <c r="L66" s="134"/>
      <c r="M66" s="423" t="s">
        <v>713</v>
      </c>
      <c r="N66" s="134" t="s">
        <v>714</v>
      </c>
      <c r="O66" s="134">
        <v>86400.0</v>
      </c>
      <c r="P66" s="134" t="s">
        <v>574</v>
      </c>
      <c r="Q66" s="132">
        <v>0.04564598340322023</v>
      </c>
      <c r="R66" s="126" t="s">
        <v>10</v>
      </c>
      <c r="S66" s="49"/>
      <c r="T66" s="224">
        <v>0.1521532780107341</v>
      </c>
      <c r="U66" s="224">
        <v>0.09129196680644046</v>
      </c>
      <c r="V66" s="224">
        <v>0.07607663900536706</v>
      </c>
      <c r="W66" s="224">
        <v>0.060861311204293646</v>
      </c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</row>
    <row r="67" ht="13.5" customHeight="1">
      <c r="A67" s="582" t="s">
        <v>84</v>
      </c>
      <c r="B67" s="582" t="s">
        <v>86</v>
      </c>
      <c r="C67" s="582" t="s">
        <v>566</v>
      </c>
      <c r="D67" s="582" t="s">
        <v>709</v>
      </c>
      <c r="E67" s="361"/>
      <c r="F67" s="134"/>
      <c r="G67" s="584" t="s">
        <v>716</v>
      </c>
      <c r="H67" s="584" t="s">
        <v>4033</v>
      </c>
      <c r="I67" s="582" t="s">
        <v>718</v>
      </c>
      <c r="J67" s="134"/>
      <c r="K67" s="581" t="s">
        <v>95</v>
      </c>
      <c r="L67" s="134"/>
      <c r="M67" s="423" t="s">
        <v>713</v>
      </c>
      <c r="N67" s="134" t="s">
        <v>714</v>
      </c>
      <c r="O67" s="134">
        <v>86400.0</v>
      </c>
      <c r="P67" s="134" t="s">
        <v>574</v>
      </c>
      <c r="Q67" s="132">
        <v>0.04564598340322023</v>
      </c>
      <c r="R67" s="126" t="s">
        <v>10</v>
      </c>
      <c r="S67" s="49"/>
      <c r="T67" s="224">
        <v>0.1521532780107341</v>
      </c>
      <c r="U67" s="224">
        <v>0.09129196680644046</v>
      </c>
      <c r="V67" s="224">
        <v>0.07607663900536706</v>
      </c>
      <c r="W67" s="224">
        <v>0.060861311204293646</v>
      </c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</row>
    <row r="68" ht="13.5" customHeight="1">
      <c r="A68" s="582" t="s">
        <v>84</v>
      </c>
      <c r="B68" s="582" t="s">
        <v>86</v>
      </c>
      <c r="C68" s="582" t="s">
        <v>566</v>
      </c>
      <c r="D68" s="582" t="s">
        <v>709</v>
      </c>
      <c r="E68" s="361"/>
      <c r="F68" s="134"/>
      <c r="G68" s="584" t="s">
        <v>720</v>
      </c>
      <c r="H68" s="584" t="s">
        <v>4034</v>
      </c>
      <c r="I68" s="582" t="s">
        <v>722</v>
      </c>
      <c r="J68" s="134"/>
      <c r="K68" s="581" t="s">
        <v>95</v>
      </c>
      <c r="L68" s="134"/>
      <c r="M68" s="423" t="s">
        <v>713</v>
      </c>
      <c r="N68" s="134" t="s">
        <v>714</v>
      </c>
      <c r="O68" s="134">
        <v>86400.0</v>
      </c>
      <c r="P68" s="134" t="s">
        <v>574</v>
      </c>
      <c r="Q68" s="132">
        <v>0.04564598340322023</v>
      </c>
      <c r="R68" s="126" t="s">
        <v>10</v>
      </c>
      <c r="S68" s="49"/>
      <c r="T68" s="224">
        <v>0.1521532780107341</v>
      </c>
      <c r="U68" s="224">
        <v>0.09129196680644046</v>
      </c>
      <c r="V68" s="224">
        <v>0.07607663900536706</v>
      </c>
      <c r="W68" s="224">
        <v>0.060861311204293646</v>
      </c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</row>
    <row r="69" ht="13.5" customHeight="1">
      <c r="A69" s="582" t="s">
        <v>84</v>
      </c>
      <c r="B69" s="582" t="s">
        <v>86</v>
      </c>
      <c r="C69" s="582" t="s">
        <v>566</v>
      </c>
      <c r="D69" s="582" t="s">
        <v>709</v>
      </c>
      <c r="E69" s="361"/>
      <c r="F69" s="134"/>
      <c r="G69" s="584" t="s">
        <v>724</v>
      </c>
      <c r="H69" s="584" t="s">
        <v>4035</v>
      </c>
      <c r="I69" s="582" t="s">
        <v>726</v>
      </c>
      <c r="J69" s="134"/>
      <c r="K69" s="581" t="s">
        <v>95</v>
      </c>
      <c r="L69" s="134"/>
      <c r="M69" s="423" t="s">
        <v>713</v>
      </c>
      <c r="N69" s="134" t="s">
        <v>714</v>
      </c>
      <c r="O69" s="134">
        <v>86400.0</v>
      </c>
      <c r="P69" s="134" t="s">
        <v>574</v>
      </c>
      <c r="Q69" s="132">
        <v>0.04564598340322023</v>
      </c>
      <c r="R69" s="126" t="s">
        <v>10</v>
      </c>
      <c r="S69" s="49"/>
      <c r="T69" s="224">
        <v>0.1521532780107341</v>
      </c>
      <c r="U69" s="224">
        <v>0.09129196680644046</v>
      </c>
      <c r="V69" s="224">
        <v>0.07607663900536706</v>
      </c>
      <c r="W69" s="224">
        <v>0.060861311204293646</v>
      </c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</row>
    <row r="70" ht="13.5" customHeight="1">
      <c r="A70" s="423" t="s">
        <v>84</v>
      </c>
      <c r="B70" s="423" t="s">
        <v>86</v>
      </c>
      <c r="C70" s="581" t="s">
        <v>788</v>
      </c>
      <c r="D70" s="582" t="s">
        <v>840</v>
      </c>
      <c r="E70" s="361" t="s">
        <v>577</v>
      </c>
      <c r="F70" s="134">
        <v>26.0</v>
      </c>
      <c r="G70" s="584" t="s">
        <v>841</v>
      </c>
      <c r="H70" s="584" t="s">
        <v>4036</v>
      </c>
      <c r="I70" s="582" t="s">
        <v>843</v>
      </c>
      <c r="J70" s="134"/>
      <c r="K70" s="581" t="s">
        <v>95</v>
      </c>
      <c r="L70" s="134"/>
      <c r="M70" s="423" t="s">
        <v>794</v>
      </c>
      <c r="N70" s="134" t="s">
        <v>795</v>
      </c>
      <c r="O70" s="134">
        <v>4800.0</v>
      </c>
      <c r="P70" s="361" t="s">
        <v>796</v>
      </c>
      <c r="Q70" s="598">
        <v>0.4859237121878155</v>
      </c>
      <c r="R70" s="126" t="s">
        <v>10</v>
      </c>
      <c r="S70" s="49"/>
      <c r="T70" s="246">
        <v>1.6197457072927184</v>
      </c>
      <c r="U70" s="246">
        <v>0.971847424375631</v>
      </c>
      <c r="V70" s="246">
        <v>0.8098728536463592</v>
      </c>
      <c r="W70" s="246">
        <v>0.6478982829170874</v>
      </c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</row>
    <row r="71" ht="13.5" customHeight="1">
      <c r="A71" s="423" t="s">
        <v>84</v>
      </c>
      <c r="B71" s="423" t="s">
        <v>86</v>
      </c>
      <c r="C71" s="581" t="s">
        <v>788</v>
      </c>
      <c r="D71" s="582" t="s">
        <v>840</v>
      </c>
      <c r="E71" s="361" t="s">
        <v>577</v>
      </c>
      <c r="F71" s="134">
        <v>26.0</v>
      </c>
      <c r="G71" s="584" t="s">
        <v>845</v>
      </c>
      <c r="H71" s="584" t="s">
        <v>4037</v>
      </c>
      <c r="I71" s="582" t="s">
        <v>847</v>
      </c>
      <c r="J71" s="134"/>
      <c r="K71" s="581" t="s">
        <v>95</v>
      </c>
      <c r="L71" s="134"/>
      <c r="M71" s="423" t="s">
        <v>794</v>
      </c>
      <c r="N71" s="134" t="s">
        <v>795</v>
      </c>
      <c r="O71" s="134">
        <v>4800.0</v>
      </c>
      <c r="P71" s="361" t="s">
        <v>796</v>
      </c>
      <c r="Q71" s="598">
        <v>0.5381240638533424</v>
      </c>
      <c r="R71" s="126" t="s">
        <v>10</v>
      </c>
      <c r="S71" s="49"/>
      <c r="T71" s="246">
        <v>1.7937468795111415</v>
      </c>
      <c r="U71" s="246">
        <v>1.0762481277066849</v>
      </c>
      <c r="V71" s="246">
        <v>0.8968734397555708</v>
      </c>
      <c r="W71" s="246">
        <v>0.7174987518044567</v>
      </c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</row>
    <row r="72" ht="13.5" customHeight="1">
      <c r="A72" s="423" t="s">
        <v>84</v>
      </c>
      <c r="B72" s="423" t="s">
        <v>86</v>
      </c>
      <c r="C72" s="581" t="s">
        <v>788</v>
      </c>
      <c r="D72" s="582" t="s">
        <v>840</v>
      </c>
      <c r="E72" s="361" t="s">
        <v>577</v>
      </c>
      <c r="F72" s="134">
        <v>26.0</v>
      </c>
      <c r="G72" s="584" t="s">
        <v>849</v>
      </c>
      <c r="H72" s="584" t="s">
        <v>4038</v>
      </c>
      <c r="I72" s="582" t="s">
        <v>851</v>
      </c>
      <c r="J72" s="134"/>
      <c r="K72" s="581" t="s">
        <v>95</v>
      </c>
      <c r="L72" s="134"/>
      <c r="M72" s="423" t="s">
        <v>794</v>
      </c>
      <c r="N72" s="134" t="s">
        <v>795</v>
      </c>
      <c r="O72" s="134">
        <v>3200.0</v>
      </c>
      <c r="P72" s="361" t="s">
        <v>796</v>
      </c>
      <c r="Q72" s="598">
        <v>0.6895826719253686</v>
      </c>
      <c r="R72" s="126" t="s">
        <v>10</v>
      </c>
      <c r="S72" s="49"/>
      <c r="T72" s="246">
        <v>2.2986089064178956</v>
      </c>
      <c r="U72" s="246">
        <v>1.3791653438507374</v>
      </c>
      <c r="V72" s="246">
        <v>1.1493044532089478</v>
      </c>
      <c r="W72" s="246">
        <v>0.9194435625671583</v>
      </c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</row>
    <row r="73" ht="13.5" customHeight="1">
      <c r="A73" s="423" t="s">
        <v>84</v>
      </c>
      <c r="B73" s="423" t="s">
        <v>86</v>
      </c>
      <c r="C73" s="581" t="s">
        <v>788</v>
      </c>
      <c r="D73" s="582" t="s">
        <v>840</v>
      </c>
      <c r="E73" s="361" t="s">
        <v>577</v>
      </c>
      <c r="F73" s="134">
        <v>26.0</v>
      </c>
      <c r="G73" s="584" t="s">
        <v>853</v>
      </c>
      <c r="H73" s="584" t="s">
        <v>4039</v>
      </c>
      <c r="I73" s="582" t="s">
        <v>855</v>
      </c>
      <c r="J73" s="134"/>
      <c r="K73" s="581" t="s">
        <v>95</v>
      </c>
      <c r="L73" s="134"/>
      <c r="M73" s="423" t="s">
        <v>794</v>
      </c>
      <c r="N73" s="134" t="s">
        <v>795</v>
      </c>
      <c r="O73" s="134">
        <v>2240.0</v>
      </c>
      <c r="P73" s="361" t="s">
        <v>796</v>
      </c>
      <c r="Q73" s="598">
        <v>0.9748044994348233</v>
      </c>
      <c r="R73" s="126" t="s">
        <v>10</v>
      </c>
      <c r="S73" s="49"/>
      <c r="T73" s="246">
        <v>3.249348331449411</v>
      </c>
      <c r="U73" s="246">
        <v>1.9496089988696466</v>
      </c>
      <c r="V73" s="246">
        <v>1.6246741657247055</v>
      </c>
      <c r="W73" s="246">
        <v>1.2997393325797644</v>
      </c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</row>
    <row r="74" ht="13.5" customHeight="1">
      <c r="A74" s="423" t="s">
        <v>84</v>
      </c>
      <c r="B74" s="423" t="s">
        <v>86</v>
      </c>
      <c r="C74" s="581" t="s">
        <v>788</v>
      </c>
      <c r="D74" s="582" t="s">
        <v>840</v>
      </c>
      <c r="E74" s="361" t="s">
        <v>577</v>
      </c>
      <c r="F74" s="134">
        <v>26.0</v>
      </c>
      <c r="G74" s="584" t="s">
        <v>857</v>
      </c>
      <c r="H74" s="584" t="s">
        <v>4040</v>
      </c>
      <c r="I74" s="582" t="s">
        <v>859</v>
      </c>
      <c r="J74" s="134"/>
      <c r="K74" s="581" t="s">
        <v>95</v>
      </c>
      <c r="L74" s="134"/>
      <c r="M74" s="423" t="s">
        <v>794</v>
      </c>
      <c r="N74" s="134" t="s">
        <v>795</v>
      </c>
      <c r="O74" s="134">
        <v>1600.0</v>
      </c>
      <c r="P74" s="361" t="s">
        <v>796</v>
      </c>
      <c r="Q74" s="598">
        <v>1.2715593557682918</v>
      </c>
      <c r="R74" s="126" t="s">
        <v>10</v>
      </c>
      <c r="S74" s="49"/>
      <c r="T74" s="246">
        <v>4.238531185894306</v>
      </c>
      <c r="U74" s="246">
        <v>2.5431187115365836</v>
      </c>
      <c r="V74" s="246">
        <v>2.119265592947153</v>
      </c>
      <c r="W74" s="246">
        <v>1.6954124743577226</v>
      </c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</row>
    <row r="75" ht="13.5" customHeight="1">
      <c r="A75" s="423" t="s">
        <v>84</v>
      </c>
      <c r="B75" s="423" t="s">
        <v>86</v>
      </c>
      <c r="C75" s="581" t="s">
        <v>788</v>
      </c>
      <c r="D75" s="582" t="s">
        <v>840</v>
      </c>
      <c r="E75" s="361" t="s">
        <v>577</v>
      </c>
      <c r="F75" s="134">
        <v>26.0</v>
      </c>
      <c r="G75" s="584" t="s">
        <v>861</v>
      </c>
      <c r="H75" s="584" t="s">
        <v>4041</v>
      </c>
      <c r="I75" s="582" t="s">
        <v>863</v>
      </c>
      <c r="J75" s="134"/>
      <c r="K75" s="581" t="s">
        <v>95</v>
      </c>
      <c r="L75" s="134"/>
      <c r="M75" s="423" t="s">
        <v>794</v>
      </c>
      <c r="N75" s="134" t="s">
        <v>795</v>
      </c>
      <c r="O75" s="134">
        <v>960.0</v>
      </c>
      <c r="P75" s="361" t="s">
        <v>796</v>
      </c>
      <c r="Q75" s="598">
        <v>1.8860938466673183</v>
      </c>
      <c r="R75" s="126" t="s">
        <v>10</v>
      </c>
      <c r="S75" s="40"/>
      <c r="T75" s="246">
        <v>6.2869794888910615</v>
      </c>
      <c r="U75" s="246">
        <v>3.7721876933346365</v>
      </c>
      <c r="V75" s="246">
        <v>3.1434897444455308</v>
      </c>
      <c r="W75" s="246">
        <v>2.514791795556425</v>
      </c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</row>
    <row r="76" ht="13.5" customHeight="1">
      <c r="A76" s="423" t="s">
        <v>84</v>
      </c>
      <c r="B76" s="423" t="s">
        <v>86</v>
      </c>
      <c r="C76" s="581" t="s">
        <v>788</v>
      </c>
      <c r="D76" s="582" t="s">
        <v>840</v>
      </c>
      <c r="E76" s="361" t="s">
        <v>577</v>
      </c>
      <c r="F76" s="134">
        <v>26.0</v>
      </c>
      <c r="G76" s="584" t="s">
        <v>865</v>
      </c>
      <c r="H76" s="584" t="s">
        <v>4042</v>
      </c>
      <c r="I76" s="582" t="s">
        <v>867</v>
      </c>
      <c r="J76" s="134"/>
      <c r="K76" s="581" t="s">
        <v>95</v>
      </c>
      <c r="L76" s="134"/>
      <c r="M76" s="423" t="s">
        <v>794</v>
      </c>
      <c r="N76" s="134" t="s">
        <v>795</v>
      </c>
      <c r="O76" s="134">
        <v>640.0</v>
      </c>
      <c r="P76" s="361" t="s">
        <v>796</v>
      </c>
      <c r="Q76" s="598">
        <v>3.27223322872912</v>
      </c>
      <c r="R76" s="126" t="s">
        <v>10</v>
      </c>
      <c r="S76" s="40"/>
      <c r="T76" s="246">
        <v>10.907444095763735</v>
      </c>
      <c r="U76" s="246">
        <v>6.544466457458241</v>
      </c>
      <c r="V76" s="246">
        <v>5.453722047881867</v>
      </c>
      <c r="W76" s="246">
        <v>4.362977638305494</v>
      </c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</row>
    <row r="77" ht="13.5" customHeight="1">
      <c r="A77" s="423" t="s">
        <v>84</v>
      </c>
      <c r="B77" s="423" t="s">
        <v>86</v>
      </c>
      <c r="C77" s="581" t="s">
        <v>788</v>
      </c>
      <c r="D77" s="582" t="s">
        <v>840</v>
      </c>
      <c r="E77" s="361" t="s">
        <v>577</v>
      </c>
      <c r="F77" s="134">
        <v>26.0</v>
      </c>
      <c r="G77" s="584" t="s">
        <v>869</v>
      </c>
      <c r="H77" s="584" t="s">
        <v>4043</v>
      </c>
      <c r="I77" s="582" t="s">
        <v>871</v>
      </c>
      <c r="J77" s="134"/>
      <c r="K77" s="581" t="s">
        <v>95</v>
      </c>
      <c r="L77" s="134"/>
      <c r="M77" s="423" t="s">
        <v>794</v>
      </c>
      <c r="N77" s="134" t="s">
        <v>795</v>
      </c>
      <c r="O77" s="134">
        <v>4800.0</v>
      </c>
      <c r="P77" s="361" t="s">
        <v>796</v>
      </c>
      <c r="Q77" s="598">
        <v>0.5005749422448651</v>
      </c>
      <c r="R77" s="126" t="s">
        <v>10</v>
      </c>
      <c r="S77" s="40"/>
      <c r="T77" s="246">
        <v>1.668583140816217</v>
      </c>
      <c r="U77" s="246">
        <v>1.0011498844897302</v>
      </c>
      <c r="V77" s="246">
        <v>0.8342915704081085</v>
      </c>
      <c r="W77" s="246">
        <v>0.6674332563264869</v>
      </c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</row>
    <row r="78" ht="13.5" customHeight="1">
      <c r="A78" s="423" t="s">
        <v>84</v>
      </c>
      <c r="B78" s="423" t="s">
        <v>86</v>
      </c>
      <c r="C78" s="581" t="s">
        <v>788</v>
      </c>
      <c r="D78" s="582" t="s">
        <v>840</v>
      </c>
      <c r="E78" s="361" t="s">
        <v>577</v>
      </c>
      <c r="F78" s="134">
        <v>26.0</v>
      </c>
      <c r="G78" s="584" t="s">
        <v>872</v>
      </c>
      <c r="H78" s="584" t="s">
        <v>4044</v>
      </c>
      <c r="I78" s="582" t="s">
        <v>874</v>
      </c>
      <c r="J78" s="134"/>
      <c r="K78" s="581" t="s">
        <v>95</v>
      </c>
      <c r="L78" s="134"/>
      <c r="M78" s="423" t="s">
        <v>794</v>
      </c>
      <c r="N78" s="134" t="s">
        <v>795</v>
      </c>
      <c r="O78" s="134">
        <v>4800.0</v>
      </c>
      <c r="P78" s="361" t="s">
        <v>796</v>
      </c>
      <c r="Q78" s="598">
        <v>0.5555226808401567</v>
      </c>
      <c r="R78" s="126" t="s">
        <v>10</v>
      </c>
      <c r="S78" s="40"/>
      <c r="T78" s="246">
        <v>1.851742269467189</v>
      </c>
      <c r="U78" s="246">
        <v>1.1110453616803133</v>
      </c>
      <c r="V78" s="246">
        <v>0.9258711347335945</v>
      </c>
      <c r="W78" s="246">
        <v>0.7406969077868757</v>
      </c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</row>
    <row r="79" ht="13.5" customHeight="1">
      <c r="A79" s="423" t="s">
        <v>84</v>
      </c>
      <c r="B79" s="423" t="s">
        <v>86</v>
      </c>
      <c r="C79" s="581" t="s">
        <v>788</v>
      </c>
      <c r="D79" s="582" t="s">
        <v>840</v>
      </c>
      <c r="E79" s="361" t="s">
        <v>577</v>
      </c>
      <c r="F79" s="134">
        <v>26.0</v>
      </c>
      <c r="G79" s="584" t="s">
        <v>875</v>
      </c>
      <c r="H79" s="584" t="s">
        <v>4045</v>
      </c>
      <c r="I79" s="582" t="s">
        <v>877</v>
      </c>
      <c r="J79" s="134"/>
      <c r="K79" s="581" t="s">
        <v>95</v>
      </c>
      <c r="L79" s="134"/>
      <c r="M79" s="423" t="s">
        <v>794</v>
      </c>
      <c r="N79" s="134" t="s">
        <v>795</v>
      </c>
      <c r="O79" s="134">
        <v>3200.0</v>
      </c>
      <c r="P79" s="361" t="s">
        <v>796</v>
      </c>
      <c r="Q79" s="598">
        <v>0.7143088607690053</v>
      </c>
      <c r="R79" s="126" t="s">
        <v>10</v>
      </c>
      <c r="S79" s="49"/>
      <c r="T79" s="246">
        <v>2.3810295358966846</v>
      </c>
      <c r="U79" s="246">
        <v>1.4286177215380107</v>
      </c>
      <c r="V79" s="246">
        <v>1.1905147679483423</v>
      </c>
      <c r="W79" s="246">
        <v>0.952411814358674</v>
      </c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</row>
    <row r="80" ht="13.5" customHeight="1">
      <c r="A80" s="423" t="s">
        <v>84</v>
      </c>
      <c r="B80" s="423" t="s">
        <v>86</v>
      </c>
      <c r="C80" s="581" t="s">
        <v>788</v>
      </c>
      <c r="D80" s="582" t="s">
        <v>840</v>
      </c>
      <c r="E80" s="361" t="s">
        <v>577</v>
      </c>
      <c r="F80" s="134">
        <v>26.0</v>
      </c>
      <c r="G80" s="584" t="s">
        <v>878</v>
      </c>
      <c r="H80" s="584" t="s">
        <v>4046</v>
      </c>
      <c r="I80" s="582" t="s">
        <v>880</v>
      </c>
      <c r="J80" s="134"/>
      <c r="K80" s="581" t="s">
        <v>95</v>
      </c>
      <c r="L80" s="134"/>
      <c r="M80" s="423" t="s">
        <v>794</v>
      </c>
      <c r="N80" s="134" t="s">
        <v>795</v>
      </c>
      <c r="O80" s="134">
        <v>2240.0</v>
      </c>
      <c r="P80" s="361" t="s">
        <v>796</v>
      </c>
      <c r="Q80" s="598">
        <v>1.0137321040783969</v>
      </c>
      <c r="R80" s="126" t="s">
        <v>10</v>
      </c>
      <c r="S80" s="49"/>
      <c r="T80" s="246">
        <v>3.3791070135946564</v>
      </c>
      <c r="U80" s="246">
        <v>2.0274642081567937</v>
      </c>
      <c r="V80" s="246">
        <v>1.6895535067973282</v>
      </c>
      <c r="W80" s="246">
        <v>1.3516428054378626</v>
      </c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</row>
    <row r="81" ht="13.5" customHeight="1">
      <c r="A81" s="423" t="s">
        <v>84</v>
      </c>
      <c r="B81" s="423" t="s">
        <v>86</v>
      </c>
      <c r="C81" s="581" t="s">
        <v>788</v>
      </c>
      <c r="D81" s="582" t="s">
        <v>840</v>
      </c>
      <c r="E81" s="361" t="s">
        <v>577</v>
      </c>
      <c r="F81" s="134">
        <v>26.0</v>
      </c>
      <c r="G81" s="584" t="s">
        <v>881</v>
      </c>
      <c r="H81" s="584" t="s">
        <v>4047</v>
      </c>
      <c r="I81" s="582" t="s">
        <v>883</v>
      </c>
      <c r="J81" s="134"/>
      <c r="K81" s="581" t="s">
        <v>95</v>
      </c>
      <c r="L81" s="134"/>
      <c r="M81" s="423" t="s">
        <v>794</v>
      </c>
      <c r="N81" s="134" t="s">
        <v>795</v>
      </c>
      <c r="O81" s="134">
        <v>1600.0</v>
      </c>
      <c r="P81" s="361" t="s">
        <v>796</v>
      </c>
      <c r="Q81" s="598">
        <v>1.325140641163402</v>
      </c>
      <c r="R81" s="126" t="s">
        <v>10</v>
      </c>
      <c r="S81" s="49"/>
      <c r="T81" s="246">
        <v>4.4171354705446735</v>
      </c>
      <c r="U81" s="246">
        <v>2.650281282326804</v>
      </c>
      <c r="V81" s="246">
        <v>2.2085677352723367</v>
      </c>
      <c r="W81" s="246">
        <v>1.7668541882178694</v>
      </c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</row>
    <row r="82" ht="13.5" customHeight="1">
      <c r="A82" s="423" t="s">
        <v>84</v>
      </c>
      <c r="B82" s="423" t="s">
        <v>86</v>
      </c>
      <c r="C82" s="581" t="s">
        <v>788</v>
      </c>
      <c r="D82" s="582" t="s">
        <v>840</v>
      </c>
      <c r="E82" s="361" t="s">
        <v>577</v>
      </c>
      <c r="F82" s="134">
        <v>26.0</v>
      </c>
      <c r="G82" s="584" t="s">
        <v>884</v>
      </c>
      <c r="H82" s="584" t="s">
        <v>4048</v>
      </c>
      <c r="I82" s="582" t="s">
        <v>886</v>
      </c>
      <c r="J82" s="134"/>
      <c r="K82" s="581" t="s">
        <v>95</v>
      </c>
      <c r="L82" s="134"/>
      <c r="M82" s="423" t="s">
        <v>794</v>
      </c>
      <c r="N82" s="134" t="s">
        <v>795</v>
      </c>
      <c r="O82" s="134">
        <v>960.0</v>
      </c>
      <c r="P82" s="361" t="s">
        <v>796</v>
      </c>
      <c r="Q82" s="598">
        <v>1.9695215904432475</v>
      </c>
      <c r="R82" s="126" t="s">
        <v>10</v>
      </c>
      <c r="S82" s="49"/>
      <c r="T82" s="246">
        <v>6.565071968144158</v>
      </c>
      <c r="U82" s="246">
        <v>3.939043180886495</v>
      </c>
      <c r="V82" s="246">
        <v>3.282535984072079</v>
      </c>
      <c r="W82" s="246">
        <v>2.6260287872576633</v>
      </c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</row>
    <row r="83" ht="13.5" customHeight="1">
      <c r="A83" s="423" t="s">
        <v>84</v>
      </c>
      <c r="B83" s="423" t="s">
        <v>86</v>
      </c>
      <c r="C83" s="581" t="s">
        <v>788</v>
      </c>
      <c r="D83" s="582" t="s">
        <v>840</v>
      </c>
      <c r="E83" s="361" t="s">
        <v>577</v>
      </c>
      <c r="F83" s="134">
        <v>26.0</v>
      </c>
      <c r="G83" s="584" t="s">
        <v>887</v>
      </c>
      <c r="H83" s="584" t="s">
        <v>4049</v>
      </c>
      <c r="I83" s="582" t="s">
        <v>889</v>
      </c>
      <c r="J83" s="134"/>
      <c r="K83" s="581" t="s">
        <v>95</v>
      </c>
      <c r="L83" s="134"/>
      <c r="M83" s="423" t="s">
        <v>794</v>
      </c>
      <c r="N83" s="134" t="s">
        <v>795</v>
      </c>
      <c r="O83" s="134">
        <v>640.0</v>
      </c>
      <c r="P83" s="361" t="s">
        <v>796</v>
      </c>
      <c r="Q83" s="598">
        <v>3.425956278507075</v>
      </c>
      <c r="R83" s="126" t="s">
        <v>10</v>
      </c>
      <c r="S83" s="49"/>
      <c r="T83" s="246">
        <v>11.41985426169025</v>
      </c>
      <c r="U83" s="246">
        <v>6.85191255701415</v>
      </c>
      <c r="V83" s="246">
        <v>5.709927130845125</v>
      </c>
      <c r="W83" s="246">
        <v>4.567941704676101</v>
      </c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</row>
    <row r="84" ht="13.5" customHeight="1">
      <c r="A84" s="423" t="s">
        <v>84</v>
      </c>
      <c r="B84" s="423" t="s">
        <v>86</v>
      </c>
      <c r="C84" s="581" t="s">
        <v>788</v>
      </c>
      <c r="D84" s="582" t="s">
        <v>973</v>
      </c>
      <c r="E84" s="361" t="s">
        <v>577</v>
      </c>
      <c r="F84" s="134">
        <v>26.0</v>
      </c>
      <c r="G84" s="584" t="s">
        <v>1003</v>
      </c>
      <c r="H84" s="584" t="s">
        <v>4050</v>
      </c>
      <c r="I84" s="582" t="s">
        <v>977</v>
      </c>
      <c r="J84" s="134"/>
      <c r="K84" s="581" t="s">
        <v>95</v>
      </c>
      <c r="L84" s="134"/>
      <c r="M84" s="423" t="s">
        <v>794</v>
      </c>
      <c r="N84" s="134" t="s">
        <v>795</v>
      </c>
      <c r="O84" s="134">
        <v>3200.0</v>
      </c>
      <c r="P84" s="361" t="s">
        <v>796</v>
      </c>
      <c r="Q84" s="598">
        <v>0.5155463094113945</v>
      </c>
      <c r="R84" s="126" t="s">
        <v>10</v>
      </c>
      <c r="S84" s="49"/>
      <c r="T84" s="246">
        <v>1.7184876980379815</v>
      </c>
      <c r="U84" s="246">
        <v>1.031092618822789</v>
      </c>
      <c r="V84" s="246">
        <v>0.8592438490189908</v>
      </c>
      <c r="W84" s="246">
        <v>0.6873950792151926</v>
      </c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</row>
    <row r="85" ht="13.5" customHeight="1">
      <c r="A85" s="423" t="s">
        <v>84</v>
      </c>
      <c r="B85" s="423" t="s">
        <v>86</v>
      </c>
      <c r="C85" s="581" t="s">
        <v>788</v>
      </c>
      <c r="D85" s="582" t="s">
        <v>973</v>
      </c>
      <c r="E85" s="361" t="s">
        <v>577</v>
      </c>
      <c r="F85" s="134">
        <v>26.0</v>
      </c>
      <c r="G85" s="584" t="s">
        <v>1005</v>
      </c>
      <c r="H85" s="584" t="s">
        <v>4051</v>
      </c>
      <c r="I85" s="582" t="s">
        <v>982</v>
      </c>
      <c r="J85" s="134"/>
      <c r="K85" s="581" t="s">
        <v>95</v>
      </c>
      <c r="L85" s="134"/>
      <c r="M85" s="423" t="s">
        <v>794</v>
      </c>
      <c r="N85" s="134" t="s">
        <v>795</v>
      </c>
      <c r="O85" s="134">
        <v>2560.0</v>
      </c>
      <c r="P85" s="361" t="s">
        <v>796</v>
      </c>
      <c r="Q85" s="598">
        <v>0.5923682085273465</v>
      </c>
      <c r="R85" s="126" t="s">
        <v>10</v>
      </c>
      <c r="S85" s="49"/>
      <c r="T85" s="246">
        <v>1.9745606950911552</v>
      </c>
      <c r="U85" s="246">
        <v>1.184736417054693</v>
      </c>
      <c r="V85" s="246">
        <v>0.9872803475455776</v>
      </c>
      <c r="W85" s="246">
        <v>0.7898242780364622</v>
      </c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</row>
    <row r="86" ht="13.5" customHeight="1">
      <c r="A86" s="423" t="s">
        <v>84</v>
      </c>
      <c r="B86" s="423" t="s">
        <v>86</v>
      </c>
      <c r="C86" s="581" t="s">
        <v>788</v>
      </c>
      <c r="D86" s="582" t="s">
        <v>973</v>
      </c>
      <c r="E86" s="361" t="s">
        <v>577</v>
      </c>
      <c r="F86" s="134">
        <v>26.0</v>
      </c>
      <c r="G86" s="584" t="s">
        <v>1006</v>
      </c>
      <c r="H86" s="584" t="s">
        <v>4052</v>
      </c>
      <c r="I86" s="582" t="s">
        <v>986</v>
      </c>
      <c r="J86" s="134"/>
      <c r="K86" s="581" t="s">
        <v>95</v>
      </c>
      <c r="L86" s="134"/>
      <c r="M86" s="423" t="s">
        <v>794</v>
      </c>
      <c r="N86" s="134" t="s">
        <v>795</v>
      </c>
      <c r="O86" s="134">
        <v>1600.0</v>
      </c>
      <c r="P86" s="361" t="s">
        <v>796</v>
      </c>
      <c r="Q86" s="598">
        <v>0.7461601817741448</v>
      </c>
      <c r="R86" s="126" t="s">
        <v>10</v>
      </c>
      <c r="S86" s="49"/>
      <c r="T86" s="246">
        <v>2.487200605913816</v>
      </c>
      <c r="U86" s="246">
        <v>1.4923203635482896</v>
      </c>
      <c r="V86" s="246">
        <v>1.243600302956908</v>
      </c>
      <c r="W86" s="246">
        <v>0.9948802423655265</v>
      </c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</row>
    <row r="87" ht="13.5" customHeight="1">
      <c r="A87" s="423" t="s">
        <v>84</v>
      </c>
      <c r="B87" s="423" t="s">
        <v>86</v>
      </c>
      <c r="C87" s="581" t="s">
        <v>788</v>
      </c>
      <c r="D87" s="582" t="s">
        <v>973</v>
      </c>
      <c r="E87" s="361" t="s">
        <v>577</v>
      </c>
      <c r="F87" s="134">
        <v>26.0</v>
      </c>
      <c r="G87" s="584" t="s">
        <v>1007</v>
      </c>
      <c r="H87" s="584" t="s">
        <v>4053</v>
      </c>
      <c r="I87" s="582" t="s">
        <v>990</v>
      </c>
      <c r="J87" s="134"/>
      <c r="K87" s="581" t="s">
        <v>95</v>
      </c>
      <c r="L87" s="134"/>
      <c r="M87" s="423" t="s">
        <v>794</v>
      </c>
      <c r="N87" s="134" t="s">
        <v>795</v>
      </c>
      <c r="O87" s="134">
        <v>1280.0</v>
      </c>
      <c r="P87" s="361" t="s">
        <v>796</v>
      </c>
      <c r="Q87" s="598">
        <v>1.0464010653003275</v>
      </c>
      <c r="R87" s="126" t="s">
        <v>10</v>
      </c>
      <c r="S87" s="49"/>
      <c r="T87" s="246">
        <v>3.488003551001092</v>
      </c>
      <c r="U87" s="246">
        <v>2.092802130600655</v>
      </c>
      <c r="V87" s="246">
        <v>1.744001775500546</v>
      </c>
      <c r="W87" s="246">
        <v>1.3952014204004368</v>
      </c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</row>
    <row r="88" ht="13.5" customHeight="1">
      <c r="A88" s="423" t="s">
        <v>84</v>
      </c>
      <c r="B88" s="423" t="s">
        <v>86</v>
      </c>
      <c r="C88" s="581" t="s">
        <v>788</v>
      </c>
      <c r="D88" s="582" t="s">
        <v>973</v>
      </c>
      <c r="E88" s="361" t="s">
        <v>577</v>
      </c>
      <c r="F88" s="134">
        <v>26.0</v>
      </c>
      <c r="G88" s="584" t="s">
        <v>1008</v>
      </c>
      <c r="H88" s="584" t="s">
        <v>4054</v>
      </c>
      <c r="I88" s="582" t="s">
        <v>994</v>
      </c>
      <c r="J88" s="134"/>
      <c r="K88" s="581" t="s">
        <v>95</v>
      </c>
      <c r="L88" s="134"/>
      <c r="M88" s="423" t="s">
        <v>794</v>
      </c>
      <c r="N88" s="134" t="s">
        <v>795</v>
      </c>
      <c r="O88" s="134">
        <v>960.0</v>
      </c>
      <c r="P88" s="361" t="s">
        <v>796</v>
      </c>
      <c r="Q88" s="598">
        <v>1.3600750121660037</v>
      </c>
      <c r="R88" s="126" t="s">
        <v>10</v>
      </c>
      <c r="S88" s="49"/>
      <c r="T88" s="246">
        <v>4.533583373886679</v>
      </c>
      <c r="U88" s="246">
        <v>2.7201500243320074</v>
      </c>
      <c r="V88" s="246">
        <v>2.2667916869433395</v>
      </c>
      <c r="W88" s="246">
        <v>1.8134333495546717</v>
      </c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</row>
    <row r="89" ht="13.5" customHeight="1">
      <c r="A89" s="423" t="s">
        <v>84</v>
      </c>
      <c r="B89" s="423" t="s">
        <v>86</v>
      </c>
      <c r="C89" s="581" t="s">
        <v>788</v>
      </c>
      <c r="D89" s="582" t="s">
        <v>973</v>
      </c>
      <c r="E89" s="361" t="s">
        <v>577</v>
      </c>
      <c r="F89" s="134">
        <v>26.0</v>
      </c>
      <c r="G89" s="584" t="s">
        <v>1009</v>
      </c>
      <c r="H89" s="584" t="s">
        <v>4055</v>
      </c>
      <c r="I89" s="582" t="s">
        <v>998</v>
      </c>
      <c r="J89" s="134"/>
      <c r="K89" s="581" t="s">
        <v>95</v>
      </c>
      <c r="L89" s="134"/>
      <c r="M89" s="423" t="s">
        <v>794</v>
      </c>
      <c r="N89" s="134" t="s">
        <v>795</v>
      </c>
      <c r="O89" s="134">
        <v>640.0</v>
      </c>
      <c r="P89" s="361" t="s">
        <v>796</v>
      </c>
      <c r="Q89" s="598">
        <v>2.0417852043554072</v>
      </c>
      <c r="R89" s="126" t="s">
        <v>10</v>
      </c>
      <c r="S89" s="49"/>
      <c r="T89" s="246">
        <v>6.805950681184691</v>
      </c>
      <c r="U89" s="246">
        <v>4.0835704087108144</v>
      </c>
      <c r="V89" s="246">
        <v>3.4029753405923455</v>
      </c>
      <c r="W89" s="246">
        <v>2.7223802724738766</v>
      </c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</row>
    <row r="90" ht="13.5" customHeight="1">
      <c r="A90" s="423" t="s">
        <v>84</v>
      </c>
      <c r="B90" s="423" t="s">
        <v>86</v>
      </c>
      <c r="C90" s="581" t="s">
        <v>788</v>
      </c>
      <c r="D90" s="582" t="s">
        <v>973</v>
      </c>
      <c r="E90" s="361" t="s">
        <v>577</v>
      </c>
      <c r="F90" s="134">
        <v>26.0</v>
      </c>
      <c r="G90" s="584" t="s">
        <v>1010</v>
      </c>
      <c r="H90" s="584" t="s">
        <v>4056</v>
      </c>
      <c r="I90" s="581" t="s">
        <v>1002</v>
      </c>
      <c r="J90" s="134"/>
      <c r="K90" s="423" t="s">
        <v>95</v>
      </c>
      <c r="L90" s="134"/>
      <c r="M90" s="423" t="s">
        <v>794</v>
      </c>
      <c r="N90" s="134" t="s">
        <v>795</v>
      </c>
      <c r="O90" s="134">
        <v>220.0</v>
      </c>
      <c r="P90" s="361" t="s">
        <v>796</v>
      </c>
      <c r="Q90" s="598">
        <v>3.934489475237137</v>
      </c>
      <c r="R90" s="126" t="s">
        <v>10</v>
      </c>
      <c r="S90" s="49"/>
      <c r="T90" s="246">
        <v>13.114964917457124</v>
      </c>
      <c r="U90" s="246">
        <v>7.868978950474274</v>
      </c>
      <c r="V90" s="246">
        <v>6.557482458728562</v>
      </c>
      <c r="W90" s="246">
        <v>5.24598596698285</v>
      </c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</row>
    <row r="91" ht="13.5" customHeight="1">
      <c r="A91" s="423" t="s">
        <v>84</v>
      </c>
      <c r="B91" s="423" t="s">
        <v>86</v>
      </c>
      <c r="C91" s="581" t="s">
        <v>788</v>
      </c>
      <c r="D91" s="582" t="s">
        <v>973</v>
      </c>
      <c r="E91" s="361" t="s">
        <v>577</v>
      </c>
      <c r="F91" s="134">
        <v>26.0</v>
      </c>
      <c r="G91" s="584" t="s">
        <v>1012</v>
      </c>
      <c r="H91" s="584" t="s">
        <v>4057</v>
      </c>
      <c r="I91" s="582" t="s">
        <v>1014</v>
      </c>
      <c r="J91" s="134"/>
      <c r="K91" s="581" t="s">
        <v>95</v>
      </c>
      <c r="L91" s="134"/>
      <c r="M91" s="423" t="s">
        <v>1015</v>
      </c>
      <c r="N91" s="134" t="s">
        <v>795</v>
      </c>
      <c r="O91" s="134">
        <v>256.0</v>
      </c>
      <c r="P91" s="361" t="s">
        <v>796</v>
      </c>
      <c r="Q91" s="598">
        <v>5.576561289687919</v>
      </c>
      <c r="R91" s="126" t="s">
        <v>10</v>
      </c>
      <c r="S91" s="49"/>
      <c r="T91" s="246">
        <v>18.588537632293065</v>
      </c>
      <c r="U91" s="246">
        <v>11.153122579375838</v>
      </c>
      <c r="V91" s="246">
        <v>9.294268816146532</v>
      </c>
      <c r="W91" s="246">
        <v>7.435415052917226</v>
      </c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</row>
    <row r="92" ht="13.5" customHeight="1">
      <c r="A92" s="423" t="s">
        <v>84</v>
      </c>
      <c r="B92" s="423" t="s">
        <v>86</v>
      </c>
      <c r="C92" s="581" t="s">
        <v>788</v>
      </c>
      <c r="D92" s="582" t="s">
        <v>973</v>
      </c>
      <c r="E92" s="361" t="s">
        <v>577</v>
      </c>
      <c r="F92" s="134">
        <v>26.0</v>
      </c>
      <c r="G92" s="584" t="s">
        <v>1017</v>
      </c>
      <c r="H92" s="584" t="s">
        <v>4058</v>
      </c>
      <c r="I92" s="582" t="s">
        <v>1019</v>
      </c>
      <c r="J92" s="134"/>
      <c r="K92" s="581" t="s">
        <v>95</v>
      </c>
      <c r="L92" s="134"/>
      <c r="M92" s="423" t="s">
        <v>1015</v>
      </c>
      <c r="N92" s="134" t="s">
        <v>795</v>
      </c>
      <c r="O92" s="134">
        <v>256.0</v>
      </c>
      <c r="P92" s="361" t="s">
        <v>796</v>
      </c>
      <c r="Q92" s="598">
        <v>7.234968310891039</v>
      </c>
      <c r="R92" s="126" t="s">
        <v>10</v>
      </c>
      <c r="S92" s="49"/>
      <c r="T92" s="246">
        <v>24.116561036303466</v>
      </c>
      <c r="U92" s="246">
        <v>14.469936621782079</v>
      </c>
      <c r="V92" s="246">
        <v>12.058280518151733</v>
      </c>
      <c r="W92" s="246">
        <v>9.646624414521387</v>
      </c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</row>
    <row r="93" ht="13.5" customHeight="1">
      <c r="A93" s="423" t="s">
        <v>84</v>
      </c>
      <c r="B93" s="423" t="s">
        <v>86</v>
      </c>
      <c r="C93" s="581" t="s">
        <v>788</v>
      </c>
      <c r="D93" s="582" t="s">
        <v>973</v>
      </c>
      <c r="E93" s="361" t="s">
        <v>577</v>
      </c>
      <c r="F93" s="134">
        <v>26.0</v>
      </c>
      <c r="G93" s="584" t="s">
        <v>1021</v>
      </c>
      <c r="H93" s="584" t="s">
        <v>778</v>
      </c>
      <c r="I93" s="582" t="s">
        <v>1023</v>
      </c>
      <c r="J93" s="134"/>
      <c r="K93" s="581" t="s">
        <v>95</v>
      </c>
      <c r="L93" s="134"/>
      <c r="M93" s="423" t="s">
        <v>1015</v>
      </c>
      <c r="N93" s="134" t="s">
        <v>795</v>
      </c>
      <c r="O93" s="264">
        <v>192.0</v>
      </c>
      <c r="P93" s="361" t="s">
        <v>796</v>
      </c>
      <c r="Q93" s="598">
        <v>9.036093985684811</v>
      </c>
      <c r="R93" s="126" t="s">
        <v>10</v>
      </c>
      <c r="S93" s="49"/>
      <c r="T93" s="246">
        <v>30.12031328561604</v>
      </c>
      <c r="U93" s="246">
        <v>18.072187971369623</v>
      </c>
      <c r="V93" s="246">
        <v>15.06015664280802</v>
      </c>
      <c r="W93" s="246">
        <v>12.048125314246416</v>
      </c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</row>
    <row r="94" ht="13.5" customHeight="1">
      <c r="A94" s="423" t="s">
        <v>84</v>
      </c>
      <c r="B94" s="423" t="s">
        <v>86</v>
      </c>
      <c r="C94" s="581" t="s">
        <v>788</v>
      </c>
      <c r="D94" s="582" t="s">
        <v>973</v>
      </c>
      <c r="E94" s="361" t="s">
        <v>577</v>
      </c>
      <c r="F94" s="134">
        <v>26.0</v>
      </c>
      <c r="G94" s="584" t="s">
        <v>1024</v>
      </c>
      <c r="H94" s="584" t="s">
        <v>778</v>
      </c>
      <c r="I94" s="582" t="s">
        <v>1026</v>
      </c>
      <c r="J94" s="134"/>
      <c r="K94" s="581" t="s">
        <v>95</v>
      </c>
      <c r="L94" s="134"/>
      <c r="M94" s="423" t="s">
        <v>1015</v>
      </c>
      <c r="N94" s="134" t="s">
        <v>795</v>
      </c>
      <c r="O94" s="264">
        <v>192.0</v>
      </c>
      <c r="P94" s="361" t="s">
        <v>796</v>
      </c>
      <c r="Q94" s="598">
        <v>10.65116194546066</v>
      </c>
      <c r="R94" s="126" t="s">
        <v>10</v>
      </c>
      <c r="S94" s="49"/>
      <c r="T94" s="246">
        <v>35.50387315153553</v>
      </c>
      <c r="U94" s="246">
        <v>21.30232389092132</v>
      </c>
      <c r="V94" s="246">
        <v>17.751936575767765</v>
      </c>
      <c r="W94" s="246">
        <v>14.201549260614213</v>
      </c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</row>
    <row r="95" ht="13.5" customHeight="1">
      <c r="A95" s="423" t="s">
        <v>84</v>
      </c>
      <c r="B95" s="423" t="s">
        <v>86</v>
      </c>
      <c r="C95" s="581" t="s">
        <v>788</v>
      </c>
      <c r="D95" s="582" t="s">
        <v>973</v>
      </c>
      <c r="E95" s="361" t="s">
        <v>577</v>
      </c>
      <c r="F95" s="134">
        <v>26.0</v>
      </c>
      <c r="G95" s="584" t="s">
        <v>1027</v>
      </c>
      <c r="H95" s="584" t="s">
        <v>778</v>
      </c>
      <c r="I95" s="582" t="s">
        <v>1029</v>
      </c>
      <c r="J95" s="134"/>
      <c r="K95" s="581" t="s">
        <v>95</v>
      </c>
      <c r="L95" s="134"/>
      <c r="M95" s="423" t="s">
        <v>1015</v>
      </c>
      <c r="N95" s="134" t="s">
        <v>795</v>
      </c>
      <c r="O95" s="264">
        <v>128.0</v>
      </c>
      <c r="P95" s="361" t="s">
        <v>796</v>
      </c>
      <c r="Q95" s="598">
        <v>17.424731916948602</v>
      </c>
      <c r="R95" s="126" t="s">
        <v>10</v>
      </c>
      <c r="S95" s="49"/>
      <c r="T95" s="246">
        <v>58.08243972316201</v>
      </c>
      <c r="U95" s="246">
        <v>34.849463833897204</v>
      </c>
      <c r="V95" s="246">
        <v>29.041219861581006</v>
      </c>
      <c r="W95" s="246">
        <v>23.232975889264807</v>
      </c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</row>
    <row r="96" ht="13.5" customHeight="1">
      <c r="A96" s="423" t="s">
        <v>84</v>
      </c>
      <c r="B96" s="423" t="s">
        <v>86</v>
      </c>
      <c r="C96" s="581" t="s">
        <v>788</v>
      </c>
      <c r="D96" s="582" t="s">
        <v>973</v>
      </c>
      <c r="E96" s="361" t="s">
        <v>577</v>
      </c>
      <c r="F96" s="134">
        <v>26.0</v>
      </c>
      <c r="G96" s="584" t="s">
        <v>1030</v>
      </c>
      <c r="H96" s="584" t="s">
        <v>778</v>
      </c>
      <c r="I96" s="582" t="s">
        <v>1032</v>
      </c>
      <c r="J96" s="134"/>
      <c r="K96" s="581" t="s">
        <v>95</v>
      </c>
      <c r="L96" s="134"/>
      <c r="M96" s="423" t="s">
        <v>1015</v>
      </c>
      <c r="N96" s="134" t="s">
        <v>795</v>
      </c>
      <c r="O96" s="264">
        <v>128.0</v>
      </c>
      <c r="P96" s="361" t="s">
        <v>796</v>
      </c>
      <c r="Q96" s="598">
        <v>24.90899657002286</v>
      </c>
      <c r="R96" s="126" t="s">
        <v>10</v>
      </c>
      <c r="S96" s="49"/>
      <c r="T96" s="246">
        <v>83.02998856674287</v>
      </c>
      <c r="U96" s="246">
        <v>49.81799314004572</v>
      </c>
      <c r="V96" s="246">
        <v>41.514994283371436</v>
      </c>
      <c r="W96" s="246">
        <v>33.21199542669715</v>
      </c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</row>
    <row r="97" ht="13.5" customHeight="1">
      <c r="A97" s="423" t="s">
        <v>84</v>
      </c>
      <c r="B97" s="423" t="s">
        <v>86</v>
      </c>
      <c r="C97" s="581" t="s">
        <v>788</v>
      </c>
      <c r="D97" s="582" t="s">
        <v>973</v>
      </c>
      <c r="E97" s="361" t="s">
        <v>577</v>
      </c>
      <c r="F97" s="134">
        <v>26.0</v>
      </c>
      <c r="G97" s="584" t="s">
        <v>1033</v>
      </c>
      <c r="H97" s="584" t="s">
        <v>778</v>
      </c>
      <c r="I97" s="582" t="s">
        <v>1035</v>
      </c>
      <c r="J97" s="134"/>
      <c r="K97" s="581" t="s">
        <v>95</v>
      </c>
      <c r="L97" s="134"/>
      <c r="M97" s="423" t="s">
        <v>1015</v>
      </c>
      <c r="N97" s="134" t="s">
        <v>795</v>
      </c>
      <c r="O97" s="264">
        <v>64.0</v>
      </c>
      <c r="P97" s="361" t="s">
        <v>796</v>
      </c>
      <c r="Q97" s="598">
        <v>24.90899657002286</v>
      </c>
      <c r="R97" s="126" t="s">
        <v>10</v>
      </c>
      <c r="S97" s="49"/>
      <c r="T97" s="246">
        <v>83.02998856674287</v>
      </c>
      <c r="U97" s="246">
        <v>49.81799314004572</v>
      </c>
      <c r="V97" s="246">
        <v>41.514994283371436</v>
      </c>
      <c r="W97" s="246">
        <v>33.21199542669715</v>
      </c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</row>
    <row r="98" ht="13.5" customHeight="1">
      <c r="A98" s="423" t="s">
        <v>84</v>
      </c>
      <c r="B98" s="423" t="s">
        <v>86</v>
      </c>
      <c r="C98" s="581" t="s">
        <v>788</v>
      </c>
      <c r="D98" s="582" t="s">
        <v>1135</v>
      </c>
      <c r="E98" s="361" t="s">
        <v>577</v>
      </c>
      <c r="F98" s="134">
        <v>26.0</v>
      </c>
      <c r="G98" s="584" t="s">
        <v>1136</v>
      </c>
      <c r="H98" s="584" t="s">
        <v>4059</v>
      </c>
      <c r="I98" s="582" t="s">
        <v>1138</v>
      </c>
      <c r="J98" s="134"/>
      <c r="K98" s="581" t="s">
        <v>95</v>
      </c>
      <c r="L98" s="134"/>
      <c r="M98" s="423" t="s">
        <v>794</v>
      </c>
      <c r="N98" s="134" t="s">
        <v>795</v>
      </c>
      <c r="O98" s="134">
        <v>4800.0</v>
      </c>
      <c r="P98" s="134" t="s">
        <v>796</v>
      </c>
      <c r="Q98" s="598">
        <v>0.0</v>
      </c>
      <c r="R98" s="126" t="s">
        <v>10</v>
      </c>
      <c r="S98" s="49"/>
      <c r="T98" s="246">
        <v>0.0</v>
      </c>
      <c r="U98" s="246">
        <v>0.0</v>
      </c>
      <c r="V98" s="246">
        <v>0.0</v>
      </c>
      <c r="W98" s="246">
        <v>0.0</v>
      </c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</row>
    <row r="99" ht="13.5" customHeight="1">
      <c r="A99" s="423" t="s">
        <v>84</v>
      </c>
      <c r="B99" s="423" t="s">
        <v>86</v>
      </c>
      <c r="C99" s="581" t="s">
        <v>788</v>
      </c>
      <c r="D99" s="582" t="s">
        <v>1135</v>
      </c>
      <c r="E99" s="361" t="s">
        <v>577</v>
      </c>
      <c r="F99" s="134">
        <v>26.0</v>
      </c>
      <c r="G99" s="584" t="s">
        <v>1140</v>
      </c>
      <c r="H99" s="584" t="s">
        <v>4060</v>
      </c>
      <c r="I99" s="582" t="s">
        <v>1142</v>
      </c>
      <c r="J99" s="134"/>
      <c r="K99" s="581" t="s">
        <v>95</v>
      </c>
      <c r="L99" s="134"/>
      <c r="M99" s="423" t="s">
        <v>794</v>
      </c>
      <c r="N99" s="134" t="s">
        <v>795</v>
      </c>
      <c r="O99" s="134">
        <v>4800.0</v>
      </c>
      <c r="P99" s="134" t="s">
        <v>796</v>
      </c>
      <c r="Q99" s="598">
        <v>3.869782112996069</v>
      </c>
      <c r="R99" s="126" t="s">
        <v>10</v>
      </c>
      <c r="S99" s="49"/>
      <c r="T99" s="246">
        <v>12.899273709986897</v>
      </c>
      <c r="U99" s="246">
        <v>7.739564225992138</v>
      </c>
      <c r="V99" s="246">
        <v>6.449636854993448</v>
      </c>
      <c r="W99" s="246">
        <v>5.159709483994759</v>
      </c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</row>
    <row r="100" ht="13.5" customHeight="1">
      <c r="A100" s="423" t="s">
        <v>84</v>
      </c>
      <c r="B100" s="423" t="s">
        <v>86</v>
      </c>
      <c r="C100" s="581" t="s">
        <v>788</v>
      </c>
      <c r="D100" s="582" t="s">
        <v>1135</v>
      </c>
      <c r="E100" s="361" t="s">
        <v>577</v>
      </c>
      <c r="F100" s="134">
        <v>26.0</v>
      </c>
      <c r="G100" s="584" t="s">
        <v>1146</v>
      </c>
      <c r="H100" s="584" t="s">
        <v>4061</v>
      </c>
      <c r="I100" s="582" t="s">
        <v>1148</v>
      </c>
      <c r="J100" s="134"/>
      <c r="K100" s="581" t="s">
        <v>95</v>
      </c>
      <c r="L100" s="134"/>
      <c r="M100" s="423" t="s">
        <v>794</v>
      </c>
      <c r="N100" s="134" t="s">
        <v>795</v>
      </c>
      <c r="O100" s="134">
        <v>3200.0</v>
      </c>
      <c r="P100" s="134" t="s">
        <v>796</v>
      </c>
      <c r="Q100" s="598">
        <v>4.395874204953709</v>
      </c>
      <c r="R100" s="126" t="s">
        <v>10</v>
      </c>
      <c r="S100" s="49"/>
      <c r="T100" s="246">
        <v>14.652914016512364</v>
      </c>
      <c r="U100" s="246">
        <v>8.791748409907418</v>
      </c>
      <c r="V100" s="246">
        <v>7.326457008256182</v>
      </c>
      <c r="W100" s="246">
        <v>5.861165606604946</v>
      </c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</row>
    <row r="101" ht="13.5" customHeight="1">
      <c r="A101" s="423" t="s">
        <v>84</v>
      </c>
      <c r="B101" s="423" t="s">
        <v>86</v>
      </c>
      <c r="C101" s="581" t="s">
        <v>788</v>
      </c>
      <c r="D101" s="582" t="s">
        <v>1135</v>
      </c>
      <c r="E101" s="361" t="s">
        <v>577</v>
      </c>
      <c r="F101" s="134">
        <v>26.0</v>
      </c>
      <c r="G101" s="584" t="s">
        <v>1149</v>
      </c>
      <c r="H101" s="584" t="s">
        <v>4062</v>
      </c>
      <c r="I101" s="582" t="s">
        <v>1151</v>
      </c>
      <c r="J101" s="134"/>
      <c r="K101" s="581" t="s">
        <v>95</v>
      </c>
      <c r="L101" s="134"/>
      <c r="M101" s="423" t="s">
        <v>794</v>
      </c>
      <c r="N101" s="134" t="s">
        <v>795</v>
      </c>
      <c r="O101" s="134">
        <v>2240.0</v>
      </c>
      <c r="P101" s="134" t="s">
        <v>796</v>
      </c>
      <c r="Q101" s="598">
        <v>5.437724394159998</v>
      </c>
      <c r="R101" s="126" t="s">
        <v>10</v>
      </c>
      <c r="S101" s="49"/>
      <c r="T101" s="246">
        <v>18.12574798053333</v>
      </c>
      <c r="U101" s="246">
        <v>10.875448788319998</v>
      </c>
      <c r="V101" s="246">
        <v>9.062873990266665</v>
      </c>
      <c r="W101" s="246">
        <v>7.250299192213332</v>
      </c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</row>
    <row r="102" ht="13.5" customHeight="1">
      <c r="A102" s="423" t="s">
        <v>84</v>
      </c>
      <c r="B102" s="423" t="s">
        <v>86</v>
      </c>
      <c r="C102" s="581" t="s">
        <v>788</v>
      </c>
      <c r="D102" s="582" t="s">
        <v>1135</v>
      </c>
      <c r="E102" s="361" t="s">
        <v>577</v>
      </c>
      <c r="F102" s="134">
        <v>26.0</v>
      </c>
      <c r="G102" s="584" t="s">
        <v>1152</v>
      </c>
      <c r="H102" s="584" t="s">
        <v>4063</v>
      </c>
      <c r="I102" s="582" t="s">
        <v>1154</v>
      </c>
      <c r="J102" s="134"/>
      <c r="K102" s="581" t="s">
        <v>95</v>
      </c>
      <c r="L102" s="134"/>
      <c r="M102" s="423" t="s">
        <v>794</v>
      </c>
      <c r="N102" s="134" t="s">
        <v>795</v>
      </c>
      <c r="O102" s="134">
        <v>1600.0</v>
      </c>
      <c r="P102" s="134" t="s">
        <v>796</v>
      </c>
      <c r="Q102" s="598">
        <v>6.524238397208386</v>
      </c>
      <c r="R102" s="126" t="s">
        <v>10</v>
      </c>
      <c r="S102" s="49"/>
      <c r="T102" s="246">
        <v>21.747461324027952</v>
      </c>
      <c r="U102" s="246">
        <v>13.048476794416771</v>
      </c>
      <c r="V102" s="246">
        <v>10.873730662013976</v>
      </c>
      <c r="W102" s="246">
        <v>8.698984529611181</v>
      </c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</row>
    <row r="103" ht="13.5" customHeight="1">
      <c r="A103" s="423" t="s">
        <v>84</v>
      </c>
      <c r="B103" s="423" t="s">
        <v>86</v>
      </c>
      <c r="C103" s="581" t="s">
        <v>788</v>
      </c>
      <c r="D103" s="582" t="s">
        <v>1135</v>
      </c>
      <c r="E103" s="361" t="s">
        <v>577</v>
      </c>
      <c r="F103" s="134">
        <v>26.0</v>
      </c>
      <c r="G103" s="584" t="s">
        <v>1155</v>
      </c>
      <c r="H103" s="584" t="s">
        <v>4064</v>
      </c>
      <c r="I103" s="582" t="s">
        <v>1157</v>
      </c>
      <c r="J103" s="134"/>
      <c r="K103" s="581" t="s">
        <v>95</v>
      </c>
      <c r="L103" s="134"/>
      <c r="M103" s="423" t="s">
        <v>794</v>
      </c>
      <c r="N103" s="134" t="s">
        <v>795</v>
      </c>
      <c r="O103" s="134">
        <v>960.0</v>
      </c>
      <c r="P103" s="134" t="s">
        <v>796</v>
      </c>
      <c r="Q103" s="598">
        <v>8.321559593196794</v>
      </c>
      <c r="R103" s="126" t="s">
        <v>10</v>
      </c>
      <c r="S103" s="49"/>
      <c r="T103" s="246">
        <v>27.738531977322648</v>
      </c>
      <c r="U103" s="246">
        <v>16.643119186393587</v>
      </c>
      <c r="V103" s="246">
        <v>13.869265988661324</v>
      </c>
      <c r="W103" s="246">
        <v>11.09541279092906</v>
      </c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</row>
    <row r="104" ht="12.75" customHeight="1">
      <c r="A104" s="423" t="s">
        <v>84</v>
      </c>
      <c r="B104" s="423" t="s">
        <v>86</v>
      </c>
      <c r="C104" s="423" t="s">
        <v>1158</v>
      </c>
      <c r="D104" s="581" t="s">
        <v>1158</v>
      </c>
      <c r="E104" s="361" t="s">
        <v>1159</v>
      </c>
      <c r="F104" s="134"/>
      <c r="G104" s="584" t="s">
        <v>1173</v>
      </c>
      <c r="H104" s="584" t="s">
        <v>4065</v>
      </c>
      <c r="I104" s="589" t="s">
        <v>1175</v>
      </c>
      <c r="J104" s="134"/>
      <c r="K104" s="581" t="s">
        <v>95</v>
      </c>
      <c r="L104" s="134"/>
      <c r="M104" s="423" t="s">
        <v>554</v>
      </c>
      <c r="N104" s="134" t="s">
        <v>1176</v>
      </c>
      <c r="O104" s="134">
        <v>240.0</v>
      </c>
      <c r="P104" s="134" t="s">
        <v>1650</v>
      </c>
      <c r="Q104" s="132">
        <v>5.895977709243315</v>
      </c>
      <c r="R104" s="126" t="s">
        <v>10</v>
      </c>
      <c r="S104" s="49"/>
      <c r="T104" s="224">
        <v>19.65325903081105</v>
      </c>
      <c r="U104" s="224">
        <v>11.79195541848663</v>
      </c>
      <c r="V104" s="224">
        <v>9.826629515405525</v>
      </c>
      <c r="W104" s="224">
        <v>7.86130361232442</v>
      </c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</row>
    <row r="105" ht="13.5" customHeight="1">
      <c r="A105" s="423" t="s">
        <v>84</v>
      </c>
      <c r="B105" s="423" t="s">
        <v>86</v>
      </c>
      <c r="C105" s="423" t="s">
        <v>1158</v>
      </c>
      <c r="D105" s="581" t="s">
        <v>1158</v>
      </c>
      <c r="E105" s="361" t="s">
        <v>1159</v>
      </c>
      <c r="F105" s="134"/>
      <c r="G105" s="584" t="s">
        <v>1179</v>
      </c>
      <c r="H105" s="584" t="s">
        <v>4066</v>
      </c>
      <c r="I105" s="582" t="s">
        <v>1181</v>
      </c>
      <c r="J105" s="134"/>
      <c r="K105" s="581" t="s">
        <v>95</v>
      </c>
      <c r="L105" s="134"/>
      <c r="M105" s="423" t="s">
        <v>554</v>
      </c>
      <c r="N105" s="134" t="s">
        <v>1176</v>
      </c>
      <c r="O105" s="134">
        <v>320.0</v>
      </c>
      <c r="P105" s="134" t="s">
        <v>1650</v>
      </c>
      <c r="Q105" s="132">
        <v>11.94825705113143</v>
      </c>
      <c r="R105" s="126" t="s">
        <v>10</v>
      </c>
      <c r="S105" s="49"/>
      <c r="T105" s="224">
        <v>39.82752350377143</v>
      </c>
      <c r="U105" s="224">
        <v>23.89651410226286</v>
      </c>
      <c r="V105" s="224">
        <v>19.913761751885716</v>
      </c>
      <c r="W105" s="224">
        <v>15.931009401508573</v>
      </c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</row>
    <row r="106" ht="13.5" customHeight="1">
      <c r="A106" s="423" t="s">
        <v>84</v>
      </c>
      <c r="B106" s="423" t="s">
        <v>86</v>
      </c>
      <c r="C106" s="423" t="s">
        <v>1158</v>
      </c>
      <c r="D106" s="581" t="s">
        <v>1158</v>
      </c>
      <c r="E106" s="361" t="s">
        <v>1159</v>
      </c>
      <c r="F106" s="134"/>
      <c r="G106" s="584" t="s">
        <v>1189</v>
      </c>
      <c r="H106" s="584" t="s">
        <v>4067</v>
      </c>
      <c r="I106" s="582" t="s">
        <v>1167</v>
      </c>
      <c r="J106" s="134"/>
      <c r="K106" s="581" t="s">
        <v>95</v>
      </c>
      <c r="L106" s="134"/>
      <c r="M106" s="423" t="s">
        <v>554</v>
      </c>
      <c r="N106" s="134" t="s">
        <v>1176</v>
      </c>
      <c r="O106" s="134">
        <v>240.0</v>
      </c>
      <c r="P106" s="134" t="s">
        <v>1650</v>
      </c>
      <c r="Q106" s="132">
        <v>6.00025156114892</v>
      </c>
      <c r="R106" s="126" t="s">
        <v>10</v>
      </c>
      <c r="S106" s="49"/>
      <c r="T106" s="224">
        <v>20.000838537163066</v>
      </c>
      <c r="U106" s="224">
        <v>12.00050312229784</v>
      </c>
      <c r="V106" s="224">
        <v>10.000419268581533</v>
      </c>
      <c r="W106" s="224">
        <v>8.000335414865226</v>
      </c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</row>
    <row r="107" ht="13.5" customHeight="1">
      <c r="A107" s="423" t="s">
        <v>84</v>
      </c>
      <c r="B107" s="423" t="s">
        <v>86</v>
      </c>
      <c r="C107" s="423" t="s">
        <v>1158</v>
      </c>
      <c r="D107" s="581" t="s">
        <v>1158</v>
      </c>
      <c r="E107" s="361" t="s">
        <v>1159</v>
      </c>
      <c r="F107" s="134"/>
      <c r="G107" s="584" t="s">
        <v>1196</v>
      </c>
      <c r="H107" s="584" t="s">
        <v>4068</v>
      </c>
      <c r="I107" s="582" t="s">
        <v>1198</v>
      </c>
      <c r="J107" s="134"/>
      <c r="K107" s="581" t="s">
        <v>95</v>
      </c>
      <c r="L107" s="134"/>
      <c r="M107" s="423" t="s">
        <v>554</v>
      </c>
      <c r="N107" s="134" t="s">
        <v>1176</v>
      </c>
      <c r="O107" s="134">
        <v>240.0</v>
      </c>
      <c r="P107" s="134" t="s">
        <v>1650</v>
      </c>
      <c r="Q107" s="132">
        <v>8.637527632154967</v>
      </c>
      <c r="R107" s="126" t="s">
        <v>10</v>
      </c>
      <c r="S107" s="49"/>
      <c r="T107" s="224">
        <v>28.791758773849892</v>
      </c>
      <c r="U107" s="224">
        <v>17.275055264309934</v>
      </c>
      <c r="V107" s="224">
        <v>14.395879386924946</v>
      </c>
      <c r="W107" s="224">
        <v>11.516703509539958</v>
      </c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</row>
    <row r="108" ht="13.5" customHeight="1">
      <c r="A108" s="582" t="s">
        <v>84</v>
      </c>
      <c r="B108" s="582" t="s">
        <v>86</v>
      </c>
      <c r="C108" s="582" t="s">
        <v>1158</v>
      </c>
      <c r="D108" s="582" t="s">
        <v>1158</v>
      </c>
      <c r="E108" s="361" t="s">
        <v>581</v>
      </c>
      <c r="F108" s="134"/>
      <c r="G108" s="584" t="s">
        <v>1208</v>
      </c>
      <c r="H108" s="584" t="s">
        <v>4069</v>
      </c>
      <c r="I108" s="582" t="s">
        <v>1206</v>
      </c>
      <c r="J108" s="134"/>
      <c r="K108" s="581" t="s">
        <v>95</v>
      </c>
      <c r="L108" s="134"/>
      <c r="M108" s="423" t="s">
        <v>554</v>
      </c>
      <c r="N108" s="134" t="s">
        <v>1176</v>
      </c>
      <c r="O108" s="134">
        <v>120.0</v>
      </c>
      <c r="P108" s="134" t="s">
        <v>1650</v>
      </c>
      <c r="Q108" s="132">
        <v>24.194349820368384</v>
      </c>
      <c r="R108" s="126" t="s">
        <v>10</v>
      </c>
      <c r="S108" s="49"/>
      <c r="T108" s="224">
        <v>80.64783273456128</v>
      </c>
      <c r="U108" s="224">
        <v>48.38869964073677</v>
      </c>
      <c r="V108" s="224">
        <v>40.32391636728064</v>
      </c>
      <c r="W108" s="224">
        <v>32.25913309382451</v>
      </c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</row>
    <row r="109" ht="13.5" customHeight="1">
      <c r="A109" s="582" t="s">
        <v>84</v>
      </c>
      <c r="B109" s="582" t="s">
        <v>86</v>
      </c>
      <c r="C109" s="582" t="s">
        <v>1211</v>
      </c>
      <c r="D109" s="582" t="s">
        <v>1212</v>
      </c>
      <c r="E109" s="361"/>
      <c r="F109" s="134">
        <v>24.0</v>
      </c>
      <c r="G109" s="584" t="s">
        <v>4071</v>
      </c>
      <c r="H109" s="584" t="s">
        <v>778</v>
      </c>
      <c r="I109" s="582" t="s">
        <v>4341</v>
      </c>
      <c r="J109" s="134" t="s">
        <v>201</v>
      </c>
      <c r="K109" s="581" t="s">
        <v>147</v>
      </c>
      <c r="L109" s="285">
        <v>22.3</v>
      </c>
      <c r="M109" s="423" t="s">
        <v>96</v>
      </c>
      <c r="N109" s="134"/>
      <c r="O109" s="285">
        <v>3.0</v>
      </c>
      <c r="P109" s="134"/>
      <c r="Q109" s="597">
        <v>1114.1937119675458</v>
      </c>
      <c r="R109" s="126" t="s">
        <v>13</v>
      </c>
      <c r="S109" s="49"/>
      <c r="T109" s="118">
        <v>3713.9790398918194</v>
      </c>
      <c r="U109" s="118">
        <v>2228.3874239350916</v>
      </c>
      <c r="V109" s="118">
        <v>1856.9895199459097</v>
      </c>
      <c r="W109" s="118">
        <v>1485.5916159567278</v>
      </c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</row>
    <row r="110" ht="13.5" customHeight="1">
      <c r="A110" s="582" t="s">
        <v>84</v>
      </c>
      <c r="B110" s="582" t="s">
        <v>86</v>
      </c>
      <c r="C110" s="582" t="s">
        <v>1211</v>
      </c>
      <c r="D110" s="582" t="s">
        <v>1212</v>
      </c>
      <c r="E110" s="361"/>
      <c r="F110" s="134">
        <v>24.0</v>
      </c>
      <c r="G110" s="584" t="s">
        <v>1220</v>
      </c>
      <c r="H110" s="584" t="s">
        <v>778</v>
      </c>
      <c r="I110" s="582" t="s">
        <v>4342</v>
      </c>
      <c r="J110" s="134" t="s">
        <v>201</v>
      </c>
      <c r="K110" s="581" t="s">
        <v>147</v>
      </c>
      <c r="L110" s="285">
        <v>43.5</v>
      </c>
      <c r="M110" s="423" t="s">
        <v>96</v>
      </c>
      <c r="N110" s="134"/>
      <c r="O110" s="285">
        <v>2.0</v>
      </c>
      <c r="P110" s="134"/>
      <c r="Q110" s="597">
        <v>1771.3844570252188</v>
      </c>
      <c r="R110" s="126" t="s">
        <v>13</v>
      </c>
      <c r="S110" s="49"/>
      <c r="T110" s="118">
        <v>5904.61485675073</v>
      </c>
      <c r="U110" s="118">
        <v>3542.7689140504376</v>
      </c>
      <c r="V110" s="118">
        <v>2952.307428375365</v>
      </c>
      <c r="W110" s="118">
        <v>2361.845942700292</v>
      </c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</row>
    <row r="111" ht="13.5" customHeight="1">
      <c r="A111" s="582" t="s">
        <v>84</v>
      </c>
      <c r="B111" s="582" t="s">
        <v>86</v>
      </c>
      <c r="C111" s="582" t="s">
        <v>1211</v>
      </c>
      <c r="D111" s="582" t="s">
        <v>1212</v>
      </c>
      <c r="E111" s="361"/>
      <c r="F111" s="134">
        <v>24.0</v>
      </c>
      <c r="G111" s="584" t="s">
        <v>1225</v>
      </c>
      <c r="H111" s="584" t="s">
        <v>778</v>
      </c>
      <c r="I111" s="582" t="s">
        <v>4343</v>
      </c>
      <c r="J111" s="134" t="s">
        <v>201</v>
      </c>
      <c r="K111" s="581" t="s">
        <v>147</v>
      </c>
      <c r="L111" s="285">
        <v>64.9</v>
      </c>
      <c r="M111" s="423" t="s">
        <v>96</v>
      </c>
      <c r="N111" s="134"/>
      <c r="O111" s="285">
        <v>2.0</v>
      </c>
      <c r="P111" s="134"/>
      <c r="Q111" s="597">
        <v>2330.787442099846</v>
      </c>
      <c r="R111" s="126" t="s">
        <v>13</v>
      </c>
      <c r="S111" s="49"/>
      <c r="T111" s="118">
        <v>7769.291473666153</v>
      </c>
      <c r="U111" s="118">
        <v>4661.574884199692</v>
      </c>
      <c r="V111" s="118">
        <v>3884.6457368330766</v>
      </c>
      <c r="W111" s="118">
        <v>3107.7165894664613</v>
      </c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</row>
    <row r="112" ht="13.5" customHeight="1">
      <c r="A112" s="582" t="s">
        <v>84</v>
      </c>
      <c r="B112" s="582" t="s">
        <v>86</v>
      </c>
      <c r="C112" s="582" t="s">
        <v>1211</v>
      </c>
      <c r="D112" s="582" t="s">
        <v>1212</v>
      </c>
      <c r="E112" s="361"/>
      <c r="F112" s="134">
        <v>24.0</v>
      </c>
      <c r="G112" s="584" t="s">
        <v>1235</v>
      </c>
      <c r="H112" s="584" t="s">
        <v>778</v>
      </c>
      <c r="I112" s="582" t="s">
        <v>4344</v>
      </c>
      <c r="J112" s="134" t="s">
        <v>201</v>
      </c>
      <c r="K112" s="581" t="s">
        <v>147</v>
      </c>
      <c r="L112" s="285">
        <v>248.3</v>
      </c>
      <c r="M112" s="423" t="s">
        <v>96</v>
      </c>
      <c r="N112" s="134"/>
      <c r="O112" s="285">
        <v>1.0</v>
      </c>
      <c r="P112" s="134"/>
      <c r="Q112" s="597">
        <v>6675.753988677305</v>
      </c>
      <c r="R112" s="126" t="s">
        <v>13</v>
      </c>
      <c r="S112" s="49"/>
      <c r="T112" s="118">
        <v>22252.513295591016</v>
      </c>
      <c r="U112" s="118">
        <v>13351.50797735461</v>
      </c>
      <c r="V112" s="118">
        <v>11126.256647795508</v>
      </c>
      <c r="W112" s="118">
        <v>8901.005318236406</v>
      </c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</row>
    <row r="113" ht="13.5" customHeight="1">
      <c r="A113" s="582" t="s">
        <v>84</v>
      </c>
      <c r="B113" s="582" t="s">
        <v>86</v>
      </c>
      <c r="C113" s="582" t="s">
        <v>1211</v>
      </c>
      <c r="D113" s="582" t="s">
        <v>1212</v>
      </c>
      <c r="E113" s="361"/>
      <c r="F113" s="134">
        <v>24.0</v>
      </c>
      <c r="G113" s="584" t="s">
        <v>1239</v>
      </c>
      <c r="H113" s="584" t="s">
        <v>778</v>
      </c>
      <c r="I113" s="582" t="s">
        <v>4345</v>
      </c>
      <c r="J113" s="134" t="s">
        <v>201</v>
      </c>
      <c r="K113" s="581" t="s">
        <v>147</v>
      </c>
      <c r="L113" s="285">
        <v>496.4</v>
      </c>
      <c r="M113" s="423" t="s">
        <v>96</v>
      </c>
      <c r="N113" s="134"/>
      <c r="O113" s="285">
        <v>1.0</v>
      </c>
      <c r="P113" s="134"/>
      <c r="Q113" s="597">
        <v>12081.276376737005</v>
      </c>
      <c r="R113" s="126" t="s">
        <v>13</v>
      </c>
      <c r="S113" s="49"/>
      <c r="T113" s="118">
        <v>40270.92125579002</v>
      </c>
      <c r="U113" s="118">
        <v>24162.55275347401</v>
      </c>
      <c r="V113" s="118">
        <v>20135.46062789501</v>
      </c>
      <c r="W113" s="118">
        <v>16108.368502316007</v>
      </c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</row>
    <row r="114" ht="13.5" customHeight="1">
      <c r="A114" s="582" t="s">
        <v>84</v>
      </c>
      <c r="B114" s="582" t="s">
        <v>86</v>
      </c>
      <c r="C114" s="582" t="s">
        <v>1211</v>
      </c>
      <c r="D114" s="582" t="s">
        <v>1212</v>
      </c>
      <c r="E114" s="361"/>
      <c r="F114" s="134">
        <v>20.0</v>
      </c>
      <c r="G114" s="584" t="s">
        <v>1243</v>
      </c>
      <c r="H114" s="584" t="s">
        <v>778</v>
      </c>
      <c r="I114" s="582" t="s">
        <v>4346</v>
      </c>
      <c r="J114" s="134" t="s">
        <v>201</v>
      </c>
      <c r="K114" s="581" t="s">
        <v>147</v>
      </c>
      <c r="L114" s="285">
        <v>55.1</v>
      </c>
      <c r="M114" s="423" t="s">
        <v>96</v>
      </c>
      <c r="N114" s="134"/>
      <c r="O114" s="285">
        <v>2.0</v>
      </c>
      <c r="P114" s="134"/>
      <c r="Q114" s="597">
        <v>1818.6108374384237</v>
      </c>
      <c r="R114" s="126" t="s">
        <v>13</v>
      </c>
      <c r="S114" s="49"/>
      <c r="T114" s="118">
        <v>6062.036124794746</v>
      </c>
      <c r="U114" s="118">
        <v>3637.2216748768474</v>
      </c>
      <c r="V114" s="118">
        <v>3031.018062397373</v>
      </c>
      <c r="W114" s="118">
        <v>2424.8144499178984</v>
      </c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</row>
    <row r="115" ht="13.5" customHeight="1">
      <c r="A115" s="582" t="s">
        <v>84</v>
      </c>
      <c r="B115" s="582" t="s">
        <v>86</v>
      </c>
      <c r="C115" s="582" t="s">
        <v>1211</v>
      </c>
      <c r="D115" s="582" t="s">
        <v>1212</v>
      </c>
      <c r="E115" s="361"/>
      <c r="F115" s="134">
        <v>20.0</v>
      </c>
      <c r="G115" s="584" t="s">
        <v>1247</v>
      </c>
      <c r="H115" s="584" t="s">
        <v>778</v>
      </c>
      <c r="I115" s="582" t="s">
        <v>4347</v>
      </c>
      <c r="J115" s="134" t="s">
        <v>201</v>
      </c>
      <c r="K115" s="581" t="s">
        <v>147</v>
      </c>
      <c r="L115" s="285">
        <v>109.3</v>
      </c>
      <c r="M115" s="423" t="s">
        <v>96</v>
      </c>
      <c r="N115" s="134"/>
      <c r="O115" s="285">
        <v>1.0</v>
      </c>
      <c r="P115" s="134"/>
      <c r="Q115" s="597">
        <v>3046.793103448276</v>
      </c>
      <c r="R115" s="126" t="s">
        <v>13</v>
      </c>
      <c r="S115" s="49"/>
      <c r="T115" s="118">
        <v>10155.977011494253</v>
      </c>
      <c r="U115" s="118">
        <v>6093.586206896552</v>
      </c>
      <c r="V115" s="118">
        <v>5077.9885057471265</v>
      </c>
      <c r="W115" s="118">
        <v>4062.3908045977014</v>
      </c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</row>
    <row r="116" ht="13.5" customHeight="1">
      <c r="A116" s="582" t="s">
        <v>84</v>
      </c>
      <c r="B116" s="582" t="s">
        <v>86</v>
      </c>
      <c r="C116" s="582" t="s">
        <v>1211</v>
      </c>
      <c r="D116" s="582" t="s">
        <v>1212</v>
      </c>
      <c r="E116" s="361"/>
      <c r="F116" s="134">
        <v>20.0</v>
      </c>
      <c r="G116" s="584" t="s">
        <v>1251</v>
      </c>
      <c r="H116" s="584" t="s">
        <v>778</v>
      </c>
      <c r="I116" s="582" t="s">
        <v>4348</v>
      </c>
      <c r="J116" s="134" t="s">
        <v>201</v>
      </c>
      <c r="K116" s="581" t="s">
        <v>147</v>
      </c>
      <c r="L116" s="285">
        <v>164.1</v>
      </c>
      <c r="M116" s="423" t="s">
        <v>96</v>
      </c>
      <c r="N116" s="134"/>
      <c r="O116" s="285">
        <v>1.0</v>
      </c>
      <c r="P116" s="134"/>
      <c r="Q116" s="597">
        <v>4097.6502463054185</v>
      </c>
      <c r="R116" s="126" t="s">
        <v>13</v>
      </c>
      <c r="S116" s="49"/>
      <c r="T116" s="118">
        <v>13658.834154351396</v>
      </c>
      <c r="U116" s="118">
        <v>8195.300492610837</v>
      </c>
      <c r="V116" s="118">
        <v>6829.417077175698</v>
      </c>
      <c r="W116" s="118">
        <v>5463.533661740559</v>
      </c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</row>
    <row r="117" ht="13.5" customHeight="1">
      <c r="A117" s="582" t="s">
        <v>84</v>
      </c>
      <c r="B117" s="582" t="s">
        <v>86</v>
      </c>
      <c r="C117" s="582" t="s">
        <v>1211</v>
      </c>
      <c r="D117" s="582" t="s">
        <v>1212</v>
      </c>
      <c r="E117" s="361"/>
      <c r="F117" s="134">
        <v>20.0</v>
      </c>
      <c r="G117" s="584" t="s">
        <v>1259</v>
      </c>
      <c r="H117" s="584" t="s">
        <v>778</v>
      </c>
      <c r="I117" s="582" t="s">
        <v>4349</v>
      </c>
      <c r="J117" s="134" t="s">
        <v>201</v>
      </c>
      <c r="K117" s="581" t="s">
        <v>147</v>
      </c>
      <c r="L117" s="285">
        <v>633.3</v>
      </c>
      <c r="M117" s="423" t="s">
        <v>96</v>
      </c>
      <c r="N117" s="134"/>
      <c r="O117" s="285">
        <v>1.0</v>
      </c>
      <c r="P117" s="134"/>
      <c r="Q117" s="597">
        <v>13375.364532019703</v>
      </c>
      <c r="R117" s="126" t="s">
        <v>13</v>
      </c>
      <c r="S117" s="49"/>
      <c r="T117" s="118">
        <v>44584.54844006568</v>
      </c>
      <c r="U117" s="118">
        <v>26750.729064039406</v>
      </c>
      <c r="V117" s="118">
        <v>22292.27422003284</v>
      </c>
      <c r="W117" s="118">
        <v>17833.819376026273</v>
      </c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</row>
    <row r="118" ht="13.5" customHeight="1">
      <c r="A118" s="582" t="s">
        <v>84</v>
      </c>
      <c r="B118" s="582" t="s">
        <v>86</v>
      </c>
      <c r="C118" s="582" t="s">
        <v>1211</v>
      </c>
      <c r="D118" s="582" t="s">
        <v>1212</v>
      </c>
      <c r="E118" s="361"/>
      <c r="F118" s="134">
        <v>20.0</v>
      </c>
      <c r="G118" s="584" t="s">
        <v>1263</v>
      </c>
      <c r="H118" s="584" t="s">
        <v>778</v>
      </c>
      <c r="I118" s="582" t="s">
        <v>4350</v>
      </c>
      <c r="J118" s="134" t="s">
        <v>201</v>
      </c>
      <c r="K118" s="581" t="s">
        <v>147</v>
      </c>
      <c r="L118" s="285">
        <v>1265.9</v>
      </c>
      <c r="M118" s="423" t="s">
        <v>96</v>
      </c>
      <c r="N118" s="134"/>
      <c r="O118" s="285">
        <v>1.0</v>
      </c>
      <c r="P118" s="134"/>
      <c r="Q118" s="597">
        <v>25542.793103448283</v>
      </c>
      <c r="R118" s="126" t="s">
        <v>13</v>
      </c>
      <c r="S118" s="49"/>
      <c r="T118" s="118">
        <v>85142.64367816095</v>
      </c>
      <c r="U118" s="118">
        <v>51085.58620689657</v>
      </c>
      <c r="V118" s="118">
        <v>42571.321839080476</v>
      </c>
      <c r="W118" s="118">
        <v>34057.05747126438</v>
      </c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</row>
    <row r="119" ht="13.5" customHeight="1">
      <c r="A119" s="423" t="s">
        <v>84</v>
      </c>
      <c r="B119" s="423" t="s">
        <v>1266</v>
      </c>
      <c r="C119" s="423" t="s">
        <v>1267</v>
      </c>
      <c r="D119" s="581" t="s">
        <v>1267</v>
      </c>
      <c r="E119" s="134" t="s">
        <v>1268</v>
      </c>
      <c r="F119" s="134"/>
      <c r="G119" s="584" t="s">
        <v>1269</v>
      </c>
      <c r="H119" s="584" t="s">
        <v>4072</v>
      </c>
      <c r="I119" s="423" t="s">
        <v>1271</v>
      </c>
      <c r="J119" s="134"/>
      <c r="K119" s="581" t="s">
        <v>95</v>
      </c>
      <c r="L119" s="134"/>
      <c r="M119" s="581" t="s">
        <v>1272</v>
      </c>
      <c r="N119" s="134" t="s">
        <v>555</v>
      </c>
      <c r="O119" s="134">
        <v>51840.0</v>
      </c>
      <c r="P119" s="134" t="s">
        <v>4351</v>
      </c>
      <c r="Q119" s="132">
        <v>0.36197232923574757</v>
      </c>
      <c r="R119" s="126" t="s">
        <v>10</v>
      </c>
      <c r="S119" s="49"/>
      <c r="T119" s="224">
        <v>1.2065744307858253</v>
      </c>
      <c r="U119" s="224">
        <v>0.7239446584714951</v>
      </c>
      <c r="V119" s="224">
        <v>0.6032872153929126</v>
      </c>
      <c r="W119" s="224">
        <v>0.48262977231433013</v>
      </c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</row>
    <row r="120" ht="13.5" customHeight="1">
      <c r="A120" s="423" t="s">
        <v>84</v>
      </c>
      <c r="B120" s="423" t="s">
        <v>1266</v>
      </c>
      <c r="C120" s="423" t="s">
        <v>1267</v>
      </c>
      <c r="D120" s="581" t="s">
        <v>1267</v>
      </c>
      <c r="E120" s="134" t="s">
        <v>1268</v>
      </c>
      <c r="F120" s="134"/>
      <c r="G120" s="584" t="s">
        <v>1276</v>
      </c>
      <c r="H120" s="584" t="s">
        <v>4073</v>
      </c>
      <c r="I120" s="423" t="s">
        <v>1278</v>
      </c>
      <c r="J120" s="134"/>
      <c r="K120" s="581" t="s">
        <v>95</v>
      </c>
      <c r="L120" s="134"/>
      <c r="M120" s="581" t="s">
        <v>1272</v>
      </c>
      <c r="N120" s="134" t="s">
        <v>555</v>
      </c>
      <c r="O120" s="134">
        <v>51840.0</v>
      </c>
      <c r="P120" s="134" t="s">
        <v>4351</v>
      </c>
      <c r="Q120" s="132">
        <v>0.36197232923574757</v>
      </c>
      <c r="R120" s="126" t="s">
        <v>10</v>
      </c>
      <c r="S120" s="49"/>
      <c r="T120" s="224">
        <v>1.2065744307858253</v>
      </c>
      <c r="U120" s="224">
        <v>0.7239446584714951</v>
      </c>
      <c r="V120" s="224">
        <v>0.6032872153929126</v>
      </c>
      <c r="W120" s="224">
        <v>0.48262977231433013</v>
      </c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</row>
    <row r="121" ht="13.5" customHeight="1">
      <c r="A121" s="423" t="s">
        <v>84</v>
      </c>
      <c r="B121" s="423" t="s">
        <v>1266</v>
      </c>
      <c r="C121" s="423" t="s">
        <v>1267</v>
      </c>
      <c r="D121" s="581" t="s">
        <v>1267</v>
      </c>
      <c r="E121" s="134" t="s">
        <v>1280</v>
      </c>
      <c r="F121" s="134"/>
      <c r="G121" s="584" t="s">
        <v>1281</v>
      </c>
      <c r="H121" s="584" t="s">
        <v>778</v>
      </c>
      <c r="I121" s="423" t="s">
        <v>1283</v>
      </c>
      <c r="J121" s="134"/>
      <c r="K121" s="581" t="s">
        <v>95</v>
      </c>
      <c r="L121" s="134"/>
      <c r="M121" s="581" t="s">
        <v>1272</v>
      </c>
      <c r="N121" s="134" t="s">
        <v>555</v>
      </c>
      <c r="O121" s="134">
        <v>51840.0</v>
      </c>
      <c r="P121" s="134" t="s">
        <v>4351</v>
      </c>
      <c r="Q121" s="132">
        <v>0.36197232923574757</v>
      </c>
      <c r="R121" s="126" t="s">
        <v>10</v>
      </c>
      <c r="S121" s="49"/>
      <c r="T121" s="224">
        <v>1.2065744307858253</v>
      </c>
      <c r="U121" s="224">
        <v>0.7239446584714951</v>
      </c>
      <c r="V121" s="224">
        <v>0.6032872153929126</v>
      </c>
      <c r="W121" s="224">
        <v>0.48262977231433013</v>
      </c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</row>
    <row r="122" ht="13.5" customHeight="1">
      <c r="A122" s="423" t="s">
        <v>84</v>
      </c>
      <c r="B122" s="423" t="s">
        <v>1266</v>
      </c>
      <c r="C122" s="423" t="s">
        <v>1267</v>
      </c>
      <c r="D122" s="581" t="s">
        <v>1267</v>
      </c>
      <c r="E122" s="134" t="s">
        <v>1280</v>
      </c>
      <c r="F122" s="134"/>
      <c r="G122" s="584" t="s">
        <v>1284</v>
      </c>
      <c r="H122" s="584" t="s">
        <v>778</v>
      </c>
      <c r="I122" s="423" t="s">
        <v>1286</v>
      </c>
      <c r="J122" s="134"/>
      <c r="K122" s="581" t="s">
        <v>95</v>
      </c>
      <c r="L122" s="134"/>
      <c r="M122" s="581" t="s">
        <v>1287</v>
      </c>
      <c r="N122" s="134" t="s">
        <v>555</v>
      </c>
      <c r="O122" s="134">
        <v>25920.0</v>
      </c>
      <c r="P122" s="134" t="s">
        <v>4351</v>
      </c>
      <c r="Q122" s="132">
        <v>0.7239446584714951</v>
      </c>
      <c r="R122" s="126" t="s">
        <v>10</v>
      </c>
      <c r="S122" s="49"/>
      <c r="T122" s="224">
        <v>2.4131488615716505</v>
      </c>
      <c r="U122" s="224">
        <v>1.4478893169429903</v>
      </c>
      <c r="V122" s="224">
        <v>1.2065744307858253</v>
      </c>
      <c r="W122" s="224">
        <v>0.9652595446286603</v>
      </c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</row>
    <row r="123" ht="13.5" customHeight="1">
      <c r="A123" s="423" t="s">
        <v>84</v>
      </c>
      <c r="B123" s="423" t="s">
        <v>1266</v>
      </c>
      <c r="C123" s="423" t="s">
        <v>1267</v>
      </c>
      <c r="D123" s="581" t="s">
        <v>1267</v>
      </c>
      <c r="E123" s="134" t="s">
        <v>1288</v>
      </c>
      <c r="F123" s="134"/>
      <c r="G123" s="584" t="s">
        <v>1289</v>
      </c>
      <c r="H123" s="584" t="s">
        <v>4074</v>
      </c>
      <c r="I123" s="423" t="s">
        <v>1291</v>
      </c>
      <c r="J123" s="134"/>
      <c r="K123" s="581" t="s">
        <v>95</v>
      </c>
      <c r="L123" s="134"/>
      <c r="M123" s="581" t="s">
        <v>1287</v>
      </c>
      <c r="N123" s="134" t="s">
        <v>555</v>
      </c>
      <c r="O123" s="134">
        <v>25920.0</v>
      </c>
      <c r="P123" s="134" t="s">
        <v>4351</v>
      </c>
      <c r="Q123" s="132">
        <v>0.2750252255034265</v>
      </c>
      <c r="R123" s="126" t="s">
        <v>10</v>
      </c>
      <c r="S123" s="49"/>
      <c r="T123" s="224">
        <v>0.9167507516780884</v>
      </c>
      <c r="U123" s="224">
        <v>0.550050451006853</v>
      </c>
      <c r="V123" s="224">
        <v>0.4583753758390442</v>
      </c>
      <c r="W123" s="224">
        <v>0.3667003006712354</v>
      </c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</row>
    <row r="124" ht="13.5" customHeight="1">
      <c r="A124" s="423" t="s">
        <v>84</v>
      </c>
      <c r="B124" s="423" t="s">
        <v>1266</v>
      </c>
      <c r="C124" s="423" t="s">
        <v>1267</v>
      </c>
      <c r="D124" s="581" t="s">
        <v>1267</v>
      </c>
      <c r="E124" s="134" t="s">
        <v>1288</v>
      </c>
      <c r="F124" s="134"/>
      <c r="G124" s="584" t="s">
        <v>1293</v>
      </c>
      <c r="H124" s="584" t="s">
        <v>4075</v>
      </c>
      <c r="I124" s="423" t="s">
        <v>1295</v>
      </c>
      <c r="J124" s="134"/>
      <c r="K124" s="581" t="s">
        <v>95</v>
      </c>
      <c r="L124" s="134"/>
      <c r="M124" s="581" t="s">
        <v>1287</v>
      </c>
      <c r="N124" s="134" t="s">
        <v>555</v>
      </c>
      <c r="O124" s="134">
        <v>25920.0</v>
      </c>
      <c r="P124" s="134" t="s">
        <v>4351</v>
      </c>
      <c r="Q124" s="132">
        <v>0.2750252255034265</v>
      </c>
      <c r="R124" s="126" t="s">
        <v>10</v>
      </c>
      <c r="S124" s="49"/>
      <c r="T124" s="224">
        <v>0.9167507516780884</v>
      </c>
      <c r="U124" s="224">
        <v>0.550050451006853</v>
      </c>
      <c r="V124" s="224">
        <v>0.4583753758390442</v>
      </c>
      <c r="W124" s="224">
        <v>0.3667003006712354</v>
      </c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</row>
    <row r="125" ht="13.5" customHeight="1">
      <c r="A125" s="423" t="s">
        <v>84</v>
      </c>
      <c r="B125" s="423" t="s">
        <v>1266</v>
      </c>
      <c r="C125" s="423" t="s">
        <v>1267</v>
      </c>
      <c r="D125" s="581" t="s">
        <v>1267</v>
      </c>
      <c r="E125" s="134" t="s">
        <v>1297</v>
      </c>
      <c r="F125" s="134"/>
      <c r="G125" s="584" t="s">
        <v>1298</v>
      </c>
      <c r="H125" s="584" t="s">
        <v>778</v>
      </c>
      <c r="I125" s="423" t="s">
        <v>1300</v>
      </c>
      <c r="J125" s="134"/>
      <c r="K125" s="581" t="s">
        <v>95</v>
      </c>
      <c r="L125" s="134"/>
      <c r="M125" s="581" t="s">
        <v>1287</v>
      </c>
      <c r="N125" s="134" t="s">
        <v>555</v>
      </c>
      <c r="O125" s="134">
        <v>25920.0</v>
      </c>
      <c r="P125" s="134" t="s">
        <v>4351</v>
      </c>
      <c r="Q125" s="132">
        <v>0.2750252255034265</v>
      </c>
      <c r="R125" s="126" t="s">
        <v>10</v>
      </c>
      <c r="S125" s="49"/>
      <c r="T125" s="224">
        <v>0.9167507516780884</v>
      </c>
      <c r="U125" s="224">
        <v>0.550050451006853</v>
      </c>
      <c r="V125" s="224">
        <v>0.4583753758390442</v>
      </c>
      <c r="W125" s="224">
        <v>0.3667003006712354</v>
      </c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</row>
    <row r="126" ht="13.5" customHeight="1">
      <c r="A126" s="423" t="s">
        <v>84</v>
      </c>
      <c r="B126" s="423" t="s">
        <v>1266</v>
      </c>
      <c r="C126" s="423" t="s">
        <v>1267</v>
      </c>
      <c r="D126" s="581" t="s">
        <v>1267</v>
      </c>
      <c r="E126" s="134" t="s">
        <v>1288</v>
      </c>
      <c r="F126" s="134"/>
      <c r="G126" s="584" t="s">
        <v>1301</v>
      </c>
      <c r="H126" s="584" t="s">
        <v>778</v>
      </c>
      <c r="I126" s="423" t="s">
        <v>1303</v>
      </c>
      <c r="J126" s="134"/>
      <c r="K126" s="581" t="s">
        <v>95</v>
      </c>
      <c r="L126" s="134"/>
      <c r="M126" s="581" t="s">
        <v>1287</v>
      </c>
      <c r="N126" s="134" t="s">
        <v>555</v>
      </c>
      <c r="O126" s="134">
        <v>25920.0</v>
      </c>
      <c r="P126" s="134" t="s">
        <v>4351</v>
      </c>
      <c r="Q126" s="132">
        <v>0.26</v>
      </c>
      <c r="R126" s="126" t="s">
        <v>10</v>
      </c>
      <c r="S126" s="49"/>
      <c r="T126" s="224">
        <v>0.8666666666666667</v>
      </c>
      <c r="U126" s="224">
        <v>0.52</v>
      </c>
      <c r="V126" s="224">
        <v>0.43333333333333335</v>
      </c>
      <c r="W126" s="224">
        <v>0.3466666666666667</v>
      </c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</row>
    <row r="127" ht="13.5" customHeight="1">
      <c r="A127" s="423" t="s">
        <v>84</v>
      </c>
      <c r="B127" s="423" t="s">
        <v>1266</v>
      </c>
      <c r="C127" s="423" t="s">
        <v>1267</v>
      </c>
      <c r="D127" s="581" t="s">
        <v>1267</v>
      </c>
      <c r="E127" s="134" t="s">
        <v>1288</v>
      </c>
      <c r="F127" s="134"/>
      <c r="G127" s="584" t="s">
        <v>1304</v>
      </c>
      <c r="H127" s="584" t="s">
        <v>778</v>
      </c>
      <c r="I127" s="423" t="s">
        <v>1303</v>
      </c>
      <c r="J127" s="134"/>
      <c r="K127" s="581" t="s">
        <v>95</v>
      </c>
      <c r="L127" s="134"/>
      <c r="M127" s="581" t="s">
        <v>1287</v>
      </c>
      <c r="N127" s="134" t="s">
        <v>555</v>
      </c>
      <c r="O127" s="134">
        <v>25920.0</v>
      </c>
      <c r="P127" s="134" t="s">
        <v>4351</v>
      </c>
      <c r="Q127" s="132">
        <v>0.26</v>
      </c>
      <c r="R127" s="126" t="s">
        <v>10</v>
      </c>
      <c r="S127" s="49"/>
      <c r="T127" s="224">
        <v>0.8666666666666667</v>
      </c>
      <c r="U127" s="224">
        <v>0.52</v>
      </c>
      <c r="V127" s="224">
        <v>0.43333333333333335</v>
      </c>
      <c r="W127" s="224">
        <v>0.3466666666666667</v>
      </c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</row>
    <row r="128" ht="13.5" customHeight="1">
      <c r="A128" s="423" t="s">
        <v>84</v>
      </c>
      <c r="B128" s="423" t="s">
        <v>1266</v>
      </c>
      <c r="C128" s="423" t="s">
        <v>1306</v>
      </c>
      <c r="D128" s="581" t="s">
        <v>1307</v>
      </c>
      <c r="E128" s="134"/>
      <c r="F128" s="134"/>
      <c r="G128" s="583" t="s">
        <v>1308</v>
      </c>
      <c r="H128" s="583" t="s">
        <v>4076</v>
      </c>
      <c r="I128" s="423" t="s">
        <v>1310</v>
      </c>
      <c r="J128" s="134"/>
      <c r="K128" s="581" t="s">
        <v>95</v>
      </c>
      <c r="L128" s="134"/>
      <c r="M128" s="581" t="s">
        <v>554</v>
      </c>
      <c r="N128" s="134" t="s">
        <v>1176</v>
      </c>
      <c r="O128" s="134">
        <v>1800.0</v>
      </c>
      <c r="P128" s="134" t="s">
        <v>1650</v>
      </c>
      <c r="Q128" s="132">
        <v>1.0241142194937254</v>
      </c>
      <c r="R128" s="126" t="s">
        <v>10</v>
      </c>
      <c r="S128" s="49"/>
      <c r="T128" s="224">
        <v>3.413714064979085</v>
      </c>
      <c r="U128" s="224">
        <v>2.0482284389874508</v>
      </c>
      <c r="V128" s="224">
        <v>1.7068570324895425</v>
      </c>
      <c r="W128" s="224">
        <v>1.3654856259916341</v>
      </c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</row>
    <row r="129" ht="13.5" customHeight="1">
      <c r="A129" s="423" t="s">
        <v>84</v>
      </c>
      <c r="B129" s="423" t="s">
        <v>1266</v>
      </c>
      <c r="C129" s="423" t="s">
        <v>1306</v>
      </c>
      <c r="D129" s="581" t="s">
        <v>1307</v>
      </c>
      <c r="E129" s="134"/>
      <c r="F129" s="134"/>
      <c r="G129" s="583" t="s">
        <v>1313</v>
      </c>
      <c r="H129" s="583" t="s">
        <v>4077</v>
      </c>
      <c r="I129" s="423" t="s">
        <v>1315</v>
      </c>
      <c r="J129" s="134"/>
      <c r="K129" s="581" t="s">
        <v>95</v>
      </c>
      <c r="L129" s="134"/>
      <c r="M129" s="581" t="s">
        <v>554</v>
      </c>
      <c r="N129" s="134" t="s">
        <v>1176</v>
      </c>
      <c r="O129" s="134">
        <v>90000.0</v>
      </c>
      <c r="P129" s="134" t="s">
        <v>1650</v>
      </c>
      <c r="Q129" s="132">
        <v>0.02675465540758107</v>
      </c>
      <c r="R129" s="126" t="s">
        <v>10</v>
      </c>
      <c r="S129" s="49"/>
      <c r="T129" s="224">
        <v>0.0891821846919369</v>
      </c>
      <c r="U129" s="224">
        <v>0.05350931081516214</v>
      </c>
      <c r="V129" s="224">
        <v>0.04459109234596845</v>
      </c>
      <c r="W129" s="224">
        <v>0.03567287387677476</v>
      </c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</row>
    <row r="130" ht="13.5" customHeight="1">
      <c r="A130" s="423" t="s">
        <v>84</v>
      </c>
      <c r="B130" s="423" t="s">
        <v>1266</v>
      </c>
      <c r="C130" s="423" t="s">
        <v>1317</v>
      </c>
      <c r="D130" s="581" t="s">
        <v>1318</v>
      </c>
      <c r="E130" s="134" t="s">
        <v>1319</v>
      </c>
      <c r="F130" s="134"/>
      <c r="G130" s="584" t="s">
        <v>1320</v>
      </c>
      <c r="H130" s="584" t="s">
        <v>4078</v>
      </c>
      <c r="I130" s="423" t="s">
        <v>1322</v>
      </c>
      <c r="J130" s="134"/>
      <c r="K130" s="581" t="s">
        <v>95</v>
      </c>
      <c r="L130" s="134"/>
      <c r="M130" s="581" t="s">
        <v>1323</v>
      </c>
      <c r="N130" s="134" t="s">
        <v>1324</v>
      </c>
      <c r="O130" s="134">
        <v>2160.0</v>
      </c>
      <c r="P130" s="134">
        <v>8.5447E9</v>
      </c>
      <c r="Q130" s="132">
        <v>1.8027074776596412</v>
      </c>
      <c r="R130" s="126" t="s">
        <v>10</v>
      </c>
      <c r="S130" s="49"/>
      <c r="T130" s="224">
        <v>6.009024925532137</v>
      </c>
      <c r="U130" s="224">
        <v>3.605414955319282</v>
      </c>
      <c r="V130" s="224">
        <v>3.0045124627660686</v>
      </c>
      <c r="W130" s="224">
        <v>2.4036099702128553</v>
      </c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</row>
    <row r="131" ht="13.5" customHeight="1">
      <c r="A131" s="423" t="s">
        <v>84</v>
      </c>
      <c r="B131" s="423" t="s">
        <v>1266</v>
      </c>
      <c r="C131" s="423" t="s">
        <v>1317</v>
      </c>
      <c r="D131" s="581" t="s">
        <v>1318</v>
      </c>
      <c r="E131" s="134" t="s">
        <v>1319</v>
      </c>
      <c r="F131" s="134"/>
      <c r="G131" s="584" t="s">
        <v>1325</v>
      </c>
      <c r="H131" s="584" t="s">
        <v>4079</v>
      </c>
      <c r="I131" s="423" t="s">
        <v>1327</v>
      </c>
      <c r="J131" s="134"/>
      <c r="K131" s="581" t="s">
        <v>95</v>
      </c>
      <c r="L131" s="134"/>
      <c r="M131" s="581" t="s">
        <v>1323</v>
      </c>
      <c r="N131" s="134" t="s">
        <v>1324</v>
      </c>
      <c r="O131" s="134">
        <v>1920.0</v>
      </c>
      <c r="P131" s="134">
        <v>8.5447E9</v>
      </c>
      <c r="Q131" s="132">
        <v>1.98539856623513</v>
      </c>
      <c r="R131" s="126" t="s">
        <v>10</v>
      </c>
      <c r="S131" s="49"/>
      <c r="T131" s="224">
        <v>6.617995220783767</v>
      </c>
      <c r="U131" s="224">
        <v>3.97079713247026</v>
      </c>
      <c r="V131" s="224">
        <v>3.3089976103918834</v>
      </c>
      <c r="W131" s="224">
        <v>2.647198088313507</v>
      </c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</row>
    <row r="132" ht="13.5" customHeight="1">
      <c r="A132" s="423" t="s">
        <v>84</v>
      </c>
      <c r="B132" s="423" t="s">
        <v>1266</v>
      </c>
      <c r="C132" s="423" t="s">
        <v>1317</v>
      </c>
      <c r="D132" s="581" t="s">
        <v>1318</v>
      </c>
      <c r="E132" s="134" t="s">
        <v>1319</v>
      </c>
      <c r="F132" s="134"/>
      <c r="G132" s="584" t="s">
        <v>1328</v>
      </c>
      <c r="H132" s="584" t="s">
        <v>4080</v>
      </c>
      <c r="I132" s="423" t="s">
        <v>1330</v>
      </c>
      <c r="J132" s="134"/>
      <c r="K132" s="581" t="s">
        <v>95</v>
      </c>
      <c r="L132" s="134"/>
      <c r="M132" s="581" t="s">
        <v>1323</v>
      </c>
      <c r="N132" s="134" t="s">
        <v>1324</v>
      </c>
      <c r="O132" s="134">
        <v>1920.0</v>
      </c>
      <c r="P132" s="134">
        <v>8.5447E9</v>
      </c>
      <c r="Q132" s="132">
        <v>2.1577836284948684</v>
      </c>
      <c r="R132" s="126" t="s">
        <v>10</v>
      </c>
      <c r="S132" s="49"/>
      <c r="T132" s="224">
        <v>7.192612094982895</v>
      </c>
      <c r="U132" s="224">
        <v>4.315567256989737</v>
      </c>
      <c r="V132" s="224">
        <v>3.5963060474914474</v>
      </c>
      <c r="W132" s="224">
        <v>2.877044837993158</v>
      </c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</row>
    <row r="133" ht="13.5" customHeight="1">
      <c r="A133" s="423" t="s">
        <v>84</v>
      </c>
      <c r="B133" s="423" t="s">
        <v>1266</v>
      </c>
      <c r="C133" s="423" t="s">
        <v>1317</v>
      </c>
      <c r="D133" s="581" t="s">
        <v>1318</v>
      </c>
      <c r="E133" s="134" t="s">
        <v>1319</v>
      </c>
      <c r="F133" s="134"/>
      <c r="G133" s="584" t="s">
        <v>1331</v>
      </c>
      <c r="H133" s="584" t="s">
        <v>4081</v>
      </c>
      <c r="I133" s="423" t="s">
        <v>1333</v>
      </c>
      <c r="J133" s="134"/>
      <c r="K133" s="581" t="s">
        <v>95</v>
      </c>
      <c r="L133" s="134"/>
      <c r="M133" s="581" t="s">
        <v>1323</v>
      </c>
      <c r="N133" s="134" t="s">
        <v>1324</v>
      </c>
      <c r="O133" s="134">
        <v>1440.0</v>
      </c>
      <c r="P133" s="134">
        <v>8.5447E9</v>
      </c>
      <c r="Q133" s="132">
        <v>2.5191064101066174</v>
      </c>
      <c r="R133" s="126" t="s">
        <v>10</v>
      </c>
      <c r="S133" s="49"/>
      <c r="T133" s="224">
        <v>8.397021367022058</v>
      </c>
      <c r="U133" s="224">
        <v>5.038212820213235</v>
      </c>
      <c r="V133" s="224">
        <v>4.198510683511029</v>
      </c>
      <c r="W133" s="224">
        <v>3.3588085468088233</v>
      </c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</row>
    <row r="134" ht="13.5" customHeight="1">
      <c r="A134" s="423" t="s">
        <v>84</v>
      </c>
      <c r="B134" s="423" t="s">
        <v>1266</v>
      </c>
      <c r="C134" s="423" t="s">
        <v>1317</v>
      </c>
      <c r="D134" s="581" t="s">
        <v>1318</v>
      </c>
      <c r="E134" s="134" t="s">
        <v>1319</v>
      </c>
      <c r="F134" s="134"/>
      <c r="G134" s="584" t="s">
        <v>1334</v>
      </c>
      <c r="H134" s="584" t="s">
        <v>778</v>
      </c>
      <c r="I134" s="423" t="s">
        <v>1336</v>
      </c>
      <c r="J134" s="134"/>
      <c r="K134" s="581" t="s">
        <v>95</v>
      </c>
      <c r="L134" s="134"/>
      <c r="M134" s="581" t="s">
        <v>1323</v>
      </c>
      <c r="N134" s="134" t="s">
        <v>1324</v>
      </c>
      <c r="O134" s="134">
        <v>720.0</v>
      </c>
      <c r="P134" s="134">
        <v>8.5447E9</v>
      </c>
      <c r="Q134" s="132">
        <v>3.7381421423377077</v>
      </c>
      <c r="R134" s="126" t="s">
        <v>10</v>
      </c>
      <c r="S134" s="49"/>
      <c r="T134" s="224">
        <v>12.46047380779236</v>
      </c>
      <c r="U134" s="224">
        <v>7.476284284675415</v>
      </c>
      <c r="V134" s="224">
        <v>6.23023690389618</v>
      </c>
      <c r="W134" s="224">
        <v>4.984189523116944</v>
      </c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</row>
    <row r="135" ht="13.5" customHeight="1">
      <c r="A135" s="423" t="s">
        <v>84</v>
      </c>
      <c r="B135" s="423" t="s">
        <v>1266</v>
      </c>
      <c r="C135" s="423" t="s">
        <v>1317</v>
      </c>
      <c r="D135" s="581" t="s">
        <v>1318</v>
      </c>
      <c r="E135" s="134" t="s">
        <v>1319</v>
      </c>
      <c r="F135" s="134"/>
      <c r="G135" s="584" t="s">
        <v>1337</v>
      </c>
      <c r="H135" s="584" t="s">
        <v>778</v>
      </c>
      <c r="I135" s="423" t="s">
        <v>1339</v>
      </c>
      <c r="J135" s="134"/>
      <c r="K135" s="581" t="s">
        <v>95</v>
      </c>
      <c r="L135" s="134"/>
      <c r="M135" s="581" t="s">
        <v>1323</v>
      </c>
      <c r="N135" s="134" t="s">
        <v>1324</v>
      </c>
      <c r="O135" s="134">
        <v>480.0</v>
      </c>
      <c r="P135" s="134">
        <v>8.5447E9</v>
      </c>
      <c r="Q135" s="132">
        <v>4.845845855192718</v>
      </c>
      <c r="R135" s="126" t="s">
        <v>10</v>
      </c>
      <c r="S135" s="49"/>
      <c r="T135" s="224">
        <v>16.152819517309062</v>
      </c>
      <c r="U135" s="224">
        <v>9.691691710385436</v>
      </c>
      <c r="V135" s="224">
        <v>8.076409758654531</v>
      </c>
      <c r="W135" s="224">
        <v>6.461127806923625</v>
      </c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</row>
    <row r="136" ht="13.5" customHeight="1">
      <c r="A136" s="423" t="s">
        <v>84</v>
      </c>
      <c r="B136" s="423" t="s">
        <v>1266</v>
      </c>
      <c r="C136" s="423" t="s">
        <v>1317</v>
      </c>
      <c r="D136" s="581" t="s">
        <v>1340</v>
      </c>
      <c r="E136" s="134" t="s">
        <v>1319</v>
      </c>
      <c r="F136" s="134"/>
      <c r="G136" s="584" t="s">
        <v>1341</v>
      </c>
      <c r="H136" s="584" t="s">
        <v>4082</v>
      </c>
      <c r="I136" s="423" t="s">
        <v>1343</v>
      </c>
      <c r="J136" s="134"/>
      <c r="K136" s="581" t="s">
        <v>95</v>
      </c>
      <c r="L136" s="134"/>
      <c r="M136" s="581" t="s">
        <v>1323</v>
      </c>
      <c r="N136" s="134" t="s">
        <v>1324</v>
      </c>
      <c r="O136" s="134">
        <v>2160.0</v>
      </c>
      <c r="P136" s="134">
        <v>8.5447E9</v>
      </c>
      <c r="Q136" s="132">
        <v>1.8027074776596412</v>
      </c>
      <c r="R136" s="126" t="s">
        <v>10</v>
      </c>
      <c r="S136" s="49"/>
      <c r="T136" s="224">
        <v>6.009024925532137</v>
      </c>
      <c r="U136" s="224">
        <v>3.605414955319282</v>
      </c>
      <c r="V136" s="224">
        <v>3.0045124627660686</v>
      </c>
      <c r="W136" s="224">
        <v>2.4036099702128553</v>
      </c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</row>
    <row r="137" ht="13.5" customHeight="1">
      <c r="A137" s="423" t="s">
        <v>84</v>
      </c>
      <c r="B137" s="423" t="s">
        <v>1266</v>
      </c>
      <c r="C137" s="423" t="s">
        <v>1317</v>
      </c>
      <c r="D137" s="581" t="s">
        <v>1340</v>
      </c>
      <c r="E137" s="134" t="s">
        <v>1319</v>
      </c>
      <c r="F137" s="134"/>
      <c r="G137" s="584" t="s">
        <v>1345</v>
      </c>
      <c r="H137" s="584" t="s">
        <v>4083</v>
      </c>
      <c r="I137" s="423" t="s">
        <v>1347</v>
      </c>
      <c r="J137" s="134"/>
      <c r="K137" s="581" t="s">
        <v>95</v>
      </c>
      <c r="L137" s="134"/>
      <c r="M137" s="581" t="s">
        <v>1323</v>
      </c>
      <c r="N137" s="134" t="s">
        <v>1324</v>
      </c>
      <c r="O137" s="134">
        <v>1920.0</v>
      </c>
      <c r="P137" s="134">
        <v>8.5447E9</v>
      </c>
      <c r="Q137" s="132">
        <v>1.98539856623513</v>
      </c>
      <c r="R137" s="126" t="s">
        <v>10</v>
      </c>
      <c r="S137" s="49"/>
      <c r="T137" s="224">
        <v>6.617995220783767</v>
      </c>
      <c r="U137" s="224">
        <v>3.97079713247026</v>
      </c>
      <c r="V137" s="224">
        <v>3.3089976103918834</v>
      </c>
      <c r="W137" s="224">
        <v>2.647198088313507</v>
      </c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</row>
    <row r="138" ht="13.5" customHeight="1">
      <c r="A138" s="423" t="s">
        <v>84</v>
      </c>
      <c r="B138" s="423" t="s">
        <v>1266</v>
      </c>
      <c r="C138" s="423" t="s">
        <v>1317</v>
      </c>
      <c r="D138" s="581" t="s">
        <v>1340</v>
      </c>
      <c r="E138" s="134" t="s">
        <v>1319</v>
      </c>
      <c r="F138" s="134"/>
      <c r="G138" s="584" t="s">
        <v>1348</v>
      </c>
      <c r="H138" s="584" t="s">
        <v>4084</v>
      </c>
      <c r="I138" s="423" t="s">
        <v>1350</v>
      </c>
      <c r="J138" s="134"/>
      <c r="K138" s="581" t="s">
        <v>95</v>
      </c>
      <c r="L138" s="134"/>
      <c r="M138" s="581" t="s">
        <v>1323</v>
      </c>
      <c r="N138" s="134" t="s">
        <v>1324</v>
      </c>
      <c r="O138" s="134">
        <v>1920.0</v>
      </c>
      <c r="P138" s="134">
        <v>8.5447E9</v>
      </c>
      <c r="Q138" s="132">
        <v>2.1577836284948684</v>
      </c>
      <c r="R138" s="126" t="s">
        <v>10</v>
      </c>
      <c r="S138" s="49"/>
      <c r="T138" s="224">
        <v>7.192612094982895</v>
      </c>
      <c r="U138" s="224">
        <v>4.315567256989737</v>
      </c>
      <c r="V138" s="224">
        <v>3.5963060474914474</v>
      </c>
      <c r="W138" s="224">
        <v>2.877044837993158</v>
      </c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</row>
    <row r="139" ht="13.5" customHeight="1">
      <c r="A139" s="423" t="s">
        <v>84</v>
      </c>
      <c r="B139" s="423" t="s">
        <v>1266</v>
      </c>
      <c r="C139" s="423" t="s">
        <v>1317</v>
      </c>
      <c r="D139" s="581" t="s">
        <v>1340</v>
      </c>
      <c r="E139" s="134" t="s">
        <v>1319</v>
      </c>
      <c r="F139" s="134"/>
      <c r="G139" s="584" t="s">
        <v>1352</v>
      </c>
      <c r="H139" s="584" t="s">
        <v>4085</v>
      </c>
      <c r="I139" s="423" t="s">
        <v>1354</v>
      </c>
      <c r="J139" s="134"/>
      <c r="K139" s="581" t="s">
        <v>95</v>
      </c>
      <c r="L139" s="134"/>
      <c r="M139" s="581" t="s">
        <v>1323</v>
      </c>
      <c r="N139" s="134" t="s">
        <v>1324</v>
      </c>
      <c r="O139" s="134">
        <v>1440.0</v>
      </c>
      <c r="P139" s="134">
        <v>8.5447E9</v>
      </c>
      <c r="Q139" s="132">
        <v>2.5191064101066174</v>
      </c>
      <c r="R139" s="126" t="s">
        <v>10</v>
      </c>
      <c r="S139" s="49"/>
      <c r="T139" s="224">
        <v>8.397021367022058</v>
      </c>
      <c r="U139" s="224">
        <v>5.038212820213235</v>
      </c>
      <c r="V139" s="224">
        <v>4.198510683511029</v>
      </c>
      <c r="W139" s="224">
        <v>3.3588085468088233</v>
      </c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</row>
    <row r="140" ht="13.5" customHeight="1">
      <c r="A140" s="423" t="s">
        <v>84</v>
      </c>
      <c r="B140" s="423" t="s">
        <v>1266</v>
      </c>
      <c r="C140" s="423" t="s">
        <v>1317</v>
      </c>
      <c r="D140" s="581" t="s">
        <v>1340</v>
      </c>
      <c r="E140" s="134" t="s">
        <v>1319</v>
      </c>
      <c r="F140" s="134"/>
      <c r="G140" s="584" t="s">
        <v>1355</v>
      </c>
      <c r="H140" s="584" t="s">
        <v>778</v>
      </c>
      <c r="I140" s="423" t="s">
        <v>1358</v>
      </c>
      <c r="J140" s="134"/>
      <c r="K140" s="581" t="s">
        <v>95</v>
      </c>
      <c r="L140" s="134"/>
      <c r="M140" s="581" t="s">
        <v>1323</v>
      </c>
      <c r="N140" s="134" t="s">
        <v>1324</v>
      </c>
      <c r="O140" s="134">
        <v>720.0</v>
      </c>
      <c r="P140" s="134">
        <v>8.5447E9</v>
      </c>
      <c r="Q140" s="132">
        <v>3.7381421423377077</v>
      </c>
      <c r="R140" s="126" t="s">
        <v>10</v>
      </c>
      <c r="S140" s="49"/>
      <c r="T140" s="224">
        <v>12.46047380779236</v>
      </c>
      <c r="U140" s="224">
        <v>7.476284284675415</v>
      </c>
      <c r="V140" s="224">
        <v>6.23023690389618</v>
      </c>
      <c r="W140" s="224">
        <v>4.984189523116944</v>
      </c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</row>
    <row r="141" ht="13.5" customHeight="1">
      <c r="A141" s="423" t="s">
        <v>84</v>
      </c>
      <c r="B141" s="423" t="s">
        <v>1266</v>
      </c>
      <c r="C141" s="423" t="s">
        <v>1317</v>
      </c>
      <c r="D141" s="581" t="s">
        <v>1340</v>
      </c>
      <c r="E141" s="134" t="s">
        <v>1319</v>
      </c>
      <c r="F141" s="134"/>
      <c r="G141" s="584" t="s">
        <v>1359</v>
      </c>
      <c r="H141" s="584" t="s">
        <v>778</v>
      </c>
      <c r="I141" s="423" t="s">
        <v>1362</v>
      </c>
      <c r="J141" s="134"/>
      <c r="K141" s="581" t="s">
        <v>95</v>
      </c>
      <c r="L141" s="134"/>
      <c r="M141" s="581" t="s">
        <v>1323</v>
      </c>
      <c r="N141" s="134" t="s">
        <v>1324</v>
      </c>
      <c r="O141" s="134">
        <v>480.0</v>
      </c>
      <c r="P141" s="134">
        <v>8.5447E9</v>
      </c>
      <c r="Q141" s="132">
        <v>4.845845855192718</v>
      </c>
      <c r="R141" s="126" t="s">
        <v>10</v>
      </c>
      <c r="S141" s="49"/>
      <c r="T141" s="224">
        <v>16.152819517309062</v>
      </c>
      <c r="U141" s="224">
        <v>9.691691710385436</v>
      </c>
      <c r="V141" s="224">
        <v>8.076409758654531</v>
      </c>
      <c r="W141" s="224">
        <v>6.461127806923625</v>
      </c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</row>
    <row r="142" ht="13.5" customHeight="1">
      <c r="A142" s="423" t="s">
        <v>84</v>
      </c>
      <c r="B142" s="423" t="s">
        <v>1266</v>
      </c>
      <c r="C142" s="423" t="s">
        <v>1317</v>
      </c>
      <c r="D142" s="581" t="s">
        <v>1367</v>
      </c>
      <c r="E142" s="134" t="s">
        <v>1319</v>
      </c>
      <c r="F142" s="134"/>
      <c r="G142" s="584" t="s">
        <v>1368</v>
      </c>
      <c r="H142" s="584" t="s">
        <v>4086</v>
      </c>
      <c r="I142" s="423" t="s">
        <v>1370</v>
      </c>
      <c r="J142" s="134"/>
      <c r="K142" s="581" t="s">
        <v>95</v>
      </c>
      <c r="L142" s="134"/>
      <c r="M142" s="581" t="s">
        <v>1323</v>
      </c>
      <c r="N142" s="134" t="s">
        <v>1324</v>
      </c>
      <c r="O142" s="134">
        <v>2160.0</v>
      </c>
      <c r="P142" s="134">
        <v>8.5447E9</v>
      </c>
      <c r="Q142" s="132">
        <v>1.8027074776596412</v>
      </c>
      <c r="R142" s="126" t="s">
        <v>10</v>
      </c>
      <c r="S142" s="49"/>
      <c r="T142" s="224">
        <v>6.009024925532137</v>
      </c>
      <c r="U142" s="224">
        <v>3.605414955319282</v>
      </c>
      <c r="V142" s="224">
        <v>3.0045124627660686</v>
      </c>
      <c r="W142" s="224">
        <v>2.4036099702128553</v>
      </c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</row>
    <row r="143" ht="13.5" customHeight="1">
      <c r="A143" s="423" t="s">
        <v>84</v>
      </c>
      <c r="B143" s="423" t="s">
        <v>1266</v>
      </c>
      <c r="C143" s="423" t="s">
        <v>1317</v>
      </c>
      <c r="D143" s="581" t="s">
        <v>1367</v>
      </c>
      <c r="E143" s="134" t="s">
        <v>1319</v>
      </c>
      <c r="F143" s="134"/>
      <c r="G143" s="584" t="s">
        <v>1372</v>
      </c>
      <c r="H143" s="584" t="s">
        <v>4087</v>
      </c>
      <c r="I143" s="423" t="s">
        <v>1374</v>
      </c>
      <c r="J143" s="134"/>
      <c r="K143" s="581" t="s">
        <v>95</v>
      </c>
      <c r="L143" s="134"/>
      <c r="M143" s="581" t="s">
        <v>1323</v>
      </c>
      <c r="N143" s="134" t="s">
        <v>1324</v>
      </c>
      <c r="O143" s="134">
        <v>1920.0</v>
      </c>
      <c r="P143" s="134">
        <v>8.5447E9</v>
      </c>
      <c r="Q143" s="132">
        <v>1.98539856623513</v>
      </c>
      <c r="R143" s="126" t="s">
        <v>10</v>
      </c>
      <c r="S143" s="49"/>
      <c r="T143" s="224">
        <v>6.617995220783767</v>
      </c>
      <c r="U143" s="224">
        <v>3.97079713247026</v>
      </c>
      <c r="V143" s="224">
        <v>3.3089976103918834</v>
      </c>
      <c r="W143" s="224">
        <v>2.647198088313507</v>
      </c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</row>
    <row r="144" ht="13.5" customHeight="1">
      <c r="A144" s="423" t="s">
        <v>84</v>
      </c>
      <c r="B144" s="423" t="s">
        <v>1266</v>
      </c>
      <c r="C144" s="423" t="s">
        <v>1317</v>
      </c>
      <c r="D144" s="581" t="s">
        <v>1367</v>
      </c>
      <c r="E144" s="134" t="s">
        <v>1319</v>
      </c>
      <c r="F144" s="134"/>
      <c r="G144" s="584" t="s">
        <v>1375</v>
      </c>
      <c r="H144" s="584" t="s">
        <v>4088</v>
      </c>
      <c r="I144" s="423" t="s">
        <v>1377</v>
      </c>
      <c r="J144" s="134"/>
      <c r="K144" s="581" t="s">
        <v>95</v>
      </c>
      <c r="L144" s="134"/>
      <c r="M144" s="581" t="s">
        <v>1323</v>
      </c>
      <c r="N144" s="134" t="s">
        <v>1324</v>
      </c>
      <c r="O144" s="134">
        <v>1920.0</v>
      </c>
      <c r="P144" s="134">
        <v>8.5447E9</v>
      </c>
      <c r="Q144" s="132">
        <v>2.1577836284948684</v>
      </c>
      <c r="R144" s="126" t="s">
        <v>10</v>
      </c>
      <c r="S144" s="49"/>
      <c r="T144" s="224">
        <v>7.192612094982895</v>
      </c>
      <c r="U144" s="224">
        <v>4.315567256989737</v>
      </c>
      <c r="V144" s="224">
        <v>3.5963060474914474</v>
      </c>
      <c r="W144" s="224">
        <v>2.877044837993158</v>
      </c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</row>
    <row r="145" ht="13.5" customHeight="1">
      <c r="A145" s="423" t="s">
        <v>84</v>
      </c>
      <c r="B145" s="423" t="s">
        <v>1266</v>
      </c>
      <c r="C145" s="423" t="s">
        <v>1317</v>
      </c>
      <c r="D145" s="581" t="s">
        <v>1367</v>
      </c>
      <c r="E145" s="134" t="s">
        <v>1319</v>
      </c>
      <c r="F145" s="134"/>
      <c r="G145" s="584" t="s">
        <v>1379</v>
      </c>
      <c r="H145" s="584" t="s">
        <v>4089</v>
      </c>
      <c r="I145" s="423" t="s">
        <v>1381</v>
      </c>
      <c r="J145" s="134"/>
      <c r="K145" s="581" t="s">
        <v>95</v>
      </c>
      <c r="L145" s="134"/>
      <c r="M145" s="581" t="s">
        <v>1323</v>
      </c>
      <c r="N145" s="134" t="s">
        <v>1324</v>
      </c>
      <c r="O145" s="134">
        <v>1440.0</v>
      </c>
      <c r="P145" s="134">
        <v>8.5447E9</v>
      </c>
      <c r="Q145" s="132">
        <v>2.5191064101066174</v>
      </c>
      <c r="R145" s="126" t="s">
        <v>10</v>
      </c>
      <c r="S145" s="49"/>
      <c r="T145" s="224">
        <v>8.397021367022058</v>
      </c>
      <c r="U145" s="224">
        <v>5.038212820213235</v>
      </c>
      <c r="V145" s="224">
        <v>4.198510683511029</v>
      </c>
      <c r="W145" s="224">
        <v>3.3588085468088233</v>
      </c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</row>
    <row r="146" ht="13.5" customHeight="1">
      <c r="A146" s="423" t="s">
        <v>84</v>
      </c>
      <c r="B146" s="423" t="s">
        <v>1266</v>
      </c>
      <c r="C146" s="423" t="s">
        <v>1317</v>
      </c>
      <c r="D146" s="581" t="s">
        <v>1367</v>
      </c>
      <c r="E146" s="134" t="s">
        <v>1319</v>
      </c>
      <c r="F146" s="134"/>
      <c r="G146" s="584" t="s">
        <v>1383</v>
      </c>
      <c r="H146" s="584" t="s">
        <v>778</v>
      </c>
      <c r="I146" s="423" t="s">
        <v>1386</v>
      </c>
      <c r="J146" s="134"/>
      <c r="K146" s="581" t="s">
        <v>95</v>
      </c>
      <c r="L146" s="134"/>
      <c r="M146" s="581" t="s">
        <v>1323</v>
      </c>
      <c r="N146" s="134" t="s">
        <v>1324</v>
      </c>
      <c r="O146" s="134">
        <v>720.0</v>
      </c>
      <c r="P146" s="134">
        <v>8.5447E9</v>
      </c>
      <c r="Q146" s="132">
        <v>3.7381421423377077</v>
      </c>
      <c r="R146" s="126" t="s">
        <v>10</v>
      </c>
      <c r="S146" s="49"/>
      <c r="T146" s="224">
        <v>12.46047380779236</v>
      </c>
      <c r="U146" s="224">
        <v>7.476284284675415</v>
      </c>
      <c r="V146" s="224">
        <v>6.23023690389618</v>
      </c>
      <c r="W146" s="224">
        <v>4.984189523116944</v>
      </c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</row>
    <row r="147" ht="13.5" customHeight="1">
      <c r="A147" s="423" t="s">
        <v>84</v>
      </c>
      <c r="B147" s="423" t="s">
        <v>1266</v>
      </c>
      <c r="C147" s="423" t="s">
        <v>1317</v>
      </c>
      <c r="D147" s="581" t="s">
        <v>1367</v>
      </c>
      <c r="E147" s="134" t="s">
        <v>1319</v>
      </c>
      <c r="F147" s="134"/>
      <c r="G147" s="584" t="s">
        <v>1387</v>
      </c>
      <c r="H147" s="584" t="s">
        <v>778</v>
      </c>
      <c r="I147" s="423" t="s">
        <v>1390</v>
      </c>
      <c r="J147" s="134"/>
      <c r="K147" s="581" t="s">
        <v>95</v>
      </c>
      <c r="L147" s="134"/>
      <c r="M147" s="581" t="s">
        <v>1323</v>
      </c>
      <c r="N147" s="134" t="s">
        <v>1324</v>
      </c>
      <c r="O147" s="134">
        <v>480.0</v>
      </c>
      <c r="P147" s="134">
        <v>8.5447E9</v>
      </c>
      <c r="Q147" s="132">
        <v>4.845845855192718</v>
      </c>
      <c r="R147" s="126" t="s">
        <v>10</v>
      </c>
      <c r="S147" s="49"/>
      <c r="T147" s="224">
        <v>16.152819517309062</v>
      </c>
      <c r="U147" s="224">
        <v>9.691691710385436</v>
      </c>
      <c r="V147" s="224">
        <v>8.076409758654531</v>
      </c>
      <c r="W147" s="224">
        <v>6.461127806923625</v>
      </c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</row>
    <row r="148" ht="13.5" customHeight="1">
      <c r="A148" s="423" t="s">
        <v>84</v>
      </c>
      <c r="B148" s="423" t="s">
        <v>1266</v>
      </c>
      <c r="C148" s="423" t="s">
        <v>1317</v>
      </c>
      <c r="D148" s="581" t="s">
        <v>1318</v>
      </c>
      <c r="E148" s="134" t="s">
        <v>1395</v>
      </c>
      <c r="F148" s="134"/>
      <c r="G148" s="584" t="s">
        <v>1396</v>
      </c>
      <c r="H148" s="584" t="s">
        <v>4090</v>
      </c>
      <c r="I148" s="423" t="s">
        <v>1398</v>
      </c>
      <c r="J148" s="134"/>
      <c r="K148" s="581" t="s">
        <v>95</v>
      </c>
      <c r="L148" s="134"/>
      <c r="M148" s="581" t="s">
        <v>1323</v>
      </c>
      <c r="N148" s="134" t="s">
        <v>1324</v>
      </c>
      <c r="O148" s="134">
        <v>2160.0</v>
      </c>
      <c r="P148" s="134">
        <v>8.5447E9</v>
      </c>
      <c r="Q148" s="132">
        <v>1.926609241158828</v>
      </c>
      <c r="R148" s="126" t="s">
        <v>10</v>
      </c>
      <c r="S148" s="49"/>
      <c r="T148" s="224">
        <v>6.422030803862761</v>
      </c>
      <c r="U148" s="224">
        <v>3.853218482317656</v>
      </c>
      <c r="V148" s="224">
        <v>3.2110154019313804</v>
      </c>
      <c r="W148" s="224">
        <v>2.5688123215451046</v>
      </c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</row>
    <row r="149" ht="13.5" customHeight="1">
      <c r="A149" s="423" t="s">
        <v>84</v>
      </c>
      <c r="B149" s="423" t="s">
        <v>1266</v>
      </c>
      <c r="C149" s="423" t="s">
        <v>1317</v>
      </c>
      <c r="D149" s="581" t="s">
        <v>1318</v>
      </c>
      <c r="E149" s="134" t="s">
        <v>1395</v>
      </c>
      <c r="F149" s="134"/>
      <c r="G149" s="584" t="s">
        <v>1399</v>
      </c>
      <c r="H149" s="584" t="s">
        <v>4091</v>
      </c>
      <c r="I149" s="423" t="s">
        <v>1401</v>
      </c>
      <c r="J149" s="134"/>
      <c r="K149" s="581" t="s">
        <v>95</v>
      </c>
      <c r="L149" s="134"/>
      <c r="M149" s="581" t="s">
        <v>1323</v>
      </c>
      <c r="N149" s="134" t="s">
        <v>1324</v>
      </c>
      <c r="O149" s="134">
        <v>1920.0</v>
      </c>
      <c r="P149" s="134">
        <v>8.5447E9</v>
      </c>
      <c r="Q149" s="132">
        <v>2.2206323491103976</v>
      </c>
      <c r="R149" s="126" t="s">
        <v>10</v>
      </c>
      <c r="S149" s="49"/>
      <c r="T149" s="224">
        <v>7.402107830367992</v>
      </c>
      <c r="U149" s="224">
        <v>4.441264698220795</v>
      </c>
      <c r="V149" s="224">
        <v>3.701053915183996</v>
      </c>
      <c r="W149" s="224">
        <v>2.960843132147197</v>
      </c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</row>
    <row r="150" ht="13.5" customHeight="1">
      <c r="A150" s="423" t="s">
        <v>84</v>
      </c>
      <c r="B150" s="423" t="s">
        <v>1266</v>
      </c>
      <c r="C150" s="423" t="s">
        <v>1317</v>
      </c>
      <c r="D150" s="581" t="s">
        <v>1318</v>
      </c>
      <c r="E150" s="134" t="s">
        <v>1395</v>
      </c>
      <c r="F150" s="134"/>
      <c r="G150" s="584" t="s">
        <v>1402</v>
      </c>
      <c r="H150" s="584" t="s">
        <v>4092</v>
      </c>
      <c r="I150" s="423" t="s">
        <v>1404</v>
      </c>
      <c r="J150" s="134"/>
      <c r="K150" s="581" t="s">
        <v>95</v>
      </c>
      <c r="L150" s="134"/>
      <c r="M150" s="581" t="s">
        <v>1323</v>
      </c>
      <c r="N150" s="134" t="s">
        <v>1324</v>
      </c>
      <c r="O150" s="134">
        <v>1920.0</v>
      </c>
      <c r="P150" s="134">
        <v>8.5447E9</v>
      </c>
      <c r="Q150" s="132">
        <v>2.516919174869323</v>
      </c>
      <c r="R150" s="126" t="s">
        <v>10</v>
      </c>
      <c r="S150" s="49"/>
      <c r="T150" s="224">
        <v>8.389730582897744</v>
      </c>
      <c r="U150" s="224">
        <v>5.033838349738646</v>
      </c>
      <c r="V150" s="224">
        <v>4.194865291448872</v>
      </c>
      <c r="W150" s="224">
        <v>3.355892233159098</v>
      </c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</row>
    <row r="151" ht="13.5" customHeight="1">
      <c r="A151" s="423" t="s">
        <v>84</v>
      </c>
      <c r="B151" s="423" t="s">
        <v>1266</v>
      </c>
      <c r="C151" s="423" t="s">
        <v>1317</v>
      </c>
      <c r="D151" s="581" t="s">
        <v>1318</v>
      </c>
      <c r="E151" s="134" t="s">
        <v>1395</v>
      </c>
      <c r="F151" s="134"/>
      <c r="G151" s="584" t="s">
        <v>1405</v>
      </c>
      <c r="H151" s="584" t="s">
        <v>4093</v>
      </c>
      <c r="I151" s="423" t="s">
        <v>1407</v>
      </c>
      <c r="J151" s="134"/>
      <c r="K151" s="581" t="s">
        <v>95</v>
      </c>
      <c r="L151" s="134"/>
      <c r="M151" s="581" t="s">
        <v>1323</v>
      </c>
      <c r="N151" s="134" t="s">
        <v>1324</v>
      </c>
      <c r="O151" s="134">
        <v>1440.0</v>
      </c>
      <c r="P151" s="134">
        <v>8.5447E9</v>
      </c>
      <c r="Q151" s="132">
        <v>3.1260454834794467</v>
      </c>
      <c r="R151" s="126" t="s">
        <v>10</v>
      </c>
      <c r="S151" s="49"/>
      <c r="T151" s="224">
        <v>10.420151611598156</v>
      </c>
      <c r="U151" s="224">
        <v>6.252090966958893</v>
      </c>
      <c r="V151" s="224">
        <v>5.210075805799078</v>
      </c>
      <c r="W151" s="224">
        <v>4.1680606446392625</v>
      </c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</row>
    <row r="152" ht="13.5" customHeight="1">
      <c r="A152" s="423" t="s">
        <v>84</v>
      </c>
      <c r="B152" s="423" t="s">
        <v>1266</v>
      </c>
      <c r="C152" s="423" t="s">
        <v>1317</v>
      </c>
      <c r="D152" s="581" t="s">
        <v>1318</v>
      </c>
      <c r="E152" s="134" t="s">
        <v>1395</v>
      </c>
      <c r="F152" s="134"/>
      <c r="G152" s="584" t="s">
        <v>1408</v>
      </c>
      <c r="H152" s="584" t="s">
        <v>778</v>
      </c>
      <c r="I152" s="423" t="s">
        <v>1410</v>
      </c>
      <c r="J152" s="134"/>
      <c r="K152" s="581" t="s">
        <v>95</v>
      </c>
      <c r="L152" s="134"/>
      <c r="M152" s="581" t="s">
        <v>1323</v>
      </c>
      <c r="N152" s="134" t="s">
        <v>1324</v>
      </c>
      <c r="O152" s="134">
        <v>720.0</v>
      </c>
      <c r="P152" s="134">
        <v>8.5447E9</v>
      </c>
      <c r="Q152" s="132">
        <v>4.779635226823627</v>
      </c>
      <c r="R152" s="126" t="s">
        <v>10</v>
      </c>
      <c r="S152" s="49"/>
      <c r="T152" s="224">
        <v>15.932117422745424</v>
      </c>
      <c r="U152" s="224">
        <v>9.559270453647255</v>
      </c>
      <c r="V152" s="224">
        <v>7.966058711372712</v>
      </c>
      <c r="W152" s="224">
        <v>6.37284696909817</v>
      </c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</row>
    <row r="153" ht="13.5" customHeight="1">
      <c r="A153" s="423" t="s">
        <v>84</v>
      </c>
      <c r="B153" s="423" t="s">
        <v>1266</v>
      </c>
      <c r="C153" s="423" t="s">
        <v>1317</v>
      </c>
      <c r="D153" s="581" t="s">
        <v>1318</v>
      </c>
      <c r="E153" s="134" t="s">
        <v>1395</v>
      </c>
      <c r="F153" s="134"/>
      <c r="G153" s="584" t="s">
        <v>1411</v>
      </c>
      <c r="H153" s="584" t="s">
        <v>778</v>
      </c>
      <c r="I153" s="423" t="s">
        <v>1413</v>
      </c>
      <c r="J153" s="134"/>
      <c r="K153" s="581" t="s">
        <v>95</v>
      </c>
      <c r="L153" s="134"/>
      <c r="M153" s="581" t="s">
        <v>1323</v>
      </c>
      <c r="N153" s="134" t="s">
        <v>1324</v>
      </c>
      <c r="O153" s="134">
        <v>480.0</v>
      </c>
      <c r="P153" s="134">
        <v>8.5447E9</v>
      </c>
      <c r="Q153" s="132">
        <v>6.408085481921596</v>
      </c>
      <c r="R153" s="126" t="s">
        <v>10</v>
      </c>
      <c r="S153" s="49"/>
      <c r="T153" s="224">
        <v>21.360284939738655</v>
      </c>
      <c r="U153" s="224">
        <v>12.816170963843193</v>
      </c>
      <c r="V153" s="224">
        <v>10.680142469869327</v>
      </c>
      <c r="W153" s="224">
        <v>8.544113975895462</v>
      </c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</row>
    <row r="154" ht="13.5" customHeight="1">
      <c r="A154" s="423" t="s">
        <v>84</v>
      </c>
      <c r="B154" s="423" t="s">
        <v>1266</v>
      </c>
      <c r="C154" s="423" t="s">
        <v>1317</v>
      </c>
      <c r="D154" s="581" t="s">
        <v>1340</v>
      </c>
      <c r="E154" s="134" t="s">
        <v>1395</v>
      </c>
      <c r="F154" s="134"/>
      <c r="G154" s="584" t="s">
        <v>1414</v>
      </c>
      <c r="H154" s="584" t="s">
        <v>4094</v>
      </c>
      <c r="I154" s="423" t="s">
        <v>1416</v>
      </c>
      <c r="J154" s="134"/>
      <c r="K154" s="581" t="s">
        <v>95</v>
      </c>
      <c r="L154" s="134"/>
      <c r="M154" s="581" t="s">
        <v>1323</v>
      </c>
      <c r="N154" s="134" t="s">
        <v>1324</v>
      </c>
      <c r="O154" s="134">
        <v>2160.0</v>
      </c>
      <c r="P154" s="134">
        <v>8.5447E9</v>
      </c>
      <c r="Q154" s="132">
        <v>1.926609241158828</v>
      </c>
      <c r="R154" s="126" t="s">
        <v>10</v>
      </c>
      <c r="S154" s="49"/>
      <c r="T154" s="224">
        <v>6.422030803862761</v>
      </c>
      <c r="U154" s="224">
        <v>3.853218482317656</v>
      </c>
      <c r="V154" s="224">
        <v>3.2110154019313804</v>
      </c>
      <c r="W154" s="224">
        <v>2.5688123215451046</v>
      </c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</row>
    <row r="155" ht="13.5" customHeight="1">
      <c r="A155" s="423" t="s">
        <v>84</v>
      </c>
      <c r="B155" s="423" t="s">
        <v>1266</v>
      </c>
      <c r="C155" s="423" t="s">
        <v>1317</v>
      </c>
      <c r="D155" s="581" t="s">
        <v>1340</v>
      </c>
      <c r="E155" s="134" t="s">
        <v>1395</v>
      </c>
      <c r="F155" s="134"/>
      <c r="G155" s="584" t="s">
        <v>1417</v>
      </c>
      <c r="H155" s="584" t="s">
        <v>4095</v>
      </c>
      <c r="I155" s="423" t="s">
        <v>1419</v>
      </c>
      <c r="J155" s="134"/>
      <c r="K155" s="581" t="s">
        <v>95</v>
      </c>
      <c r="L155" s="134"/>
      <c r="M155" s="581" t="s">
        <v>1323</v>
      </c>
      <c r="N155" s="134" t="s">
        <v>1324</v>
      </c>
      <c r="O155" s="134">
        <v>1920.0</v>
      </c>
      <c r="P155" s="134">
        <v>8.5447E9</v>
      </c>
      <c r="Q155" s="132">
        <v>2.2206323491103976</v>
      </c>
      <c r="R155" s="126" t="s">
        <v>10</v>
      </c>
      <c r="S155" s="49"/>
      <c r="T155" s="224">
        <v>7.402107830367992</v>
      </c>
      <c r="U155" s="224">
        <v>4.441264698220795</v>
      </c>
      <c r="V155" s="224">
        <v>3.701053915183996</v>
      </c>
      <c r="W155" s="224">
        <v>2.960843132147197</v>
      </c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</row>
    <row r="156" ht="13.5" customHeight="1">
      <c r="A156" s="423" t="s">
        <v>84</v>
      </c>
      <c r="B156" s="423" t="s">
        <v>1266</v>
      </c>
      <c r="C156" s="423" t="s">
        <v>1317</v>
      </c>
      <c r="D156" s="581" t="s">
        <v>1340</v>
      </c>
      <c r="E156" s="134" t="s">
        <v>1395</v>
      </c>
      <c r="F156" s="134"/>
      <c r="G156" s="584" t="s">
        <v>1420</v>
      </c>
      <c r="H156" s="584" t="s">
        <v>4096</v>
      </c>
      <c r="I156" s="423" t="s">
        <v>1422</v>
      </c>
      <c r="J156" s="134"/>
      <c r="K156" s="581" t="s">
        <v>95</v>
      </c>
      <c r="L156" s="134"/>
      <c r="M156" s="581" t="s">
        <v>1323</v>
      </c>
      <c r="N156" s="134" t="s">
        <v>1324</v>
      </c>
      <c r="O156" s="134">
        <v>1920.0</v>
      </c>
      <c r="P156" s="134">
        <v>8.5447E9</v>
      </c>
      <c r="Q156" s="132">
        <v>2.516919174869323</v>
      </c>
      <c r="R156" s="126" t="s">
        <v>10</v>
      </c>
      <c r="S156" s="49"/>
      <c r="T156" s="224">
        <v>8.389730582897744</v>
      </c>
      <c r="U156" s="224">
        <v>5.033838349738646</v>
      </c>
      <c r="V156" s="224">
        <v>4.194865291448872</v>
      </c>
      <c r="W156" s="224">
        <v>3.355892233159098</v>
      </c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</row>
    <row r="157" ht="13.5" customHeight="1">
      <c r="A157" s="423" t="s">
        <v>84</v>
      </c>
      <c r="B157" s="423" t="s">
        <v>1266</v>
      </c>
      <c r="C157" s="423" t="s">
        <v>1317</v>
      </c>
      <c r="D157" s="581" t="s">
        <v>1340</v>
      </c>
      <c r="E157" s="134" t="s">
        <v>1395</v>
      </c>
      <c r="F157" s="134"/>
      <c r="G157" s="584" t="s">
        <v>1423</v>
      </c>
      <c r="H157" s="584" t="s">
        <v>4097</v>
      </c>
      <c r="I157" s="423" t="s">
        <v>1425</v>
      </c>
      <c r="J157" s="134"/>
      <c r="K157" s="581" t="s">
        <v>95</v>
      </c>
      <c r="L157" s="134"/>
      <c r="M157" s="581" t="s">
        <v>1323</v>
      </c>
      <c r="N157" s="134" t="s">
        <v>1324</v>
      </c>
      <c r="O157" s="134">
        <v>1440.0</v>
      </c>
      <c r="P157" s="134">
        <v>8.5447E9</v>
      </c>
      <c r="Q157" s="132">
        <v>3.1260454834794467</v>
      </c>
      <c r="R157" s="126" t="s">
        <v>10</v>
      </c>
      <c r="S157" s="49"/>
      <c r="T157" s="224">
        <v>10.420151611598156</v>
      </c>
      <c r="U157" s="224">
        <v>6.252090966958893</v>
      </c>
      <c r="V157" s="224">
        <v>5.210075805799078</v>
      </c>
      <c r="W157" s="224">
        <v>4.1680606446392625</v>
      </c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</row>
    <row r="158" ht="13.5" customHeight="1">
      <c r="A158" s="423" t="s">
        <v>84</v>
      </c>
      <c r="B158" s="423" t="s">
        <v>1266</v>
      </c>
      <c r="C158" s="423" t="s">
        <v>1317</v>
      </c>
      <c r="D158" s="581" t="s">
        <v>1340</v>
      </c>
      <c r="E158" s="134" t="s">
        <v>1395</v>
      </c>
      <c r="F158" s="134"/>
      <c r="G158" s="584" t="s">
        <v>1426</v>
      </c>
      <c r="H158" s="584" t="s">
        <v>778</v>
      </c>
      <c r="I158" s="423" t="s">
        <v>1429</v>
      </c>
      <c r="J158" s="134"/>
      <c r="K158" s="581" t="s">
        <v>95</v>
      </c>
      <c r="L158" s="134"/>
      <c r="M158" s="581" t="s">
        <v>1323</v>
      </c>
      <c r="N158" s="134" t="s">
        <v>1324</v>
      </c>
      <c r="O158" s="134">
        <v>720.0</v>
      </c>
      <c r="P158" s="134">
        <v>8.5447E9</v>
      </c>
      <c r="Q158" s="132">
        <v>4.779635226823627</v>
      </c>
      <c r="R158" s="126" t="s">
        <v>10</v>
      </c>
      <c r="S158" s="49"/>
      <c r="T158" s="224">
        <v>15.932117422745424</v>
      </c>
      <c r="U158" s="224">
        <v>9.559270453647255</v>
      </c>
      <c r="V158" s="224">
        <v>7.966058711372712</v>
      </c>
      <c r="W158" s="224">
        <v>6.37284696909817</v>
      </c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</row>
    <row r="159" ht="13.5" customHeight="1">
      <c r="A159" s="423" t="s">
        <v>84</v>
      </c>
      <c r="B159" s="423" t="s">
        <v>1266</v>
      </c>
      <c r="C159" s="423" t="s">
        <v>1317</v>
      </c>
      <c r="D159" s="581" t="s">
        <v>1340</v>
      </c>
      <c r="E159" s="134" t="s">
        <v>1395</v>
      </c>
      <c r="F159" s="134"/>
      <c r="G159" s="584" t="s">
        <v>1430</v>
      </c>
      <c r="H159" s="584" t="s">
        <v>778</v>
      </c>
      <c r="I159" s="423" t="s">
        <v>1433</v>
      </c>
      <c r="J159" s="134"/>
      <c r="K159" s="581" t="s">
        <v>95</v>
      </c>
      <c r="L159" s="134"/>
      <c r="M159" s="581" t="s">
        <v>1323</v>
      </c>
      <c r="N159" s="134" t="s">
        <v>1324</v>
      </c>
      <c r="O159" s="134">
        <v>480.0</v>
      </c>
      <c r="P159" s="134">
        <v>8.5447E9</v>
      </c>
      <c r="Q159" s="132">
        <v>6.408085481921596</v>
      </c>
      <c r="R159" s="126" t="s">
        <v>10</v>
      </c>
      <c r="S159" s="49"/>
      <c r="T159" s="224">
        <v>21.360284939738655</v>
      </c>
      <c r="U159" s="224">
        <v>12.816170963843193</v>
      </c>
      <c r="V159" s="224">
        <v>10.680142469869327</v>
      </c>
      <c r="W159" s="224">
        <v>8.544113975895462</v>
      </c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</row>
    <row r="160" ht="13.5" customHeight="1">
      <c r="A160" s="423" t="s">
        <v>84</v>
      </c>
      <c r="B160" s="423" t="s">
        <v>1266</v>
      </c>
      <c r="C160" s="423" t="s">
        <v>1317</v>
      </c>
      <c r="D160" s="581" t="s">
        <v>1367</v>
      </c>
      <c r="E160" s="134" t="s">
        <v>1395</v>
      </c>
      <c r="F160" s="134"/>
      <c r="G160" s="584" t="s">
        <v>1438</v>
      </c>
      <c r="H160" s="584" t="s">
        <v>4098</v>
      </c>
      <c r="I160" s="423" t="s">
        <v>1440</v>
      </c>
      <c r="J160" s="134"/>
      <c r="K160" s="581" t="s">
        <v>95</v>
      </c>
      <c r="L160" s="134"/>
      <c r="M160" s="581" t="s">
        <v>1323</v>
      </c>
      <c r="N160" s="134" t="s">
        <v>1324</v>
      </c>
      <c r="O160" s="134">
        <v>2160.0</v>
      </c>
      <c r="P160" s="134">
        <v>8.5447E9</v>
      </c>
      <c r="Q160" s="132">
        <v>1.926609241158828</v>
      </c>
      <c r="R160" s="126" t="s">
        <v>10</v>
      </c>
      <c r="S160" s="49"/>
      <c r="T160" s="224">
        <v>6.422030803862761</v>
      </c>
      <c r="U160" s="224">
        <v>3.853218482317656</v>
      </c>
      <c r="V160" s="224">
        <v>3.2110154019313804</v>
      </c>
      <c r="W160" s="224">
        <v>2.5688123215451046</v>
      </c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</row>
    <row r="161" ht="13.5" customHeight="1">
      <c r="A161" s="423" t="s">
        <v>84</v>
      </c>
      <c r="B161" s="423" t="s">
        <v>1266</v>
      </c>
      <c r="C161" s="423" t="s">
        <v>1317</v>
      </c>
      <c r="D161" s="581" t="s">
        <v>1367</v>
      </c>
      <c r="E161" s="134" t="s">
        <v>1395</v>
      </c>
      <c r="F161" s="134"/>
      <c r="G161" s="584" t="s">
        <v>1442</v>
      </c>
      <c r="H161" s="584" t="s">
        <v>4099</v>
      </c>
      <c r="I161" s="423" t="s">
        <v>1444</v>
      </c>
      <c r="J161" s="134"/>
      <c r="K161" s="581" t="s">
        <v>95</v>
      </c>
      <c r="L161" s="134"/>
      <c r="M161" s="581" t="s">
        <v>1323</v>
      </c>
      <c r="N161" s="134" t="s">
        <v>1324</v>
      </c>
      <c r="O161" s="134">
        <v>1920.0</v>
      </c>
      <c r="P161" s="134">
        <v>8.5447E9</v>
      </c>
      <c r="Q161" s="132">
        <v>2.2206323491103976</v>
      </c>
      <c r="R161" s="126" t="s">
        <v>10</v>
      </c>
      <c r="S161" s="49"/>
      <c r="T161" s="224">
        <v>7.402107830367992</v>
      </c>
      <c r="U161" s="224">
        <v>4.441264698220795</v>
      </c>
      <c r="V161" s="224">
        <v>3.701053915183996</v>
      </c>
      <c r="W161" s="224">
        <v>2.960843132147197</v>
      </c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</row>
    <row r="162" ht="13.5" customHeight="1">
      <c r="A162" s="423" t="s">
        <v>84</v>
      </c>
      <c r="B162" s="423" t="s">
        <v>1266</v>
      </c>
      <c r="C162" s="423" t="s">
        <v>1317</v>
      </c>
      <c r="D162" s="581" t="s">
        <v>1367</v>
      </c>
      <c r="E162" s="134" t="s">
        <v>1395</v>
      </c>
      <c r="F162" s="134"/>
      <c r="G162" s="584" t="s">
        <v>1446</v>
      </c>
      <c r="H162" s="584" t="s">
        <v>4100</v>
      </c>
      <c r="I162" s="423" t="s">
        <v>1448</v>
      </c>
      <c r="J162" s="134"/>
      <c r="K162" s="581" t="s">
        <v>95</v>
      </c>
      <c r="L162" s="134"/>
      <c r="M162" s="581" t="s">
        <v>1323</v>
      </c>
      <c r="N162" s="134" t="s">
        <v>1324</v>
      </c>
      <c r="O162" s="134">
        <v>1920.0</v>
      </c>
      <c r="P162" s="134">
        <v>8.5447E9</v>
      </c>
      <c r="Q162" s="132">
        <v>2.516919174869323</v>
      </c>
      <c r="R162" s="126" t="s">
        <v>10</v>
      </c>
      <c r="S162" s="49"/>
      <c r="T162" s="224">
        <v>8.389730582897744</v>
      </c>
      <c r="U162" s="224">
        <v>5.033838349738646</v>
      </c>
      <c r="V162" s="224">
        <v>4.194865291448872</v>
      </c>
      <c r="W162" s="224">
        <v>3.355892233159098</v>
      </c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</row>
    <row r="163" ht="13.5" customHeight="1">
      <c r="A163" s="423" t="s">
        <v>84</v>
      </c>
      <c r="B163" s="423" t="s">
        <v>1266</v>
      </c>
      <c r="C163" s="423" t="s">
        <v>1317</v>
      </c>
      <c r="D163" s="581" t="s">
        <v>1367</v>
      </c>
      <c r="E163" s="134" t="s">
        <v>1395</v>
      </c>
      <c r="F163" s="134"/>
      <c r="G163" s="584" t="s">
        <v>1450</v>
      </c>
      <c r="H163" s="584" t="s">
        <v>4101</v>
      </c>
      <c r="I163" s="423" t="s">
        <v>1452</v>
      </c>
      <c r="J163" s="134"/>
      <c r="K163" s="581" t="s">
        <v>95</v>
      </c>
      <c r="L163" s="134"/>
      <c r="M163" s="581" t="s">
        <v>1323</v>
      </c>
      <c r="N163" s="134" t="s">
        <v>1324</v>
      </c>
      <c r="O163" s="134">
        <v>1440.0</v>
      </c>
      <c r="P163" s="134">
        <v>8.5447E9</v>
      </c>
      <c r="Q163" s="132">
        <v>3.1260454834794467</v>
      </c>
      <c r="R163" s="126" t="s">
        <v>10</v>
      </c>
      <c r="S163" s="49"/>
      <c r="T163" s="224">
        <v>10.420151611598156</v>
      </c>
      <c r="U163" s="224">
        <v>6.252090966958893</v>
      </c>
      <c r="V163" s="224">
        <v>5.210075805799078</v>
      </c>
      <c r="W163" s="224">
        <v>4.1680606446392625</v>
      </c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</row>
    <row r="164" ht="13.5" customHeight="1">
      <c r="A164" s="423" t="s">
        <v>84</v>
      </c>
      <c r="B164" s="423" t="s">
        <v>1266</v>
      </c>
      <c r="C164" s="423" t="s">
        <v>1317</v>
      </c>
      <c r="D164" s="581" t="s">
        <v>1367</v>
      </c>
      <c r="E164" s="134" t="s">
        <v>1395</v>
      </c>
      <c r="F164" s="134"/>
      <c r="G164" s="584" t="s">
        <v>1454</v>
      </c>
      <c r="H164" s="584" t="s">
        <v>778</v>
      </c>
      <c r="I164" s="423" t="s">
        <v>1457</v>
      </c>
      <c r="J164" s="134"/>
      <c r="K164" s="581" t="s">
        <v>95</v>
      </c>
      <c r="L164" s="134"/>
      <c r="M164" s="581" t="s">
        <v>1323</v>
      </c>
      <c r="N164" s="134" t="s">
        <v>1324</v>
      </c>
      <c r="O164" s="134">
        <v>720.0</v>
      </c>
      <c r="P164" s="134">
        <v>8.5447E9</v>
      </c>
      <c r="Q164" s="132">
        <v>4.779635226823627</v>
      </c>
      <c r="R164" s="126" t="s">
        <v>10</v>
      </c>
      <c r="S164" s="49"/>
      <c r="T164" s="224">
        <v>15.932117422745424</v>
      </c>
      <c r="U164" s="224">
        <v>9.559270453647255</v>
      </c>
      <c r="V164" s="224">
        <v>7.966058711372712</v>
      </c>
      <c r="W164" s="224">
        <v>6.37284696909817</v>
      </c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</row>
    <row r="165" ht="13.5" customHeight="1">
      <c r="A165" s="423" t="s">
        <v>84</v>
      </c>
      <c r="B165" s="423" t="s">
        <v>1266</v>
      </c>
      <c r="C165" s="423" t="s">
        <v>1317</v>
      </c>
      <c r="D165" s="581" t="s">
        <v>1367</v>
      </c>
      <c r="E165" s="134" t="s">
        <v>1395</v>
      </c>
      <c r="F165" s="134"/>
      <c r="G165" s="584" t="s">
        <v>1458</v>
      </c>
      <c r="H165" s="584" t="s">
        <v>778</v>
      </c>
      <c r="I165" s="423" t="s">
        <v>1461</v>
      </c>
      <c r="J165" s="134"/>
      <c r="K165" s="581" t="s">
        <v>95</v>
      </c>
      <c r="L165" s="134"/>
      <c r="M165" s="581" t="s">
        <v>1323</v>
      </c>
      <c r="N165" s="134" t="s">
        <v>1324</v>
      </c>
      <c r="O165" s="134">
        <v>480.0</v>
      </c>
      <c r="P165" s="134">
        <v>8.5447E9</v>
      </c>
      <c r="Q165" s="132">
        <v>6.408085481921596</v>
      </c>
      <c r="R165" s="126" t="s">
        <v>10</v>
      </c>
      <c r="S165" s="49"/>
      <c r="T165" s="224">
        <v>21.360284939738655</v>
      </c>
      <c r="U165" s="224">
        <v>12.816170963843193</v>
      </c>
      <c r="V165" s="224">
        <v>10.680142469869327</v>
      </c>
      <c r="W165" s="224">
        <v>8.544113975895462</v>
      </c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</row>
    <row r="166" ht="13.5" customHeight="1">
      <c r="A166" s="423" t="s">
        <v>84</v>
      </c>
      <c r="B166" s="423" t="s">
        <v>1266</v>
      </c>
      <c r="C166" s="423" t="s">
        <v>1317</v>
      </c>
      <c r="D166" s="581" t="s">
        <v>1318</v>
      </c>
      <c r="E166" s="134" t="s">
        <v>1465</v>
      </c>
      <c r="F166" s="134"/>
      <c r="G166" s="584" t="s">
        <v>1466</v>
      </c>
      <c r="H166" s="584" t="s">
        <v>4102</v>
      </c>
      <c r="I166" s="423" t="s">
        <v>1468</v>
      </c>
      <c r="J166" s="134"/>
      <c r="K166" s="581" t="s">
        <v>95</v>
      </c>
      <c r="L166" s="134"/>
      <c r="M166" s="581" t="s">
        <v>1323</v>
      </c>
      <c r="N166" s="134" t="s">
        <v>1324</v>
      </c>
      <c r="O166" s="134">
        <v>2160.0</v>
      </c>
      <c r="P166" s="134">
        <v>8.5447E9</v>
      </c>
      <c r="Q166" s="132">
        <v>1.9643184735281463</v>
      </c>
      <c r="R166" s="126" t="s">
        <v>10</v>
      </c>
      <c r="S166" s="49"/>
      <c r="T166" s="224">
        <v>6.547728245093821</v>
      </c>
      <c r="U166" s="224">
        <v>3.9286369470562925</v>
      </c>
      <c r="V166" s="224">
        <v>3.2738641225469105</v>
      </c>
      <c r="W166" s="224">
        <v>2.6190912980375285</v>
      </c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</row>
    <row r="167" ht="13.5" customHeight="1">
      <c r="A167" s="423" t="s">
        <v>84</v>
      </c>
      <c r="B167" s="423" t="s">
        <v>1266</v>
      </c>
      <c r="C167" s="423" t="s">
        <v>1317</v>
      </c>
      <c r="D167" s="581" t="s">
        <v>1318</v>
      </c>
      <c r="E167" s="134" t="s">
        <v>1465</v>
      </c>
      <c r="F167" s="134"/>
      <c r="G167" s="584" t="s">
        <v>1469</v>
      </c>
      <c r="H167" s="584" t="s">
        <v>4103</v>
      </c>
      <c r="I167" s="423" t="s">
        <v>1471</v>
      </c>
      <c r="J167" s="134"/>
      <c r="K167" s="581" t="s">
        <v>95</v>
      </c>
      <c r="L167" s="134"/>
      <c r="M167" s="581" t="s">
        <v>1323</v>
      </c>
      <c r="N167" s="134" t="s">
        <v>1324</v>
      </c>
      <c r="O167" s="134">
        <v>1920.0</v>
      </c>
      <c r="P167" s="134">
        <v>8.5447E9</v>
      </c>
      <c r="Q167" s="132">
        <v>2.4810056202318775</v>
      </c>
      <c r="R167" s="126" t="s">
        <v>10</v>
      </c>
      <c r="S167" s="49"/>
      <c r="T167" s="224">
        <v>8.270018734106259</v>
      </c>
      <c r="U167" s="224">
        <v>4.962011240463755</v>
      </c>
      <c r="V167" s="224">
        <v>4.135009367053129</v>
      </c>
      <c r="W167" s="224">
        <v>3.3080074936425037</v>
      </c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</row>
    <row r="168" ht="13.5" customHeight="1">
      <c r="A168" s="423" t="s">
        <v>84</v>
      </c>
      <c r="B168" s="423" t="s">
        <v>1266</v>
      </c>
      <c r="C168" s="423" t="s">
        <v>1317</v>
      </c>
      <c r="D168" s="581" t="s">
        <v>1318</v>
      </c>
      <c r="E168" s="134" t="s">
        <v>1465</v>
      </c>
      <c r="F168" s="134"/>
      <c r="G168" s="584" t="s">
        <v>1472</v>
      </c>
      <c r="H168" s="584" t="s">
        <v>4104</v>
      </c>
      <c r="I168" s="423" t="s">
        <v>1474</v>
      </c>
      <c r="J168" s="134"/>
      <c r="K168" s="581" t="s">
        <v>95</v>
      </c>
      <c r="L168" s="134"/>
      <c r="M168" s="581" t="s">
        <v>1323</v>
      </c>
      <c r="N168" s="134" t="s">
        <v>1324</v>
      </c>
      <c r="O168" s="134">
        <v>1920.0</v>
      </c>
      <c r="P168" s="134">
        <v>8.5447E9</v>
      </c>
      <c r="Q168" s="132">
        <v>2.9891824183517315</v>
      </c>
      <c r="R168" s="126" t="s">
        <v>10</v>
      </c>
      <c r="S168" s="49"/>
      <c r="T168" s="224">
        <v>9.963941394505772</v>
      </c>
      <c r="U168" s="224">
        <v>5.978364836703463</v>
      </c>
      <c r="V168" s="224">
        <v>4.981970697252886</v>
      </c>
      <c r="W168" s="224">
        <v>3.9855765578023092</v>
      </c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</row>
    <row r="169" ht="13.5" customHeight="1">
      <c r="A169" s="423" t="s">
        <v>84</v>
      </c>
      <c r="B169" s="423" t="s">
        <v>1266</v>
      </c>
      <c r="C169" s="423" t="s">
        <v>1317</v>
      </c>
      <c r="D169" s="581" t="s">
        <v>1318</v>
      </c>
      <c r="E169" s="134" t="s">
        <v>1465</v>
      </c>
      <c r="F169" s="134"/>
      <c r="G169" s="584" t="s">
        <v>1475</v>
      </c>
      <c r="H169" s="584" t="s">
        <v>4105</v>
      </c>
      <c r="I169" s="423" t="s">
        <v>1477</v>
      </c>
      <c r="J169" s="134"/>
      <c r="K169" s="581" t="s">
        <v>95</v>
      </c>
      <c r="L169" s="134"/>
      <c r="M169" s="581" t="s">
        <v>1323</v>
      </c>
      <c r="N169" s="134" t="s">
        <v>1324</v>
      </c>
      <c r="O169" s="134">
        <v>1440.0</v>
      </c>
      <c r="P169" s="134">
        <v>8.5447E9</v>
      </c>
      <c r="Q169" s="132">
        <v>4.029271382611201</v>
      </c>
      <c r="R169" s="126" t="s">
        <v>10</v>
      </c>
      <c r="S169" s="49"/>
      <c r="T169" s="224">
        <v>13.430904608704004</v>
      </c>
      <c r="U169" s="224">
        <v>8.058542765222402</v>
      </c>
      <c r="V169" s="224">
        <v>6.715452304352002</v>
      </c>
      <c r="W169" s="224">
        <v>5.3723618434816025</v>
      </c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</row>
    <row r="170" ht="13.5" customHeight="1">
      <c r="A170" s="423" t="s">
        <v>84</v>
      </c>
      <c r="B170" s="423" t="s">
        <v>1266</v>
      </c>
      <c r="C170" s="423" t="s">
        <v>1317</v>
      </c>
      <c r="D170" s="581" t="s">
        <v>1318</v>
      </c>
      <c r="E170" s="134" t="s">
        <v>1465</v>
      </c>
      <c r="F170" s="134"/>
      <c r="G170" s="584" t="s">
        <v>1478</v>
      </c>
      <c r="H170" s="584" t="s">
        <v>778</v>
      </c>
      <c r="I170" s="423" t="s">
        <v>1480</v>
      </c>
      <c r="J170" s="134"/>
      <c r="K170" s="581" t="s">
        <v>95</v>
      </c>
      <c r="L170" s="134"/>
      <c r="M170" s="581" t="s">
        <v>1323</v>
      </c>
      <c r="N170" s="134" t="s">
        <v>1324</v>
      </c>
      <c r="O170" s="134">
        <v>720.0</v>
      </c>
      <c r="P170" s="134">
        <v>8.5447E9</v>
      </c>
      <c r="Q170" s="132">
        <v>6.95240528238908</v>
      </c>
      <c r="R170" s="126" t="s">
        <v>10</v>
      </c>
      <c r="S170" s="49"/>
      <c r="T170" s="224">
        <v>23.174684274630266</v>
      </c>
      <c r="U170" s="224">
        <v>13.90481056477816</v>
      </c>
      <c r="V170" s="224">
        <v>11.587342137315133</v>
      </c>
      <c r="W170" s="224">
        <v>9.269873709852106</v>
      </c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</row>
    <row r="171" ht="13.5" customHeight="1">
      <c r="A171" s="423" t="s">
        <v>84</v>
      </c>
      <c r="B171" s="423" t="s">
        <v>1266</v>
      </c>
      <c r="C171" s="423" t="s">
        <v>1317</v>
      </c>
      <c r="D171" s="581" t="s">
        <v>1318</v>
      </c>
      <c r="E171" s="134" t="s">
        <v>1465</v>
      </c>
      <c r="F171" s="134"/>
      <c r="G171" s="584" t="s">
        <v>1481</v>
      </c>
      <c r="H171" s="584" t="s">
        <v>778</v>
      </c>
      <c r="I171" s="423" t="s">
        <v>1483</v>
      </c>
      <c r="J171" s="134"/>
      <c r="K171" s="581" t="s">
        <v>95</v>
      </c>
      <c r="L171" s="134"/>
      <c r="M171" s="581" t="s">
        <v>1323</v>
      </c>
      <c r="N171" s="134" t="s">
        <v>1324</v>
      </c>
      <c r="O171" s="134">
        <v>480.0</v>
      </c>
      <c r="P171" s="134">
        <v>8.5447E9</v>
      </c>
      <c r="Q171" s="132">
        <v>9.667240565269774</v>
      </c>
      <c r="R171" s="126" t="s">
        <v>10</v>
      </c>
      <c r="S171" s="49"/>
      <c r="T171" s="224">
        <v>32.224135217565916</v>
      </c>
      <c r="U171" s="224">
        <v>19.334481130539547</v>
      </c>
      <c r="V171" s="224">
        <v>16.112067608782958</v>
      </c>
      <c r="W171" s="224">
        <v>12.889654087026367</v>
      </c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</row>
    <row r="172" ht="13.5" customHeight="1">
      <c r="A172" s="423" t="s">
        <v>84</v>
      </c>
      <c r="B172" s="423" t="s">
        <v>1266</v>
      </c>
      <c r="C172" s="423" t="s">
        <v>1317</v>
      </c>
      <c r="D172" s="581" t="s">
        <v>1340</v>
      </c>
      <c r="E172" s="134" t="s">
        <v>1465</v>
      </c>
      <c r="F172" s="134"/>
      <c r="G172" s="584" t="s">
        <v>1484</v>
      </c>
      <c r="H172" s="584" t="s">
        <v>4106</v>
      </c>
      <c r="I172" s="423" t="s">
        <v>1486</v>
      </c>
      <c r="J172" s="134"/>
      <c r="K172" s="581" t="s">
        <v>95</v>
      </c>
      <c r="L172" s="134"/>
      <c r="M172" s="581" t="s">
        <v>1323</v>
      </c>
      <c r="N172" s="134" t="s">
        <v>1324</v>
      </c>
      <c r="O172" s="134">
        <v>2160.0</v>
      </c>
      <c r="P172" s="134">
        <v>8.5447E9</v>
      </c>
      <c r="Q172" s="132">
        <v>1.9643184735281463</v>
      </c>
      <c r="R172" s="126" t="s">
        <v>10</v>
      </c>
      <c r="S172" s="49"/>
      <c r="T172" s="224">
        <v>6.547728245093821</v>
      </c>
      <c r="U172" s="224">
        <v>3.9286369470562925</v>
      </c>
      <c r="V172" s="224">
        <v>3.2738641225469105</v>
      </c>
      <c r="W172" s="224">
        <v>2.6190912980375285</v>
      </c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</row>
    <row r="173" ht="13.5" customHeight="1">
      <c r="A173" s="423" t="s">
        <v>84</v>
      </c>
      <c r="B173" s="423" t="s">
        <v>1266</v>
      </c>
      <c r="C173" s="423" t="s">
        <v>1317</v>
      </c>
      <c r="D173" s="581" t="s">
        <v>1340</v>
      </c>
      <c r="E173" s="134" t="s">
        <v>1465</v>
      </c>
      <c r="F173" s="134"/>
      <c r="G173" s="584" t="s">
        <v>1487</v>
      </c>
      <c r="H173" s="584" t="s">
        <v>4107</v>
      </c>
      <c r="I173" s="423" t="s">
        <v>1489</v>
      </c>
      <c r="J173" s="134"/>
      <c r="K173" s="581" t="s">
        <v>95</v>
      </c>
      <c r="L173" s="134"/>
      <c r="M173" s="581" t="s">
        <v>1323</v>
      </c>
      <c r="N173" s="134" t="s">
        <v>1324</v>
      </c>
      <c r="O173" s="134">
        <v>1920.0</v>
      </c>
      <c r="P173" s="134">
        <v>8.5447E9</v>
      </c>
      <c r="Q173" s="132">
        <v>2.4810056202318775</v>
      </c>
      <c r="R173" s="126" t="s">
        <v>10</v>
      </c>
      <c r="S173" s="49"/>
      <c r="T173" s="224">
        <v>8.270018734106259</v>
      </c>
      <c r="U173" s="224">
        <v>4.962011240463755</v>
      </c>
      <c r="V173" s="224">
        <v>4.135009367053129</v>
      </c>
      <c r="W173" s="224">
        <v>3.3080074936425037</v>
      </c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</row>
    <row r="174" ht="13.5" customHeight="1">
      <c r="A174" s="423" t="s">
        <v>84</v>
      </c>
      <c r="B174" s="423" t="s">
        <v>1266</v>
      </c>
      <c r="C174" s="423" t="s">
        <v>1317</v>
      </c>
      <c r="D174" s="581" t="s">
        <v>1340</v>
      </c>
      <c r="E174" s="134" t="s">
        <v>1465</v>
      </c>
      <c r="F174" s="134"/>
      <c r="G174" s="584" t="s">
        <v>1490</v>
      </c>
      <c r="H174" s="584" t="s">
        <v>4108</v>
      </c>
      <c r="I174" s="423" t="s">
        <v>1492</v>
      </c>
      <c r="J174" s="134"/>
      <c r="K174" s="581" t="s">
        <v>95</v>
      </c>
      <c r="L174" s="134"/>
      <c r="M174" s="581" t="s">
        <v>1323</v>
      </c>
      <c r="N174" s="134" t="s">
        <v>1324</v>
      </c>
      <c r="O174" s="134">
        <v>1920.0</v>
      </c>
      <c r="P174" s="134">
        <v>8.5447E9</v>
      </c>
      <c r="Q174" s="132">
        <v>2.9891824183517315</v>
      </c>
      <c r="R174" s="126" t="s">
        <v>10</v>
      </c>
      <c r="S174" s="49"/>
      <c r="T174" s="224">
        <v>9.963941394505772</v>
      </c>
      <c r="U174" s="224">
        <v>5.978364836703463</v>
      </c>
      <c r="V174" s="224">
        <v>4.981970697252886</v>
      </c>
      <c r="W174" s="224">
        <v>3.9855765578023092</v>
      </c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</row>
    <row r="175" ht="13.5" customHeight="1">
      <c r="A175" s="423" t="s">
        <v>84</v>
      </c>
      <c r="B175" s="423" t="s">
        <v>1266</v>
      </c>
      <c r="C175" s="423" t="s">
        <v>1317</v>
      </c>
      <c r="D175" s="581" t="s">
        <v>1340</v>
      </c>
      <c r="E175" s="134" t="s">
        <v>1465</v>
      </c>
      <c r="F175" s="134"/>
      <c r="G175" s="584" t="s">
        <v>1493</v>
      </c>
      <c r="H175" s="584" t="s">
        <v>4109</v>
      </c>
      <c r="I175" s="423" t="s">
        <v>1495</v>
      </c>
      <c r="J175" s="134"/>
      <c r="K175" s="581" t="s">
        <v>95</v>
      </c>
      <c r="L175" s="134"/>
      <c r="M175" s="581" t="s">
        <v>1323</v>
      </c>
      <c r="N175" s="134" t="s">
        <v>1324</v>
      </c>
      <c r="O175" s="134">
        <v>1440.0</v>
      </c>
      <c r="P175" s="134">
        <v>8.5447E9</v>
      </c>
      <c r="Q175" s="132">
        <v>4.029271382611201</v>
      </c>
      <c r="R175" s="126" t="s">
        <v>10</v>
      </c>
      <c r="S175" s="49"/>
      <c r="T175" s="224">
        <v>13.430904608704004</v>
      </c>
      <c r="U175" s="224">
        <v>8.058542765222402</v>
      </c>
      <c r="V175" s="224">
        <v>6.715452304352002</v>
      </c>
      <c r="W175" s="224">
        <v>5.3723618434816025</v>
      </c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</row>
    <row r="176" ht="13.5" customHeight="1">
      <c r="A176" s="423" t="s">
        <v>84</v>
      </c>
      <c r="B176" s="423" t="s">
        <v>1266</v>
      </c>
      <c r="C176" s="423" t="s">
        <v>1317</v>
      </c>
      <c r="D176" s="581" t="s">
        <v>1340</v>
      </c>
      <c r="E176" s="134" t="s">
        <v>1465</v>
      </c>
      <c r="F176" s="134"/>
      <c r="G176" s="584" t="s">
        <v>1496</v>
      </c>
      <c r="H176" s="584" t="s">
        <v>778</v>
      </c>
      <c r="I176" s="423" t="s">
        <v>1498</v>
      </c>
      <c r="J176" s="134"/>
      <c r="K176" s="581" t="s">
        <v>95</v>
      </c>
      <c r="L176" s="134"/>
      <c r="M176" s="581" t="s">
        <v>1323</v>
      </c>
      <c r="N176" s="134" t="s">
        <v>1324</v>
      </c>
      <c r="O176" s="134">
        <v>720.0</v>
      </c>
      <c r="P176" s="134">
        <v>8.5447E9</v>
      </c>
      <c r="Q176" s="132">
        <v>6.95240528238908</v>
      </c>
      <c r="R176" s="126" t="s">
        <v>10</v>
      </c>
      <c r="S176" s="49"/>
      <c r="T176" s="224">
        <v>23.174684274630266</v>
      </c>
      <c r="U176" s="224">
        <v>13.90481056477816</v>
      </c>
      <c r="V176" s="224">
        <v>11.587342137315133</v>
      </c>
      <c r="W176" s="224">
        <v>9.269873709852106</v>
      </c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</row>
    <row r="177" ht="13.5" customHeight="1">
      <c r="A177" s="423" t="s">
        <v>84</v>
      </c>
      <c r="B177" s="423" t="s">
        <v>1266</v>
      </c>
      <c r="C177" s="423" t="s">
        <v>1317</v>
      </c>
      <c r="D177" s="581" t="s">
        <v>1340</v>
      </c>
      <c r="E177" s="134" t="s">
        <v>1465</v>
      </c>
      <c r="F177" s="134"/>
      <c r="G177" s="584" t="s">
        <v>1499</v>
      </c>
      <c r="H177" s="584" t="s">
        <v>778</v>
      </c>
      <c r="I177" s="423" t="s">
        <v>1501</v>
      </c>
      <c r="J177" s="134"/>
      <c r="K177" s="581" t="s">
        <v>95</v>
      </c>
      <c r="L177" s="134"/>
      <c r="M177" s="581" t="s">
        <v>1323</v>
      </c>
      <c r="N177" s="134" t="s">
        <v>1324</v>
      </c>
      <c r="O177" s="134">
        <v>480.0</v>
      </c>
      <c r="P177" s="134">
        <v>8.5447E9</v>
      </c>
      <c r="Q177" s="132">
        <v>9.667240565269774</v>
      </c>
      <c r="R177" s="126" t="s">
        <v>10</v>
      </c>
      <c r="S177" s="49"/>
      <c r="T177" s="224">
        <v>32.224135217565916</v>
      </c>
      <c r="U177" s="224">
        <v>19.334481130539547</v>
      </c>
      <c r="V177" s="224">
        <v>16.112067608782958</v>
      </c>
      <c r="W177" s="224">
        <v>12.889654087026367</v>
      </c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</row>
    <row r="178" ht="13.5" customHeight="1">
      <c r="A178" s="423" t="s">
        <v>84</v>
      </c>
      <c r="B178" s="423" t="s">
        <v>1266</v>
      </c>
      <c r="C178" s="423" t="s">
        <v>1317</v>
      </c>
      <c r="D178" s="581" t="s">
        <v>1367</v>
      </c>
      <c r="E178" s="134" t="s">
        <v>1465</v>
      </c>
      <c r="F178" s="134"/>
      <c r="G178" s="584" t="s">
        <v>1502</v>
      </c>
      <c r="H178" s="584" t="s">
        <v>4110</v>
      </c>
      <c r="I178" s="423" t="s">
        <v>1504</v>
      </c>
      <c r="J178" s="134"/>
      <c r="K178" s="581" t="s">
        <v>95</v>
      </c>
      <c r="L178" s="134"/>
      <c r="M178" s="581" t="s">
        <v>1323</v>
      </c>
      <c r="N178" s="134" t="s">
        <v>1324</v>
      </c>
      <c r="O178" s="134">
        <v>2160.0</v>
      </c>
      <c r="P178" s="134">
        <v>8.5447E9</v>
      </c>
      <c r="Q178" s="132">
        <v>1.9643184735281463</v>
      </c>
      <c r="R178" s="126" t="s">
        <v>10</v>
      </c>
      <c r="S178" s="49"/>
      <c r="T178" s="224">
        <v>6.547728245093821</v>
      </c>
      <c r="U178" s="224">
        <v>3.9286369470562925</v>
      </c>
      <c r="V178" s="224">
        <v>3.2738641225469105</v>
      </c>
      <c r="W178" s="224">
        <v>2.6190912980375285</v>
      </c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</row>
    <row r="179" ht="13.5" customHeight="1">
      <c r="A179" s="423" t="s">
        <v>84</v>
      </c>
      <c r="B179" s="423" t="s">
        <v>1266</v>
      </c>
      <c r="C179" s="423" t="s">
        <v>1317</v>
      </c>
      <c r="D179" s="581" t="s">
        <v>1367</v>
      </c>
      <c r="E179" s="134" t="s">
        <v>1465</v>
      </c>
      <c r="F179" s="134"/>
      <c r="G179" s="584" t="s">
        <v>1505</v>
      </c>
      <c r="H179" s="584" t="s">
        <v>4111</v>
      </c>
      <c r="I179" s="423" t="s">
        <v>1507</v>
      </c>
      <c r="J179" s="134"/>
      <c r="K179" s="581" t="s">
        <v>95</v>
      </c>
      <c r="L179" s="134"/>
      <c r="M179" s="581" t="s">
        <v>1323</v>
      </c>
      <c r="N179" s="134" t="s">
        <v>1324</v>
      </c>
      <c r="O179" s="134">
        <v>1920.0</v>
      </c>
      <c r="P179" s="134">
        <v>8.5447E9</v>
      </c>
      <c r="Q179" s="132">
        <v>2.4810056202318775</v>
      </c>
      <c r="R179" s="126" t="s">
        <v>10</v>
      </c>
      <c r="S179" s="49"/>
      <c r="T179" s="224">
        <v>8.270018734106259</v>
      </c>
      <c r="U179" s="224">
        <v>4.962011240463755</v>
      </c>
      <c r="V179" s="224">
        <v>4.135009367053129</v>
      </c>
      <c r="W179" s="224">
        <v>3.3080074936425037</v>
      </c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</row>
    <row r="180" ht="13.5" customHeight="1">
      <c r="A180" s="423" t="s">
        <v>84</v>
      </c>
      <c r="B180" s="423" t="s">
        <v>1266</v>
      </c>
      <c r="C180" s="423" t="s">
        <v>1317</v>
      </c>
      <c r="D180" s="581" t="s">
        <v>1367</v>
      </c>
      <c r="E180" s="134" t="s">
        <v>1465</v>
      </c>
      <c r="F180" s="134"/>
      <c r="G180" s="584" t="s">
        <v>1508</v>
      </c>
      <c r="H180" s="584" t="s">
        <v>4112</v>
      </c>
      <c r="I180" s="423" t="s">
        <v>1510</v>
      </c>
      <c r="J180" s="134"/>
      <c r="K180" s="581" t="s">
        <v>95</v>
      </c>
      <c r="L180" s="134"/>
      <c r="M180" s="581" t="s">
        <v>1323</v>
      </c>
      <c r="N180" s="134" t="s">
        <v>1324</v>
      </c>
      <c r="O180" s="134">
        <v>1920.0</v>
      </c>
      <c r="P180" s="134">
        <v>8.5447E9</v>
      </c>
      <c r="Q180" s="132">
        <v>2.9891824183517315</v>
      </c>
      <c r="R180" s="126" t="s">
        <v>10</v>
      </c>
      <c r="S180" s="49"/>
      <c r="T180" s="224">
        <v>9.963941394505772</v>
      </c>
      <c r="U180" s="224">
        <v>5.978364836703463</v>
      </c>
      <c r="V180" s="224">
        <v>4.981970697252886</v>
      </c>
      <c r="W180" s="224">
        <v>3.9855765578023092</v>
      </c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</row>
    <row r="181" ht="13.5" customHeight="1">
      <c r="A181" s="423" t="s">
        <v>84</v>
      </c>
      <c r="B181" s="423" t="s">
        <v>1266</v>
      </c>
      <c r="C181" s="423" t="s">
        <v>1317</v>
      </c>
      <c r="D181" s="581" t="s">
        <v>1367</v>
      </c>
      <c r="E181" s="134" t="s">
        <v>1465</v>
      </c>
      <c r="F181" s="134"/>
      <c r="G181" s="584" t="s">
        <v>1511</v>
      </c>
      <c r="H181" s="584" t="s">
        <v>4113</v>
      </c>
      <c r="I181" s="423" t="s">
        <v>1513</v>
      </c>
      <c r="J181" s="134"/>
      <c r="K181" s="581" t="s">
        <v>95</v>
      </c>
      <c r="L181" s="134"/>
      <c r="M181" s="581" t="s">
        <v>1323</v>
      </c>
      <c r="N181" s="134" t="s">
        <v>1324</v>
      </c>
      <c r="O181" s="134">
        <v>1440.0</v>
      </c>
      <c r="P181" s="134">
        <v>8.5447E9</v>
      </c>
      <c r="Q181" s="132">
        <v>4.029271382611201</v>
      </c>
      <c r="R181" s="126" t="s">
        <v>10</v>
      </c>
      <c r="S181" s="49"/>
      <c r="T181" s="224">
        <v>13.430904608704004</v>
      </c>
      <c r="U181" s="224">
        <v>8.058542765222402</v>
      </c>
      <c r="V181" s="224">
        <v>6.715452304352002</v>
      </c>
      <c r="W181" s="224">
        <v>5.3723618434816025</v>
      </c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</row>
    <row r="182" ht="13.5" customHeight="1">
      <c r="A182" s="423" t="s">
        <v>84</v>
      </c>
      <c r="B182" s="423" t="s">
        <v>1266</v>
      </c>
      <c r="C182" s="423" t="s">
        <v>1317</v>
      </c>
      <c r="D182" s="581" t="s">
        <v>1367</v>
      </c>
      <c r="E182" s="134" t="s">
        <v>1465</v>
      </c>
      <c r="F182" s="134"/>
      <c r="G182" s="584" t="s">
        <v>1514</v>
      </c>
      <c r="H182" s="584" t="s">
        <v>778</v>
      </c>
      <c r="I182" s="423" t="s">
        <v>1516</v>
      </c>
      <c r="J182" s="134"/>
      <c r="K182" s="581" t="s">
        <v>95</v>
      </c>
      <c r="L182" s="134"/>
      <c r="M182" s="581" t="s">
        <v>1323</v>
      </c>
      <c r="N182" s="134" t="s">
        <v>1324</v>
      </c>
      <c r="O182" s="134">
        <v>720.0</v>
      </c>
      <c r="P182" s="134">
        <v>8.5447E9</v>
      </c>
      <c r="Q182" s="132">
        <v>6.95240528238908</v>
      </c>
      <c r="R182" s="126" t="s">
        <v>10</v>
      </c>
      <c r="S182" s="49"/>
      <c r="T182" s="224">
        <v>23.174684274630266</v>
      </c>
      <c r="U182" s="224">
        <v>13.90481056477816</v>
      </c>
      <c r="V182" s="224">
        <v>11.587342137315133</v>
      </c>
      <c r="W182" s="224">
        <v>9.269873709852106</v>
      </c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</row>
    <row r="183" ht="13.5" customHeight="1">
      <c r="A183" s="423" t="s">
        <v>84</v>
      </c>
      <c r="B183" s="423" t="s">
        <v>1266</v>
      </c>
      <c r="C183" s="423" t="s">
        <v>1317</v>
      </c>
      <c r="D183" s="581" t="s">
        <v>1367</v>
      </c>
      <c r="E183" s="134" t="s">
        <v>1465</v>
      </c>
      <c r="F183" s="134"/>
      <c r="G183" s="584" t="s">
        <v>1517</v>
      </c>
      <c r="H183" s="584" t="s">
        <v>778</v>
      </c>
      <c r="I183" s="423" t="s">
        <v>1519</v>
      </c>
      <c r="J183" s="134"/>
      <c r="K183" s="581" t="s">
        <v>95</v>
      </c>
      <c r="L183" s="134"/>
      <c r="M183" s="581" t="s">
        <v>1323</v>
      </c>
      <c r="N183" s="134" t="s">
        <v>1324</v>
      </c>
      <c r="O183" s="134">
        <v>480.0</v>
      </c>
      <c r="P183" s="134">
        <v>8.5447E9</v>
      </c>
      <c r="Q183" s="132">
        <v>9.667240565269774</v>
      </c>
      <c r="R183" s="126" t="s">
        <v>10</v>
      </c>
      <c r="S183" s="49"/>
      <c r="T183" s="224">
        <v>32.224135217565916</v>
      </c>
      <c r="U183" s="224">
        <v>19.334481130539547</v>
      </c>
      <c r="V183" s="224">
        <v>16.112067608782958</v>
      </c>
      <c r="W183" s="224">
        <v>12.889654087026367</v>
      </c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</row>
    <row r="184" ht="13.5" customHeight="1">
      <c r="A184" s="423" t="s">
        <v>84</v>
      </c>
      <c r="B184" s="423" t="s">
        <v>1266</v>
      </c>
      <c r="C184" s="423" t="s">
        <v>1317</v>
      </c>
      <c r="D184" s="581" t="s">
        <v>1318</v>
      </c>
      <c r="E184" s="134" t="s">
        <v>1520</v>
      </c>
      <c r="F184" s="134"/>
      <c r="G184" s="584" t="s">
        <v>1521</v>
      </c>
      <c r="H184" s="584" t="s">
        <v>4114</v>
      </c>
      <c r="I184" s="423" t="s">
        <v>1523</v>
      </c>
      <c r="J184" s="134"/>
      <c r="K184" s="581" t="s">
        <v>95</v>
      </c>
      <c r="L184" s="134"/>
      <c r="M184" s="581" t="s">
        <v>1323</v>
      </c>
      <c r="N184" s="134" t="s">
        <v>1324</v>
      </c>
      <c r="O184" s="134">
        <v>2160.0</v>
      </c>
      <c r="P184" s="134">
        <v>8.5447E9</v>
      </c>
      <c r="Q184" s="132">
        <v>2.7328685427694794</v>
      </c>
      <c r="R184" s="126" t="s">
        <v>10</v>
      </c>
      <c r="S184" s="49"/>
      <c r="T184" s="224">
        <v>9.109561809231598</v>
      </c>
      <c r="U184" s="224">
        <v>5.465737085538959</v>
      </c>
      <c r="V184" s="224">
        <v>4.554780904615799</v>
      </c>
      <c r="W184" s="224">
        <v>3.6438247236926395</v>
      </c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</row>
    <row r="185" ht="13.5" customHeight="1">
      <c r="A185" s="423" t="s">
        <v>84</v>
      </c>
      <c r="B185" s="423" t="s">
        <v>1266</v>
      </c>
      <c r="C185" s="423" t="s">
        <v>1317</v>
      </c>
      <c r="D185" s="581" t="s">
        <v>1318</v>
      </c>
      <c r="E185" s="134" t="s">
        <v>1520</v>
      </c>
      <c r="F185" s="134"/>
      <c r="G185" s="584" t="s">
        <v>1524</v>
      </c>
      <c r="H185" s="584" t="s">
        <v>4115</v>
      </c>
      <c r="I185" s="423" t="s">
        <v>1526</v>
      </c>
      <c r="J185" s="134"/>
      <c r="K185" s="581" t="s">
        <v>95</v>
      </c>
      <c r="L185" s="134"/>
      <c r="M185" s="581" t="s">
        <v>1323</v>
      </c>
      <c r="N185" s="134" t="s">
        <v>1324</v>
      </c>
      <c r="O185" s="134">
        <v>1920.0</v>
      </c>
      <c r="P185" s="134">
        <v>8.5447E9</v>
      </c>
      <c r="Q185" s="132">
        <v>2.8401411666063323</v>
      </c>
      <c r="R185" s="126" t="s">
        <v>10</v>
      </c>
      <c r="S185" s="49"/>
      <c r="T185" s="224">
        <v>9.467137222021108</v>
      </c>
      <c r="U185" s="224">
        <v>5.680282333212665</v>
      </c>
      <c r="V185" s="224">
        <v>4.733568611010554</v>
      </c>
      <c r="W185" s="224">
        <v>3.7868548888084437</v>
      </c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</row>
    <row r="186" ht="13.5" customHeight="1">
      <c r="A186" s="423" t="s">
        <v>84</v>
      </c>
      <c r="B186" s="423" t="s">
        <v>1266</v>
      </c>
      <c r="C186" s="423" t="s">
        <v>1317</v>
      </c>
      <c r="D186" s="581" t="s">
        <v>1318</v>
      </c>
      <c r="E186" s="134" t="s">
        <v>1520</v>
      </c>
      <c r="F186" s="134"/>
      <c r="G186" s="584" t="s">
        <v>1527</v>
      </c>
      <c r="H186" s="584" t="s">
        <v>4116</v>
      </c>
      <c r="I186" s="423" t="s">
        <v>1529</v>
      </c>
      <c r="J186" s="134"/>
      <c r="K186" s="581" t="s">
        <v>95</v>
      </c>
      <c r="L186" s="134"/>
      <c r="M186" s="581" t="s">
        <v>1323</v>
      </c>
      <c r="N186" s="134" t="s">
        <v>1324</v>
      </c>
      <c r="O186" s="134">
        <v>1920.0</v>
      </c>
      <c r="P186" s="134">
        <v>8.5447E9</v>
      </c>
      <c r="Q186" s="132">
        <v>2.9389034418593076</v>
      </c>
      <c r="R186" s="126" t="s">
        <v>10</v>
      </c>
      <c r="S186" s="49"/>
      <c r="T186" s="224">
        <v>9.796344806197693</v>
      </c>
      <c r="U186" s="224">
        <v>5.877806883718615</v>
      </c>
      <c r="V186" s="224">
        <v>4.8981724030988465</v>
      </c>
      <c r="W186" s="224">
        <v>3.9185379224790773</v>
      </c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</row>
    <row r="187" ht="13.5" customHeight="1">
      <c r="A187" s="423" t="s">
        <v>84</v>
      </c>
      <c r="B187" s="423" t="s">
        <v>1266</v>
      </c>
      <c r="C187" s="423" t="s">
        <v>1317</v>
      </c>
      <c r="D187" s="581" t="s">
        <v>1318</v>
      </c>
      <c r="E187" s="134" t="s">
        <v>1520</v>
      </c>
      <c r="F187" s="134"/>
      <c r="G187" s="584" t="s">
        <v>1530</v>
      </c>
      <c r="H187" s="584" t="s">
        <v>4117</v>
      </c>
      <c r="I187" s="423" t="s">
        <v>1532</v>
      </c>
      <c r="J187" s="134"/>
      <c r="K187" s="581" t="s">
        <v>95</v>
      </c>
      <c r="L187" s="134"/>
      <c r="M187" s="581" t="s">
        <v>1323</v>
      </c>
      <c r="N187" s="134" t="s">
        <v>1324</v>
      </c>
      <c r="O187" s="134">
        <v>1440.0</v>
      </c>
      <c r="P187" s="134">
        <v>8.5447E9</v>
      </c>
      <c r="Q187" s="132">
        <v>3.151184971725659</v>
      </c>
      <c r="R187" s="126" t="s">
        <v>10</v>
      </c>
      <c r="S187" s="49"/>
      <c r="T187" s="224">
        <v>10.503949905752197</v>
      </c>
      <c r="U187" s="224">
        <v>6.3023699434513185</v>
      </c>
      <c r="V187" s="224">
        <v>5.251974952876099</v>
      </c>
      <c r="W187" s="224">
        <v>4.201579962300879</v>
      </c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</row>
    <row r="188" ht="13.5" customHeight="1">
      <c r="A188" s="423" t="s">
        <v>84</v>
      </c>
      <c r="B188" s="423" t="s">
        <v>1266</v>
      </c>
      <c r="C188" s="423" t="s">
        <v>1317</v>
      </c>
      <c r="D188" s="581" t="s">
        <v>1318</v>
      </c>
      <c r="E188" s="134" t="s">
        <v>1520</v>
      </c>
      <c r="F188" s="134"/>
      <c r="G188" s="584" t="s">
        <v>1533</v>
      </c>
      <c r="H188" s="584" t="s">
        <v>778</v>
      </c>
      <c r="I188" s="423" t="s">
        <v>1535</v>
      </c>
      <c r="J188" s="134"/>
      <c r="K188" s="581" t="s">
        <v>95</v>
      </c>
      <c r="L188" s="134"/>
      <c r="M188" s="581" t="s">
        <v>1323</v>
      </c>
      <c r="N188" s="134" t="s">
        <v>1324</v>
      </c>
      <c r="O188" s="134">
        <v>720.0</v>
      </c>
      <c r="P188" s="134">
        <v>8.5447E9</v>
      </c>
      <c r="Q188" s="132">
        <v>3.655540966671584</v>
      </c>
      <c r="R188" s="126" t="s">
        <v>10</v>
      </c>
      <c r="S188" s="49"/>
      <c r="T188" s="224">
        <v>12.185136555571948</v>
      </c>
      <c r="U188" s="224">
        <v>7.311081933343168</v>
      </c>
      <c r="V188" s="224">
        <v>6.092568277785974</v>
      </c>
      <c r="W188" s="224">
        <v>4.87405462222878</v>
      </c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</row>
    <row r="189" ht="13.5" customHeight="1">
      <c r="A189" s="423" t="s">
        <v>84</v>
      </c>
      <c r="B189" s="423" t="s">
        <v>1266</v>
      </c>
      <c r="C189" s="423" t="s">
        <v>1317</v>
      </c>
      <c r="D189" s="581" t="s">
        <v>1318</v>
      </c>
      <c r="E189" s="134" t="s">
        <v>1520</v>
      </c>
      <c r="F189" s="134"/>
      <c r="G189" s="584" t="s">
        <v>1536</v>
      </c>
      <c r="H189" s="584" t="s">
        <v>778</v>
      </c>
      <c r="I189" s="423" t="s">
        <v>1538</v>
      </c>
      <c r="J189" s="134"/>
      <c r="K189" s="581" t="s">
        <v>95</v>
      </c>
      <c r="L189" s="134"/>
      <c r="M189" s="581" t="s">
        <v>1323</v>
      </c>
      <c r="N189" s="134" t="s">
        <v>1324</v>
      </c>
      <c r="O189" s="134">
        <v>480.0</v>
      </c>
      <c r="P189" s="134">
        <v>8.5447E9</v>
      </c>
      <c r="Q189" s="132">
        <v>4.269433303261717</v>
      </c>
      <c r="R189" s="126" t="s">
        <v>10</v>
      </c>
      <c r="S189" s="49"/>
      <c r="T189" s="224">
        <v>14.231444344205725</v>
      </c>
      <c r="U189" s="224">
        <v>8.538866606523435</v>
      </c>
      <c r="V189" s="224">
        <v>7.1157221721028625</v>
      </c>
      <c r="W189" s="224">
        <v>5.69257773768229</v>
      </c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</row>
    <row r="190" ht="13.5" customHeight="1">
      <c r="A190" s="423" t="s">
        <v>84</v>
      </c>
      <c r="B190" s="423" t="s">
        <v>1266</v>
      </c>
      <c r="C190" s="423" t="s">
        <v>1317</v>
      </c>
      <c r="D190" s="581" t="s">
        <v>1340</v>
      </c>
      <c r="E190" s="134" t="s">
        <v>1520</v>
      </c>
      <c r="F190" s="134"/>
      <c r="G190" s="584" t="s">
        <v>1539</v>
      </c>
      <c r="H190" s="584" t="s">
        <v>4118</v>
      </c>
      <c r="I190" s="423" t="s">
        <v>1541</v>
      </c>
      <c r="J190" s="134"/>
      <c r="K190" s="581" t="s">
        <v>95</v>
      </c>
      <c r="L190" s="134"/>
      <c r="M190" s="581" t="s">
        <v>1323</v>
      </c>
      <c r="N190" s="134" t="s">
        <v>1324</v>
      </c>
      <c r="O190" s="134">
        <v>2160.0</v>
      </c>
      <c r="P190" s="134">
        <v>8.5447E9</v>
      </c>
      <c r="Q190" s="132">
        <v>2.7328685427694794</v>
      </c>
      <c r="R190" s="126" t="s">
        <v>10</v>
      </c>
      <c r="S190" s="49"/>
      <c r="T190" s="224">
        <v>9.109561809231598</v>
      </c>
      <c r="U190" s="224">
        <v>5.465737085538959</v>
      </c>
      <c r="V190" s="224">
        <v>4.554780904615799</v>
      </c>
      <c r="W190" s="224">
        <v>3.6438247236926395</v>
      </c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</row>
    <row r="191" ht="13.5" customHeight="1">
      <c r="A191" s="423" t="s">
        <v>84</v>
      </c>
      <c r="B191" s="423" t="s">
        <v>1266</v>
      </c>
      <c r="C191" s="423" t="s">
        <v>1317</v>
      </c>
      <c r="D191" s="581" t="s">
        <v>1340</v>
      </c>
      <c r="E191" s="134" t="s">
        <v>1520</v>
      </c>
      <c r="F191" s="134"/>
      <c r="G191" s="584" t="s">
        <v>1543</v>
      </c>
      <c r="H191" s="584" t="s">
        <v>4119</v>
      </c>
      <c r="I191" s="423" t="s">
        <v>1545</v>
      </c>
      <c r="J191" s="134"/>
      <c r="K191" s="581" t="s">
        <v>95</v>
      </c>
      <c r="L191" s="134"/>
      <c r="M191" s="581" t="s">
        <v>1323</v>
      </c>
      <c r="N191" s="134" t="s">
        <v>1324</v>
      </c>
      <c r="O191" s="134">
        <v>1920.0</v>
      </c>
      <c r="P191" s="134">
        <v>8.5447E9</v>
      </c>
      <c r="Q191" s="132">
        <v>2.8401411666063323</v>
      </c>
      <c r="R191" s="126" t="s">
        <v>10</v>
      </c>
      <c r="S191" s="49"/>
      <c r="T191" s="224">
        <v>9.467137222021108</v>
      </c>
      <c r="U191" s="224">
        <v>5.680282333212665</v>
      </c>
      <c r="V191" s="224">
        <v>4.733568611010554</v>
      </c>
      <c r="W191" s="224">
        <v>3.7868548888084437</v>
      </c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</row>
    <row r="192" ht="13.5" customHeight="1">
      <c r="A192" s="423" t="s">
        <v>84</v>
      </c>
      <c r="B192" s="423" t="s">
        <v>1266</v>
      </c>
      <c r="C192" s="423" t="s">
        <v>1317</v>
      </c>
      <c r="D192" s="581" t="s">
        <v>1340</v>
      </c>
      <c r="E192" s="134" t="s">
        <v>1520</v>
      </c>
      <c r="F192" s="134"/>
      <c r="G192" s="584" t="s">
        <v>1546</v>
      </c>
      <c r="H192" s="584" t="s">
        <v>4120</v>
      </c>
      <c r="I192" s="423" t="s">
        <v>1548</v>
      </c>
      <c r="J192" s="134"/>
      <c r="K192" s="581" t="s">
        <v>95</v>
      </c>
      <c r="L192" s="134"/>
      <c r="M192" s="581" t="s">
        <v>1323</v>
      </c>
      <c r="N192" s="134" t="s">
        <v>1324</v>
      </c>
      <c r="O192" s="134">
        <v>1920.0</v>
      </c>
      <c r="P192" s="134">
        <v>8.5447E9</v>
      </c>
      <c r="Q192" s="132">
        <v>2.9389034418593076</v>
      </c>
      <c r="R192" s="126" t="s">
        <v>10</v>
      </c>
      <c r="S192" s="49"/>
      <c r="T192" s="224">
        <v>9.796344806197693</v>
      </c>
      <c r="U192" s="224">
        <v>5.877806883718615</v>
      </c>
      <c r="V192" s="224">
        <v>4.8981724030988465</v>
      </c>
      <c r="W192" s="224">
        <v>3.9185379224790773</v>
      </c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</row>
    <row r="193" ht="13.5" customHeight="1">
      <c r="A193" s="423" t="s">
        <v>84</v>
      </c>
      <c r="B193" s="423" t="s">
        <v>1266</v>
      </c>
      <c r="C193" s="423" t="s">
        <v>1317</v>
      </c>
      <c r="D193" s="581" t="s">
        <v>1340</v>
      </c>
      <c r="E193" s="134" t="s">
        <v>1520</v>
      </c>
      <c r="F193" s="134"/>
      <c r="G193" s="584" t="s">
        <v>1549</v>
      </c>
      <c r="H193" s="584" t="s">
        <v>4121</v>
      </c>
      <c r="I193" s="423" t="s">
        <v>1551</v>
      </c>
      <c r="J193" s="134"/>
      <c r="K193" s="581" t="s">
        <v>95</v>
      </c>
      <c r="L193" s="134"/>
      <c r="M193" s="581" t="s">
        <v>1323</v>
      </c>
      <c r="N193" s="134" t="s">
        <v>1324</v>
      </c>
      <c r="O193" s="134">
        <v>1440.0</v>
      </c>
      <c r="P193" s="134">
        <v>8.5447E9</v>
      </c>
      <c r="Q193" s="132">
        <v>3.151184971725659</v>
      </c>
      <c r="R193" s="126" t="s">
        <v>10</v>
      </c>
      <c r="S193" s="49"/>
      <c r="T193" s="224">
        <v>10.503949905752197</v>
      </c>
      <c r="U193" s="224">
        <v>6.3023699434513185</v>
      </c>
      <c r="V193" s="224">
        <v>5.251974952876099</v>
      </c>
      <c r="W193" s="224">
        <v>4.201579962300879</v>
      </c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</row>
    <row r="194" ht="13.5" customHeight="1">
      <c r="A194" s="423" t="s">
        <v>84</v>
      </c>
      <c r="B194" s="423" t="s">
        <v>1266</v>
      </c>
      <c r="C194" s="423" t="s">
        <v>1317</v>
      </c>
      <c r="D194" s="581" t="s">
        <v>1340</v>
      </c>
      <c r="E194" s="134" t="s">
        <v>1520</v>
      </c>
      <c r="F194" s="134"/>
      <c r="G194" s="584" t="s">
        <v>1552</v>
      </c>
      <c r="H194" s="584" t="s">
        <v>778</v>
      </c>
      <c r="I194" s="423" t="s">
        <v>1555</v>
      </c>
      <c r="J194" s="134"/>
      <c r="K194" s="581" t="s">
        <v>95</v>
      </c>
      <c r="L194" s="134"/>
      <c r="M194" s="581" t="s">
        <v>1323</v>
      </c>
      <c r="N194" s="134" t="s">
        <v>1324</v>
      </c>
      <c r="O194" s="134">
        <v>720.0</v>
      </c>
      <c r="P194" s="134">
        <v>8.5447E9</v>
      </c>
      <c r="Q194" s="132">
        <v>3.655540966671584</v>
      </c>
      <c r="R194" s="126" t="s">
        <v>10</v>
      </c>
      <c r="S194" s="49"/>
      <c r="T194" s="224">
        <v>12.185136555571948</v>
      </c>
      <c r="U194" s="224">
        <v>7.311081933343168</v>
      </c>
      <c r="V194" s="224">
        <v>6.092568277785974</v>
      </c>
      <c r="W194" s="224">
        <v>4.87405462222878</v>
      </c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</row>
    <row r="195" ht="13.5" customHeight="1">
      <c r="A195" s="423" t="s">
        <v>84</v>
      </c>
      <c r="B195" s="423" t="s">
        <v>1266</v>
      </c>
      <c r="C195" s="423" t="s">
        <v>1317</v>
      </c>
      <c r="D195" s="581" t="s">
        <v>1340</v>
      </c>
      <c r="E195" s="134" t="s">
        <v>1520</v>
      </c>
      <c r="F195" s="134"/>
      <c r="G195" s="584" t="s">
        <v>1556</v>
      </c>
      <c r="H195" s="584" t="s">
        <v>778</v>
      </c>
      <c r="I195" s="423" t="s">
        <v>1559</v>
      </c>
      <c r="J195" s="134"/>
      <c r="K195" s="581" t="s">
        <v>95</v>
      </c>
      <c r="L195" s="134"/>
      <c r="M195" s="581" t="s">
        <v>1323</v>
      </c>
      <c r="N195" s="134" t="s">
        <v>1324</v>
      </c>
      <c r="O195" s="134">
        <v>480.0</v>
      </c>
      <c r="P195" s="134">
        <v>8.5447E9</v>
      </c>
      <c r="Q195" s="132">
        <v>4.269433303261717</v>
      </c>
      <c r="R195" s="126" t="s">
        <v>10</v>
      </c>
      <c r="S195" s="49"/>
      <c r="T195" s="224">
        <v>14.231444344205725</v>
      </c>
      <c r="U195" s="224">
        <v>8.538866606523435</v>
      </c>
      <c r="V195" s="224">
        <v>7.1157221721028625</v>
      </c>
      <c r="W195" s="224">
        <v>5.69257773768229</v>
      </c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</row>
    <row r="196" ht="13.5" customHeight="1">
      <c r="A196" s="423" t="s">
        <v>84</v>
      </c>
      <c r="B196" s="423" t="s">
        <v>1266</v>
      </c>
      <c r="C196" s="423" t="s">
        <v>1317</v>
      </c>
      <c r="D196" s="581" t="s">
        <v>1367</v>
      </c>
      <c r="E196" s="134" t="s">
        <v>1520</v>
      </c>
      <c r="F196" s="134"/>
      <c r="G196" s="584" t="s">
        <v>1564</v>
      </c>
      <c r="H196" s="584" t="s">
        <v>4122</v>
      </c>
      <c r="I196" s="423" t="s">
        <v>1566</v>
      </c>
      <c r="J196" s="134"/>
      <c r="K196" s="581" t="s">
        <v>95</v>
      </c>
      <c r="L196" s="134"/>
      <c r="M196" s="581" t="s">
        <v>1323</v>
      </c>
      <c r="N196" s="134" t="s">
        <v>1324</v>
      </c>
      <c r="O196" s="134">
        <v>2160.0</v>
      </c>
      <c r="P196" s="134">
        <v>8.5447E9</v>
      </c>
      <c r="Q196" s="132">
        <v>2.7328685427694794</v>
      </c>
      <c r="R196" s="126" t="s">
        <v>10</v>
      </c>
      <c r="S196" s="49"/>
      <c r="T196" s="224">
        <v>9.109561809231598</v>
      </c>
      <c r="U196" s="224">
        <v>5.465737085538959</v>
      </c>
      <c r="V196" s="224">
        <v>4.554780904615799</v>
      </c>
      <c r="W196" s="224">
        <v>3.6438247236926395</v>
      </c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</row>
    <row r="197" ht="13.5" customHeight="1">
      <c r="A197" s="423" t="s">
        <v>84</v>
      </c>
      <c r="B197" s="423" t="s">
        <v>1266</v>
      </c>
      <c r="C197" s="423" t="s">
        <v>1317</v>
      </c>
      <c r="D197" s="581" t="s">
        <v>1367</v>
      </c>
      <c r="E197" s="134" t="s">
        <v>1520</v>
      </c>
      <c r="F197" s="134"/>
      <c r="G197" s="584" t="s">
        <v>1568</v>
      </c>
      <c r="H197" s="584" t="s">
        <v>4123</v>
      </c>
      <c r="I197" s="423" t="s">
        <v>1570</v>
      </c>
      <c r="J197" s="134"/>
      <c r="K197" s="581" t="s">
        <v>95</v>
      </c>
      <c r="L197" s="134"/>
      <c r="M197" s="581" t="s">
        <v>1323</v>
      </c>
      <c r="N197" s="134" t="s">
        <v>1324</v>
      </c>
      <c r="O197" s="134">
        <v>1920.0</v>
      </c>
      <c r="P197" s="134">
        <v>8.5447E9</v>
      </c>
      <c r="Q197" s="132">
        <v>2.8401411666063323</v>
      </c>
      <c r="R197" s="126" t="s">
        <v>10</v>
      </c>
      <c r="S197" s="49"/>
      <c r="T197" s="224">
        <v>9.467137222021108</v>
      </c>
      <c r="U197" s="224">
        <v>5.680282333212665</v>
      </c>
      <c r="V197" s="224">
        <v>4.733568611010554</v>
      </c>
      <c r="W197" s="224">
        <v>3.7868548888084437</v>
      </c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</row>
    <row r="198" ht="13.5" customHeight="1">
      <c r="A198" s="423" t="s">
        <v>84</v>
      </c>
      <c r="B198" s="423" t="s">
        <v>1266</v>
      </c>
      <c r="C198" s="423" t="s">
        <v>1317</v>
      </c>
      <c r="D198" s="581" t="s">
        <v>1367</v>
      </c>
      <c r="E198" s="134" t="s">
        <v>1520</v>
      </c>
      <c r="F198" s="134"/>
      <c r="G198" s="584" t="s">
        <v>1571</v>
      </c>
      <c r="H198" s="584" t="s">
        <v>4124</v>
      </c>
      <c r="I198" s="423" t="s">
        <v>1573</v>
      </c>
      <c r="J198" s="134"/>
      <c r="K198" s="581" t="s">
        <v>95</v>
      </c>
      <c r="L198" s="134"/>
      <c r="M198" s="581" t="s">
        <v>1323</v>
      </c>
      <c r="N198" s="134" t="s">
        <v>1324</v>
      </c>
      <c r="O198" s="134">
        <v>1920.0</v>
      </c>
      <c r="P198" s="134">
        <v>8.5447E9</v>
      </c>
      <c r="Q198" s="132">
        <v>2.9389034418593076</v>
      </c>
      <c r="R198" s="126" t="s">
        <v>10</v>
      </c>
      <c r="S198" s="49"/>
      <c r="T198" s="224">
        <v>9.796344806197693</v>
      </c>
      <c r="U198" s="224">
        <v>5.877806883718615</v>
      </c>
      <c r="V198" s="224">
        <v>4.8981724030988465</v>
      </c>
      <c r="W198" s="224">
        <v>3.9185379224790773</v>
      </c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</row>
    <row r="199" ht="13.5" customHeight="1">
      <c r="A199" s="423" t="s">
        <v>84</v>
      </c>
      <c r="B199" s="423" t="s">
        <v>1266</v>
      </c>
      <c r="C199" s="423" t="s">
        <v>1317</v>
      </c>
      <c r="D199" s="581" t="s">
        <v>1367</v>
      </c>
      <c r="E199" s="134" t="s">
        <v>1520</v>
      </c>
      <c r="F199" s="134"/>
      <c r="G199" s="584" t="s">
        <v>1575</v>
      </c>
      <c r="H199" s="584" t="s">
        <v>4125</v>
      </c>
      <c r="I199" s="423" t="s">
        <v>1577</v>
      </c>
      <c r="J199" s="134"/>
      <c r="K199" s="581" t="s">
        <v>95</v>
      </c>
      <c r="L199" s="134"/>
      <c r="M199" s="581" t="s">
        <v>1323</v>
      </c>
      <c r="N199" s="134" t="s">
        <v>1324</v>
      </c>
      <c r="O199" s="134">
        <v>1440.0</v>
      </c>
      <c r="P199" s="134">
        <v>8.5447E9</v>
      </c>
      <c r="Q199" s="132">
        <v>3.151184971725659</v>
      </c>
      <c r="R199" s="126" t="s">
        <v>10</v>
      </c>
      <c r="S199" s="49"/>
      <c r="T199" s="224">
        <v>10.503949905752197</v>
      </c>
      <c r="U199" s="224">
        <v>6.3023699434513185</v>
      </c>
      <c r="V199" s="224">
        <v>5.251974952876099</v>
      </c>
      <c r="W199" s="224">
        <v>4.201579962300879</v>
      </c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</row>
    <row r="200" ht="13.5" customHeight="1">
      <c r="A200" s="423" t="s">
        <v>84</v>
      </c>
      <c r="B200" s="423" t="s">
        <v>1266</v>
      </c>
      <c r="C200" s="423" t="s">
        <v>1317</v>
      </c>
      <c r="D200" s="581" t="s">
        <v>1367</v>
      </c>
      <c r="E200" s="134" t="s">
        <v>1520</v>
      </c>
      <c r="F200" s="134"/>
      <c r="G200" s="584" t="s">
        <v>1579</v>
      </c>
      <c r="H200" s="584" t="s">
        <v>778</v>
      </c>
      <c r="I200" s="423" t="s">
        <v>1582</v>
      </c>
      <c r="J200" s="134"/>
      <c r="K200" s="581" t="s">
        <v>95</v>
      </c>
      <c r="L200" s="134"/>
      <c r="M200" s="581" t="s">
        <v>1323</v>
      </c>
      <c r="N200" s="134" t="s">
        <v>1324</v>
      </c>
      <c r="O200" s="134">
        <v>720.0</v>
      </c>
      <c r="P200" s="134">
        <v>8.5447E9</v>
      </c>
      <c r="Q200" s="132">
        <v>3.655540966671584</v>
      </c>
      <c r="R200" s="126" t="s">
        <v>10</v>
      </c>
      <c r="S200" s="49"/>
      <c r="T200" s="224">
        <v>12.185136555571948</v>
      </c>
      <c r="U200" s="224">
        <v>7.311081933343168</v>
      </c>
      <c r="V200" s="224">
        <v>6.092568277785974</v>
      </c>
      <c r="W200" s="224">
        <v>4.87405462222878</v>
      </c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</row>
    <row r="201" ht="13.5" customHeight="1">
      <c r="A201" s="423" t="s">
        <v>84</v>
      </c>
      <c r="B201" s="423" t="s">
        <v>1266</v>
      </c>
      <c r="C201" s="423" t="s">
        <v>1317</v>
      </c>
      <c r="D201" s="581" t="s">
        <v>1367</v>
      </c>
      <c r="E201" s="134" t="s">
        <v>1520</v>
      </c>
      <c r="F201" s="134"/>
      <c r="G201" s="584" t="s">
        <v>1583</v>
      </c>
      <c r="H201" s="584" t="s">
        <v>778</v>
      </c>
      <c r="I201" s="423" t="s">
        <v>1586</v>
      </c>
      <c r="J201" s="134"/>
      <c r="K201" s="581" t="s">
        <v>95</v>
      </c>
      <c r="L201" s="134"/>
      <c r="M201" s="581" t="s">
        <v>1323</v>
      </c>
      <c r="N201" s="134" t="s">
        <v>1324</v>
      </c>
      <c r="O201" s="134">
        <v>480.0</v>
      </c>
      <c r="P201" s="134">
        <v>8.5447E9</v>
      </c>
      <c r="Q201" s="132">
        <v>4.269433303261717</v>
      </c>
      <c r="R201" s="126" t="s">
        <v>10</v>
      </c>
      <c r="S201" s="49"/>
      <c r="T201" s="224">
        <v>14.231444344205725</v>
      </c>
      <c r="U201" s="224">
        <v>8.538866606523435</v>
      </c>
      <c r="V201" s="224">
        <v>7.1157221721028625</v>
      </c>
      <c r="W201" s="224">
        <v>5.69257773768229</v>
      </c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</row>
    <row r="202" ht="13.5" customHeight="1">
      <c r="A202" s="423" t="s">
        <v>84</v>
      </c>
      <c r="B202" s="423" t="s">
        <v>1266</v>
      </c>
      <c r="C202" s="423" t="s">
        <v>1317</v>
      </c>
      <c r="D202" s="581" t="s">
        <v>1367</v>
      </c>
      <c r="E202" s="134" t="s">
        <v>1520</v>
      </c>
      <c r="F202" s="134"/>
      <c r="G202" s="584" t="s">
        <v>1564</v>
      </c>
      <c r="H202" s="584" t="s">
        <v>4122</v>
      </c>
      <c r="I202" s="423" t="s">
        <v>1566</v>
      </c>
      <c r="J202" s="134"/>
      <c r="K202" s="581" t="s">
        <v>95</v>
      </c>
      <c r="L202" s="134"/>
      <c r="M202" s="581" t="s">
        <v>1323</v>
      </c>
      <c r="N202" s="134" t="s">
        <v>1324</v>
      </c>
      <c r="O202" s="134">
        <v>2160.0</v>
      </c>
      <c r="P202" s="134">
        <v>8.5447E9</v>
      </c>
      <c r="Q202" s="132">
        <v>2.7328685427694794</v>
      </c>
      <c r="R202" s="126" t="s">
        <v>10</v>
      </c>
      <c r="S202" s="49"/>
      <c r="T202" s="224">
        <v>9.109561809231598</v>
      </c>
      <c r="U202" s="224">
        <v>5.465737085538959</v>
      </c>
      <c r="V202" s="224">
        <v>4.554780904615799</v>
      </c>
      <c r="W202" s="224">
        <v>3.6438247236926395</v>
      </c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</row>
    <row r="203" ht="13.5" customHeight="1">
      <c r="A203" s="423" t="s">
        <v>84</v>
      </c>
      <c r="B203" s="423" t="s">
        <v>1266</v>
      </c>
      <c r="C203" s="423" t="s">
        <v>1317</v>
      </c>
      <c r="D203" s="581" t="s">
        <v>1367</v>
      </c>
      <c r="E203" s="134" t="s">
        <v>1520</v>
      </c>
      <c r="F203" s="134"/>
      <c r="G203" s="584" t="s">
        <v>1568</v>
      </c>
      <c r="H203" s="584" t="s">
        <v>4123</v>
      </c>
      <c r="I203" s="423" t="s">
        <v>1570</v>
      </c>
      <c r="J203" s="134"/>
      <c r="K203" s="581" t="s">
        <v>95</v>
      </c>
      <c r="L203" s="134"/>
      <c r="M203" s="581" t="s">
        <v>1323</v>
      </c>
      <c r="N203" s="134" t="s">
        <v>1324</v>
      </c>
      <c r="O203" s="134">
        <v>1920.0</v>
      </c>
      <c r="P203" s="134">
        <v>8.5447E9</v>
      </c>
      <c r="Q203" s="132">
        <v>2.8401411666063323</v>
      </c>
      <c r="R203" s="126" t="s">
        <v>10</v>
      </c>
      <c r="S203" s="49"/>
      <c r="T203" s="224">
        <v>9.467137222021108</v>
      </c>
      <c r="U203" s="224">
        <v>5.680282333212665</v>
      </c>
      <c r="V203" s="224">
        <v>4.733568611010554</v>
      </c>
      <c r="W203" s="224">
        <v>3.7868548888084437</v>
      </c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</row>
    <row r="204" ht="13.5" customHeight="1">
      <c r="A204" s="423" t="s">
        <v>84</v>
      </c>
      <c r="B204" s="423" t="s">
        <v>1266</v>
      </c>
      <c r="C204" s="423" t="s">
        <v>1317</v>
      </c>
      <c r="D204" s="581" t="s">
        <v>1367</v>
      </c>
      <c r="E204" s="134" t="s">
        <v>1520</v>
      </c>
      <c r="F204" s="134"/>
      <c r="G204" s="584" t="s">
        <v>1571</v>
      </c>
      <c r="H204" s="584" t="s">
        <v>4124</v>
      </c>
      <c r="I204" s="423" t="s">
        <v>1573</v>
      </c>
      <c r="J204" s="134"/>
      <c r="K204" s="581" t="s">
        <v>95</v>
      </c>
      <c r="L204" s="134"/>
      <c r="M204" s="581" t="s">
        <v>1323</v>
      </c>
      <c r="N204" s="134" t="s">
        <v>1324</v>
      </c>
      <c r="O204" s="134">
        <v>1920.0</v>
      </c>
      <c r="P204" s="134">
        <v>8.5447E9</v>
      </c>
      <c r="Q204" s="132">
        <v>2.9389034418593076</v>
      </c>
      <c r="R204" s="126" t="s">
        <v>10</v>
      </c>
      <c r="S204" s="49"/>
      <c r="T204" s="224">
        <v>9.796344806197693</v>
      </c>
      <c r="U204" s="224">
        <v>5.877806883718615</v>
      </c>
      <c r="V204" s="224">
        <v>4.8981724030988465</v>
      </c>
      <c r="W204" s="224">
        <v>3.9185379224790773</v>
      </c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</row>
    <row r="205" ht="13.5" customHeight="1">
      <c r="A205" s="423" t="s">
        <v>84</v>
      </c>
      <c r="B205" s="423" t="s">
        <v>1266</v>
      </c>
      <c r="C205" s="423" t="s">
        <v>1317</v>
      </c>
      <c r="D205" s="581" t="s">
        <v>1367</v>
      </c>
      <c r="E205" s="134" t="s">
        <v>1520</v>
      </c>
      <c r="F205" s="134"/>
      <c r="G205" s="584" t="s">
        <v>1575</v>
      </c>
      <c r="H205" s="584" t="s">
        <v>4125</v>
      </c>
      <c r="I205" s="423" t="s">
        <v>1577</v>
      </c>
      <c r="J205" s="134"/>
      <c r="K205" s="581" t="s">
        <v>95</v>
      </c>
      <c r="L205" s="134"/>
      <c r="M205" s="581" t="s">
        <v>1323</v>
      </c>
      <c r="N205" s="134" t="s">
        <v>1324</v>
      </c>
      <c r="O205" s="134">
        <v>1440.0</v>
      </c>
      <c r="P205" s="134">
        <v>8.5447E9</v>
      </c>
      <c r="Q205" s="132">
        <v>3.151184971725659</v>
      </c>
      <c r="R205" s="126" t="s">
        <v>10</v>
      </c>
      <c r="S205" s="49"/>
      <c r="T205" s="224">
        <v>10.503949905752197</v>
      </c>
      <c r="U205" s="224">
        <v>6.3023699434513185</v>
      </c>
      <c r="V205" s="224">
        <v>5.251974952876099</v>
      </c>
      <c r="W205" s="224">
        <v>4.201579962300879</v>
      </c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</row>
    <row r="206" ht="13.5" customHeight="1">
      <c r="A206" s="423" t="s">
        <v>84</v>
      </c>
      <c r="B206" s="423" t="s">
        <v>1266</v>
      </c>
      <c r="C206" s="423" t="s">
        <v>1317</v>
      </c>
      <c r="D206" s="581" t="s">
        <v>1367</v>
      </c>
      <c r="E206" s="134" t="s">
        <v>1520</v>
      </c>
      <c r="F206" s="134"/>
      <c r="G206" s="584" t="s">
        <v>1579</v>
      </c>
      <c r="H206" s="584" t="s">
        <v>778</v>
      </c>
      <c r="I206" s="423" t="s">
        <v>1582</v>
      </c>
      <c r="J206" s="134"/>
      <c r="K206" s="581" t="s">
        <v>95</v>
      </c>
      <c r="L206" s="134"/>
      <c r="M206" s="581" t="s">
        <v>1323</v>
      </c>
      <c r="N206" s="134" t="s">
        <v>1324</v>
      </c>
      <c r="O206" s="134">
        <v>720.0</v>
      </c>
      <c r="P206" s="134">
        <v>8.5447E9</v>
      </c>
      <c r="Q206" s="132">
        <v>3.655540966671584</v>
      </c>
      <c r="R206" s="126" t="s">
        <v>10</v>
      </c>
      <c r="S206" s="49"/>
      <c r="T206" s="224">
        <v>12.185136555571948</v>
      </c>
      <c r="U206" s="224">
        <v>7.311081933343168</v>
      </c>
      <c r="V206" s="224">
        <v>6.092568277785974</v>
      </c>
      <c r="W206" s="224">
        <v>4.87405462222878</v>
      </c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</row>
    <row r="207" ht="13.5" customHeight="1">
      <c r="A207" s="423" t="s">
        <v>84</v>
      </c>
      <c r="B207" s="423" t="s">
        <v>1266</v>
      </c>
      <c r="C207" s="423" t="s">
        <v>1317</v>
      </c>
      <c r="D207" s="581" t="s">
        <v>1318</v>
      </c>
      <c r="E207" s="134" t="s">
        <v>1591</v>
      </c>
      <c r="F207" s="134"/>
      <c r="G207" s="584" t="s">
        <v>1521</v>
      </c>
      <c r="H207" s="584" t="s">
        <v>4114</v>
      </c>
      <c r="I207" s="423" t="s">
        <v>1523</v>
      </c>
      <c r="J207" s="134"/>
      <c r="K207" s="581" t="s">
        <v>95</v>
      </c>
      <c r="L207" s="134"/>
      <c r="M207" s="581" t="s">
        <v>1323</v>
      </c>
      <c r="N207" s="134" t="s">
        <v>1324</v>
      </c>
      <c r="O207" s="134">
        <v>2160.0</v>
      </c>
      <c r="P207" s="134">
        <v>8.5447E9</v>
      </c>
      <c r="Q207" s="132">
        <v>2.7418469314288405</v>
      </c>
      <c r="R207" s="126" t="s">
        <v>10</v>
      </c>
      <c r="S207" s="49"/>
      <c r="T207" s="224">
        <v>9.139489771429469</v>
      </c>
      <c r="U207" s="224">
        <v>5.483693862857681</v>
      </c>
      <c r="V207" s="224">
        <v>4.5697448857147345</v>
      </c>
      <c r="W207" s="224">
        <v>3.655795908571788</v>
      </c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</row>
    <row r="208" ht="13.5" customHeight="1">
      <c r="A208" s="423" t="s">
        <v>84</v>
      </c>
      <c r="B208" s="423" t="s">
        <v>1266</v>
      </c>
      <c r="C208" s="423" t="s">
        <v>1317</v>
      </c>
      <c r="D208" s="581" t="s">
        <v>1318</v>
      </c>
      <c r="E208" s="134" t="s">
        <v>1591</v>
      </c>
      <c r="F208" s="134"/>
      <c r="G208" s="584" t="s">
        <v>1524</v>
      </c>
      <c r="H208" s="584" t="s">
        <v>4115</v>
      </c>
      <c r="I208" s="423" t="s">
        <v>1526</v>
      </c>
      <c r="J208" s="134"/>
      <c r="K208" s="581" t="s">
        <v>95</v>
      </c>
      <c r="L208" s="134"/>
      <c r="M208" s="581" t="s">
        <v>1323</v>
      </c>
      <c r="N208" s="134" t="s">
        <v>1324</v>
      </c>
      <c r="O208" s="134">
        <v>1920.0</v>
      </c>
      <c r="P208" s="134">
        <v>8.5447E9</v>
      </c>
      <c r="Q208" s="132">
        <v>2.858097943925055</v>
      </c>
      <c r="R208" s="126" t="s">
        <v>10</v>
      </c>
      <c r="S208" s="49"/>
      <c r="T208" s="224">
        <v>9.52699314641685</v>
      </c>
      <c r="U208" s="224">
        <v>5.71619588785011</v>
      </c>
      <c r="V208" s="224">
        <v>4.763496573208425</v>
      </c>
      <c r="W208" s="224">
        <v>3.81079725856674</v>
      </c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</row>
    <row r="209" ht="13.5" customHeight="1">
      <c r="A209" s="423" t="s">
        <v>84</v>
      </c>
      <c r="B209" s="423" t="s">
        <v>1266</v>
      </c>
      <c r="C209" s="423" t="s">
        <v>1317</v>
      </c>
      <c r="D209" s="581" t="s">
        <v>1318</v>
      </c>
      <c r="E209" s="134" t="s">
        <v>1591</v>
      </c>
      <c r="F209" s="134"/>
      <c r="G209" s="584" t="s">
        <v>1527</v>
      </c>
      <c r="H209" s="584" t="s">
        <v>4116</v>
      </c>
      <c r="I209" s="423" t="s">
        <v>1529</v>
      </c>
      <c r="J209" s="134"/>
      <c r="K209" s="581" t="s">
        <v>95</v>
      </c>
      <c r="L209" s="134"/>
      <c r="M209" s="581" t="s">
        <v>1323</v>
      </c>
      <c r="N209" s="134" t="s">
        <v>1324</v>
      </c>
      <c r="O209" s="134">
        <v>1920.0</v>
      </c>
      <c r="P209" s="134">
        <v>8.5447E9</v>
      </c>
      <c r="Q209" s="132">
        <v>2.965838607837392</v>
      </c>
      <c r="R209" s="126" t="s">
        <v>10</v>
      </c>
      <c r="S209" s="49"/>
      <c r="T209" s="224">
        <v>9.886128692791308</v>
      </c>
      <c r="U209" s="224">
        <v>5.931677215674784</v>
      </c>
      <c r="V209" s="224">
        <v>4.943064346395654</v>
      </c>
      <c r="W209" s="224">
        <v>3.9544514771165233</v>
      </c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</row>
    <row r="210" ht="13.5" customHeight="1">
      <c r="A210" s="423" t="s">
        <v>84</v>
      </c>
      <c r="B210" s="423" t="s">
        <v>1266</v>
      </c>
      <c r="C210" s="423" t="s">
        <v>1317</v>
      </c>
      <c r="D210" s="581" t="s">
        <v>1318</v>
      </c>
      <c r="E210" s="134" t="s">
        <v>1591</v>
      </c>
      <c r="F210" s="134"/>
      <c r="G210" s="584" t="s">
        <v>1530</v>
      </c>
      <c r="H210" s="584" t="s">
        <v>4117</v>
      </c>
      <c r="I210" s="423" t="s">
        <v>1532</v>
      </c>
      <c r="J210" s="134"/>
      <c r="K210" s="581" t="s">
        <v>95</v>
      </c>
      <c r="L210" s="134"/>
      <c r="M210" s="581" t="s">
        <v>1323</v>
      </c>
      <c r="N210" s="134" t="s">
        <v>1324</v>
      </c>
      <c r="O210" s="134">
        <v>1440.0</v>
      </c>
      <c r="P210" s="134">
        <v>8.5447E9</v>
      </c>
      <c r="Q210" s="132">
        <v>3.196076915022465</v>
      </c>
      <c r="R210" s="126" t="s">
        <v>10</v>
      </c>
      <c r="S210" s="49"/>
      <c r="T210" s="224">
        <v>10.65358971674155</v>
      </c>
      <c r="U210" s="224">
        <v>6.39215383004493</v>
      </c>
      <c r="V210" s="224">
        <v>5.326794858370775</v>
      </c>
      <c r="W210" s="224">
        <v>4.26143588669662</v>
      </c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</row>
    <row r="211" ht="13.5" customHeight="1">
      <c r="A211" s="423" t="s">
        <v>84</v>
      </c>
      <c r="B211" s="423" t="s">
        <v>1266</v>
      </c>
      <c r="C211" s="423" t="s">
        <v>1317</v>
      </c>
      <c r="D211" s="581" t="s">
        <v>1318</v>
      </c>
      <c r="E211" s="134" t="s">
        <v>1591</v>
      </c>
      <c r="F211" s="134"/>
      <c r="G211" s="584" t="s">
        <v>1533</v>
      </c>
      <c r="H211" s="584" t="s">
        <v>778</v>
      </c>
      <c r="I211" s="423" t="s">
        <v>1535</v>
      </c>
      <c r="J211" s="134"/>
      <c r="K211" s="581" t="s">
        <v>95</v>
      </c>
      <c r="L211" s="134"/>
      <c r="M211" s="581" t="s">
        <v>1323</v>
      </c>
      <c r="N211" s="134" t="s">
        <v>1324</v>
      </c>
      <c r="O211" s="134">
        <v>720.0</v>
      </c>
      <c r="P211" s="134">
        <v>8.5447E9</v>
      </c>
      <c r="Q211" s="132">
        <v>3.745324853265197</v>
      </c>
      <c r="R211" s="126" t="s">
        <v>10</v>
      </c>
      <c r="S211" s="49"/>
      <c r="T211" s="224">
        <v>12.484416177550656</v>
      </c>
      <c r="U211" s="224">
        <v>7.490649706530394</v>
      </c>
      <c r="V211" s="224">
        <v>6.242208088775328</v>
      </c>
      <c r="W211" s="224">
        <v>4.993766471020263</v>
      </c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</row>
    <row r="212" ht="13.5" customHeight="1">
      <c r="A212" s="423" t="s">
        <v>84</v>
      </c>
      <c r="B212" s="423" t="s">
        <v>1266</v>
      </c>
      <c r="C212" s="423" t="s">
        <v>1317</v>
      </c>
      <c r="D212" s="581" t="s">
        <v>1318</v>
      </c>
      <c r="E212" s="134" t="s">
        <v>1591</v>
      </c>
      <c r="F212" s="134"/>
      <c r="G212" s="584" t="s">
        <v>1536</v>
      </c>
      <c r="H212" s="584" t="s">
        <v>778</v>
      </c>
      <c r="I212" s="423" t="s">
        <v>1538</v>
      </c>
      <c r="J212" s="134"/>
      <c r="K212" s="581" t="s">
        <v>95</v>
      </c>
      <c r="L212" s="134"/>
      <c r="M212" s="581" t="s">
        <v>1323</v>
      </c>
      <c r="N212" s="134" t="s">
        <v>1324</v>
      </c>
      <c r="O212" s="134">
        <v>480.0</v>
      </c>
      <c r="P212" s="134">
        <v>8.5447E9</v>
      </c>
      <c r="Q212" s="132">
        <v>4.404109133152138</v>
      </c>
      <c r="R212" s="126" t="s">
        <v>10</v>
      </c>
      <c r="S212" s="49"/>
      <c r="T212" s="224">
        <v>14.680363777173795</v>
      </c>
      <c r="U212" s="224">
        <v>8.808218266304277</v>
      </c>
      <c r="V212" s="224">
        <v>7.340181888586898</v>
      </c>
      <c r="W212" s="224">
        <v>5.872145510869519</v>
      </c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</row>
    <row r="213" ht="13.5" customHeight="1">
      <c r="A213" s="423" t="s">
        <v>84</v>
      </c>
      <c r="B213" s="423" t="s">
        <v>1266</v>
      </c>
      <c r="C213" s="423" t="s">
        <v>1317</v>
      </c>
      <c r="D213" s="581" t="s">
        <v>1340</v>
      </c>
      <c r="E213" s="134" t="s">
        <v>1591</v>
      </c>
      <c r="F213" s="134"/>
      <c r="G213" s="584" t="s">
        <v>1539</v>
      </c>
      <c r="H213" s="584" t="s">
        <v>4118</v>
      </c>
      <c r="I213" s="423" t="s">
        <v>1541</v>
      </c>
      <c r="J213" s="134"/>
      <c r="K213" s="581" t="s">
        <v>95</v>
      </c>
      <c r="L213" s="134"/>
      <c r="M213" s="581" t="s">
        <v>1323</v>
      </c>
      <c r="N213" s="134" t="s">
        <v>1324</v>
      </c>
      <c r="O213" s="134">
        <v>2160.0</v>
      </c>
      <c r="P213" s="134">
        <v>8.5447E9</v>
      </c>
      <c r="Q213" s="132">
        <v>2.7418469314288405</v>
      </c>
      <c r="R213" s="126" t="s">
        <v>10</v>
      </c>
      <c r="S213" s="49"/>
      <c r="T213" s="224">
        <v>9.139489771429469</v>
      </c>
      <c r="U213" s="224">
        <v>5.483693862857681</v>
      </c>
      <c r="V213" s="224">
        <v>4.5697448857147345</v>
      </c>
      <c r="W213" s="224">
        <v>3.655795908571788</v>
      </c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</row>
    <row r="214" ht="13.5" customHeight="1">
      <c r="A214" s="423" t="s">
        <v>84</v>
      </c>
      <c r="B214" s="423" t="s">
        <v>1266</v>
      </c>
      <c r="C214" s="423" t="s">
        <v>1317</v>
      </c>
      <c r="D214" s="581" t="s">
        <v>1340</v>
      </c>
      <c r="E214" s="134" t="s">
        <v>1591</v>
      </c>
      <c r="F214" s="134"/>
      <c r="G214" s="584" t="s">
        <v>1543</v>
      </c>
      <c r="H214" s="584" t="s">
        <v>4119</v>
      </c>
      <c r="I214" s="423" t="s">
        <v>1545</v>
      </c>
      <c r="J214" s="134"/>
      <c r="K214" s="581" t="s">
        <v>95</v>
      </c>
      <c r="L214" s="134"/>
      <c r="M214" s="581" t="s">
        <v>1323</v>
      </c>
      <c r="N214" s="134" t="s">
        <v>1324</v>
      </c>
      <c r="O214" s="134">
        <v>1920.0</v>
      </c>
      <c r="P214" s="134">
        <v>8.5447E9</v>
      </c>
      <c r="Q214" s="132">
        <v>2.858097943925055</v>
      </c>
      <c r="R214" s="126" t="s">
        <v>10</v>
      </c>
      <c r="S214" s="49"/>
      <c r="T214" s="224">
        <v>9.52699314641685</v>
      </c>
      <c r="U214" s="224">
        <v>5.71619588785011</v>
      </c>
      <c r="V214" s="224">
        <v>4.763496573208425</v>
      </c>
      <c r="W214" s="224">
        <v>3.81079725856674</v>
      </c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</row>
    <row r="215" ht="13.5" customHeight="1">
      <c r="A215" s="423" t="s">
        <v>84</v>
      </c>
      <c r="B215" s="423" t="s">
        <v>1266</v>
      </c>
      <c r="C215" s="423" t="s">
        <v>1317</v>
      </c>
      <c r="D215" s="581" t="s">
        <v>1340</v>
      </c>
      <c r="E215" s="134" t="s">
        <v>1591</v>
      </c>
      <c r="F215" s="134"/>
      <c r="G215" s="584" t="s">
        <v>1546</v>
      </c>
      <c r="H215" s="584" t="s">
        <v>4120</v>
      </c>
      <c r="I215" s="423" t="s">
        <v>1548</v>
      </c>
      <c r="J215" s="134"/>
      <c r="K215" s="581" t="s">
        <v>95</v>
      </c>
      <c r="L215" s="134"/>
      <c r="M215" s="581" t="s">
        <v>1323</v>
      </c>
      <c r="N215" s="134" t="s">
        <v>1324</v>
      </c>
      <c r="O215" s="134">
        <v>1920.0</v>
      </c>
      <c r="P215" s="134">
        <v>8.5447E9</v>
      </c>
      <c r="Q215" s="132">
        <v>2.965838607837392</v>
      </c>
      <c r="R215" s="126" t="s">
        <v>10</v>
      </c>
      <c r="S215" s="49"/>
      <c r="T215" s="224">
        <v>9.886128692791308</v>
      </c>
      <c r="U215" s="224">
        <v>5.931677215674784</v>
      </c>
      <c r="V215" s="224">
        <v>4.943064346395654</v>
      </c>
      <c r="W215" s="224">
        <v>3.9544514771165233</v>
      </c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</row>
    <row r="216" ht="13.5" customHeight="1">
      <c r="A216" s="423" t="s">
        <v>84</v>
      </c>
      <c r="B216" s="423" t="s">
        <v>1266</v>
      </c>
      <c r="C216" s="423" t="s">
        <v>1317</v>
      </c>
      <c r="D216" s="581" t="s">
        <v>1340</v>
      </c>
      <c r="E216" s="134" t="s">
        <v>1591</v>
      </c>
      <c r="F216" s="134"/>
      <c r="G216" s="584" t="s">
        <v>1549</v>
      </c>
      <c r="H216" s="584" t="s">
        <v>4121</v>
      </c>
      <c r="I216" s="423" t="s">
        <v>1551</v>
      </c>
      <c r="J216" s="134"/>
      <c r="K216" s="581" t="s">
        <v>95</v>
      </c>
      <c r="L216" s="134"/>
      <c r="M216" s="581" t="s">
        <v>1323</v>
      </c>
      <c r="N216" s="134" t="s">
        <v>1324</v>
      </c>
      <c r="O216" s="134">
        <v>1440.0</v>
      </c>
      <c r="P216" s="134">
        <v>8.5447E9</v>
      </c>
      <c r="Q216" s="132">
        <v>3.196076915022465</v>
      </c>
      <c r="R216" s="126" t="s">
        <v>10</v>
      </c>
      <c r="S216" s="49"/>
      <c r="T216" s="224">
        <v>10.65358971674155</v>
      </c>
      <c r="U216" s="224">
        <v>6.39215383004493</v>
      </c>
      <c r="V216" s="224">
        <v>5.326794858370775</v>
      </c>
      <c r="W216" s="224">
        <v>4.26143588669662</v>
      </c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</row>
    <row r="217" ht="13.5" customHeight="1">
      <c r="A217" s="423" t="s">
        <v>84</v>
      </c>
      <c r="B217" s="423" t="s">
        <v>1266</v>
      </c>
      <c r="C217" s="423" t="s">
        <v>1317</v>
      </c>
      <c r="D217" s="581" t="s">
        <v>1340</v>
      </c>
      <c r="E217" s="134" t="s">
        <v>1591</v>
      </c>
      <c r="F217" s="134"/>
      <c r="G217" s="584" t="s">
        <v>1552</v>
      </c>
      <c r="H217" s="584" t="s">
        <v>778</v>
      </c>
      <c r="I217" s="423" t="s">
        <v>1555</v>
      </c>
      <c r="J217" s="134"/>
      <c r="K217" s="581" t="s">
        <v>95</v>
      </c>
      <c r="L217" s="134"/>
      <c r="M217" s="581" t="s">
        <v>1323</v>
      </c>
      <c r="N217" s="134" t="s">
        <v>1324</v>
      </c>
      <c r="O217" s="134">
        <v>720.0</v>
      </c>
      <c r="P217" s="134">
        <v>8.5447E9</v>
      </c>
      <c r="Q217" s="132">
        <v>3.745324853265197</v>
      </c>
      <c r="R217" s="126" t="s">
        <v>10</v>
      </c>
      <c r="S217" s="49"/>
      <c r="T217" s="224">
        <v>12.484416177550656</v>
      </c>
      <c r="U217" s="224">
        <v>7.490649706530394</v>
      </c>
      <c r="V217" s="224">
        <v>6.242208088775328</v>
      </c>
      <c r="W217" s="224">
        <v>4.993766471020263</v>
      </c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</row>
    <row r="218" ht="13.5" customHeight="1">
      <c r="A218" s="423" t="s">
        <v>84</v>
      </c>
      <c r="B218" s="423" t="s">
        <v>1266</v>
      </c>
      <c r="C218" s="423" t="s">
        <v>1317</v>
      </c>
      <c r="D218" s="581" t="s">
        <v>1340</v>
      </c>
      <c r="E218" s="134" t="s">
        <v>1591</v>
      </c>
      <c r="F218" s="134"/>
      <c r="G218" s="584" t="s">
        <v>1556</v>
      </c>
      <c r="H218" s="584" t="s">
        <v>778</v>
      </c>
      <c r="I218" s="423" t="s">
        <v>1559</v>
      </c>
      <c r="J218" s="134"/>
      <c r="K218" s="581" t="s">
        <v>95</v>
      </c>
      <c r="L218" s="134"/>
      <c r="M218" s="581" t="s">
        <v>1323</v>
      </c>
      <c r="N218" s="134" t="s">
        <v>1324</v>
      </c>
      <c r="O218" s="134">
        <v>480.0</v>
      </c>
      <c r="P218" s="134">
        <v>8.5447E9</v>
      </c>
      <c r="Q218" s="132">
        <v>4.404109133152138</v>
      </c>
      <c r="R218" s="126" t="s">
        <v>10</v>
      </c>
      <c r="S218" s="49"/>
      <c r="T218" s="224">
        <v>14.680363777173795</v>
      </c>
      <c r="U218" s="224">
        <v>8.808218266304277</v>
      </c>
      <c r="V218" s="224">
        <v>7.340181888586898</v>
      </c>
      <c r="W218" s="224">
        <v>5.872145510869519</v>
      </c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</row>
    <row r="219" ht="13.5" customHeight="1">
      <c r="A219" s="423" t="s">
        <v>84</v>
      </c>
      <c r="B219" s="423" t="s">
        <v>1266</v>
      </c>
      <c r="C219" s="423" t="s">
        <v>1317</v>
      </c>
      <c r="D219" s="581" t="s">
        <v>1367</v>
      </c>
      <c r="E219" s="134" t="s">
        <v>1591</v>
      </c>
      <c r="F219" s="134"/>
      <c r="G219" s="584" t="s">
        <v>1564</v>
      </c>
      <c r="H219" s="584" t="s">
        <v>4122</v>
      </c>
      <c r="I219" s="423" t="s">
        <v>1566</v>
      </c>
      <c r="J219" s="134"/>
      <c r="K219" s="581" t="s">
        <v>95</v>
      </c>
      <c r="L219" s="134"/>
      <c r="M219" s="581" t="s">
        <v>1323</v>
      </c>
      <c r="N219" s="134" t="s">
        <v>1324</v>
      </c>
      <c r="O219" s="134">
        <v>2160.0</v>
      </c>
      <c r="P219" s="134">
        <v>8.5447E9</v>
      </c>
      <c r="Q219" s="132">
        <v>2.7418469314288405</v>
      </c>
      <c r="R219" s="126" t="s">
        <v>10</v>
      </c>
      <c r="S219" s="49"/>
      <c r="T219" s="224">
        <v>9.139489771429469</v>
      </c>
      <c r="U219" s="224">
        <v>5.483693862857681</v>
      </c>
      <c r="V219" s="224">
        <v>4.5697448857147345</v>
      </c>
      <c r="W219" s="224">
        <v>3.655795908571788</v>
      </c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</row>
    <row r="220" ht="13.5" customHeight="1">
      <c r="A220" s="423" t="s">
        <v>84</v>
      </c>
      <c r="B220" s="423" t="s">
        <v>1266</v>
      </c>
      <c r="C220" s="423" t="s">
        <v>1317</v>
      </c>
      <c r="D220" s="581" t="s">
        <v>1367</v>
      </c>
      <c r="E220" s="134" t="s">
        <v>1591</v>
      </c>
      <c r="F220" s="134"/>
      <c r="G220" s="584" t="s">
        <v>1568</v>
      </c>
      <c r="H220" s="584" t="s">
        <v>4123</v>
      </c>
      <c r="I220" s="423" t="s">
        <v>1570</v>
      </c>
      <c r="J220" s="134"/>
      <c r="K220" s="581" t="s">
        <v>95</v>
      </c>
      <c r="L220" s="134"/>
      <c r="M220" s="581" t="s">
        <v>1323</v>
      </c>
      <c r="N220" s="134" t="s">
        <v>1324</v>
      </c>
      <c r="O220" s="134">
        <v>1920.0</v>
      </c>
      <c r="P220" s="134">
        <v>8.5447E9</v>
      </c>
      <c r="Q220" s="132">
        <v>2.858097943925055</v>
      </c>
      <c r="R220" s="126" t="s">
        <v>10</v>
      </c>
      <c r="S220" s="49"/>
      <c r="T220" s="224">
        <v>9.52699314641685</v>
      </c>
      <c r="U220" s="224">
        <v>5.71619588785011</v>
      </c>
      <c r="V220" s="224">
        <v>4.763496573208425</v>
      </c>
      <c r="W220" s="224">
        <v>3.81079725856674</v>
      </c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</row>
    <row r="221" ht="13.5" customHeight="1">
      <c r="A221" s="423" t="s">
        <v>84</v>
      </c>
      <c r="B221" s="423" t="s">
        <v>1266</v>
      </c>
      <c r="C221" s="423" t="s">
        <v>1317</v>
      </c>
      <c r="D221" s="581" t="s">
        <v>1367</v>
      </c>
      <c r="E221" s="134" t="s">
        <v>1591</v>
      </c>
      <c r="F221" s="134"/>
      <c r="G221" s="584" t="s">
        <v>1571</v>
      </c>
      <c r="H221" s="584" t="s">
        <v>4124</v>
      </c>
      <c r="I221" s="423" t="s">
        <v>1573</v>
      </c>
      <c r="J221" s="134"/>
      <c r="K221" s="581" t="s">
        <v>95</v>
      </c>
      <c r="L221" s="134"/>
      <c r="M221" s="581" t="s">
        <v>1323</v>
      </c>
      <c r="N221" s="134" t="s">
        <v>1324</v>
      </c>
      <c r="O221" s="134">
        <v>1920.0</v>
      </c>
      <c r="P221" s="134">
        <v>8.5447E9</v>
      </c>
      <c r="Q221" s="132">
        <v>2.965838607837392</v>
      </c>
      <c r="R221" s="126" t="s">
        <v>10</v>
      </c>
      <c r="S221" s="49"/>
      <c r="T221" s="224">
        <v>9.886128692791308</v>
      </c>
      <c r="U221" s="224">
        <v>5.931677215674784</v>
      </c>
      <c r="V221" s="224">
        <v>4.943064346395654</v>
      </c>
      <c r="W221" s="224">
        <v>3.9544514771165233</v>
      </c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</row>
    <row r="222" ht="13.5" customHeight="1">
      <c r="A222" s="423" t="s">
        <v>84</v>
      </c>
      <c r="B222" s="423" t="s">
        <v>1266</v>
      </c>
      <c r="C222" s="423" t="s">
        <v>1317</v>
      </c>
      <c r="D222" s="581" t="s">
        <v>1367</v>
      </c>
      <c r="E222" s="134" t="s">
        <v>1591</v>
      </c>
      <c r="F222" s="134"/>
      <c r="G222" s="584" t="s">
        <v>1575</v>
      </c>
      <c r="H222" s="584" t="s">
        <v>4125</v>
      </c>
      <c r="I222" s="423" t="s">
        <v>1577</v>
      </c>
      <c r="J222" s="134"/>
      <c r="K222" s="581" t="s">
        <v>95</v>
      </c>
      <c r="L222" s="134"/>
      <c r="M222" s="581" t="s">
        <v>1323</v>
      </c>
      <c r="N222" s="134" t="s">
        <v>1324</v>
      </c>
      <c r="O222" s="134">
        <v>1440.0</v>
      </c>
      <c r="P222" s="134">
        <v>8.5447E9</v>
      </c>
      <c r="Q222" s="132">
        <v>3.196076915022465</v>
      </c>
      <c r="R222" s="126" t="s">
        <v>10</v>
      </c>
      <c r="S222" s="49"/>
      <c r="T222" s="224">
        <v>10.65358971674155</v>
      </c>
      <c r="U222" s="224">
        <v>6.39215383004493</v>
      </c>
      <c r="V222" s="224">
        <v>5.326794858370775</v>
      </c>
      <c r="W222" s="224">
        <v>4.26143588669662</v>
      </c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</row>
    <row r="223" ht="13.5" customHeight="1">
      <c r="A223" s="423" t="s">
        <v>84</v>
      </c>
      <c r="B223" s="423" t="s">
        <v>1266</v>
      </c>
      <c r="C223" s="423" t="s">
        <v>1317</v>
      </c>
      <c r="D223" s="581" t="s">
        <v>1367</v>
      </c>
      <c r="E223" s="134" t="s">
        <v>1591</v>
      </c>
      <c r="F223" s="134"/>
      <c r="G223" s="584" t="s">
        <v>1579</v>
      </c>
      <c r="H223" s="584" t="s">
        <v>778</v>
      </c>
      <c r="I223" s="423" t="s">
        <v>1582</v>
      </c>
      <c r="J223" s="134"/>
      <c r="K223" s="581" t="s">
        <v>95</v>
      </c>
      <c r="L223" s="134"/>
      <c r="M223" s="581" t="s">
        <v>1323</v>
      </c>
      <c r="N223" s="134" t="s">
        <v>1324</v>
      </c>
      <c r="O223" s="134">
        <v>720.0</v>
      </c>
      <c r="P223" s="134">
        <v>8.5447E9</v>
      </c>
      <c r="Q223" s="132">
        <v>3.745324853265197</v>
      </c>
      <c r="R223" s="126" t="s">
        <v>10</v>
      </c>
      <c r="S223" s="49"/>
      <c r="T223" s="224">
        <v>12.484416177550656</v>
      </c>
      <c r="U223" s="224">
        <v>7.490649706530394</v>
      </c>
      <c r="V223" s="224">
        <v>6.242208088775328</v>
      </c>
      <c r="W223" s="224">
        <v>4.993766471020263</v>
      </c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</row>
    <row r="224" ht="13.5" customHeight="1">
      <c r="A224" s="423" t="s">
        <v>84</v>
      </c>
      <c r="B224" s="423" t="s">
        <v>1266</v>
      </c>
      <c r="C224" s="423" t="s">
        <v>1317</v>
      </c>
      <c r="D224" s="581" t="s">
        <v>1367</v>
      </c>
      <c r="E224" s="134" t="s">
        <v>1591</v>
      </c>
      <c r="F224" s="134"/>
      <c r="G224" s="584" t="s">
        <v>1583</v>
      </c>
      <c r="H224" s="584" t="s">
        <v>778</v>
      </c>
      <c r="I224" s="423" t="s">
        <v>1586</v>
      </c>
      <c r="J224" s="134"/>
      <c r="K224" s="581" t="s">
        <v>95</v>
      </c>
      <c r="L224" s="134"/>
      <c r="M224" s="581" t="s">
        <v>1323</v>
      </c>
      <c r="N224" s="134" t="s">
        <v>1324</v>
      </c>
      <c r="O224" s="134">
        <v>480.0</v>
      </c>
      <c r="P224" s="134">
        <v>8.5447E9</v>
      </c>
      <c r="Q224" s="132">
        <v>4.404109133152138</v>
      </c>
      <c r="R224" s="126" t="s">
        <v>10</v>
      </c>
      <c r="S224" s="49"/>
      <c r="T224" s="224">
        <v>14.680363777173795</v>
      </c>
      <c r="U224" s="224">
        <v>8.808218266304277</v>
      </c>
      <c r="V224" s="224">
        <v>7.340181888586898</v>
      </c>
      <c r="W224" s="224">
        <v>5.872145510869519</v>
      </c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</row>
    <row r="225" ht="13.5" customHeight="1">
      <c r="A225" s="423" t="s">
        <v>84</v>
      </c>
      <c r="B225" s="423" t="s">
        <v>1266</v>
      </c>
      <c r="C225" s="423" t="s">
        <v>1317</v>
      </c>
      <c r="D225" s="581" t="s">
        <v>1367</v>
      </c>
      <c r="E225" s="134" t="s">
        <v>1591</v>
      </c>
      <c r="F225" s="134"/>
      <c r="G225" s="584" t="s">
        <v>1564</v>
      </c>
      <c r="H225" s="584" t="s">
        <v>4122</v>
      </c>
      <c r="I225" s="423" t="s">
        <v>1566</v>
      </c>
      <c r="J225" s="134"/>
      <c r="K225" s="581" t="s">
        <v>95</v>
      </c>
      <c r="L225" s="134"/>
      <c r="M225" s="581" t="s">
        <v>1323</v>
      </c>
      <c r="N225" s="134" t="s">
        <v>1324</v>
      </c>
      <c r="O225" s="134">
        <v>2160.0</v>
      </c>
      <c r="P225" s="134">
        <v>8.5447E9</v>
      </c>
      <c r="Q225" s="132">
        <v>2.7418469314288405</v>
      </c>
      <c r="R225" s="126" t="s">
        <v>10</v>
      </c>
      <c r="S225" s="49"/>
      <c r="T225" s="224">
        <v>9.139489771429469</v>
      </c>
      <c r="U225" s="224">
        <v>5.483693862857681</v>
      </c>
      <c r="V225" s="224">
        <v>4.5697448857147345</v>
      </c>
      <c r="W225" s="224">
        <v>3.655795908571788</v>
      </c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</row>
    <row r="226" ht="13.5" customHeight="1">
      <c r="A226" s="423" t="s">
        <v>84</v>
      </c>
      <c r="B226" s="423" t="s">
        <v>1266</v>
      </c>
      <c r="C226" s="423" t="s">
        <v>1317</v>
      </c>
      <c r="D226" s="581" t="s">
        <v>1367</v>
      </c>
      <c r="E226" s="134" t="s">
        <v>1591</v>
      </c>
      <c r="F226" s="134"/>
      <c r="G226" s="584" t="s">
        <v>1568</v>
      </c>
      <c r="H226" s="584" t="s">
        <v>4123</v>
      </c>
      <c r="I226" s="423" t="s">
        <v>1570</v>
      </c>
      <c r="J226" s="134"/>
      <c r="K226" s="581" t="s">
        <v>95</v>
      </c>
      <c r="L226" s="134"/>
      <c r="M226" s="581" t="s">
        <v>1323</v>
      </c>
      <c r="N226" s="134" t="s">
        <v>1324</v>
      </c>
      <c r="O226" s="134">
        <v>1920.0</v>
      </c>
      <c r="P226" s="134">
        <v>8.5447E9</v>
      </c>
      <c r="Q226" s="132">
        <v>2.858097943925055</v>
      </c>
      <c r="R226" s="126" t="s">
        <v>10</v>
      </c>
      <c r="S226" s="49"/>
      <c r="T226" s="224">
        <v>9.52699314641685</v>
      </c>
      <c r="U226" s="224">
        <v>5.71619588785011</v>
      </c>
      <c r="V226" s="224">
        <v>4.763496573208425</v>
      </c>
      <c r="W226" s="224">
        <v>3.81079725856674</v>
      </c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</row>
    <row r="227" ht="13.5" customHeight="1">
      <c r="A227" s="423" t="s">
        <v>84</v>
      </c>
      <c r="B227" s="423" t="s">
        <v>1266</v>
      </c>
      <c r="C227" s="423" t="s">
        <v>1317</v>
      </c>
      <c r="D227" s="581" t="s">
        <v>1367</v>
      </c>
      <c r="E227" s="134" t="s">
        <v>1591</v>
      </c>
      <c r="F227" s="134"/>
      <c r="G227" s="584" t="s">
        <v>1571</v>
      </c>
      <c r="H227" s="584" t="s">
        <v>4124</v>
      </c>
      <c r="I227" s="423" t="s">
        <v>1573</v>
      </c>
      <c r="J227" s="134"/>
      <c r="K227" s="581" t="s">
        <v>95</v>
      </c>
      <c r="L227" s="134"/>
      <c r="M227" s="581" t="s">
        <v>1323</v>
      </c>
      <c r="N227" s="134" t="s">
        <v>1324</v>
      </c>
      <c r="O227" s="134">
        <v>1920.0</v>
      </c>
      <c r="P227" s="134">
        <v>8.5447E9</v>
      </c>
      <c r="Q227" s="132">
        <v>2.965838607837392</v>
      </c>
      <c r="R227" s="126" t="s">
        <v>10</v>
      </c>
      <c r="S227" s="49"/>
      <c r="T227" s="224">
        <v>9.886128692791308</v>
      </c>
      <c r="U227" s="224">
        <v>5.931677215674784</v>
      </c>
      <c r="V227" s="224">
        <v>4.943064346395654</v>
      </c>
      <c r="W227" s="224">
        <v>3.9544514771165233</v>
      </c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</row>
    <row r="228" ht="13.5" customHeight="1">
      <c r="A228" s="423" t="s">
        <v>84</v>
      </c>
      <c r="B228" s="423" t="s">
        <v>1266</v>
      </c>
      <c r="C228" s="423" t="s">
        <v>1317</v>
      </c>
      <c r="D228" s="581" t="s">
        <v>1367</v>
      </c>
      <c r="E228" s="134" t="s">
        <v>1591</v>
      </c>
      <c r="F228" s="134"/>
      <c r="G228" s="584" t="s">
        <v>1575</v>
      </c>
      <c r="H228" s="584" t="s">
        <v>4125</v>
      </c>
      <c r="I228" s="423" t="s">
        <v>1577</v>
      </c>
      <c r="J228" s="134"/>
      <c r="K228" s="581" t="s">
        <v>95</v>
      </c>
      <c r="L228" s="134"/>
      <c r="M228" s="581" t="s">
        <v>1323</v>
      </c>
      <c r="N228" s="134" t="s">
        <v>1324</v>
      </c>
      <c r="O228" s="134">
        <v>1440.0</v>
      </c>
      <c r="P228" s="134">
        <v>8.5447E9</v>
      </c>
      <c r="Q228" s="132">
        <v>3.196076915022465</v>
      </c>
      <c r="R228" s="126" t="s">
        <v>10</v>
      </c>
      <c r="S228" s="49"/>
      <c r="T228" s="224">
        <v>10.65358971674155</v>
      </c>
      <c r="U228" s="224">
        <v>6.39215383004493</v>
      </c>
      <c r="V228" s="224">
        <v>5.326794858370775</v>
      </c>
      <c r="W228" s="224">
        <v>4.26143588669662</v>
      </c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</row>
    <row r="229" ht="13.5" customHeight="1">
      <c r="A229" s="423" t="s">
        <v>84</v>
      </c>
      <c r="B229" s="423" t="s">
        <v>1266</v>
      </c>
      <c r="C229" s="423" t="s">
        <v>1317</v>
      </c>
      <c r="D229" s="581" t="s">
        <v>1367</v>
      </c>
      <c r="E229" s="134" t="s">
        <v>1591</v>
      </c>
      <c r="F229" s="134"/>
      <c r="G229" s="584" t="s">
        <v>1579</v>
      </c>
      <c r="H229" s="584" t="s">
        <v>778</v>
      </c>
      <c r="I229" s="423" t="s">
        <v>1582</v>
      </c>
      <c r="J229" s="134"/>
      <c r="K229" s="581" t="s">
        <v>95</v>
      </c>
      <c r="L229" s="134"/>
      <c r="M229" s="581" t="s">
        <v>1323</v>
      </c>
      <c r="N229" s="134" t="s">
        <v>1324</v>
      </c>
      <c r="O229" s="134">
        <v>720.0</v>
      </c>
      <c r="P229" s="134">
        <v>8.5447E9</v>
      </c>
      <c r="Q229" s="132">
        <v>3.745324853265197</v>
      </c>
      <c r="R229" s="126" t="s">
        <v>10</v>
      </c>
      <c r="S229" s="49"/>
      <c r="T229" s="224">
        <v>12.484416177550656</v>
      </c>
      <c r="U229" s="224">
        <v>7.490649706530394</v>
      </c>
      <c r="V229" s="224">
        <v>6.242208088775328</v>
      </c>
      <c r="W229" s="224">
        <v>4.993766471020263</v>
      </c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</row>
    <row r="230" ht="13.5" customHeight="1">
      <c r="A230" s="423" t="s">
        <v>84</v>
      </c>
      <c r="B230" s="423" t="s">
        <v>1266</v>
      </c>
      <c r="C230" s="423" t="s">
        <v>1633</v>
      </c>
      <c r="D230" s="581" t="s">
        <v>1633</v>
      </c>
      <c r="E230" s="134"/>
      <c r="F230" s="134"/>
      <c r="G230" s="584" t="s">
        <v>1634</v>
      </c>
      <c r="H230" s="584" t="s">
        <v>4126</v>
      </c>
      <c r="I230" s="423" t="s">
        <v>3949</v>
      </c>
      <c r="J230" s="134"/>
      <c r="K230" s="581" t="s">
        <v>95</v>
      </c>
      <c r="L230" s="134"/>
      <c r="M230" s="581" t="s">
        <v>554</v>
      </c>
      <c r="N230" s="134" t="s">
        <v>1637</v>
      </c>
      <c r="O230" s="134">
        <v>90.0</v>
      </c>
      <c r="P230" s="134" t="s">
        <v>1650</v>
      </c>
      <c r="Q230" s="132">
        <v>15.214383637701019</v>
      </c>
      <c r="R230" s="126" t="s">
        <v>6</v>
      </c>
      <c r="S230" s="49"/>
      <c r="T230" s="224">
        <v>50.714612125670065</v>
      </c>
      <c r="U230" s="224">
        <v>30.428767275402038</v>
      </c>
      <c r="V230" s="224">
        <v>25.357306062835033</v>
      </c>
      <c r="W230" s="224">
        <v>20.285844850268028</v>
      </c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</row>
    <row r="231" ht="13.5" customHeight="1">
      <c r="A231" s="423" t="s">
        <v>84</v>
      </c>
      <c r="B231" s="423" t="s">
        <v>1266</v>
      </c>
      <c r="C231" s="423" t="s">
        <v>1633</v>
      </c>
      <c r="D231" s="581" t="s">
        <v>1633</v>
      </c>
      <c r="E231" s="134"/>
      <c r="F231" s="134"/>
      <c r="G231" s="584" t="s">
        <v>1639</v>
      </c>
      <c r="H231" s="584" t="s">
        <v>4127</v>
      </c>
      <c r="I231" s="423" t="s">
        <v>2964</v>
      </c>
      <c r="J231" s="134"/>
      <c r="K231" s="581" t="s">
        <v>95</v>
      </c>
      <c r="L231" s="134"/>
      <c r="M231" s="581" t="s">
        <v>554</v>
      </c>
      <c r="N231" s="134" t="s">
        <v>1637</v>
      </c>
      <c r="O231" s="134">
        <v>90.0</v>
      </c>
      <c r="P231" s="134" t="s">
        <v>1650</v>
      </c>
      <c r="Q231" s="132">
        <v>13.873463446238675</v>
      </c>
      <c r="R231" s="126" t="s">
        <v>6</v>
      </c>
      <c r="S231" s="49"/>
      <c r="T231" s="224">
        <v>46.24487815412892</v>
      </c>
      <c r="U231" s="224">
        <v>27.74692689247735</v>
      </c>
      <c r="V231" s="224">
        <v>23.12243907706446</v>
      </c>
      <c r="W231" s="224">
        <v>18.49795126165157</v>
      </c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</row>
    <row r="232" ht="13.5" customHeight="1">
      <c r="A232" s="423" t="s">
        <v>84</v>
      </c>
      <c r="B232" s="423" t="s">
        <v>1266</v>
      </c>
      <c r="C232" s="423" t="s">
        <v>1633</v>
      </c>
      <c r="D232" s="581" t="s">
        <v>1633</v>
      </c>
      <c r="E232" s="134"/>
      <c r="F232" s="134"/>
      <c r="G232" s="584" t="s">
        <v>1713</v>
      </c>
      <c r="H232" s="584" t="s">
        <v>778</v>
      </c>
      <c r="I232" s="423" t="s">
        <v>4352</v>
      </c>
      <c r="J232" s="134"/>
      <c r="K232" s="581" t="s">
        <v>95</v>
      </c>
      <c r="L232" s="134"/>
      <c r="M232" s="581" t="s">
        <v>554</v>
      </c>
      <c r="N232" s="134" t="s">
        <v>1637</v>
      </c>
      <c r="O232" s="134">
        <v>90.0</v>
      </c>
      <c r="P232" s="134" t="s">
        <v>1650</v>
      </c>
      <c r="Q232" s="132">
        <v>24.315093879010117</v>
      </c>
      <c r="R232" s="126" t="s">
        <v>6</v>
      </c>
      <c r="S232" s="49"/>
      <c r="T232" s="224">
        <v>81.05031293003373</v>
      </c>
      <c r="U232" s="224">
        <v>48.630187758020234</v>
      </c>
      <c r="V232" s="224">
        <v>40.52515646501686</v>
      </c>
      <c r="W232" s="224">
        <v>32.42012517201349</v>
      </c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</row>
    <row r="233" ht="13.5" customHeight="1">
      <c r="A233" s="423" t="s">
        <v>84</v>
      </c>
      <c r="B233" s="423" t="s">
        <v>1266</v>
      </c>
      <c r="C233" s="423" t="s">
        <v>1633</v>
      </c>
      <c r="D233" s="581" t="s">
        <v>1633</v>
      </c>
      <c r="E233" s="134"/>
      <c r="F233" s="134"/>
      <c r="G233" s="584" t="s">
        <v>1718</v>
      </c>
      <c r="H233" s="584" t="s">
        <v>778</v>
      </c>
      <c r="I233" s="423" t="s">
        <v>4353</v>
      </c>
      <c r="J233" s="134"/>
      <c r="K233" s="581" t="s">
        <v>95</v>
      </c>
      <c r="L233" s="134"/>
      <c r="M233" s="581" t="s">
        <v>554</v>
      </c>
      <c r="N233" s="134" t="s">
        <v>1637</v>
      </c>
      <c r="O233" s="134">
        <v>90.0</v>
      </c>
      <c r="P233" s="134" t="s">
        <v>1650</v>
      </c>
      <c r="Q233" s="132">
        <v>28.843789203056033</v>
      </c>
      <c r="R233" s="126" t="s">
        <v>6</v>
      </c>
      <c r="S233" s="49"/>
      <c r="T233" s="224">
        <v>96.14596401018679</v>
      </c>
      <c r="U233" s="224">
        <v>57.68757840611207</v>
      </c>
      <c r="V233" s="224">
        <v>48.072982005093394</v>
      </c>
      <c r="W233" s="224">
        <v>38.45838560407472</v>
      </c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</row>
    <row r="234" ht="13.5" customHeight="1">
      <c r="A234" s="423" t="s">
        <v>84</v>
      </c>
      <c r="B234" s="423" t="s">
        <v>1266</v>
      </c>
      <c r="C234" s="423" t="s">
        <v>1633</v>
      </c>
      <c r="D234" s="581" t="s">
        <v>1633</v>
      </c>
      <c r="E234" s="134"/>
      <c r="F234" s="134"/>
      <c r="G234" s="584" t="s">
        <v>1722</v>
      </c>
      <c r="H234" s="584" t="s">
        <v>778</v>
      </c>
      <c r="I234" s="423" t="s">
        <v>4354</v>
      </c>
      <c r="J234" s="134"/>
      <c r="K234" s="581" t="s">
        <v>95</v>
      </c>
      <c r="L234" s="134"/>
      <c r="M234" s="581" t="s">
        <v>554</v>
      </c>
      <c r="N234" s="134" t="s">
        <v>1637</v>
      </c>
      <c r="O234" s="134">
        <v>90.0</v>
      </c>
      <c r="P234" s="134" t="s">
        <v>1650</v>
      </c>
      <c r="Q234" s="132">
        <v>38.10200891208117</v>
      </c>
      <c r="R234" s="126" t="s">
        <v>6</v>
      </c>
      <c r="S234" s="49"/>
      <c r="T234" s="224">
        <v>127.0066963736039</v>
      </c>
      <c r="U234" s="224">
        <v>76.20401782416234</v>
      </c>
      <c r="V234" s="224">
        <v>63.50334818680195</v>
      </c>
      <c r="W234" s="224">
        <v>50.802678549441566</v>
      </c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</row>
    <row r="235" ht="13.5" customHeight="1">
      <c r="A235" s="423" t="s">
        <v>84</v>
      </c>
      <c r="B235" s="423" t="s">
        <v>1266</v>
      </c>
      <c r="C235" s="423" t="s">
        <v>1633</v>
      </c>
      <c r="D235" s="581" t="s">
        <v>1633</v>
      </c>
      <c r="E235" s="134"/>
      <c r="F235" s="134"/>
      <c r="G235" s="584" t="s">
        <v>1726</v>
      </c>
      <c r="H235" s="584" t="s">
        <v>778</v>
      </c>
      <c r="I235" s="423" t="s">
        <v>4355</v>
      </c>
      <c r="J235" s="134"/>
      <c r="K235" s="581" t="s">
        <v>95</v>
      </c>
      <c r="L235" s="134"/>
      <c r="M235" s="581" t="s">
        <v>554</v>
      </c>
      <c r="N235" s="134" t="s">
        <v>1637</v>
      </c>
      <c r="O235" s="134">
        <v>90.0</v>
      </c>
      <c r="P235" s="134" t="s">
        <v>1650</v>
      </c>
      <c r="Q235" s="132">
        <v>56.63853123622478</v>
      </c>
      <c r="R235" s="126" t="s">
        <v>6</v>
      </c>
      <c r="S235" s="49"/>
      <c r="T235" s="224">
        <v>188.79510412074927</v>
      </c>
      <c r="U235" s="224">
        <v>113.27706247244956</v>
      </c>
      <c r="V235" s="224">
        <v>94.39755206037464</v>
      </c>
      <c r="W235" s="224">
        <v>75.51804164829971</v>
      </c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</row>
    <row r="236" ht="13.5" customHeight="1">
      <c r="A236" s="423" t="s">
        <v>84</v>
      </c>
      <c r="B236" s="423" t="s">
        <v>1266</v>
      </c>
      <c r="C236" s="423" t="s">
        <v>1633</v>
      </c>
      <c r="D236" s="581" t="s">
        <v>1633</v>
      </c>
      <c r="E236" s="134"/>
      <c r="F236" s="134"/>
      <c r="G236" s="584" t="s">
        <v>1742</v>
      </c>
      <c r="H236" s="584" t="s">
        <v>778</v>
      </c>
      <c r="I236" s="423" t="s">
        <v>4356</v>
      </c>
      <c r="J236" s="134"/>
      <c r="K236" s="581" t="s">
        <v>95</v>
      </c>
      <c r="L236" s="134"/>
      <c r="M236" s="581" t="s">
        <v>554</v>
      </c>
      <c r="N236" s="134" t="s">
        <v>1637</v>
      </c>
      <c r="O236" s="134">
        <v>90.0</v>
      </c>
      <c r="P236" s="134" t="s">
        <v>1650</v>
      </c>
      <c r="Q236" s="132">
        <v>25.483919013641923</v>
      </c>
      <c r="R236" s="126" t="s">
        <v>6</v>
      </c>
      <c r="S236" s="49"/>
      <c r="T236" s="224">
        <v>84.94639671213974</v>
      </c>
      <c r="U236" s="224">
        <v>50.96783802728385</v>
      </c>
      <c r="V236" s="224">
        <v>42.47319835606987</v>
      </c>
      <c r="W236" s="224">
        <v>33.9785586848559</v>
      </c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</row>
    <row r="237" ht="13.5" customHeight="1">
      <c r="A237" s="423" t="s">
        <v>84</v>
      </c>
      <c r="B237" s="423" t="s">
        <v>1266</v>
      </c>
      <c r="C237" s="423" t="s">
        <v>1633</v>
      </c>
      <c r="D237" s="581" t="s">
        <v>1633</v>
      </c>
      <c r="E237" s="134"/>
      <c r="F237" s="134"/>
      <c r="G237" s="584" t="s">
        <v>1745</v>
      </c>
      <c r="H237" s="584" t="s">
        <v>778</v>
      </c>
      <c r="I237" s="423" t="s">
        <v>4357</v>
      </c>
      <c r="J237" s="134"/>
      <c r="K237" s="581" t="s">
        <v>95</v>
      </c>
      <c r="L237" s="134"/>
      <c r="M237" s="581" t="s">
        <v>554</v>
      </c>
      <c r="N237" s="134" t="s">
        <v>1637</v>
      </c>
      <c r="O237" s="134">
        <v>90.0</v>
      </c>
      <c r="P237" s="134" t="s">
        <v>1650</v>
      </c>
      <c r="Q237" s="132">
        <v>31.18143947231965</v>
      </c>
      <c r="R237" s="126" t="s">
        <v>6</v>
      </c>
      <c r="S237" s="49"/>
      <c r="T237" s="224">
        <v>103.93813157439884</v>
      </c>
      <c r="U237" s="224">
        <v>62.3628789446393</v>
      </c>
      <c r="V237" s="224">
        <v>51.96906578719942</v>
      </c>
      <c r="W237" s="224">
        <v>41.57525262975954</v>
      </c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</row>
    <row r="238" ht="13.5" customHeight="1">
      <c r="A238" s="423" t="s">
        <v>84</v>
      </c>
      <c r="B238" s="423" t="s">
        <v>1266</v>
      </c>
      <c r="C238" s="423" t="s">
        <v>1633</v>
      </c>
      <c r="D238" s="581" t="s">
        <v>1633</v>
      </c>
      <c r="E238" s="134"/>
      <c r="F238" s="134"/>
      <c r="G238" s="584" t="s">
        <v>1749</v>
      </c>
      <c r="H238" s="584" t="s">
        <v>778</v>
      </c>
      <c r="I238" s="423" t="s">
        <v>4358</v>
      </c>
      <c r="J238" s="134"/>
      <c r="K238" s="581" t="s">
        <v>95</v>
      </c>
      <c r="L238" s="134"/>
      <c r="M238" s="581" t="s">
        <v>554</v>
      </c>
      <c r="N238" s="134" t="s">
        <v>1637</v>
      </c>
      <c r="O238" s="134">
        <v>90.0</v>
      </c>
      <c r="P238" s="134" t="s">
        <v>1650</v>
      </c>
      <c r="Q238" s="132">
        <v>42.7773094506084</v>
      </c>
      <c r="R238" s="126" t="s">
        <v>6</v>
      </c>
      <c r="S238" s="49"/>
      <c r="T238" s="224">
        <v>142.59103150202802</v>
      </c>
      <c r="U238" s="224">
        <v>85.55461890121681</v>
      </c>
      <c r="V238" s="224">
        <v>71.29551575101401</v>
      </c>
      <c r="W238" s="224">
        <v>57.03641260081121</v>
      </c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</row>
    <row r="239" ht="13.5" customHeight="1">
      <c r="A239" s="423" t="s">
        <v>84</v>
      </c>
      <c r="B239" s="423" t="s">
        <v>1266</v>
      </c>
      <c r="C239" s="423" t="s">
        <v>1633</v>
      </c>
      <c r="D239" s="581" t="s">
        <v>1633</v>
      </c>
      <c r="E239" s="134"/>
      <c r="F239" s="134"/>
      <c r="G239" s="584" t="s">
        <v>1753</v>
      </c>
      <c r="H239" s="584" t="s">
        <v>778</v>
      </c>
      <c r="I239" s="423" t="s">
        <v>4359</v>
      </c>
      <c r="J239" s="134"/>
      <c r="K239" s="581" t="s">
        <v>95</v>
      </c>
      <c r="L239" s="134"/>
      <c r="M239" s="581" t="s">
        <v>554</v>
      </c>
      <c r="N239" s="134" t="s">
        <v>1637</v>
      </c>
      <c r="O239" s="134">
        <v>90.0</v>
      </c>
      <c r="P239" s="134" t="s">
        <v>1650</v>
      </c>
      <c r="Q239" s="132">
        <v>65.98913231327926</v>
      </c>
      <c r="R239" s="126" t="s">
        <v>6</v>
      </c>
      <c r="S239" s="49"/>
      <c r="T239" s="224">
        <v>219.96377437759753</v>
      </c>
      <c r="U239" s="224">
        <v>131.9782646265585</v>
      </c>
      <c r="V239" s="224">
        <v>109.98188718879877</v>
      </c>
      <c r="W239" s="224">
        <v>87.98550975103902</v>
      </c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</row>
    <row r="240" ht="13.5" customHeight="1">
      <c r="A240" s="423" t="s">
        <v>84</v>
      </c>
      <c r="B240" s="423" t="s">
        <v>1266</v>
      </c>
      <c r="C240" s="423" t="s">
        <v>1633</v>
      </c>
      <c r="D240" s="581" t="s">
        <v>1633</v>
      </c>
      <c r="E240" s="134" t="s">
        <v>1340</v>
      </c>
      <c r="F240" s="134"/>
      <c r="G240" s="584" t="s">
        <v>1758</v>
      </c>
      <c r="H240" s="584" t="s">
        <v>4128</v>
      </c>
      <c r="I240" s="423" t="s">
        <v>1760</v>
      </c>
      <c r="J240" s="134"/>
      <c r="K240" s="581" t="s">
        <v>95</v>
      </c>
      <c r="L240" s="134"/>
      <c r="M240" s="581" t="s">
        <v>554</v>
      </c>
      <c r="N240" s="134" t="s">
        <v>1176</v>
      </c>
      <c r="O240" s="134">
        <v>540.0</v>
      </c>
      <c r="P240" s="134" t="s">
        <v>1650</v>
      </c>
      <c r="Q240" s="132">
        <v>4.090200806035524</v>
      </c>
      <c r="R240" s="126" t="s">
        <v>6</v>
      </c>
      <c r="S240" s="49"/>
      <c r="T240" s="224">
        <v>13.634002686785081</v>
      </c>
      <c r="U240" s="224">
        <v>8.180401612071048</v>
      </c>
      <c r="V240" s="224">
        <v>6.8170013433925405</v>
      </c>
      <c r="W240" s="224">
        <v>5.453601074714033</v>
      </c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</row>
    <row r="241" ht="13.5" customHeight="1">
      <c r="A241" s="423" t="s">
        <v>84</v>
      </c>
      <c r="B241" s="423" t="s">
        <v>1266</v>
      </c>
      <c r="C241" s="423" t="s">
        <v>1633</v>
      </c>
      <c r="D241" s="581" t="s">
        <v>1633</v>
      </c>
      <c r="E241" s="134" t="s">
        <v>1340</v>
      </c>
      <c r="F241" s="134"/>
      <c r="G241" s="584" t="s">
        <v>1762</v>
      </c>
      <c r="H241" s="584" t="s">
        <v>4129</v>
      </c>
      <c r="I241" s="423" t="s">
        <v>1764</v>
      </c>
      <c r="J241" s="134"/>
      <c r="K241" s="581" t="s">
        <v>95</v>
      </c>
      <c r="L241" s="134"/>
      <c r="M241" s="581" t="s">
        <v>554</v>
      </c>
      <c r="N241" s="134" t="s">
        <v>1176</v>
      </c>
      <c r="O241" s="134">
        <v>540.0</v>
      </c>
      <c r="P241" s="134" t="s">
        <v>1650</v>
      </c>
      <c r="Q241" s="132">
        <v>3.0453279295713602</v>
      </c>
      <c r="R241" s="126" t="s">
        <v>6</v>
      </c>
      <c r="S241" s="49"/>
      <c r="T241" s="224">
        <v>10.1510930985712</v>
      </c>
      <c r="U241" s="224">
        <v>6.0906558591427205</v>
      </c>
      <c r="V241" s="224">
        <v>5.0755465492856</v>
      </c>
      <c r="W241" s="224">
        <v>4.06043723942848</v>
      </c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</row>
    <row r="242" ht="13.5" customHeight="1">
      <c r="A242" s="423" t="s">
        <v>84</v>
      </c>
      <c r="B242" s="423" t="s">
        <v>1266</v>
      </c>
      <c r="C242" s="423" t="s">
        <v>1633</v>
      </c>
      <c r="D242" s="581" t="s">
        <v>1633</v>
      </c>
      <c r="E242" s="134" t="s">
        <v>1340</v>
      </c>
      <c r="F242" s="134"/>
      <c r="G242" s="584" t="s">
        <v>1766</v>
      </c>
      <c r="H242" s="584" t="s">
        <v>4130</v>
      </c>
      <c r="I242" s="423" t="s">
        <v>1768</v>
      </c>
      <c r="J242" s="134"/>
      <c r="K242" s="581" t="s">
        <v>95</v>
      </c>
      <c r="L242" s="134"/>
      <c r="M242" s="581" t="s">
        <v>554</v>
      </c>
      <c r="N242" s="134" t="s">
        <v>1176</v>
      </c>
      <c r="O242" s="134">
        <v>540.0</v>
      </c>
      <c r="P242" s="134" t="s">
        <v>1650</v>
      </c>
      <c r="Q242" s="132">
        <v>3.0453279295713602</v>
      </c>
      <c r="R242" s="126" t="s">
        <v>6</v>
      </c>
      <c r="S242" s="49"/>
      <c r="T242" s="224">
        <v>10.1510930985712</v>
      </c>
      <c r="U242" s="224">
        <v>6.0906558591427205</v>
      </c>
      <c r="V242" s="224">
        <v>5.0755465492856</v>
      </c>
      <c r="W242" s="224">
        <v>4.06043723942848</v>
      </c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</row>
    <row r="243" ht="13.5" customHeight="1">
      <c r="A243" s="423" t="s">
        <v>84</v>
      </c>
      <c r="B243" s="423" t="s">
        <v>1266</v>
      </c>
      <c r="C243" s="423" t="s">
        <v>1633</v>
      </c>
      <c r="D243" s="581" t="s">
        <v>1633</v>
      </c>
      <c r="E243" s="134" t="s">
        <v>1340</v>
      </c>
      <c r="F243" s="134"/>
      <c r="G243" s="584" t="s">
        <v>1770</v>
      </c>
      <c r="H243" s="584" t="s">
        <v>4131</v>
      </c>
      <c r="I243" s="423" t="s">
        <v>1772</v>
      </c>
      <c r="J243" s="134"/>
      <c r="K243" s="581" t="s">
        <v>95</v>
      </c>
      <c r="L243" s="134"/>
      <c r="M243" s="581" t="s">
        <v>554</v>
      </c>
      <c r="N243" s="134" t="s">
        <v>1176</v>
      </c>
      <c r="O243" s="134">
        <v>540.0</v>
      </c>
      <c r="P243" s="134" t="s">
        <v>1650</v>
      </c>
      <c r="Q243" s="132">
        <v>2.5228914913392786</v>
      </c>
      <c r="R243" s="126" t="s">
        <v>6</v>
      </c>
      <c r="S243" s="49"/>
      <c r="T243" s="224">
        <v>8.409638304464263</v>
      </c>
      <c r="U243" s="224">
        <v>5.045782982678557</v>
      </c>
      <c r="V243" s="224">
        <v>4.204819152232131</v>
      </c>
      <c r="W243" s="224">
        <v>3.3638553217857052</v>
      </c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</row>
    <row r="244" ht="13.5" customHeight="1">
      <c r="A244" s="423" t="s">
        <v>84</v>
      </c>
      <c r="B244" s="423" t="s">
        <v>1266</v>
      </c>
      <c r="C244" s="423" t="s">
        <v>1633</v>
      </c>
      <c r="D244" s="581" t="s">
        <v>1633</v>
      </c>
      <c r="E244" s="134" t="s">
        <v>1663</v>
      </c>
      <c r="F244" s="134"/>
      <c r="G244" s="584" t="s">
        <v>1774</v>
      </c>
      <c r="H244" s="584" t="s">
        <v>4132</v>
      </c>
      <c r="I244" s="423" t="s">
        <v>1776</v>
      </c>
      <c r="J244" s="134"/>
      <c r="K244" s="581" t="s">
        <v>95</v>
      </c>
      <c r="L244" s="134"/>
      <c r="M244" s="581" t="s">
        <v>554</v>
      </c>
      <c r="N244" s="134" t="s">
        <v>1176</v>
      </c>
      <c r="O244" s="134">
        <v>540.0</v>
      </c>
      <c r="P244" s="134" t="s">
        <v>1650</v>
      </c>
      <c r="Q244" s="132">
        <v>3.0453279295713602</v>
      </c>
      <c r="R244" s="126" t="s">
        <v>6</v>
      </c>
      <c r="S244" s="49"/>
      <c r="T244" s="224">
        <v>10.1510930985712</v>
      </c>
      <c r="U244" s="224">
        <v>6.0906558591427205</v>
      </c>
      <c r="V244" s="224">
        <v>5.0755465492856</v>
      </c>
      <c r="W244" s="224">
        <v>4.06043723942848</v>
      </c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</row>
    <row r="245" ht="13.5" customHeight="1">
      <c r="A245" s="423" t="s">
        <v>84</v>
      </c>
      <c r="B245" s="423" t="s">
        <v>1266</v>
      </c>
      <c r="C245" s="423" t="s">
        <v>1633</v>
      </c>
      <c r="D245" s="581" t="s">
        <v>1633</v>
      </c>
      <c r="E245" s="134" t="s">
        <v>1288</v>
      </c>
      <c r="F245" s="423"/>
      <c r="G245" s="583" t="s">
        <v>1793</v>
      </c>
      <c r="H245" s="583" t="s">
        <v>4133</v>
      </c>
      <c r="I245" s="582" t="s">
        <v>1795</v>
      </c>
      <c r="J245" s="134"/>
      <c r="K245" s="581" t="s">
        <v>95</v>
      </c>
      <c r="L245" s="581"/>
      <c r="M245" s="581" t="s">
        <v>554</v>
      </c>
      <c r="N245" s="134" t="s">
        <v>1176</v>
      </c>
      <c r="O245" s="134">
        <v>540.0</v>
      </c>
      <c r="P245" s="134" t="s">
        <v>1650</v>
      </c>
      <c r="Q245" s="132">
        <v>8.269692311892175</v>
      </c>
      <c r="R245" s="126" t="s">
        <v>6</v>
      </c>
      <c r="S245" s="49"/>
      <c r="T245" s="224">
        <v>27.565641039640585</v>
      </c>
      <c r="U245" s="224">
        <v>16.53938462378435</v>
      </c>
      <c r="V245" s="224">
        <v>13.782820519820293</v>
      </c>
      <c r="W245" s="224">
        <v>11.026256415856235</v>
      </c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</row>
    <row r="246" ht="13.5" customHeight="1">
      <c r="A246" s="423" t="s">
        <v>84</v>
      </c>
      <c r="B246" s="423" t="s">
        <v>1266</v>
      </c>
      <c r="C246" s="423" t="s">
        <v>1633</v>
      </c>
      <c r="D246" s="581" t="s">
        <v>1633</v>
      </c>
      <c r="E246" s="134" t="s">
        <v>1288</v>
      </c>
      <c r="F246" s="423"/>
      <c r="G246" s="583" t="s">
        <v>1798</v>
      </c>
      <c r="H246" s="583" t="s">
        <v>4134</v>
      </c>
      <c r="I246" s="582" t="s">
        <v>1800</v>
      </c>
      <c r="J246" s="134"/>
      <c r="K246" s="581" t="s">
        <v>95</v>
      </c>
      <c r="L246" s="581"/>
      <c r="M246" s="581" t="s">
        <v>554</v>
      </c>
      <c r="N246" s="134" t="s">
        <v>1176</v>
      </c>
      <c r="O246" s="134">
        <v>540.0</v>
      </c>
      <c r="P246" s="134" t="s">
        <v>1650</v>
      </c>
      <c r="Q246" s="132">
        <v>6.179946558963849</v>
      </c>
      <c r="R246" s="126" t="s">
        <v>6</v>
      </c>
      <c r="S246" s="49"/>
      <c r="T246" s="224">
        <v>20.59982186321283</v>
      </c>
      <c r="U246" s="224">
        <v>12.3598931179277</v>
      </c>
      <c r="V246" s="224">
        <v>10.299910931606416</v>
      </c>
      <c r="W246" s="224">
        <v>8.239928745285132</v>
      </c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</row>
    <row r="247" ht="13.5" customHeight="1">
      <c r="A247" s="423" t="s">
        <v>84</v>
      </c>
      <c r="B247" s="423" t="s">
        <v>1266</v>
      </c>
      <c r="C247" s="423" t="s">
        <v>1633</v>
      </c>
      <c r="D247" s="581" t="s">
        <v>1633</v>
      </c>
      <c r="E247" s="134" t="s">
        <v>1268</v>
      </c>
      <c r="F247" s="423"/>
      <c r="G247" s="583" t="s">
        <v>1802</v>
      </c>
      <c r="H247" s="583" t="s">
        <v>4135</v>
      </c>
      <c r="I247" s="582" t="s">
        <v>1804</v>
      </c>
      <c r="J247" s="134"/>
      <c r="K247" s="581" t="s">
        <v>95</v>
      </c>
      <c r="L247" s="581"/>
      <c r="M247" s="581" t="s">
        <v>554</v>
      </c>
      <c r="N247" s="134" t="s">
        <v>1176</v>
      </c>
      <c r="O247" s="134">
        <v>540.0</v>
      </c>
      <c r="P247" s="134" t="s">
        <v>1650</v>
      </c>
      <c r="Q247" s="132">
        <v>10.3594380648205</v>
      </c>
      <c r="R247" s="126" t="s">
        <v>6</v>
      </c>
      <c r="S247" s="49"/>
      <c r="T247" s="224">
        <v>34.53146021606833</v>
      </c>
      <c r="U247" s="224">
        <v>20.718876129641</v>
      </c>
      <c r="V247" s="224">
        <v>17.265730108034166</v>
      </c>
      <c r="W247" s="224">
        <v>13.812584086427334</v>
      </c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</row>
    <row r="248" ht="13.5" customHeight="1">
      <c r="A248" s="423" t="s">
        <v>84</v>
      </c>
      <c r="B248" s="423" t="s">
        <v>1266</v>
      </c>
      <c r="C248" s="423" t="s">
        <v>1633</v>
      </c>
      <c r="D248" s="581" t="s">
        <v>1633</v>
      </c>
      <c r="E248" s="134" t="s">
        <v>1268</v>
      </c>
      <c r="F248" s="423"/>
      <c r="G248" s="583" t="s">
        <v>1806</v>
      </c>
      <c r="H248" s="583" t="s">
        <v>4136</v>
      </c>
      <c r="I248" s="582" t="s">
        <v>1808</v>
      </c>
      <c r="J248" s="134"/>
      <c r="K248" s="581" t="s">
        <v>95</v>
      </c>
      <c r="L248" s="581"/>
      <c r="M248" s="581" t="s">
        <v>554</v>
      </c>
      <c r="N248" s="134" t="s">
        <v>1176</v>
      </c>
      <c r="O248" s="134">
        <v>540.0</v>
      </c>
      <c r="P248" s="134" t="s">
        <v>1650</v>
      </c>
      <c r="Q248" s="132">
        <v>6.702382997195931</v>
      </c>
      <c r="R248" s="126" t="s">
        <v>6</v>
      </c>
      <c r="S248" s="49"/>
      <c r="T248" s="224">
        <v>22.34127665731977</v>
      </c>
      <c r="U248" s="224">
        <v>13.404765994391862</v>
      </c>
      <c r="V248" s="224">
        <v>11.170638328659885</v>
      </c>
      <c r="W248" s="224">
        <v>8.936510662927908</v>
      </c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</row>
    <row r="249" ht="13.5" customHeight="1">
      <c r="A249" s="423" t="s">
        <v>84</v>
      </c>
      <c r="B249" s="423" t="s">
        <v>1266</v>
      </c>
      <c r="C249" s="423" t="s">
        <v>1633</v>
      </c>
      <c r="D249" s="581" t="s">
        <v>1633</v>
      </c>
      <c r="E249" s="134" t="s">
        <v>1288</v>
      </c>
      <c r="F249" s="423"/>
      <c r="G249" s="583" t="s">
        <v>1810</v>
      </c>
      <c r="H249" s="583" t="s">
        <v>4137</v>
      </c>
      <c r="I249" s="582" t="s">
        <v>1812</v>
      </c>
      <c r="J249" s="134"/>
      <c r="K249" s="581" t="s">
        <v>95</v>
      </c>
      <c r="L249" s="581"/>
      <c r="M249" s="581" t="s">
        <v>554</v>
      </c>
      <c r="N249" s="134" t="s">
        <v>1176</v>
      </c>
      <c r="O249" s="134">
        <v>540.0</v>
      </c>
      <c r="P249" s="134" t="s">
        <v>1650</v>
      </c>
      <c r="Q249" s="132">
        <v>8.269692311892175</v>
      </c>
      <c r="R249" s="126" t="s">
        <v>6</v>
      </c>
      <c r="S249" s="49"/>
      <c r="T249" s="224">
        <v>27.565641039640585</v>
      </c>
      <c r="U249" s="224">
        <v>16.53938462378435</v>
      </c>
      <c r="V249" s="224">
        <v>13.782820519820293</v>
      </c>
      <c r="W249" s="224">
        <v>11.026256415856235</v>
      </c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</row>
    <row r="250" ht="13.5" customHeight="1">
      <c r="A250" s="423" t="s">
        <v>84</v>
      </c>
      <c r="B250" s="423" t="s">
        <v>1266</v>
      </c>
      <c r="C250" s="423" t="s">
        <v>1633</v>
      </c>
      <c r="D250" s="581" t="s">
        <v>1633</v>
      </c>
      <c r="E250" s="134" t="s">
        <v>1288</v>
      </c>
      <c r="F250" s="423"/>
      <c r="G250" s="583" t="s">
        <v>1814</v>
      </c>
      <c r="H250" s="583" t="s">
        <v>4138</v>
      </c>
      <c r="I250" s="582" t="s">
        <v>1816</v>
      </c>
      <c r="J250" s="134"/>
      <c r="K250" s="581" t="s">
        <v>95</v>
      </c>
      <c r="L250" s="581"/>
      <c r="M250" s="581" t="s">
        <v>554</v>
      </c>
      <c r="N250" s="134" t="s">
        <v>1176</v>
      </c>
      <c r="O250" s="134">
        <v>540.0</v>
      </c>
      <c r="P250" s="134" t="s">
        <v>1650</v>
      </c>
      <c r="Q250" s="132">
        <v>6.179946558963849</v>
      </c>
      <c r="R250" s="126" t="s">
        <v>6</v>
      </c>
      <c r="S250" s="49"/>
      <c r="T250" s="224">
        <v>20.59982186321283</v>
      </c>
      <c r="U250" s="224">
        <v>12.3598931179277</v>
      </c>
      <c r="V250" s="224">
        <v>10.299910931606416</v>
      </c>
      <c r="W250" s="224">
        <v>8.239928745285132</v>
      </c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</row>
    <row r="251" ht="13.5" customHeight="1">
      <c r="A251" s="423" t="s">
        <v>84</v>
      </c>
      <c r="B251" s="423" t="s">
        <v>1266</v>
      </c>
      <c r="C251" s="423" t="s">
        <v>1633</v>
      </c>
      <c r="D251" s="581" t="s">
        <v>1633</v>
      </c>
      <c r="E251" s="134" t="s">
        <v>1268</v>
      </c>
      <c r="F251" s="423"/>
      <c r="G251" s="583" t="s">
        <v>1818</v>
      </c>
      <c r="H251" s="583" t="s">
        <v>4139</v>
      </c>
      <c r="I251" s="582" t="s">
        <v>1820</v>
      </c>
      <c r="J251" s="134"/>
      <c r="K251" s="581" t="s">
        <v>95</v>
      </c>
      <c r="L251" s="581"/>
      <c r="M251" s="581" t="s">
        <v>554</v>
      </c>
      <c r="N251" s="134" t="s">
        <v>1176</v>
      </c>
      <c r="O251" s="134">
        <v>540.0</v>
      </c>
      <c r="P251" s="134" t="s">
        <v>1650</v>
      </c>
      <c r="Q251" s="132">
        <v>10.3594380648205</v>
      </c>
      <c r="R251" s="126" t="s">
        <v>6</v>
      </c>
      <c r="S251" s="49"/>
      <c r="T251" s="224">
        <v>34.53146021606833</v>
      </c>
      <c r="U251" s="224">
        <v>20.718876129641</v>
      </c>
      <c r="V251" s="224">
        <v>17.265730108034166</v>
      </c>
      <c r="W251" s="224">
        <v>13.812584086427334</v>
      </c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</row>
    <row r="252" ht="13.5" customHeight="1">
      <c r="A252" s="423" t="s">
        <v>84</v>
      </c>
      <c r="B252" s="423" t="s">
        <v>1266</v>
      </c>
      <c r="C252" s="423" t="s">
        <v>1633</v>
      </c>
      <c r="D252" s="581" t="s">
        <v>1633</v>
      </c>
      <c r="E252" s="134" t="s">
        <v>1268</v>
      </c>
      <c r="F252" s="423"/>
      <c r="G252" s="583" t="s">
        <v>1822</v>
      </c>
      <c r="H252" s="583" t="s">
        <v>4140</v>
      </c>
      <c r="I252" s="582" t="s">
        <v>1824</v>
      </c>
      <c r="J252" s="134"/>
      <c r="K252" s="581" t="s">
        <v>95</v>
      </c>
      <c r="L252" s="134"/>
      <c r="M252" s="581" t="s">
        <v>554</v>
      </c>
      <c r="N252" s="134" t="s">
        <v>1176</v>
      </c>
      <c r="O252" s="134">
        <v>540.0</v>
      </c>
      <c r="P252" s="134" t="s">
        <v>1650</v>
      </c>
      <c r="Q252" s="132">
        <v>6.702382997195931</v>
      </c>
      <c r="R252" s="126" t="s">
        <v>6</v>
      </c>
      <c r="S252" s="49"/>
      <c r="T252" s="224">
        <v>22.34127665731977</v>
      </c>
      <c r="U252" s="224">
        <v>13.404765994391862</v>
      </c>
      <c r="V252" s="224">
        <v>11.170638328659885</v>
      </c>
      <c r="W252" s="224">
        <v>8.936510662927908</v>
      </c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</row>
    <row r="253" ht="13.5" customHeight="1">
      <c r="A253" s="423" t="s">
        <v>84</v>
      </c>
      <c r="B253" s="423" t="s">
        <v>1266</v>
      </c>
      <c r="C253" s="423" t="s">
        <v>1826</v>
      </c>
      <c r="D253" s="581" t="s">
        <v>1288</v>
      </c>
      <c r="E253" s="134" t="s">
        <v>1319</v>
      </c>
      <c r="F253" s="134"/>
      <c r="G253" s="584" t="s">
        <v>1827</v>
      </c>
      <c r="H253" s="584" t="s">
        <v>4141</v>
      </c>
      <c r="I253" s="423" t="s">
        <v>1829</v>
      </c>
      <c r="J253" s="134"/>
      <c r="K253" s="581" t="s">
        <v>95</v>
      </c>
      <c r="L253" s="134"/>
      <c r="M253" s="581" t="s">
        <v>1323</v>
      </c>
      <c r="N253" s="134" t="s">
        <v>1176</v>
      </c>
      <c r="O253" s="134">
        <v>10800.0</v>
      </c>
      <c r="P253" s="134">
        <v>8.5447E9</v>
      </c>
      <c r="Q253" s="132">
        <v>0.4328400699713096</v>
      </c>
      <c r="R253" s="126" t="s">
        <v>10</v>
      </c>
      <c r="S253" s="49"/>
      <c r="T253" s="224">
        <v>1.4428002332376986</v>
      </c>
      <c r="U253" s="224">
        <v>0.8656801399426192</v>
      </c>
      <c r="V253" s="224">
        <v>0.7214001166188493</v>
      </c>
      <c r="W253" s="224">
        <v>0.5771200932950794</v>
      </c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</row>
    <row r="254" ht="13.5" customHeight="1">
      <c r="A254" s="423" t="s">
        <v>84</v>
      </c>
      <c r="B254" s="423" t="s">
        <v>1266</v>
      </c>
      <c r="C254" s="423" t="s">
        <v>1826</v>
      </c>
      <c r="D254" s="581" t="s">
        <v>1268</v>
      </c>
      <c r="E254" s="134" t="s">
        <v>1319</v>
      </c>
      <c r="F254" s="134"/>
      <c r="G254" s="584" t="s">
        <v>1830</v>
      </c>
      <c r="H254" s="584" t="s">
        <v>4142</v>
      </c>
      <c r="I254" s="423" t="s">
        <v>1832</v>
      </c>
      <c r="J254" s="134"/>
      <c r="K254" s="581" t="s">
        <v>95</v>
      </c>
      <c r="L254" s="134"/>
      <c r="M254" s="581" t="s">
        <v>1323</v>
      </c>
      <c r="N254" s="134" t="s">
        <v>1176</v>
      </c>
      <c r="O254" s="134">
        <v>10800.0</v>
      </c>
      <c r="P254" s="134">
        <v>8.5447E9</v>
      </c>
      <c r="Q254" s="132">
        <v>0.4328400699713096</v>
      </c>
      <c r="R254" s="126" t="s">
        <v>10</v>
      </c>
      <c r="S254" s="49"/>
      <c r="T254" s="224">
        <v>1.4428002332376986</v>
      </c>
      <c r="U254" s="224">
        <v>0.8656801399426192</v>
      </c>
      <c r="V254" s="224">
        <v>0.7214001166188493</v>
      </c>
      <c r="W254" s="224">
        <v>0.5771200932950794</v>
      </c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</row>
    <row r="255" ht="13.5" customHeight="1">
      <c r="A255" s="423" t="s">
        <v>84</v>
      </c>
      <c r="B255" s="423" t="s">
        <v>1266</v>
      </c>
      <c r="C255" s="423" t="s">
        <v>1826</v>
      </c>
      <c r="D255" s="581" t="s">
        <v>1288</v>
      </c>
      <c r="E255" s="134" t="s">
        <v>1395</v>
      </c>
      <c r="F255" s="134"/>
      <c r="G255" s="584" t="s">
        <v>1833</v>
      </c>
      <c r="H255" s="584" t="s">
        <v>4143</v>
      </c>
      <c r="I255" s="423" t="s">
        <v>1835</v>
      </c>
      <c r="J255" s="134"/>
      <c r="K255" s="581" t="s">
        <v>95</v>
      </c>
      <c r="L255" s="134"/>
      <c r="M255" s="581" t="s">
        <v>1323</v>
      </c>
      <c r="N255" s="134" t="s">
        <v>1176</v>
      </c>
      <c r="O255" s="134">
        <v>10800.0</v>
      </c>
      <c r="P255" s="134">
        <v>8.5447E9</v>
      </c>
      <c r="Q255" s="132">
        <v>0.5488408514502585</v>
      </c>
      <c r="R255" s="126" t="s">
        <v>10</v>
      </c>
      <c r="S255" s="49"/>
      <c r="T255" s="224">
        <v>1.8294695048341951</v>
      </c>
      <c r="U255" s="224">
        <v>1.097681702900517</v>
      </c>
      <c r="V255" s="224">
        <v>0.9147347524170976</v>
      </c>
      <c r="W255" s="224">
        <v>0.7317878019336781</v>
      </c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</row>
    <row r="256" ht="13.5" customHeight="1">
      <c r="A256" s="423" t="s">
        <v>84</v>
      </c>
      <c r="B256" s="423" t="s">
        <v>1266</v>
      </c>
      <c r="C256" s="423" t="s">
        <v>1826</v>
      </c>
      <c r="D256" s="581" t="s">
        <v>1268</v>
      </c>
      <c r="E256" s="134" t="s">
        <v>1395</v>
      </c>
      <c r="F256" s="134"/>
      <c r="G256" s="584" t="s">
        <v>1836</v>
      </c>
      <c r="H256" s="584" t="s">
        <v>4144</v>
      </c>
      <c r="I256" s="423" t="s">
        <v>1838</v>
      </c>
      <c r="J256" s="134"/>
      <c r="K256" s="581" t="s">
        <v>95</v>
      </c>
      <c r="L256" s="134"/>
      <c r="M256" s="581" t="s">
        <v>1323</v>
      </c>
      <c r="N256" s="134" t="s">
        <v>1176</v>
      </c>
      <c r="O256" s="134">
        <v>10800.0</v>
      </c>
      <c r="P256" s="134">
        <v>8.5447E9</v>
      </c>
      <c r="Q256" s="132">
        <v>0.5488408514502585</v>
      </c>
      <c r="R256" s="126" t="s">
        <v>10</v>
      </c>
      <c r="S256" s="49"/>
      <c r="T256" s="224">
        <v>1.8294695048341951</v>
      </c>
      <c r="U256" s="224">
        <v>1.097681702900517</v>
      </c>
      <c r="V256" s="224">
        <v>0.9147347524170976</v>
      </c>
      <c r="W256" s="224">
        <v>0.7317878019336781</v>
      </c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</row>
    <row r="257" ht="13.5" customHeight="1">
      <c r="A257" s="423" t="s">
        <v>84</v>
      </c>
      <c r="B257" s="423" t="s">
        <v>1266</v>
      </c>
      <c r="C257" s="423" t="s">
        <v>1826</v>
      </c>
      <c r="D257" s="581" t="s">
        <v>1288</v>
      </c>
      <c r="E257" s="134" t="s">
        <v>1520</v>
      </c>
      <c r="F257" s="134"/>
      <c r="G257" s="584" t="s">
        <v>1845</v>
      </c>
      <c r="H257" s="584" t="s">
        <v>4145</v>
      </c>
      <c r="I257" s="423" t="s">
        <v>1847</v>
      </c>
      <c r="J257" s="134"/>
      <c r="K257" s="581" t="s">
        <v>95</v>
      </c>
      <c r="L257" s="134"/>
      <c r="M257" s="581" t="s">
        <v>1323</v>
      </c>
      <c r="N257" s="134" t="s">
        <v>1176</v>
      </c>
      <c r="O257" s="134">
        <v>10800.0</v>
      </c>
      <c r="P257" s="134">
        <v>8.5447E9</v>
      </c>
      <c r="Q257" s="132">
        <v>0.39162926602484094</v>
      </c>
      <c r="R257" s="126" t="s">
        <v>10</v>
      </c>
      <c r="S257" s="49"/>
      <c r="T257" s="224">
        <v>1.30543088674947</v>
      </c>
      <c r="U257" s="224">
        <v>0.783258532049682</v>
      </c>
      <c r="V257" s="224">
        <v>0.652715443374735</v>
      </c>
      <c r="W257" s="224">
        <v>0.522172354699788</v>
      </c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</row>
    <row r="258" ht="13.5" customHeight="1">
      <c r="A258" s="423" t="s">
        <v>84</v>
      </c>
      <c r="B258" s="423" t="s">
        <v>1266</v>
      </c>
      <c r="C258" s="423" t="s">
        <v>1826</v>
      </c>
      <c r="D258" s="581" t="s">
        <v>1268</v>
      </c>
      <c r="E258" s="134" t="s">
        <v>1520</v>
      </c>
      <c r="F258" s="134"/>
      <c r="G258" s="584" t="s">
        <v>1849</v>
      </c>
      <c r="H258" s="584" t="s">
        <v>4146</v>
      </c>
      <c r="I258" s="423" t="s">
        <v>1851</v>
      </c>
      <c r="J258" s="134"/>
      <c r="K258" s="581" t="s">
        <v>95</v>
      </c>
      <c r="L258" s="134"/>
      <c r="M258" s="581" t="s">
        <v>1323</v>
      </c>
      <c r="N258" s="134" t="s">
        <v>1176</v>
      </c>
      <c r="O258" s="134">
        <v>10800.0</v>
      </c>
      <c r="P258" s="134">
        <v>8.5447E9</v>
      </c>
      <c r="Q258" s="132">
        <v>0.39162926602484094</v>
      </c>
      <c r="R258" s="126" t="s">
        <v>10</v>
      </c>
      <c r="S258" s="49"/>
      <c r="T258" s="224">
        <v>1.30543088674947</v>
      </c>
      <c r="U258" s="224">
        <v>0.783258532049682</v>
      </c>
      <c r="V258" s="224">
        <v>0.652715443374735</v>
      </c>
      <c r="W258" s="224">
        <v>0.522172354699788</v>
      </c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</row>
    <row r="259" ht="13.5" customHeight="1">
      <c r="A259" s="423" t="s">
        <v>84</v>
      </c>
      <c r="B259" s="423" t="s">
        <v>1266</v>
      </c>
      <c r="C259" s="423" t="s">
        <v>1826</v>
      </c>
      <c r="D259" s="581" t="s">
        <v>1288</v>
      </c>
      <c r="E259" s="134" t="s">
        <v>1591</v>
      </c>
      <c r="F259" s="134"/>
      <c r="G259" s="584" t="s">
        <v>1845</v>
      </c>
      <c r="H259" s="584" t="s">
        <v>4145</v>
      </c>
      <c r="I259" s="423" t="s">
        <v>1847</v>
      </c>
      <c r="J259" s="134"/>
      <c r="K259" s="581" t="s">
        <v>95</v>
      </c>
      <c r="L259" s="134"/>
      <c r="M259" s="581" t="s">
        <v>1323</v>
      </c>
      <c r="N259" s="134" t="s">
        <v>1176</v>
      </c>
      <c r="O259" s="134">
        <v>10800.0</v>
      </c>
      <c r="P259" s="134">
        <v>8.5447E9</v>
      </c>
      <c r="Q259" s="132">
        <v>0.4007872224573895</v>
      </c>
      <c r="R259" s="126" t="s">
        <v>10</v>
      </c>
      <c r="S259" s="49"/>
      <c r="T259" s="224">
        <v>1.3359574081912984</v>
      </c>
      <c r="U259" s="224">
        <v>0.801574444914779</v>
      </c>
      <c r="V259" s="224">
        <v>0.6679787040956492</v>
      </c>
      <c r="W259" s="224">
        <v>0.5343829632765194</v>
      </c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</row>
    <row r="260" ht="13.5" customHeight="1">
      <c r="A260" s="423" t="s">
        <v>84</v>
      </c>
      <c r="B260" s="423" t="s">
        <v>1266</v>
      </c>
      <c r="C260" s="423" t="s">
        <v>1826</v>
      </c>
      <c r="D260" s="581" t="s">
        <v>1268</v>
      </c>
      <c r="E260" s="134" t="s">
        <v>1591</v>
      </c>
      <c r="F260" s="134"/>
      <c r="G260" s="584" t="s">
        <v>1849</v>
      </c>
      <c r="H260" s="584" t="s">
        <v>4146</v>
      </c>
      <c r="I260" s="423" t="s">
        <v>1851</v>
      </c>
      <c r="J260" s="134"/>
      <c r="K260" s="581" t="s">
        <v>95</v>
      </c>
      <c r="L260" s="134"/>
      <c r="M260" s="581" t="s">
        <v>1323</v>
      </c>
      <c r="N260" s="134" t="s">
        <v>1176</v>
      </c>
      <c r="O260" s="134">
        <v>10800.0</v>
      </c>
      <c r="P260" s="134">
        <v>8.5447E9</v>
      </c>
      <c r="Q260" s="132">
        <v>0.4007872224573895</v>
      </c>
      <c r="R260" s="126" t="s">
        <v>10</v>
      </c>
      <c r="S260" s="49"/>
      <c r="T260" s="224">
        <v>1.3359574081912984</v>
      </c>
      <c r="U260" s="224">
        <v>0.801574444914779</v>
      </c>
      <c r="V260" s="224">
        <v>0.6679787040956492</v>
      </c>
      <c r="W260" s="224">
        <v>0.5343829632765194</v>
      </c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</row>
    <row r="261" ht="13.5" customHeight="1">
      <c r="A261" s="423" t="s">
        <v>84</v>
      </c>
      <c r="B261" s="423" t="s">
        <v>1266</v>
      </c>
      <c r="C261" s="423" t="s">
        <v>1826</v>
      </c>
      <c r="D261" s="581" t="s">
        <v>1288</v>
      </c>
      <c r="E261" s="134" t="s">
        <v>1319</v>
      </c>
      <c r="F261" s="134"/>
      <c r="G261" s="358" t="s">
        <v>1856</v>
      </c>
      <c r="H261" s="584"/>
      <c r="I261" s="423" t="s">
        <v>1858</v>
      </c>
      <c r="J261" s="134"/>
      <c r="K261" s="581" t="s">
        <v>95</v>
      </c>
      <c r="L261" s="134"/>
      <c r="M261" s="423" t="s">
        <v>1859</v>
      </c>
      <c r="N261" s="134" t="s">
        <v>1637</v>
      </c>
      <c r="O261" s="134">
        <v>480.0</v>
      </c>
      <c r="P261" s="134"/>
      <c r="Q261" s="132">
        <v>5.666663614014522</v>
      </c>
      <c r="R261" s="126" t="s">
        <v>10</v>
      </c>
      <c r="S261" s="49"/>
      <c r="T261" s="224">
        <v>18.88887871338174</v>
      </c>
      <c r="U261" s="224">
        <v>11.333327228029043</v>
      </c>
      <c r="V261" s="224">
        <v>9.44443935669087</v>
      </c>
      <c r="W261" s="224">
        <v>7.555551485352696</v>
      </c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</row>
    <row r="262" ht="13.5" customHeight="1">
      <c r="A262" s="423" t="s">
        <v>84</v>
      </c>
      <c r="B262" s="423" t="s">
        <v>1266</v>
      </c>
      <c r="C262" s="423" t="s">
        <v>1826</v>
      </c>
      <c r="D262" s="581" t="s">
        <v>1268</v>
      </c>
      <c r="E262" s="134" t="s">
        <v>1319</v>
      </c>
      <c r="F262" s="134"/>
      <c r="G262" s="358" t="s">
        <v>1861</v>
      </c>
      <c r="H262" s="584"/>
      <c r="I262" s="423" t="s">
        <v>1863</v>
      </c>
      <c r="J262" s="134"/>
      <c r="K262" s="581" t="s">
        <v>95</v>
      </c>
      <c r="L262" s="134"/>
      <c r="M262" s="423" t="s">
        <v>1859</v>
      </c>
      <c r="N262" s="134" t="s">
        <v>1637</v>
      </c>
      <c r="O262" s="134">
        <v>480.0</v>
      </c>
      <c r="P262" s="134"/>
      <c r="Q262" s="132">
        <v>5.666663614014522</v>
      </c>
      <c r="R262" s="126" t="s">
        <v>10</v>
      </c>
      <c r="S262" s="49"/>
      <c r="T262" s="224">
        <v>18.88887871338174</v>
      </c>
      <c r="U262" s="224">
        <v>11.333327228029043</v>
      </c>
      <c r="V262" s="224">
        <v>9.44443935669087</v>
      </c>
      <c r="W262" s="224">
        <v>7.555551485352696</v>
      </c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</row>
    <row r="263" ht="13.5" customHeight="1">
      <c r="A263" s="423" t="s">
        <v>84</v>
      </c>
      <c r="B263" s="423" t="s">
        <v>1266</v>
      </c>
      <c r="C263" s="423" t="s">
        <v>1826</v>
      </c>
      <c r="D263" s="581" t="s">
        <v>1288</v>
      </c>
      <c r="E263" s="134" t="s">
        <v>1395</v>
      </c>
      <c r="F263" s="134"/>
      <c r="G263" s="358" t="s">
        <v>1865</v>
      </c>
      <c r="H263" s="584"/>
      <c r="I263" s="423" t="s">
        <v>1867</v>
      </c>
      <c r="J263" s="134"/>
      <c r="K263" s="581" t="s">
        <v>95</v>
      </c>
      <c r="L263" s="134"/>
      <c r="M263" s="423" t="s">
        <v>1859</v>
      </c>
      <c r="N263" s="134" t="s">
        <v>1637</v>
      </c>
      <c r="O263" s="134">
        <v>480.0</v>
      </c>
      <c r="P263" s="134"/>
      <c r="Q263" s="132">
        <v>6.707617995180881</v>
      </c>
      <c r="R263" s="126" t="s">
        <v>10</v>
      </c>
      <c r="S263" s="49"/>
      <c r="T263" s="224">
        <v>22.358726650602936</v>
      </c>
      <c r="U263" s="224">
        <v>13.415235990361762</v>
      </c>
      <c r="V263" s="224">
        <v>11.179363325301468</v>
      </c>
      <c r="W263" s="224">
        <v>8.943490660241174</v>
      </c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</row>
    <row r="264" ht="13.5" customHeight="1">
      <c r="A264" s="423" t="s">
        <v>84</v>
      </c>
      <c r="B264" s="423" t="s">
        <v>1266</v>
      </c>
      <c r="C264" s="423" t="s">
        <v>1826</v>
      </c>
      <c r="D264" s="581" t="s">
        <v>1268</v>
      </c>
      <c r="E264" s="134" t="s">
        <v>1395</v>
      </c>
      <c r="F264" s="134"/>
      <c r="G264" s="358" t="s">
        <v>1869</v>
      </c>
      <c r="H264" s="584"/>
      <c r="I264" s="423" t="s">
        <v>1871</v>
      </c>
      <c r="J264" s="134"/>
      <c r="K264" s="581" t="s">
        <v>95</v>
      </c>
      <c r="L264" s="134"/>
      <c r="M264" s="423" t="s">
        <v>1859</v>
      </c>
      <c r="N264" s="134" t="s">
        <v>1637</v>
      </c>
      <c r="O264" s="134">
        <v>480.0</v>
      </c>
      <c r="P264" s="134"/>
      <c r="Q264" s="132">
        <v>6.707617995180881</v>
      </c>
      <c r="R264" s="126" t="s">
        <v>10</v>
      </c>
      <c r="S264" s="49"/>
      <c r="T264" s="224">
        <v>22.358726650602936</v>
      </c>
      <c r="U264" s="224">
        <v>13.415235990361762</v>
      </c>
      <c r="V264" s="224">
        <v>11.179363325301468</v>
      </c>
      <c r="W264" s="224">
        <v>8.943490660241174</v>
      </c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</row>
    <row r="265" ht="13.5" customHeight="1">
      <c r="A265" s="423" t="s">
        <v>84</v>
      </c>
      <c r="B265" s="423" t="s">
        <v>1266</v>
      </c>
      <c r="C265" s="423" t="s">
        <v>1826</v>
      </c>
      <c r="D265" s="581" t="s">
        <v>1288</v>
      </c>
      <c r="E265" s="134" t="s">
        <v>1465</v>
      </c>
      <c r="F265" s="134"/>
      <c r="G265" s="358" t="s">
        <v>1872</v>
      </c>
      <c r="H265" s="584"/>
      <c r="I265" s="423" t="s">
        <v>1874</v>
      </c>
      <c r="J265" s="134"/>
      <c r="K265" s="581" t="s">
        <v>95</v>
      </c>
      <c r="L265" s="134"/>
      <c r="M265" s="423" t="s">
        <v>1859</v>
      </c>
      <c r="N265" s="134" t="s">
        <v>1637</v>
      </c>
      <c r="O265" s="134">
        <v>480.0</v>
      </c>
      <c r="P265" s="134"/>
      <c r="Q265" s="132">
        <v>9.047475863697047</v>
      </c>
      <c r="R265" s="126" t="s">
        <v>10</v>
      </c>
      <c r="S265" s="49"/>
      <c r="T265" s="224">
        <v>30.158252878990158</v>
      </c>
      <c r="U265" s="224">
        <v>18.094951727394093</v>
      </c>
      <c r="V265" s="224">
        <v>15.079126439495079</v>
      </c>
      <c r="W265" s="224">
        <v>12.063301151596065</v>
      </c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</row>
    <row r="266" ht="13.5" customHeight="1">
      <c r="A266" s="423" t="s">
        <v>84</v>
      </c>
      <c r="B266" s="423" t="s">
        <v>1266</v>
      </c>
      <c r="C266" s="423" t="s">
        <v>1826</v>
      </c>
      <c r="D266" s="581" t="s">
        <v>1268</v>
      </c>
      <c r="E266" s="134" t="s">
        <v>1465</v>
      </c>
      <c r="F266" s="134"/>
      <c r="G266" s="358" t="s">
        <v>1875</v>
      </c>
      <c r="H266" s="584"/>
      <c r="I266" s="423" t="s">
        <v>1877</v>
      </c>
      <c r="J266" s="134"/>
      <c r="K266" s="581" t="s">
        <v>95</v>
      </c>
      <c r="L266" s="134"/>
      <c r="M266" s="423" t="s">
        <v>1859</v>
      </c>
      <c r="N266" s="134" t="s">
        <v>1637</v>
      </c>
      <c r="O266" s="134">
        <v>480.0</v>
      </c>
      <c r="P266" s="134"/>
      <c r="Q266" s="132">
        <v>9.047475863697047</v>
      </c>
      <c r="R266" s="126" t="s">
        <v>10</v>
      </c>
      <c r="S266" s="49"/>
      <c r="T266" s="224">
        <v>30.158252878990158</v>
      </c>
      <c r="U266" s="224">
        <v>18.094951727394093</v>
      </c>
      <c r="V266" s="224">
        <v>15.079126439495079</v>
      </c>
      <c r="W266" s="224">
        <v>12.063301151596065</v>
      </c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</row>
    <row r="267" ht="13.5" customHeight="1">
      <c r="A267" s="423" t="s">
        <v>84</v>
      </c>
      <c r="B267" s="423" t="s">
        <v>1266</v>
      </c>
      <c r="C267" s="423" t="s">
        <v>1826</v>
      </c>
      <c r="D267" s="581" t="s">
        <v>1288</v>
      </c>
      <c r="E267" s="134" t="s">
        <v>1591</v>
      </c>
      <c r="F267" s="134"/>
      <c r="G267" s="358" t="s">
        <v>4147</v>
      </c>
      <c r="H267" s="584"/>
      <c r="I267" s="423" t="s">
        <v>1881</v>
      </c>
      <c r="J267" s="134"/>
      <c r="K267" s="581" t="s">
        <v>95</v>
      </c>
      <c r="L267" s="134"/>
      <c r="M267" s="423" t="s">
        <v>1859</v>
      </c>
      <c r="N267" s="134" t="s">
        <v>1637</v>
      </c>
      <c r="O267" s="134">
        <v>480.0</v>
      </c>
      <c r="P267" s="134"/>
      <c r="Q267" s="132">
        <v>4.998132794438475</v>
      </c>
      <c r="R267" s="126" t="s">
        <v>10</v>
      </c>
      <c r="S267" s="49"/>
      <c r="T267" s="224">
        <v>16.66044264812825</v>
      </c>
      <c r="U267" s="224">
        <v>9.99626558887695</v>
      </c>
      <c r="V267" s="224">
        <v>8.330221324064125</v>
      </c>
      <c r="W267" s="224">
        <v>6.6641770592513</v>
      </c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</row>
    <row r="268" ht="13.5" customHeight="1">
      <c r="A268" s="423" t="s">
        <v>84</v>
      </c>
      <c r="B268" s="423" t="s">
        <v>1266</v>
      </c>
      <c r="C268" s="423" t="s">
        <v>1826</v>
      </c>
      <c r="D268" s="581" t="s">
        <v>1268</v>
      </c>
      <c r="E268" s="134" t="s">
        <v>1591</v>
      </c>
      <c r="F268" s="134"/>
      <c r="G268" s="358" t="s">
        <v>4148</v>
      </c>
      <c r="H268" s="584"/>
      <c r="I268" s="423" t="s">
        <v>1885</v>
      </c>
      <c r="J268" s="134"/>
      <c r="K268" s="581" t="s">
        <v>95</v>
      </c>
      <c r="L268" s="134"/>
      <c r="M268" s="423" t="s">
        <v>1859</v>
      </c>
      <c r="N268" s="134" t="s">
        <v>1637</v>
      </c>
      <c r="O268" s="134">
        <v>480.0</v>
      </c>
      <c r="P268" s="134"/>
      <c r="Q268" s="132">
        <v>4.998132794438475</v>
      </c>
      <c r="R268" s="126" t="s">
        <v>10</v>
      </c>
      <c r="S268" s="49"/>
      <c r="T268" s="224">
        <v>16.66044264812825</v>
      </c>
      <c r="U268" s="224">
        <v>9.99626558887695</v>
      </c>
      <c r="V268" s="224">
        <v>8.330221324064125</v>
      </c>
      <c r="W268" s="224">
        <v>6.6641770592513</v>
      </c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</row>
    <row r="269" ht="13.5" customHeight="1">
      <c r="A269" s="423" t="s">
        <v>84</v>
      </c>
      <c r="B269" s="423" t="s">
        <v>1886</v>
      </c>
      <c r="C269" s="423" t="s">
        <v>1887</v>
      </c>
      <c r="D269" s="581" t="s">
        <v>1887</v>
      </c>
      <c r="E269" s="134"/>
      <c r="F269" s="134"/>
      <c r="G269" s="584" t="s">
        <v>1891</v>
      </c>
      <c r="H269" s="584" t="s">
        <v>4149</v>
      </c>
      <c r="I269" s="581" t="s">
        <v>1893</v>
      </c>
      <c r="J269" s="134"/>
      <c r="K269" s="581" t="s">
        <v>95</v>
      </c>
      <c r="L269" s="134"/>
      <c r="M269" s="581" t="s">
        <v>554</v>
      </c>
      <c r="N269" s="134" t="s">
        <v>1176</v>
      </c>
      <c r="O269" s="134">
        <v>400.0</v>
      </c>
      <c r="P269" s="134" t="s">
        <v>4360</v>
      </c>
      <c r="Q269" s="132">
        <v>2.6806930885082374</v>
      </c>
      <c r="R269" s="126" t="s">
        <v>10</v>
      </c>
      <c r="S269" s="49"/>
      <c r="T269" s="224">
        <v>8.935643628360792</v>
      </c>
      <c r="U269" s="224">
        <v>5.361386177016475</v>
      </c>
      <c r="V269" s="224">
        <v>4.467821814180396</v>
      </c>
      <c r="W269" s="224">
        <v>3.574257451344317</v>
      </c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</row>
    <row r="270" ht="13.5" customHeight="1">
      <c r="A270" s="582" t="s">
        <v>84</v>
      </c>
      <c r="B270" s="582" t="s">
        <v>1886</v>
      </c>
      <c r="C270" s="582" t="s">
        <v>1887</v>
      </c>
      <c r="D270" s="582" t="s">
        <v>1887</v>
      </c>
      <c r="E270" s="361"/>
      <c r="F270" s="134"/>
      <c r="G270" s="584" t="s">
        <v>1894</v>
      </c>
      <c r="H270" s="584" t="s">
        <v>4150</v>
      </c>
      <c r="I270" s="582" t="s">
        <v>1896</v>
      </c>
      <c r="J270" s="134"/>
      <c r="K270" s="581" t="s">
        <v>95</v>
      </c>
      <c r="L270" s="134"/>
      <c r="M270" s="581" t="s">
        <v>554</v>
      </c>
      <c r="N270" s="134" t="s">
        <v>1176</v>
      </c>
      <c r="O270" s="134">
        <v>400.0</v>
      </c>
      <c r="P270" s="134" t="s">
        <v>4361</v>
      </c>
      <c r="Q270" s="132">
        <v>3.1833073842246455</v>
      </c>
      <c r="R270" s="126" t="s">
        <v>10</v>
      </c>
      <c r="S270" s="49"/>
      <c r="T270" s="224">
        <v>10.611024614082153</v>
      </c>
      <c r="U270" s="224">
        <v>6.366614768449291</v>
      </c>
      <c r="V270" s="224">
        <v>5.305512307041076</v>
      </c>
      <c r="W270" s="224">
        <v>4.244409845632862</v>
      </c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</row>
    <row r="271" ht="13.5" customHeight="1">
      <c r="A271" s="582" t="s">
        <v>84</v>
      </c>
      <c r="B271" s="582" t="s">
        <v>1886</v>
      </c>
      <c r="C271" s="582" t="s">
        <v>1887</v>
      </c>
      <c r="D271" s="582" t="s">
        <v>1887</v>
      </c>
      <c r="E271" s="361"/>
      <c r="F271" s="134"/>
      <c r="G271" s="584" t="s">
        <v>1898</v>
      </c>
      <c r="H271" s="584" t="s">
        <v>4151</v>
      </c>
      <c r="I271" s="582" t="s">
        <v>1900</v>
      </c>
      <c r="J271" s="134"/>
      <c r="K271" s="581" t="s">
        <v>95</v>
      </c>
      <c r="L271" s="134"/>
      <c r="M271" s="581" t="s">
        <v>554</v>
      </c>
      <c r="N271" s="134" t="s">
        <v>555</v>
      </c>
      <c r="O271" s="134">
        <v>360.0</v>
      </c>
      <c r="P271" s="134" t="s">
        <v>4361</v>
      </c>
      <c r="Q271" s="132">
        <v>3.3007508376268753</v>
      </c>
      <c r="R271" s="126" t="s">
        <v>10</v>
      </c>
      <c r="S271" s="49"/>
      <c r="T271" s="224">
        <v>11.002502792089585</v>
      </c>
      <c r="U271" s="224">
        <v>6.6015016752537505</v>
      </c>
      <c r="V271" s="224">
        <v>5.501251396044792</v>
      </c>
      <c r="W271" s="224">
        <v>4.401001116835834</v>
      </c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</row>
    <row r="272" ht="13.5" customHeight="1">
      <c r="A272" s="582" t="s">
        <v>84</v>
      </c>
      <c r="B272" s="582" t="s">
        <v>1886</v>
      </c>
      <c r="C272" s="582" t="s">
        <v>1887</v>
      </c>
      <c r="D272" s="582" t="s">
        <v>1887</v>
      </c>
      <c r="E272" s="361"/>
      <c r="F272" s="134"/>
      <c r="G272" s="584" t="s">
        <v>1907</v>
      </c>
      <c r="H272" s="584" t="s">
        <v>4152</v>
      </c>
      <c r="I272" s="582" t="s">
        <v>1909</v>
      </c>
      <c r="J272" s="134"/>
      <c r="K272" s="581" t="s">
        <v>95</v>
      </c>
      <c r="L272" s="134"/>
      <c r="M272" s="581" t="s">
        <v>554</v>
      </c>
      <c r="N272" s="134" t="s">
        <v>555</v>
      </c>
      <c r="O272" s="134">
        <v>360.0</v>
      </c>
      <c r="P272" s="134" t="s">
        <v>4361</v>
      </c>
      <c r="Q272" s="132">
        <v>10.560875874258702</v>
      </c>
      <c r="R272" s="126" t="s">
        <v>10</v>
      </c>
      <c r="S272" s="49"/>
      <c r="T272" s="224">
        <v>35.20291958086234</v>
      </c>
      <c r="U272" s="224">
        <v>21.121751748517404</v>
      </c>
      <c r="V272" s="224">
        <v>17.60145979043117</v>
      </c>
      <c r="W272" s="224">
        <v>14.081167832344939</v>
      </c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</row>
    <row r="273" ht="13.5" customHeight="1">
      <c r="A273" s="423" t="s">
        <v>84</v>
      </c>
      <c r="B273" s="423" t="s">
        <v>1886</v>
      </c>
      <c r="C273" s="423" t="s">
        <v>1887</v>
      </c>
      <c r="D273" s="581" t="s">
        <v>1887</v>
      </c>
      <c r="E273" s="134"/>
      <c r="F273" s="134"/>
      <c r="G273" s="584" t="s">
        <v>1913</v>
      </c>
      <c r="H273" s="584" t="s">
        <v>4153</v>
      </c>
      <c r="I273" s="581" t="s">
        <v>1915</v>
      </c>
      <c r="J273" s="134"/>
      <c r="K273" s="581" t="s">
        <v>95</v>
      </c>
      <c r="L273" s="134"/>
      <c r="M273" s="581" t="s">
        <v>554</v>
      </c>
      <c r="N273" s="134" t="s">
        <v>1176</v>
      </c>
      <c r="O273" s="134">
        <v>1600.0</v>
      </c>
      <c r="P273" s="134" t="s">
        <v>4361</v>
      </c>
      <c r="Q273" s="132">
        <v>2.9317628630039505</v>
      </c>
      <c r="R273" s="126" t="s">
        <v>10</v>
      </c>
      <c r="S273" s="49"/>
      <c r="T273" s="224">
        <v>9.772542876679836</v>
      </c>
      <c r="U273" s="224">
        <v>5.863525726007901</v>
      </c>
      <c r="V273" s="224">
        <v>4.886271438339918</v>
      </c>
      <c r="W273" s="224">
        <v>3.9090171506719344</v>
      </c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</row>
    <row r="274" ht="13.5" customHeight="1">
      <c r="A274" s="423" t="s">
        <v>84</v>
      </c>
      <c r="B274" s="423" t="s">
        <v>1886</v>
      </c>
      <c r="C274" s="423" t="s">
        <v>1887</v>
      </c>
      <c r="D274" s="581" t="s">
        <v>1887</v>
      </c>
      <c r="E274" s="134"/>
      <c r="F274" s="134"/>
      <c r="G274" s="583" t="s">
        <v>1917</v>
      </c>
      <c r="H274" s="583" t="s">
        <v>4154</v>
      </c>
      <c r="I274" s="423" t="s">
        <v>1919</v>
      </c>
      <c r="J274" s="134"/>
      <c r="K274" s="581" t="s">
        <v>95</v>
      </c>
      <c r="L274" s="134"/>
      <c r="M274" s="581" t="s">
        <v>554</v>
      </c>
      <c r="N274" s="134" t="s">
        <v>741</v>
      </c>
      <c r="O274" s="134">
        <v>128.0</v>
      </c>
      <c r="P274" s="134" t="s">
        <v>1650</v>
      </c>
      <c r="Q274" s="132">
        <v>6.748403384655461</v>
      </c>
      <c r="R274" s="126" t="s">
        <v>10</v>
      </c>
      <c r="S274" s="49"/>
      <c r="T274" s="224">
        <v>22.49467794885154</v>
      </c>
      <c r="U274" s="224">
        <v>13.496806769310924</v>
      </c>
      <c r="V274" s="224">
        <v>11.24733897442577</v>
      </c>
      <c r="W274" s="224">
        <v>8.997871179540615</v>
      </c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</row>
    <row r="275" ht="13.5" customHeight="1">
      <c r="A275" s="423" t="s">
        <v>84</v>
      </c>
      <c r="B275" s="423" t="s">
        <v>1886</v>
      </c>
      <c r="C275" s="423" t="s">
        <v>1887</v>
      </c>
      <c r="D275" s="581" t="s">
        <v>1887</v>
      </c>
      <c r="E275" s="134"/>
      <c r="F275" s="134"/>
      <c r="G275" s="583" t="s">
        <v>1921</v>
      </c>
      <c r="H275" s="583" t="s">
        <v>4155</v>
      </c>
      <c r="I275" s="423" t="s">
        <v>1923</v>
      </c>
      <c r="J275" s="134"/>
      <c r="K275" s="581" t="s">
        <v>95</v>
      </c>
      <c r="L275" s="134"/>
      <c r="M275" s="581" t="s">
        <v>554</v>
      </c>
      <c r="N275" s="134" t="s">
        <v>741</v>
      </c>
      <c r="O275" s="134">
        <v>200.0</v>
      </c>
      <c r="P275" s="134" t="s">
        <v>1650</v>
      </c>
      <c r="Q275" s="132">
        <v>7.185993242210884</v>
      </c>
      <c r="R275" s="126" t="s">
        <v>10</v>
      </c>
      <c r="S275" s="49"/>
      <c r="T275" s="224">
        <v>23.953310807369615</v>
      </c>
      <c r="U275" s="224">
        <v>14.371986484421768</v>
      </c>
      <c r="V275" s="224">
        <v>11.976655403684807</v>
      </c>
      <c r="W275" s="224">
        <v>9.581324322947847</v>
      </c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</row>
    <row r="276" ht="13.5" customHeight="1">
      <c r="A276" s="423" t="s">
        <v>84</v>
      </c>
      <c r="B276" s="423" t="s">
        <v>1886</v>
      </c>
      <c r="C276" s="423" t="s">
        <v>1887</v>
      </c>
      <c r="D276" s="581" t="s">
        <v>1887</v>
      </c>
      <c r="E276" s="134"/>
      <c r="F276" s="134"/>
      <c r="G276" s="584" t="s">
        <v>1924</v>
      </c>
      <c r="H276" s="584" t="s">
        <v>4156</v>
      </c>
      <c r="I276" s="423" t="s">
        <v>1926</v>
      </c>
      <c r="J276" s="134"/>
      <c r="K276" s="581" t="s">
        <v>95</v>
      </c>
      <c r="L276" s="134"/>
      <c r="M276" s="581" t="s">
        <v>554</v>
      </c>
      <c r="N276" s="134" t="s">
        <v>1176</v>
      </c>
      <c r="O276" s="134">
        <v>900.0</v>
      </c>
      <c r="P276" s="134" t="s">
        <v>4361</v>
      </c>
      <c r="Q276" s="132">
        <v>1.5286838829928564</v>
      </c>
      <c r="R276" s="126" t="s">
        <v>10</v>
      </c>
      <c r="S276" s="49"/>
      <c r="T276" s="224">
        <v>5.095612943309521</v>
      </c>
      <c r="U276" s="224">
        <v>3.057367765985713</v>
      </c>
      <c r="V276" s="224">
        <v>2.5478064716547606</v>
      </c>
      <c r="W276" s="224">
        <v>2.0382451773238084</v>
      </c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</row>
    <row r="277" ht="13.5" customHeight="1">
      <c r="A277" s="582" t="s">
        <v>84</v>
      </c>
      <c r="B277" s="582" t="s">
        <v>1886</v>
      </c>
      <c r="C277" s="582" t="s">
        <v>1887</v>
      </c>
      <c r="D277" s="582" t="s">
        <v>1887</v>
      </c>
      <c r="E277" s="361"/>
      <c r="F277" s="134"/>
      <c r="G277" s="584" t="s">
        <v>1928</v>
      </c>
      <c r="H277" s="584" t="s">
        <v>4157</v>
      </c>
      <c r="I277" s="582" t="s">
        <v>1930</v>
      </c>
      <c r="J277" s="134"/>
      <c r="K277" s="581" t="s">
        <v>95</v>
      </c>
      <c r="L277" s="134"/>
      <c r="M277" s="581" t="s">
        <v>554</v>
      </c>
      <c r="N277" s="134" t="s">
        <v>1176</v>
      </c>
      <c r="O277" s="134">
        <v>400.0</v>
      </c>
      <c r="P277" s="134" t="s">
        <v>4361</v>
      </c>
      <c r="Q277" s="132">
        <v>3.2028768193806783</v>
      </c>
      <c r="R277" s="126" t="s">
        <v>10</v>
      </c>
      <c r="S277" s="49"/>
      <c r="T277" s="224">
        <v>10.676256064602262</v>
      </c>
      <c r="U277" s="224">
        <v>6.4057536387613565</v>
      </c>
      <c r="V277" s="224">
        <v>5.338128032301131</v>
      </c>
      <c r="W277" s="224">
        <v>4.270502425840905</v>
      </c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</row>
    <row r="278" ht="13.5" customHeight="1">
      <c r="A278" s="582" t="s">
        <v>84</v>
      </c>
      <c r="B278" s="582" t="s">
        <v>1886</v>
      </c>
      <c r="C278" s="582" t="s">
        <v>1932</v>
      </c>
      <c r="D278" s="582" t="s">
        <v>1932</v>
      </c>
      <c r="E278" s="361"/>
      <c r="F278" s="134"/>
      <c r="G278" s="584" t="s">
        <v>1933</v>
      </c>
      <c r="H278" s="584" t="s">
        <v>4158</v>
      </c>
      <c r="I278" s="582" t="s">
        <v>1935</v>
      </c>
      <c r="J278" s="134"/>
      <c r="K278" s="581" t="s">
        <v>95</v>
      </c>
      <c r="L278" s="134"/>
      <c r="M278" s="581" t="s">
        <v>554</v>
      </c>
      <c r="N278" s="134" t="s">
        <v>1637</v>
      </c>
      <c r="O278" s="134">
        <v>240.0</v>
      </c>
      <c r="P278" s="134">
        <v>8.5444221E9</v>
      </c>
      <c r="Q278" s="132">
        <v>9.016670212761214</v>
      </c>
      <c r="R278" s="126" t="s">
        <v>10</v>
      </c>
      <c r="S278" s="49"/>
      <c r="T278" s="224">
        <v>30.055567375870716</v>
      </c>
      <c r="U278" s="224">
        <v>18.03334042552243</v>
      </c>
      <c r="V278" s="224">
        <v>15.027783687935358</v>
      </c>
      <c r="W278" s="224">
        <v>12.022226950348287</v>
      </c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</row>
    <row r="279" ht="13.5" customHeight="1">
      <c r="A279" s="582" t="s">
        <v>84</v>
      </c>
      <c r="B279" s="582" t="s">
        <v>1886</v>
      </c>
      <c r="C279" s="582" t="s">
        <v>1932</v>
      </c>
      <c r="D279" s="582" t="s">
        <v>1932</v>
      </c>
      <c r="E279" s="361"/>
      <c r="F279" s="134"/>
      <c r="G279" s="584" t="s">
        <v>1941</v>
      </c>
      <c r="H279" s="584" t="s">
        <v>4159</v>
      </c>
      <c r="I279" s="582" t="s">
        <v>1943</v>
      </c>
      <c r="J279" s="134"/>
      <c r="K279" s="581" t="s">
        <v>95</v>
      </c>
      <c r="L279" s="134"/>
      <c r="M279" s="581" t="s">
        <v>554</v>
      </c>
      <c r="N279" s="134" t="s">
        <v>1637</v>
      </c>
      <c r="O279" s="134">
        <v>240.0</v>
      </c>
      <c r="P279" s="134">
        <v>8.5444221E9</v>
      </c>
      <c r="Q279" s="132">
        <v>9.141901743494008</v>
      </c>
      <c r="R279" s="126" t="s">
        <v>10</v>
      </c>
      <c r="S279" s="49"/>
      <c r="T279" s="224">
        <v>30.473005811646697</v>
      </c>
      <c r="U279" s="224">
        <v>18.283803486988017</v>
      </c>
      <c r="V279" s="224">
        <v>15.236502905823349</v>
      </c>
      <c r="W279" s="224">
        <v>12.18920232465868</v>
      </c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</row>
    <row r="280" ht="13.5" customHeight="1">
      <c r="A280" s="423" t="s">
        <v>84</v>
      </c>
      <c r="B280" s="423" t="s">
        <v>1886</v>
      </c>
      <c r="C280" s="423" t="s">
        <v>1932</v>
      </c>
      <c r="D280" s="581" t="s">
        <v>1932</v>
      </c>
      <c r="E280" s="134"/>
      <c r="F280" s="134"/>
      <c r="G280" s="584" t="s">
        <v>1945</v>
      </c>
      <c r="H280" s="584" t="s">
        <v>4160</v>
      </c>
      <c r="I280" s="423" t="s">
        <v>1947</v>
      </c>
      <c r="J280" s="134"/>
      <c r="K280" s="581" t="s">
        <v>95</v>
      </c>
      <c r="L280" s="134"/>
      <c r="M280" s="581" t="s">
        <v>554</v>
      </c>
      <c r="N280" s="134" t="s">
        <v>1637</v>
      </c>
      <c r="O280" s="134">
        <v>240.0</v>
      </c>
      <c r="P280" s="134" t="s">
        <v>4362</v>
      </c>
      <c r="Q280" s="132">
        <v>31.42028568211174</v>
      </c>
      <c r="R280" s="126" t="s">
        <v>10</v>
      </c>
      <c r="S280" s="49"/>
      <c r="T280" s="224">
        <v>104.73428560703914</v>
      </c>
      <c r="U280" s="224">
        <v>62.84057136422348</v>
      </c>
      <c r="V280" s="224">
        <v>52.36714280351957</v>
      </c>
      <c r="W280" s="224">
        <v>41.89371424281566</v>
      </c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</row>
    <row r="281" ht="13.5" customHeight="1">
      <c r="A281" s="423" t="s">
        <v>84</v>
      </c>
      <c r="B281" s="423" t="s">
        <v>1266</v>
      </c>
      <c r="C281" s="423" t="s">
        <v>1948</v>
      </c>
      <c r="D281" s="581" t="s">
        <v>1949</v>
      </c>
      <c r="E281" s="134" t="s">
        <v>1319</v>
      </c>
      <c r="F281" s="134"/>
      <c r="G281" s="584" t="s">
        <v>2248</v>
      </c>
      <c r="H281" s="584" t="s">
        <v>778</v>
      </c>
      <c r="I281" s="423" t="s">
        <v>2250</v>
      </c>
      <c r="J281" s="134" t="s">
        <v>162</v>
      </c>
      <c r="K281" s="581" t="s">
        <v>147</v>
      </c>
      <c r="L281" s="134"/>
      <c r="M281" s="581" t="s">
        <v>1989</v>
      </c>
      <c r="N281" s="134" t="s">
        <v>1955</v>
      </c>
      <c r="O281" s="134">
        <v>8.0</v>
      </c>
      <c r="P281" s="134">
        <v>8.5447E9</v>
      </c>
      <c r="Q281" s="597">
        <v>472.14285714285717</v>
      </c>
      <c r="R281" s="126" t="s">
        <v>10</v>
      </c>
      <c r="S281" s="49"/>
      <c r="T281" s="118">
        <v>1573.8095238095239</v>
      </c>
      <c r="U281" s="118">
        <v>944.2857142857142</v>
      </c>
      <c r="V281" s="118">
        <v>786.9047619047619</v>
      </c>
      <c r="W281" s="118">
        <v>629.5238095238096</v>
      </c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</row>
    <row r="282" ht="13.5" customHeight="1">
      <c r="A282" s="423" t="s">
        <v>84</v>
      </c>
      <c r="B282" s="423" t="s">
        <v>1266</v>
      </c>
      <c r="C282" s="423" t="s">
        <v>1948</v>
      </c>
      <c r="D282" s="581" t="s">
        <v>1949</v>
      </c>
      <c r="E282" s="134" t="s">
        <v>1319</v>
      </c>
      <c r="F282" s="134"/>
      <c r="G282" s="584" t="s">
        <v>2256</v>
      </c>
      <c r="H282" s="584" t="s">
        <v>4162</v>
      </c>
      <c r="I282" s="423" t="s">
        <v>2258</v>
      </c>
      <c r="J282" s="134" t="s">
        <v>162</v>
      </c>
      <c r="K282" s="581" t="s">
        <v>147</v>
      </c>
      <c r="L282" s="134"/>
      <c r="M282" s="581" t="s">
        <v>1989</v>
      </c>
      <c r="N282" s="134" t="s">
        <v>1955</v>
      </c>
      <c r="O282" s="134">
        <v>8.0</v>
      </c>
      <c r="P282" s="134">
        <v>8.5447E9</v>
      </c>
      <c r="Q282" s="597">
        <v>665.0</v>
      </c>
      <c r="R282" s="126" t="s">
        <v>10</v>
      </c>
      <c r="S282" s="49"/>
      <c r="T282" s="118">
        <v>2216.666666666667</v>
      </c>
      <c r="U282" s="118">
        <v>1330.0000000000002</v>
      </c>
      <c r="V282" s="118">
        <v>1108.3333333333335</v>
      </c>
      <c r="W282" s="118">
        <v>886.6666666666669</v>
      </c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</row>
    <row r="283" ht="13.5" customHeight="1">
      <c r="A283" s="423" t="s">
        <v>84</v>
      </c>
      <c r="B283" s="423" t="s">
        <v>1266</v>
      </c>
      <c r="C283" s="423" t="s">
        <v>1948</v>
      </c>
      <c r="D283" s="581" t="s">
        <v>1949</v>
      </c>
      <c r="E283" s="134" t="s">
        <v>1319</v>
      </c>
      <c r="F283" s="134"/>
      <c r="G283" s="584" t="s">
        <v>2260</v>
      </c>
      <c r="H283" s="584" t="s">
        <v>4163</v>
      </c>
      <c r="I283" s="423" t="s">
        <v>2262</v>
      </c>
      <c r="J283" s="134" t="s">
        <v>162</v>
      </c>
      <c r="K283" s="581" t="s">
        <v>147</v>
      </c>
      <c r="L283" s="134"/>
      <c r="M283" s="581" t="s">
        <v>1989</v>
      </c>
      <c r="N283" s="134" t="s">
        <v>1955</v>
      </c>
      <c r="O283" s="134">
        <v>8.0</v>
      </c>
      <c r="P283" s="134">
        <v>8.5447E9</v>
      </c>
      <c r="Q283" s="597">
        <v>1162.142857142857</v>
      </c>
      <c r="R283" s="126" t="s">
        <v>10</v>
      </c>
      <c r="S283" s="49"/>
      <c r="T283" s="118">
        <v>3873.809523809524</v>
      </c>
      <c r="U283" s="118">
        <v>2324.285714285714</v>
      </c>
      <c r="V283" s="118">
        <v>1936.904761904762</v>
      </c>
      <c r="W283" s="118">
        <v>1549.5238095238096</v>
      </c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</row>
    <row r="284" ht="13.5" customHeight="1">
      <c r="A284" s="423" t="s">
        <v>84</v>
      </c>
      <c r="B284" s="423" t="s">
        <v>1266</v>
      </c>
      <c r="C284" s="423" t="s">
        <v>1948</v>
      </c>
      <c r="D284" s="581" t="s">
        <v>1972</v>
      </c>
      <c r="E284" s="134" t="s">
        <v>1319</v>
      </c>
      <c r="F284" s="134"/>
      <c r="G284" s="584" t="s">
        <v>1974</v>
      </c>
      <c r="H284" s="584" t="s">
        <v>4165</v>
      </c>
      <c r="I284" s="423" t="s">
        <v>1976</v>
      </c>
      <c r="J284" s="134" t="s">
        <v>162</v>
      </c>
      <c r="K284" s="581" t="s">
        <v>147</v>
      </c>
      <c r="L284" s="134"/>
      <c r="M284" s="581" t="s">
        <v>1989</v>
      </c>
      <c r="N284" s="134" t="s">
        <v>1955</v>
      </c>
      <c r="O284" s="134">
        <v>8.0</v>
      </c>
      <c r="P284" s="134">
        <v>8.5447E9</v>
      </c>
      <c r="Q284" s="597">
        <v>458.69565217391306</v>
      </c>
      <c r="R284" s="126" t="s">
        <v>10</v>
      </c>
      <c r="S284" s="49"/>
      <c r="T284" s="118">
        <v>1528.985507246377</v>
      </c>
      <c r="U284" s="118">
        <v>917.3913043478261</v>
      </c>
      <c r="V284" s="118">
        <v>764.4927536231885</v>
      </c>
      <c r="W284" s="118">
        <v>611.5942028985509</v>
      </c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</row>
    <row r="285" ht="13.5" customHeight="1">
      <c r="A285" s="423" t="s">
        <v>84</v>
      </c>
      <c r="B285" s="423" t="s">
        <v>1266</v>
      </c>
      <c r="C285" s="423" t="s">
        <v>1948</v>
      </c>
      <c r="D285" s="581" t="s">
        <v>1972</v>
      </c>
      <c r="E285" s="134" t="s">
        <v>1319</v>
      </c>
      <c r="F285" s="134"/>
      <c r="G285" s="584" t="s">
        <v>1978</v>
      </c>
      <c r="H285" s="584" t="s">
        <v>4166</v>
      </c>
      <c r="I285" s="423" t="s">
        <v>1980</v>
      </c>
      <c r="J285" s="134" t="s">
        <v>162</v>
      </c>
      <c r="K285" s="581" t="s">
        <v>147</v>
      </c>
      <c r="L285" s="134"/>
      <c r="M285" s="581" t="s">
        <v>1989</v>
      </c>
      <c r="N285" s="134" t="s">
        <v>1955</v>
      </c>
      <c r="O285" s="134">
        <v>8.0</v>
      </c>
      <c r="P285" s="134">
        <v>8.5447E9</v>
      </c>
      <c r="Q285" s="597">
        <v>536.9565217391305</v>
      </c>
      <c r="R285" s="126" t="s">
        <v>10</v>
      </c>
      <c r="S285" s="49"/>
      <c r="T285" s="118">
        <v>1789.8550724637685</v>
      </c>
      <c r="U285" s="118">
        <v>1073.913043478261</v>
      </c>
      <c r="V285" s="118">
        <v>894.9275362318842</v>
      </c>
      <c r="W285" s="118">
        <v>715.9420289855075</v>
      </c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</row>
    <row r="286" ht="13.5" customHeight="1">
      <c r="A286" s="423" t="s">
        <v>84</v>
      </c>
      <c r="B286" s="423" t="s">
        <v>1266</v>
      </c>
      <c r="C286" s="423" t="s">
        <v>1948</v>
      </c>
      <c r="D286" s="581" t="s">
        <v>1972</v>
      </c>
      <c r="E286" s="134" t="s">
        <v>1319</v>
      </c>
      <c r="F286" s="134"/>
      <c r="G286" s="584" t="s">
        <v>1982</v>
      </c>
      <c r="H286" s="584" t="s">
        <v>4167</v>
      </c>
      <c r="I286" s="423" t="s">
        <v>1984</v>
      </c>
      <c r="J286" s="134" t="s">
        <v>162</v>
      </c>
      <c r="K286" s="581" t="s">
        <v>147</v>
      </c>
      <c r="L286" s="134"/>
      <c r="M286" s="581" t="s">
        <v>1989</v>
      </c>
      <c r="N286" s="134" t="s">
        <v>1955</v>
      </c>
      <c r="O286" s="134">
        <v>8.0</v>
      </c>
      <c r="P286" s="134">
        <v>8.5447E9</v>
      </c>
      <c r="Q286" s="597">
        <v>715.2173913043479</v>
      </c>
      <c r="R286" s="126" t="s">
        <v>10</v>
      </c>
      <c r="S286" s="49"/>
      <c r="T286" s="118">
        <v>2384.057971014493</v>
      </c>
      <c r="U286" s="118">
        <v>1430.4347826086957</v>
      </c>
      <c r="V286" s="118">
        <v>1192.0289855072465</v>
      </c>
      <c r="W286" s="118">
        <v>953.6231884057972</v>
      </c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</row>
    <row r="287" ht="13.5" customHeight="1">
      <c r="A287" s="423" t="s">
        <v>84</v>
      </c>
      <c r="B287" s="423" t="s">
        <v>1266</v>
      </c>
      <c r="C287" s="423" t="s">
        <v>1948</v>
      </c>
      <c r="D287" s="581" t="s">
        <v>1972</v>
      </c>
      <c r="E287" s="134" t="s">
        <v>1319</v>
      </c>
      <c r="F287" s="134"/>
      <c r="G287" s="584" t="s">
        <v>1986</v>
      </c>
      <c r="H287" s="584" t="s">
        <v>4168</v>
      </c>
      <c r="I287" s="423" t="s">
        <v>1988</v>
      </c>
      <c r="J287" s="134" t="s">
        <v>162</v>
      </c>
      <c r="K287" s="581" t="s">
        <v>147</v>
      </c>
      <c r="L287" s="134"/>
      <c r="M287" s="581" t="s">
        <v>1989</v>
      </c>
      <c r="N287" s="134" t="s">
        <v>1955</v>
      </c>
      <c r="O287" s="134">
        <v>4.0</v>
      </c>
      <c r="P287" s="134">
        <v>8.5447E9</v>
      </c>
      <c r="Q287" s="597">
        <v>1191.304347826087</v>
      </c>
      <c r="R287" s="126" t="s">
        <v>10</v>
      </c>
      <c r="S287" s="49"/>
      <c r="T287" s="118">
        <v>3971.0144927536235</v>
      </c>
      <c r="U287" s="118">
        <v>2382.608695652174</v>
      </c>
      <c r="V287" s="118">
        <v>1985.5072463768117</v>
      </c>
      <c r="W287" s="118">
        <v>1588.4057971014495</v>
      </c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</row>
    <row r="288" ht="13.5" customHeight="1">
      <c r="A288" s="423" t="s">
        <v>84</v>
      </c>
      <c r="B288" s="423" t="s">
        <v>1266</v>
      </c>
      <c r="C288" s="423" t="s">
        <v>1948</v>
      </c>
      <c r="D288" s="581" t="s">
        <v>1991</v>
      </c>
      <c r="E288" s="134" t="s">
        <v>1319</v>
      </c>
      <c r="F288" s="134"/>
      <c r="G288" s="584" t="s">
        <v>1993</v>
      </c>
      <c r="H288" s="584" t="s">
        <v>4170</v>
      </c>
      <c r="I288" s="423" t="s">
        <v>1995</v>
      </c>
      <c r="J288" s="134" t="s">
        <v>206</v>
      </c>
      <c r="K288" s="581" t="s">
        <v>147</v>
      </c>
      <c r="L288" s="134"/>
      <c r="M288" s="581" t="s">
        <v>1989</v>
      </c>
      <c r="N288" s="134" t="s">
        <v>1955</v>
      </c>
      <c r="O288" s="134">
        <v>8.0</v>
      </c>
      <c r="P288" s="134">
        <v>8.5447E9</v>
      </c>
      <c r="Q288" s="597">
        <v>396.32352941176475</v>
      </c>
      <c r="R288" s="126" t="s">
        <v>10</v>
      </c>
      <c r="S288" s="49"/>
      <c r="T288" s="118">
        <v>1321.0784313725492</v>
      </c>
      <c r="U288" s="118">
        <v>792.6470588235295</v>
      </c>
      <c r="V288" s="118">
        <v>660.5392156862746</v>
      </c>
      <c r="W288" s="118">
        <v>528.4313725490197</v>
      </c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</row>
    <row r="289" ht="13.5" customHeight="1">
      <c r="A289" s="423" t="s">
        <v>84</v>
      </c>
      <c r="B289" s="423" t="s">
        <v>1266</v>
      </c>
      <c r="C289" s="423" t="s">
        <v>1948</v>
      </c>
      <c r="D289" s="581" t="s">
        <v>1991</v>
      </c>
      <c r="E289" s="134" t="s">
        <v>1319</v>
      </c>
      <c r="F289" s="134"/>
      <c r="G289" s="584" t="s">
        <v>1997</v>
      </c>
      <c r="H289" s="584" t="s">
        <v>4171</v>
      </c>
      <c r="I289" s="423" t="s">
        <v>1999</v>
      </c>
      <c r="J289" s="134" t="s">
        <v>206</v>
      </c>
      <c r="K289" s="581" t="s">
        <v>147</v>
      </c>
      <c r="L289" s="134"/>
      <c r="M289" s="581" t="s">
        <v>1989</v>
      </c>
      <c r="N289" s="134" t="s">
        <v>1955</v>
      </c>
      <c r="O289" s="134">
        <v>8.0</v>
      </c>
      <c r="P289" s="134">
        <v>8.5447E9</v>
      </c>
      <c r="Q289" s="597">
        <v>471.32352941176475</v>
      </c>
      <c r="R289" s="126" t="s">
        <v>10</v>
      </c>
      <c r="S289" s="49"/>
      <c r="T289" s="118">
        <v>1571.0784313725492</v>
      </c>
      <c r="U289" s="118">
        <v>942.6470588235295</v>
      </c>
      <c r="V289" s="118">
        <v>785.5392156862746</v>
      </c>
      <c r="W289" s="118">
        <v>628.4313725490197</v>
      </c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</row>
    <row r="290" ht="13.5" customHeight="1">
      <c r="A290" s="423" t="s">
        <v>84</v>
      </c>
      <c r="B290" s="423" t="s">
        <v>1266</v>
      </c>
      <c r="C290" s="423" t="s">
        <v>1948</v>
      </c>
      <c r="D290" s="581" t="s">
        <v>1991</v>
      </c>
      <c r="E290" s="134" t="s">
        <v>1319</v>
      </c>
      <c r="F290" s="134"/>
      <c r="G290" s="584" t="s">
        <v>2001</v>
      </c>
      <c r="H290" s="584" t="s">
        <v>4172</v>
      </c>
      <c r="I290" s="423" t="s">
        <v>2003</v>
      </c>
      <c r="J290" s="134" t="s">
        <v>206</v>
      </c>
      <c r="K290" s="581" t="s">
        <v>147</v>
      </c>
      <c r="L290" s="134"/>
      <c r="M290" s="581" t="s">
        <v>1989</v>
      </c>
      <c r="N290" s="134" t="s">
        <v>1955</v>
      </c>
      <c r="O290" s="134">
        <v>8.0</v>
      </c>
      <c r="P290" s="134">
        <v>8.5447E9</v>
      </c>
      <c r="Q290" s="597">
        <v>597.8571428571429</v>
      </c>
      <c r="R290" s="126" t="s">
        <v>10</v>
      </c>
      <c r="S290" s="49"/>
      <c r="T290" s="118">
        <v>1992.8571428571431</v>
      </c>
      <c r="U290" s="118">
        <v>1195.7142857142858</v>
      </c>
      <c r="V290" s="118">
        <v>996.4285714285716</v>
      </c>
      <c r="W290" s="118">
        <v>797.1428571428573</v>
      </c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</row>
    <row r="291" ht="13.5" customHeight="1">
      <c r="A291" s="423" t="s">
        <v>84</v>
      </c>
      <c r="B291" s="423" t="s">
        <v>1266</v>
      </c>
      <c r="C291" s="423" t="s">
        <v>1948</v>
      </c>
      <c r="D291" s="581" t="s">
        <v>1991</v>
      </c>
      <c r="E291" s="134" t="s">
        <v>1319</v>
      </c>
      <c r="F291" s="134"/>
      <c r="G291" s="584" t="s">
        <v>2005</v>
      </c>
      <c r="H291" s="584" t="s">
        <v>4173</v>
      </c>
      <c r="I291" s="423" t="s">
        <v>2007</v>
      </c>
      <c r="J291" s="134" t="s">
        <v>206</v>
      </c>
      <c r="K291" s="581" t="s">
        <v>147</v>
      </c>
      <c r="L291" s="134"/>
      <c r="M291" s="581" t="s">
        <v>1989</v>
      </c>
      <c r="N291" s="134" t="s">
        <v>1955</v>
      </c>
      <c r="O291" s="134">
        <v>8.0</v>
      </c>
      <c r="P291" s="134">
        <v>8.5447E9</v>
      </c>
      <c r="Q291" s="597">
        <v>1013.5714285714287</v>
      </c>
      <c r="R291" s="126" t="s">
        <v>10</v>
      </c>
      <c r="S291" s="49"/>
      <c r="T291" s="118">
        <v>3378.571428571429</v>
      </c>
      <c r="U291" s="118">
        <v>2027.1428571428573</v>
      </c>
      <c r="V291" s="118">
        <v>1689.2857142857144</v>
      </c>
      <c r="W291" s="118">
        <v>1351.4285714285716</v>
      </c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</row>
    <row r="292" ht="13.5" customHeight="1">
      <c r="A292" s="423" t="s">
        <v>84</v>
      </c>
      <c r="B292" s="423" t="s">
        <v>1266</v>
      </c>
      <c r="C292" s="423" t="s">
        <v>1948</v>
      </c>
      <c r="D292" s="581" t="s">
        <v>2008</v>
      </c>
      <c r="E292" s="134" t="s">
        <v>1319</v>
      </c>
      <c r="F292" s="134"/>
      <c r="G292" s="584" t="s">
        <v>2010</v>
      </c>
      <c r="H292" s="584" t="s">
        <v>4175</v>
      </c>
      <c r="I292" s="423" t="s">
        <v>2012</v>
      </c>
      <c r="J292" s="134" t="s">
        <v>206</v>
      </c>
      <c r="K292" s="581" t="s">
        <v>147</v>
      </c>
      <c r="L292" s="134"/>
      <c r="M292" s="581" t="s">
        <v>1989</v>
      </c>
      <c r="N292" s="134" t="s">
        <v>1955</v>
      </c>
      <c r="O292" s="134">
        <v>8.0</v>
      </c>
      <c r="P292" s="134">
        <v>8.5447E9</v>
      </c>
      <c r="Q292" s="597">
        <v>473.5714285714286</v>
      </c>
      <c r="R292" s="126" t="s">
        <v>10</v>
      </c>
      <c r="S292" s="49"/>
      <c r="T292" s="118">
        <v>1578.5714285714287</v>
      </c>
      <c r="U292" s="118">
        <v>947.1428571428571</v>
      </c>
      <c r="V292" s="118">
        <v>789.2857142857143</v>
      </c>
      <c r="W292" s="118">
        <v>631.4285714285716</v>
      </c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</row>
    <row r="293" ht="13.5" customHeight="1">
      <c r="A293" s="423" t="s">
        <v>84</v>
      </c>
      <c r="B293" s="423" t="s">
        <v>1266</v>
      </c>
      <c r="C293" s="423" t="s">
        <v>1948</v>
      </c>
      <c r="D293" s="581" t="s">
        <v>2008</v>
      </c>
      <c r="E293" s="134" t="s">
        <v>1319</v>
      </c>
      <c r="F293" s="134"/>
      <c r="G293" s="584" t="s">
        <v>2014</v>
      </c>
      <c r="H293" s="584" t="s">
        <v>4176</v>
      </c>
      <c r="I293" s="423" t="s">
        <v>2016</v>
      </c>
      <c r="J293" s="134" t="s">
        <v>206</v>
      </c>
      <c r="K293" s="581" t="s">
        <v>147</v>
      </c>
      <c r="L293" s="134"/>
      <c r="M293" s="581" t="s">
        <v>1989</v>
      </c>
      <c r="N293" s="134" t="s">
        <v>1955</v>
      </c>
      <c r="O293" s="134">
        <v>8.0</v>
      </c>
      <c r="P293" s="134">
        <v>8.5447E9</v>
      </c>
      <c r="Q293" s="597">
        <v>542.1428571428572</v>
      </c>
      <c r="R293" s="126" t="s">
        <v>10</v>
      </c>
      <c r="S293" s="49"/>
      <c r="T293" s="118">
        <v>1807.1428571428576</v>
      </c>
      <c r="U293" s="118">
        <v>1084.2857142857144</v>
      </c>
      <c r="V293" s="118">
        <v>903.5714285714288</v>
      </c>
      <c r="W293" s="118">
        <v>722.8571428571431</v>
      </c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</row>
    <row r="294" ht="13.5" customHeight="1">
      <c r="A294" s="423" t="s">
        <v>84</v>
      </c>
      <c r="B294" s="423" t="s">
        <v>1266</v>
      </c>
      <c r="C294" s="423" t="s">
        <v>1948</v>
      </c>
      <c r="D294" s="581" t="s">
        <v>2008</v>
      </c>
      <c r="E294" s="134" t="s">
        <v>1319</v>
      </c>
      <c r="F294" s="134"/>
      <c r="G294" s="584" t="s">
        <v>2018</v>
      </c>
      <c r="H294" s="584" t="s">
        <v>4177</v>
      </c>
      <c r="I294" s="423" t="s">
        <v>2020</v>
      </c>
      <c r="J294" s="134" t="s">
        <v>206</v>
      </c>
      <c r="K294" s="581" t="s">
        <v>147</v>
      </c>
      <c r="L294" s="134"/>
      <c r="M294" s="581" t="s">
        <v>1989</v>
      </c>
      <c r="N294" s="134" t="s">
        <v>1955</v>
      </c>
      <c r="O294" s="134">
        <v>8.0</v>
      </c>
      <c r="P294" s="134">
        <v>8.5447E9</v>
      </c>
      <c r="Q294" s="597">
        <v>657.8571428571429</v>
      </c>
      <c r="R294" s="126" t="s">
        <v>10</v>
      </c>
      <c r="S294" s="49"/>
      <c r="T294" s="118">
        <v>2192.857142857143</v>
      </c>
      <c r="U294" s="118">
        <v>1315.7142857142858</v>
      </c>
      <c r="V294" s="118">
        <v>1096.4285714285716</v>
      </c>
      <c r="W294" s="118">
        <v>877.1428571428573</v>
      </c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</row>
    <row r="295" ht="13.5" customHeight="1">
      <c r="A295" s="423" t="s">
        <v>84</v>
      </c>
      <c r="B295" s="423" t="s">
        <v>1266</v>
      </c>
      <c r="C295" s="423" t="s">
        <v>1948</v>
      </c>
      <c r="D295" s="581" t="s">
        <v>2008</v>
      </c>
      <c r="E295" s="134" t="s">
        <v>1319</v>
      </c>
      <c r="F295" s="134"/>
      <c r="G295" s="584" t="s">
        <v>2022</v>
      </c>
      <c r="H295" s="584" t="s">
        <v>4178</v>
      </c>
      <c r="I295" s="423" t="s">
        <v>2024</v>
      </c>
      <c r="J295" s="134" t="s">
        <v>206</v>
      </c>
      <c r="K295" s="581" t="s">
        <v>147</v>
      </c>
      <c r="L295" s="134"/>
      <c r="M295" s="581" t="s">
        <v>1989</v>
      </c>
      <c r="N295" s="134" t="s">
        <v>1955</v>
      </c>
      <c r="O295" s="134">
        <v>8.0</v>
      </c>
      <c r="P295" s="134">
        <v>8.5447E9</v>
      </c>
      <c r="Q295" s="597">
        <v>1095.0</v>
      </c>
      <c r="R295" s="126" t="s">
        <v>10</v>
      </c>
      <c r="S295" s="49"/>
      <c r="T295" s="118">
        <v>3650.0</v>
      </c>
      <c r="U295" s="118">
        <v>2190.0</v>
      </c>
      <c r="V295" s="118">
        <v>1825.0</v>
      </c>
      <c r="W295" s="118">
        <v>1460.0</v>
      </c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</row>
    <row r="296" ht="13.5" customHeight="1">
      <c r="A296" s="423" t="s">
        <v>84</v>
      </c>
      <c r="B296" s="423" t="s">
        <v>1266</v>
      </c>
      <c r="C296" s="423" t="s">
        <v>1948</v>
      </c>
      <c r="D296" s="581" t="s">
        <v>2008</v>
      </c>
      <c r="E296" s="134" t="s">
        <v>1319</v>
      </c>
      <c r="F296" s="134"/>
      <c r="G296" s="584" t="s">
        <v>2296</v>
      </c>
      <c r="H296" s="584" t="s">
        <v>778</v>
      </c>
      <c r="I296" s="423" t="s">
        <v>2298</v>
      </c>
      <c r="J296" s="134" t="s">
        <v>201</v>
      </c>
      <c r="K296" s="581" t="s">
        <v>147</v>
      </c>
      <c r="L296" s="134"/>
      <c r="M296" s="581" t="s">
        <v>1989</v>
      </c>
      <c r="N296" s="134" t="s">
        <v>1955</v>
      </c>
      <c r="O296" s="134">
        <v>8.0</v>
      </c>
      <c r="P296" s="134">
        <v>8.5447E9</v>
      </c>
      <c r="Q296" s="597">
        <v>882.1428571428572</v>
      </c>
      <c r="R296" s="126" t="s">
        <v>10</v>
      </c>
      <c r="S296" s="49"/>
      <c r="T296" s="118">
        <v>2940.476190476191</v>
      </c>
      <c r="U296" s="118">
        <v>1764.2857142857144</v>
      </c>
      <c r="V296" s="118">
        <v>1470.2380952380954</v>
      </c>
      <c r="W296" s="118">
        <v>1176.1904761904764</v>
      </c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</row>
    <row r="297" ht="13.5" customHeight="1">
      <c r="A297" s="423" t="s">
        <v>84</v>
      </c>
      <c r="B297" s="423" t="s">
        <v>1266</v>
      </c>
      <c r="C297" s="423" t="s">
        <v>1948</v>
      </c>
      <c r="D297" s="581" t="s">
        <v>2008</v>
      </c>
      <c r="E297" s="134" t="s">
        <v>1319</v>
      </c>
      <c r="F297" s="134"/>
      <c r="G297" s="584" t="s">
        <v>2300</v>
      </c>
      <c r="H297" s="584" t="s">
        <v>778</v>
      </c>
      <c r="I297" s="423" t="s">
        <v>2302</v>
      </c>
      <c r="J297" s="134" t="s">
        <v>201</v>
      </c>
      <c r="K297" s="581" t="s">
        <v>147</v>
      </c>
      <c r="L297" s="134"/>
      <c r="M297" s="581" t="s">
        <v>1989</v>
      </c>
      <c r="N297" s="134" t="s">
        <v>1955</v>
      </c>
      <c r="O297" s="134">
        <v>8.0</v>
      </c>
      <c r="P297" s="134">
        <v>8.5447E9</v>
      </c>
      <c r="Q297" s="597">
        <v>1362.1428571428573</v>
      </c>
      <c r="R297" s="126" t="s">
        <v>10</v>
      </c>
      <c r="S297" s="49"/>
      <c r="T297" s="118">
        <v>4540.476190476192</v>
      </c>
      <c r="U297" s="118">
        <v>2724.285714285715</v>
      </c>
      <c r="V297" s="118">
        <v>2270.238095238096</v>
      </c>
      <c r="W297" s="118">
        <v>1816.1904761904768</v>
      </c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</row>
    <row r="298" ht="13.5" customHeight="1">
      <c r="A298" s="423" t="s">
        <v>84</v>
      </c>
      <c r="B298" s="423" t="s">
        <v>1266</v>
      </c>
      <c r="C298" s="423" t="s">
        <v>1948</v>
      </c>
      <c r="D298" s="581" t="s">
        <v>2008</v>
      </c>
      <c r="E298" s="134" t="s">
        <v>1319</v>
      </c>
      <c r="F298" s="134"/>
      <c r="G298" s="584" t="s">
        <v>2305</v>
      </c>
      <c r="H298" s="584" t="s">
        <v>778</v>
      </c>
      <c r="I298" s="423" t="s">
        <v>2307</v>
      </c>
      <c r="J298" s="134" t="s">
        <v>201</v>
      </c>
      <c r="K298" s="581" t="s">
        <v>147</v>
      </c>
      <c r="L298" s="134"/>
      <c r="M298" s="581" t="s">
        <v>1989</v>
      </c>
      <c r="N298" s="134" t="s">
        <v>1955</v>
      </c>
      <c r="O298" s="134">
        <v>8.0</v>
      </c>
      <c r="P298" s="134">
        <v>8.5447E9</v>
      </c>
      <c r="Q298" s="597">
        <v>585.0</v>
      </c>
      <c r="R298" s="126" t="s">
        <v>10</v>
      </c>
      <c r="S298" s="49"/>
      <c r="T298" s="118">
        <v>1950.0</v>
      </c>
      <c r="U298" s="118">
        <v>1170.0</v>
      </c>
      <c r="V298" s="118">
        <v>975.0</v>
      </c>
      <c r="W298" s="118">
        <v>780.0</v>
      </c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</row>
    <row r="299" ht="13.5" customHeight="1">
      <c r="A299" s="423" t="s">
        <v>84</v>
      </c>
      <c r="B299" s="423" t="s">
        <v>1266</v>
      </c>
      <c r="C299" s="423" t="s">
        <v>1948</v>
      </c>
      <c r="D299" s="581" t="s">
        <v>2008</v>
      </c>
      <c r="E299" s="134" t="s">
        <v>1319</v>
      </c>
      <c r="F299" s="134"/>
      <c r="G299" s="584" t="s">
        <v>2309</v>
      </c>
      <c r="H299" s="584" t="s">
        <v>778</v>
      </c>
      <c r="I299" s="423" t="s">
        <v>2311</v>
      </c>
      <c r="J299" s="134" t="s">
        <v>201</v>
      </c>
      <c r="K299" s="581" t="s">
        <v>147</v>
      </c>
      <c r="L299" s="134"/>
      <c r="M299" s="581" t="s">
        <v>1989</v>
      </c>
      <c r="N299" s="134" t="s">
        <v>1955</v>
      </c>
      <c r="O299" s="134">
        <v>8.0</v>
      </c>
      <c r="P299" s="134">
        <v>8.5447E9</v>
      </c>
      <c r="Q299" s="597">
        <v>655.0</v>
      </c>
      <c r="R299" s="126" t="s">
        <v>10</v>
      </c>
      <c r="S299" s="49"/>
      <c r="T299" s="118">
        <v>2183.3333333333335</v>
      </c>
      <c r="U299" s="118">
        <v>1310.0</v>
      </c>
      <c r="V299" s="118">
        <v>1091.6666666666667</v>
      </c>
      <c r="W299" s="118">
        <v>873.3333333333335</v>
      </c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</row>
    <row r="300" ht="13.5" customHeight="1">
      <c r="A300" s="423" t="s">
        <v>84</v>
      </c>
      <c r="B300" s="423" t="s">
        <v>1266</v>
      </c>
      <c r="C300" s="423" t="s">
        <v>1948</v>
      </c>
      <c r="D300" s="581" t="s">
        <v>2008</v>
      </c>
      <c r="E300" s="134" t="s">
        <v>1319</v>
      </c>
      <c r="F300" s="134"/>
      <c r="G300" s="584" t="s">
        <v>2313</v>
      </c>
      <c r="H300" s="584" t="s">
        <v>778</v>
      </c>
      <c r="I300" s="423" t="s">
        <v>2315</v>
      </c>
      <c r="J300" s="134" t="s">
        <v>201</v>
      </c>
      <c r="K300" s="581" t="s">
        <v>147</v>
      </c>
      <c r="L300" s="134"/>
      <c r="M300" s="581" t="s">
        <v>1989</v>
      </c>
      <c r="N300" s="134" t="s">
        <v>1955</v>
      </c>
      <c r="O300" s="134">
        <v>8.0</v>
      </c>
      <c r="P300" s="134">
        <v>8.5447E9</v>
      </c>
      <c r="Q300" s="597">
        <v>737.8571428571429</v>
      </c>
      <c r="R300" s="126" t="s">
        <v>10</v>
      </c>
      <c r="S300" s="49"/>
      <c r="T300" s="118">
        <v>2459.5238095238096</v>
      </c>
      <c r="U300" s="118">
        <v>1475.7142857142858</v>
      </c>
      <c r="V300" s="118">
        <v>1229.7619047619048</v>
      </c>
      <c r="W300" s="118">
        <v>983.8095238095239</v>
      </c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</row>
    <row r="301" ht="13.5" customHeight="1">
      <c r="A301" s="423" t="s">
        <v>84</v>
      </c>
      <c r="B301" s="423" t="s">
        <v>1266</v>
      </c>
      <c r="C301" s="423" t="s">
        <v>1948</v>
      </c>
      <c r="D301" s="581" t="s">
        <v>2008</v>
      </c>
      <c r="E301" s="134" t="s">
        <v>1319</v>
      </c>
      <c r="F301" s="134"/>
      <c r="G301" s="584" t="s">
        <v>2317</v>
      </c>
      <c r="H301" s="584" t="s">
        <v>778</v>
      </c>
      <c r="I301" s="423" t="s">
        <v>2319</v>
      </c>
      <c r="J301" s="134" t="s">
        <v>201</v>
      </c>
      <c r="K301" s="581" t="s">
        <v>147</v>
      </c>
      <c r="L301" s="134"/>
      <c r="M301" s="581" t="s">
        <v>1989</v>
      </c>
      <c r="N301" s="134" t="s">
        <v>1955</v>
      </c>
      <c r="O301" s="134">
        <v>8.0</v>
      </c>
      <c r="P301" s="134">
        <v>8.5447E9</v>
      </c>
      <c r="Q301" s="597">
        <v>890.7142857142858</v>
      </c>
      <c r="R301" s="126" t="s">
        <v>10</v>
      </c>
      <c r="S301" s="49"/>
      <c r="T301" s="118">
        <v>2969.0476190476193</v>
      </c>
      <c r="U301" s="118">
        <v>1781.4285714285716</v>
      </c>
      <c r="V301" s="118">
        <v>1484.5238095238096</v>
      </c>
      <c r="W301" s="118">
        <v>1187.6190476190477</v>
      </c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</row>
    <row r="302" ht="13.5" customHeight="1">
      <c r="A302" s="423" t="s">
        <v>84</v>
      </c>
      <c r="B302" s="423" t="s">
        <v>1266</v>
      </c>
      <c r="C302" s="423" t="s">
        <v>1948</v>
      </c>
      <c r="D302" s="581" t="s">
        <v>2008</v>
      </c>
      <c r="E302" s="134" t="s">
        <v>1319</v>
      </c>
      <c r="F302" s="134"/>
      <c r="G302" s="584" t="s">
        <v>2321</v>
      </c>
      <c r="H302" s="584" t="s">
        <v>778</v>
      </c>
      <c r="I302" s="423" t="s">
        <v>2323</v>
      </c>
      <c r="J302" s="134" t="s">
        <v>201</v>
      </c>
      <c r="K302" s="581" t="s">
        <v>147</v>
      </c>
      <c r="L302" s="134"/>
      <c r="M302" s="581" t="s">
        <v>1989</v>
      </c>
      <c r="N302" s="134" t="s">
        <v>1955</v>
      </c>
      <c r="O302" s="134">
        <v>8.0</v>
      </c>
      <c r="P302" s="134">
        <v>8.5447E9</v>
      </c>
      <c r="Q302" s="597">
        <v>1383.5714285714287</v>
      </c>
      <c r="R302" s="126" t="s">
        <v>10</v>
      </c>
      <c r="S302" s="49"/>
      <c r="T302" s="118">
        <v>4611.904761904762</v>
      </c>
      <c r="U302" s="118">
        <v>2767.1428571428573</v>
      </c>
      <c r="V302" s="118">
        <v>2305.952380952381</v>
      </c>
      <c r="W302" s="118">
        <v>1844.761904761905</v>
      </c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</row>
    <row r="303" ht="13.5" customHeight="1">
      <c r="A303" s="423" t="s">
        <v>84</v>
      </c>
      <c r="B303" s="423" t="s">
        <v>1266</v>
      </c>
      <c r="C303" s="423" t="s">
        <v>1948</v>
      </c>
      <c r="D303" s="581" t="s">
        <v>2025</v>
      </c>
      <c r="E303" s="134" t="s">
        <v>1319</v>
      </c>
      <c r="F303" s="134"/>
      <c r="G303" s="584" t="s">
        <v>2358</v>
      </c>
      <c r="H303" s="584" t="s">
        <v>778</v>
      </c>
      <c r="I303" s="423" t="s">
        <v>2360</v>
      </c>
      <c r="J303" s="134" t="s">
        <v>162</v>
      </c>
      <c r="K303" s="581" t="s">
        <v>147</v>
      </c>
      <c r="L303" s="134"/>
      <c r="M303" s="581" t="s">
        <v>1989</v>
      </c>
      <c r="N303" s="134" t="s">
        <v>1955</v>
      </c>
      <c r="O303" s="134">
        <v>4.0</v>
      </c>
      <c r="P303" s="134">
        <v>8.5447E9</v>
      </c>
      <c r="Q303" s="597">
        <v>2290.0</v>
      </c>
      <c r="R303" s="126" t="s">
        <v>10</v>
      </c>
      <c r="S303" s="49"/>
      <c r="T303" s="118">
        <v>7633.333333333334</v>
      </c>
      <c r="U303" s="118">
        <v>4580.0</v>
      </c>
      <c r="V303" s="118">
        <v>3816.666666666667</v>
      </c>
      <c r="W303" s="118">
        <v>3053.333333333334</v>
      </c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</row>
    <row r="304" ht="13.5" customHeight="1">
      <c r="A304" s="423" t="s">
        <v>84</v>
      </c>
      <c r="B304" s="423" t="s">
        <v>1266</v>
      </c>
      <c r="C304" s="423" t="s">
        <v>1948</v>
      </c>
      <c r="D304" s="581" t="s">
        <v>2036</v>
      </c>
      <c r="E304" s="134" t="s">
        <v>1319</v>
      </c>
      <c r="F304" s="134"/>
      <c r="G304" s="584" t="s">
        <v>2038</v>
      </c>
      <c r="H304" s="584" t="s">
        <v>4181</v>
      </c>
      <c r="I304" s="423" t="s">
        <v>2040</v>
      </c>
      <c r="J304" s="134" t="s">
        <v>206</v>
      </c>
      <c r="K304" s="581" t="s">
        <v>147</v>
      </c>
      <c r="L304" s="134"/>
      <c r="M304" s="581" t="s">
        <v>1989</v>
      </c>
      <c r="N304" s="134" t="s">
        <v>1955</v>
      </c>
      <c r="O304" s="134">
        <v>4.0</v>
      </c>
      <c r="P304" s="134">
        <v>8.5447E9</v>
      </c>
      <c r="Q304" s="597">
        <v>2052.857142857143</v>
      </c>
      <c r="R304" s="126" t="s">
        <v>10</v>
      </c>
      <c r="S304" s="49"/>
      <c r="T304" s="118">
        <v>6842.857142857144</v>
      </c>
      <c r="U304" s="118">
        <v>4105.714285714286</v>
      </c>
      <c r="V304" s="118">
        <v>3421.428571428572</v>
      </c>
      <c r="W304" s="118">
        <v>2737.142857142858</v>
      </c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</row>
    <row r="305" ht="13.5" customHeight="1">
      <c r="A305" s="423" t="s">
        <v>84</v>
      </c>
      <c r="B305" s="423" t="s">
        <v>1266</v>
      </c>
      <c r="C305" s="423" t="s">
        <v>1948</v>
      </c>
      <c r="D305" s="581" t="s">
        <v>2036</v>
      </c>
      <c r="E305" s="134" t="s">
        <v>1319</v>
      </c>
      <c r="F305" s="134"/>
      <c r="G305" s="584" t="s">
        <v>2042</v>
      </c>
      <c r="H305" s="584" t="s">
        <v>4182</v>
      </c>
      <c r="I305" s="423" t="s">
        <v>2044</v>
      </c>
      <c r="J305" s="134" t="s">
        <v>206</v>
      </c>
      <c r="K305" s="581" t="s">
        <v>147</v>
      </c>
      <c r="L305" s="134"/>
      <c r="M305" s="581" t="s">
        <v>1989</v>
      </c>
      <c r="N305" s="134" t="s">
        <v>1955</v>
      </c>
      <c r="O305" s="134">
        <v>2.0</v>
      </c>
      <c r="P305" s="134">
        <v>8.5447E9</v>
      </c>
      <c r="Q305" s="597">
        <v>3714.2857142857147</v>
      </c>
      <c r="R305" s="126" t="s">
        <v>10</v>
      </c>
      <c r="S305" s="49"/>
      <c r="T305" s="118">
        <v>12380.952380952383</v>
      </c>
      <c r="U305" s="118">
        <v>7428.571428571429</v>
      </c>
      <c r="V305" s="118">
        <v>6190.476190476192</v>
      </c>
      <c r="W305" s="118">
        <v>4952.380952380954</v>
      </c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</row>
    <row r="306" ht="13.5" customHeight="1">
      <c r="A306" s="423" t="s">
        <v>84</v>
      </c>
      <c r="B306" s="423" t="s">
        <v>1266</v>
      </c>
      <c r="C306" s="423" t="s">
        <v>1948</v>
      </c>
      <c r="D306" s="581" t="s">
        <v>2045</v>
      </c>
      <c r="E306" s="134" t="s">
        <v>1319</v>
      </c>
      <c r="F306" s="134"/>
      <c r="G306" s="584" t="s">
        <v>2047</v>
      </c>
      <c r="H306" s="584" t="s">
        <v>4184</v>
      </c>
      <c r="I306" s="423" t="s">
        <v>2049</v>
      </c>
      <c r="J306" s="134" t="s">
        <v>206</v>
      </c>
      <c r="K306" s="581" t="s">
        <v>147</v>
      </c>
      <c r="L306" s="134"/>
      <c r="M306" s="581" t="s">
        <v>1989</v>
      </c>
      <c r="N306" s="134" t="s">
        <v>1955</v>
      </c>
      <c r="O306" s="134">
        <v>8.0</v>
      </c>
      <c r="P306" s="134">
        <v>8.5447E9</v>
      </c>
      <c r="Q306" s="597">
        <v>2235.416666666667</v>
      </c>
      <c r="R306" s="126" t="s">
        <v>10</v>
      </c>
      <c r="S306" s="49"/>
      <c r="T306" s="118">
        <v>7451.3888888888905</v>
      </c>
      <c r="U306" s="118">
        <v>4470.833333333334</v>
      </c>
      <c r="V306" s="118">
        <v>3725.6944444444453</v>
      </c>
      <c r="W306" s="118">
        <v>2980.5555555555566</v>
      </c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</row>
    <row r="307" ht="13.5" customHeight="1">
      <c r="A307" s="423" t="s">
        <v>84</v>
      </c>
      <c r="B307" s="423" t="s">
        <v>1266</v>
      </c>
      <c r="C307" s="423" t="s">
        <v>1948</v>
      </c>
      <c r="D307" s="581" t="s">
        <v>2045</v>
      </c>
      <c r="E307" s="134" t="s">
        <v>1319</v>
      </c>
      <c r="F307" s="134"/>
      <c r="G307" s="584" t="s">
        <v>2051</v>
      </c>
      <c r="H307" s="584" t="s">
        <v>4185</v>
      </c>
      <c r="I307" s="423" t="s">
        <v>2053</v>
      </c>
      <c r="J307" s="134" t="s">
        <v>206</v>
      </c>
      <c r="K307" s="581" t="s">
        <v>147</v>
      </c>
      <c r="L307" s="134"/>
      <c r="M307" s="581" t="s">
        <v>1989</v>
      </c>
      <c r="N307" s="134" t="s">
        <v>1955</v>
      </c>
      <c r="O307" s="134">
        <v>2.0</v>
      </c>
      <c r="P307" s="134">
        <v>8.5447E9</v>
      </c>
      <c r="Q307" s="597">
        <v>3913.888888888889</v>
      </c>
      <c r="R307" s="126" t="s">
        <v>10</v>
      </c>
      <c r="S307" s="49"/>
      <c r="T307" s="118">
        <v>13046.296296296297</v>
      </c>
      <c r="U307" s="118">
        <v>7827.777777777778</v>
      </c>
      <c r="V307" s="118">
        <v>6523.148148148149</v>
      </c>
      <c r="W307" s="118">
        <v>5218.518518518519</v>
      </c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</row>
    <row r="308" ht="13.5" customHeight="1">
      <c r="A308" s="423" t="s">
        <v>84</v>
      </c>
      <c r="B308" s="423" t="s">
        <v>1266</v>
      </c>
      <c r="C308" s="423" t="s">
        <v>1948</v>
      </c>
      <c r="D308" s="581" t="s">
        <v>2381</v>
      </c>
      <c r="E308" s="134" t="s">
        <v>1319</v>
      </c>
      <c r="F308" s="134"/>
      <c r="G308" s="584" t="s">
        <v>2383</v>
      </c>
      <c r="H308" s="584" t="s">
        <v>778</v>
      </c>
      <c r="I308" s="423" t="s">
        <v>2385</v>
      </c>
      <c r="J308" s="134" t="s">
        <v>201</v>
      </c>
      <c r="K308" s="581" t="s">
        <v>147</v>
      </c>
      <c r="L308" s="134"/>
      <c r="M308" s="581" t="s">
        <v>1989</v>
      </c>
      <c r="N308" s="134" t="s">
        <v>1955</v>
      </c>
      <c r="O308" s="134">
        <v>4.0</v>
      </c>
      <c r="P308" s="134">
        <v>8.5447E9</v>
      </c>
      <c r="Q308" s="597">
        <v>1286.3013698630136</v>
      </c>
      <c r="R308" s="126" t="s">
        <v>10</v>
      </c>
      <c r="S308" s="49"/>
      <c r="T308" s="118">
        <v>4287.671232876713</v>
      </c>
      <c r="U308" s="118">
        <v>2572.6027397260273</v>
      </c>
      <c r="V308" s="118">
        <v>2143.8356164383563</v>
      </c>
      <c r="W308" s="118">
        <v>1715.068493150685</v>
      </c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</row>
    <row r="309" ht="13.5" customHeight="1">
      <c r="A309" s="423" t="s">
        <v>84</v>
      </c>
      <c r="B309" s="423" t="s">
        <v>1266</v>
      </c>
      <c r="C309" s="423" t="s">
        <v>1948</v>
      </c>
      <c r="D309" s="581" t="s">
        <v>2381</v>
      </c>
      <c r="E309" s="134" t="s">
        <v>1319</v>
      </c>
      <c r="F309" s="134"/>
      <c r="G309" s="584" t="s">
        <v>2387</v>
      </c>
      <c r="H309" s="584" t="s">
        <v>778</v>
      </c>
      <c r="I309" s="423" t="s">
        <v>2389</v>
      </c>
      <c r="J309" s="134" t="s">
        <v>201</v>
      </c>
      <c r="K309" s="581" t="s">
        <v>147</v>
      </c>
      <c r="L309" s="134"/>
      <c r="M309" s="581" t="s">
        <v>1989</v>
      </c>
      <c r="N309" s="134" t="s">
        <v>1955</v>
      </c>
      <c r="O309" s="134">
        <v>4.0</v>
      </c>
      <c r="P309" s="134">
        <v>8.5447E9</v>
      </c>
      <c r="Q309" s="597">
        <v>1724.6575342465753</v>
      </c>
      <c r="R309" s="126" t="s">
        <v>10</v>
      </c>
      <c r="S309" s="49"/>
      <c r="T309" s="118">
        <v>5748.858447488585</v>
      </c>
      <c r="U309" s="118">
        <v>3449.3150684931506</v>
      </c>
      <c r="V309" s="118">
        <v>2874.4292237442924</v>
      </c>
      <c r="W309" s="118">
        <v>2299.543378995434</v>
      </c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</row>
    <row r="310" ht="13.5" customHeight="1">
      <c r="A310" s="423" t="s">
        <v>84</v>
      </c>
      <c r="B310" s="423" t="s">
        <v>1266</v>
      </c>
      <c r="C310" s="423" t="s">
        <v>1948</v>
      </c>
      <c r="D310" s="581" t="s">
        <v>2381</v>
      </c>
      <c r="E310" s="134" t="s">
        <v>1319</v>
      </c>
      <c r="F310" s="134"/>
      <c r="G310" s="584" t="s">
        <v>2391</v>
      </c>
      <c r="H310" s="584" t="s">
        <v>778</v>
      </c>
      <c r="I310" s="423" t="s">
        <v>2393</v>
      </c>
      <c r="J310" s="134" t="s">
        <v>201</v>
      </c>
      <c r="K310" s="581" t="s">
        <v>147</v>
      </c>
      <c r="L310" s="134"/>
      <c r="M310" s="581" t="s">
        <v>1989</v>
      </c>
      <c r="N310" s="134" t="s">
        <v>1955</v>
      </c>
      <c r="O310" s="134">
        <v>4.0</v>
      </c>
      <c r="P310" s="134">
        <v>8.5447E9</v>
      </c>
      <c r="Q310" s="597">
        <v>2561.6438356164385</v>
      </c>
      <c r="R310" s="126" t="s">
        <v>10</v>
      </c>
      <c r="S310" s="49"/>
      <c r="T310" s="118">
        <v>8538.812785388129</v>
      </c>
      <c r="U310" s="118">
        <v>5123.287671232877</v>
      </c>
      <c r="V310" s="118">
        <v>4269.406392694064</v>
      </c>
      <c r="W310" s="118">
        <v>3415.5251141552517</v>
      </c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</row>
    <row r="311" ht="13.5" customHeight="1">
      <c r="A311" s="423" t="s">
        <v>84</v>
      </c>
      <c r="B311" s="423" t="s">
        <v>1266</v>
      </c>
      <c r="C311" s="423" t="s">
        <v>1948</v>
      </c>
      <c r="D311" s="581" t="s">
        <v>2394</v>
      </c>
      <c r="E311" s="134" t="s">
        <v>1319</v>
      </c>
      <c r="F311" s="134"/>
      <c r="G311" s="584" t="s">
        <v>2396</v>
      </c>
      <c r="H311" s="584" t="s">
        <v>778</v>
      </c>
      <c r="I311" s="423" t="s">
        <v>2398</v>
      </c>
      <c r="J311" s="134" t="s">
        <v>201</v>
      </c>
      <c r="K311" s="581" t="s">
        <v>147</v>
      </c>
      <c r="L311" s="134"/>
      <c r="M311" s="581" t="s">
        <v>1989</v>
      </c>
      <c r="N311" s="134" t="s">
        <v>1955</v>
      </c>
      <c r="O311" s="134">
        <v>2.0</v>
      </c>
      <c r="P311" s="134">
        <v>8.5447E9</v>
      </c>
      <c r="Q311" s="597">
        <v>1512.3287671232877</v>
      </c>
      <c r="R311" s="126" t="s">
        <v>10</v>
      </c>
      <c r="S311" s="49"/>
      <c r="T311" s="118">
        <v>5041.095890410959</v>
      </c>
      <c r="U311" s="118">
        <v>3024.6575342465753</v>
      </c>
      <c r="V311" s="118">
        <v>2520.5479452054797</v>
      </c>
      <c r="W311" s="118">
        <v>2016.4383561643838</v>
      </c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</row>
    <row r="312" ht="13.5" customHeight="1">
      <c r="A312" s="423" t="s">
        <v>84</v>
      </c>
      <c r="B312" s="423" t="s">
        <v>1266</v>
      </c>
      <c r="C312" s="423" t="s">
        <v>1948</v>
      </c>
      <c r="D312" s="581" t="s">
        <v>2394</v>
      </c>
      <c r="E312" s="134" t="s">
        <v>1319</v>
      </c>
      <c r="F312" s="134"/>
      <c r="G312" s="584" t="s">
        <v>2400</v>
      </c>
      <c r="H312" s="584" t="s">
        <v>778</v>
      </c>
      <c r="I312" s="423" t="s">
        <v>2402</v>
      </c>
      <c r="J312" s="134" t="s">
        <v>201</v>
      </c>
      <c r="K312" s="581" t="s">
        <v>147</v>
      </c>
      <c r="L312" s="134"/>
      <c r="M312" s="581" t="s">
        <v>1989</v>
      </c>
      <c r="N312" s="134" t="s">
        <v>1955</v>
      </c>
      <c r="O312" s="134">
        <v>2.0</v>
      </c>
      <c r="P312" s="134">
        <v>8.5447E9</v>
      </c>
      <c r="Q312" s="597">
        <v>1956.164383561644</v>
      </c>
      <c r="R312" s="126" t="s">
        <v>10</v>
      </c>
      <c r="S312" s="49"/>
      <c r="T312" s="118">
        <v>6520.54794520548</v>
      </c>
      <c r="U312" s="118">
        <v>3912.3287671232874</v>
      </c>
      <c r="V312" s="118">
        <v>3260.27397260274</v>
      </c>
      <c r="W312" s="118">
        <v>2608.2191780821922</v>
      </c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</row>
    <row r="313" ht="13.5" customHeight="1">
      <c r="A313" s="423" t="s">
        <v>84</v>
      </c>
      <c r="B313" s="423" t="s">
        <v>1266</v>
      </c>
      <c r="C313" s="423" t="s">
        <v>1948</v>
      </c>
      <c r="D313" s="581" t="s">
        <v>2394</v>
      </c>
      <c r="E313" s="134" t="s">
        <v>1319</v>
      </c>
      <c r="F313" s="134"/>
      <c r="G313" s="584" t="s">
        <v>2404</v>
      </c>
      <c r="H313" s="584" t="s">
        <v>778</v>
      </c>
      <c r="I313" s="423" t="s">
        <v>2406</v>
      </c>
      <c r="J313" s="134" t="s">
        <v>201</v>
      </c>
      <c r="K313" s="581" t="s">
        <v>147</v>
      </c>
      <c r="L313" s="134"/>
      <c r="M313" s="581" t="s">
        <v>1989</v>
      </c>
      <c r="N313" s="134" t="s">
        <v>1955</v>
      </c>
      <c r="O313" s="134">
        <v>2.0</v>
      </c>
      <c r="P313" s="134">
        <v>8.5447E9</v>
      </c>
      <c r="Q313" s="597">
        <v>2832.876712328767</v>
      </c>
      <c r="R313" s="126" t="s">
        <v>10</v>
      </c>
      <c r="S313" s="49"/>
      <c r="T313" s="118">
        <v>9442.922374429225</v>
      </c>
      <c r="U313" s="118">
        <v>5665.753424657535</v>
      </c>
      <c r="V313" s="118">
        <v>4721.461187214612</v>
      </c>
      <c r="W313" s="118">
        <v>3777.16894977169</v>
      </c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</row>
    <row r="314" ht="13.5" customHeight="1">
      <c r="A314" s="423" t="s">
        <v>84</v>
      </c>
      <c r="B314" s="423" t="s">
        <v>1266</v>
      </c>
      <c r="C314" s="423" t="s">
        <v>1948</v>
      </c>
      <c r="D314" s="581" t="s">
        <v>2008</v>
      </c>
      <c r="E314" s="134" t="s">
        <v>1395</v>
      </c>
      <c r="F314" s="134"/>
      <c r="G314" s="584" t="s">
        <v>2459</v>
      </c>
      <c r="H314" s="584" t="s">
        <v>778</v>
      </c>
      <c r="I314" s="423" t="s">
        <v>2461</v>
      </c>
      <c r="J314" s="134" t="s">
        <v>201</v>
      </c>
      <c r="K314" s="581" t="s">
        <v>147</v>
      </c>
      <c r="L314" s="134"/>
      <c r="M314" s="581" t="s">
        <v>1989</v>
      </c>
      <c r="N314" s="134" t="s">
        <v>1955</v>
      </c>
      <c r="O314" s="134">
        <v>8.0</v>
      </c>
      <c r="P314" s="134">
        <v>8.5447E9</v>
      </c>
      <c r="Q314" s="597">
        <v>1424.2647058823532</v>
      </c>
      <c r="R314" s="126" t="s">
        <v>10</v>
      </c>
      <c r="S314" s="49"/>
      <c r="T314" s="118">
        <v>4747.5490196078445</v>
      </c>
      <c r="U314" s="118">
        <v>2848.5294117647068</v>
      </c>
      <c r="V314" s="118">
        <v>2373.7745098039222</v>
      </c>
      <c r="W314" s="118">
        <v>1899.019607843138</v>
      </c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</row>
    <row r="315" ht="13.5" customHeight="1">
      <c r="A315" s="423" t="s">
        <v>84</v>
      </c>
      <c r="B315" s="423" t="s">
        <v>1266</v>
      </c>
      <c r="C315" s="423" t="s">
        <v>1948</v>
      </c>
      <c r="D315" s="581" t="s">
        <v>2008</v>
      </c>
      <c r="E315" s="134" t="s">
        <v>1395</v>
      </c>
      <c r="F315" s="134"/>
      <c r="G315" s="584" t="s">
        <v>2463</v>
      </c>
      <c r="H315" s="584" t="s">
        <v>778</v>
      </c>
      <c r="I315" s="423" t="s">
        <v>2465</v>
      </c>
      <c r="J315" s="134" t="s">
        <v>201</v>
      </c>
      <c r="K315" s="581" t="s">
        <v>147</v>
      </c>
      <c r="L315" s="134"/>
      <c r="M315" s="581" t="s">
        <v>1989</v>
      </c>
      <c r="N315" s="134" t="s">
        <v>1955</v>
      </c>
      <c r="O315" s="134">
        <v>8.0</v>
      </c>
      <c r="P315" s="134">
        <v>8.5447E9</v>
      </c>
      <c r="Q315" s="597">
        <v>2584.558823529412</v>
      </c>
      <c r="R315" s="126" t="s">
        <v>10</v>
      </c>
      <c r="S315" s="49"/>
      <c r="T315" s="118">
        <v>8615.196078431374</v>
      </c>
      <c r="U315" s="118">
        <v>5169.117647058824</v>
      </c>
      <c r="V315" s="118">
        <v>4307.598039215687</v>
      </c>
      <c r="W315" s="118">
        <v>3446.07843137255</v>
      </c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</row>
    <row r="316" ht="13.5" customHeight="1">
      <c r="A316" s="423" t="s">
        <v>84</v>
      </c>
      <c r="B316" s="423" t="s">
        <v>1266</v>
      </c>
      <c r="C316" s="423" t="s">
        <v>1948</v>
      </c>
      <c r="D316" s="581" t="s">
        <v>1949</v>
      </c>
      <c r="E316" s="134" t="s">
        <v>1395</v>
      </c>
      <c r="F316" s="134"/>
      <c r="G316" s="584" t="s">
        <v>2489</v>
      </c>
      <c r="H316" s="584" t="s">
        <v>778</v>
      </c>
      <c r="I316" s="423" t="s">
        <v>2491</v>
      </c>
      <c r="J316" s="134" t="s">
        <v>162</v>
      </c>
      <c r="K316" s="581" t="s">
        <v>147</v>
      </c>
      <c r="L316" s="134"/>
      <c r="M316" s="581" t="s">
        <v>1989</v>
      </c>
      <c r="N316" s="134" t="s">
        <v>1955</v>
      </c>
      <c r="O316" s="134">
        <v>8.0</v>
      </c>
      <c r="P316" s="134">
        <v>8.5447E9</v>
      </c>
      <c r="Q316" s="597">
        <v>784.5588235294118</v>
      </c>
      <c r="R316" s="126" t="s">
        <v>10</v>
      </c>
      <c r="S316" s="49"/>
      <c r="T316" s="118">
        <v>2615.196078431373</v>
      </c>
      <c r="U316" s="118">
        <v>1569.1176470588236</v>
      </c>
      <c r="V316" s="118">
        <v>1307.5980392156864</v>
      </c>
      <c r="W316" s="118">
        <v>1046.0784313725492</v>
      </c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</row>
    <row r="317" ht="13.5" customHeight="1">
      <c r="A317" s="423" t="s">
        <v>84</v>
      </c>
      <c r="B317" s="423" t="s">
        <v>1266</v>
      </c>
      <c r="C317" s="423" t="s">
        <v>1948</v>
      </c>
      <c r="D317" s="581" t="s">
        <v>1949</v>
      </c>
      <c r="E317" s="134" t="s">
        <v>1395</v>
      </c>
      <c r="F317" s="134"/>
      <c r="G317" s="584" t="s">
        <v>2497</v>
      </c>
      <c r="H317" s="584" t="s">
        <v>778</v>
      </c>
      <c r="I317" s="423" t="s">
        <v>2499</v>
      </c>
      <c r="J317" s="134" t="s">
        <v>162</v>
      </c>
      <c r="K317" s="581" t="s">
        <v>147</v>
      </c>
      <c r="L317" s="134"/>
      <c r="M317" s="581" t="s">
        <v>1989</v>
      </c>
      <c r="N317" s="134" t="s">
        <v>1955</v>
      </c>
      <c r="O317" s="134">
        <v>8.0</v>
      </c>
      <c r="P317" s="134">
        <v>8.5447E9</v>
      </c>
      <c r="Q317" s="597">
        <v>1324.2647058823532</v>
      </c>
      <c r="R317" s="126" t="s">
        <v>10</v>
      </c>
      <c r="S317" s="49"/>
      <c r="T317" s="118">
        <v>4414.2156862745105</v>
      </c>
      <c r="U317" s="118">
        <v>2648.5294117647063</v>
      </c>
      <c r="V317" s="118">
        <v>2207.1078431372553</v>
      </c>
      <c r="W317" s="118">
        <v>1765.6862745098042</v>
      </c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</row>
    <row r="318" ht="13.5" customHeight="1">
      <c r="A318" s="423" t="s">
        <v>84</v>
      </c>
      <c r="B318" s="423" t="s">
        <v>1266</v>
      </c>
      <c r="C318" s="423" t="s">
        <v>1948</v>
      </c>
      <c r="D318" s="581" t="s">
        <v>1949</v>
      </c>
      <c r="E318" s="134" t="s">
        <v>1395</v>
      </c>
      <c r="F318" s="134"/>
      <c r="G318" s="584" t="s">
        <v>2501</v>
      </c>
      <c r="H318" s="584" t="s">
        <v>778</v>
      </c>
      <c r="I318" s="423" t="s">
        <v>2504</v>
      </c>
      <c r="J318" s="134" t="s">
        <v>162</v>
      </c>
      <c r="K318" s="581" t="s">
        <v>147</v>
      </c>
      <c r="L318" s="134"/>
      <c r="M318" s="581" t="s">
        <v>1989</v>
      </c>
      <c r="N318" s="134" t="s">
        <v>1955</v>
      </c>
      <c r="O318" s="134">
        <v>8.0</v>
      </c>
      <c r="P318" s="134">
        <v>8.5447E9</v>
      </c>
      <c r="Q318" s="597">
        <v>2397.794117647059</v>
      </c>
      <c r="R318" s="126" t="s">
        <v>10</v>
      </c>
      <c r="S318" s="49"/>
      <c r="T318" s="118">
        <v>7992.647058823531</v>
      </c>
      <c r="U318" s="118">
        <v>4795.588235294118</v>
      </c>
      <c r="V318" s="118">
        <v>3996.3235294117653</v>
      </c>
      <c r="W318" s="118">
        <v>3197.0588235294126</v>
      </c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</row>
    <row r="319" ht="13.5" customHeight="1">
      <c r="A319" s="423" t="s">
        <v>84</v>
      </c>
      <c r="B319" s="423" t="s">
        <v>1266</v>
      </c>
      <c r="C319" s="423" t="s">
        <v>1948</v>
      </c>
      <c r="D319" s="581" t="s">
        <v>2025</v>
      </c>
      <c r="E319" s="134" t="s">
        <v>1395</v>
      </c>
      <c r="F319" s="134"/>
      <c r="G319" s="584" t="s">
        <v>2514</v>
      </c>
      <c r="H319" s="584" t="s">
        <v>778</v>
      </c>
      <c r="I319" s="423" t="s">
        <v>2516</v>
      </c>
      <c r="J319" s="134" t="s">
        <v>162</v>
      </c>
      <c r="K319" s="581" t="s">
        <v>147</v>
      </c>
      <c r="L319" s="134"/>
      <c r="M319" s="581" t="s">
        <v>1989</v>
      </c>
      <c r="N319" s="134" t="s">
        <v>1955</v>
      </c>
      <c r="O319" s="134">
        <v>4.0</v>
      </c>
      <c r="P319" s="134">
        <v>8.5447E9</v>
      </c>
      <c r="Q319" s="597">
        <v>5004.411764705883</v>
      </c>
      <c r="R319" s="126" t="s">
        <v>10</v>
      </c>
      <c r="S319" s="49"/>
      <c r="T319" s="118">
        <v>16681.372549019612</v>
      </c>
      <c r="U319" s="118">
        <v>10008.823529411768</v>
      </c>
      <c r="V319" s="118">
        <v>8340.686274509806</v>
      </c>
      <c r="W319" s="118">
        <v>6672.549019607845</v>
      </c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</row>
    <row r="320" ht="13.5" customHeight="1">
      <c r="A320" s="423" t="s">
        <v>84</v>
      </c>
      <c r="B320" s="423" t="s">
        <v>1266</v>
      </c>
      <c r="C320" s="423" t="s">
        <v>1948</v>
      </c>
      <c r="D320" s="581" t="s">
        <v>1972</v>
      </c>
      <c r="E320" s="134" t="s">
        <v>1395</v>
      </c>
      <c r="F320" s="134"/>
      <c r="G320" s="584" t="s">
        <v>2079</v>
      </c>
      <c r="H320" s="584" t="s">
        <v>4188</v>
      </c>
      <c r="I320" s="423" t="s">
        <v>2081</v>
      </c>
      <c r="J320" s="134" t="s">
        <v>162</v>
      </c>
      <c r="K320" s="581" t="s">
        <v>147</v>
      </c>
      <c r="L320" s="134"/>
      <c r="M320" s="581" t="s">
        <v>1989</v>
      </c>
      <c r="N320" s="134" t="s">
        <v>1955</v>
      </c>
      <c r="O320" s="134">
        <v>8.0</v>
      </c>
      <c r="P320" s="134">
        <v>8.5447E9</v>
      </c>
      <c r="Q320" s="597">
        <v>780.1470588235295</v>
      </c>
      <c r="R320" s="126" t="s">
        <v>10</v>
      </c>
      <c r="S320" s="49"/>
      <c r="T320" s="118">
        <v>2600.490196078432</v>
      </c>
      <c r="U320" s="118">
        <v>1560.294117647059</v>
      </c>
      <c r="V320" s="118">
        <v>1300.245098039216</v>
      </c>
      <c r="W320" s="118">
        <v>1040.1960784313728</v>
      </c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</row>
    <row r="321" ht="13.5" customHeight="1">
      <c r="A321" s="423" t="s">
        <v>84</v>
      </c>
      <c r="B321" s="423" t="s">
        <v>1266</v>
      </c>
      <c r="C321" s="423" t="s">
        <v>1948</v>
      </c>
      <c r="D321" s="581" t="s">
        <v>1972</v>
      </c>
      <c r="E321" s="134" t="s">
        <v>1395</v>
      </c>
      <c r="F321" s="134"/>
      <c r="G321" s="584" t="s">
        <v>2083</v>
      </c>
      <c r="H321" s="584" t="s">
        <v>4189</v>
      </c>
      <c r="I321" s="423" t="s">
        <v>2085</v>
      </c>
      <c r="J321" s="134" t="s">
        <v>162</v>
      </c>
      <c r="K321" s="581" t="s">
        <v>147</v>
      </c>
      <c r="L321" s="134"/>
      <c r="M321" s="581" t="s">
        <v>1989</v>
      </c>
      <c r="N321" s="134" t="s">
        <v>1955</v>
      </c>
      <c r="O321" s="134">
        <v>8.0</v>
      </c>
      <c r="P321" s="134">
        <v>8.5447E9</v>
      </c>
      <c r="Q321" s="597">
        <v>966.9117647058824</v>
      </c>
      <c r="R321" s="126" t="s">
        <v>10</v>
      </c>
      <c r="S321" s="49"/>
      <c r="T321" s="118">
        <v>3223.039215686275</v>
      </c>
      <c r="U321" s="118">
        <v>1933.8235294117649</v>
      </c>
      <c r="V321" s="118">
        <v>1611.5196078431375</v>
      </c>
      <c r="W321" s="118">
        <v>1289.21568627451</v>
      </c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</row>
    <row r="322" ht="13.5" customHeight="1">
      <c r="A322" s="423" t="s">
        <v>84</v>
      </c>
      <c r="B322" s="423" t="s">
        <v>1266</v>
      </c>
      <c r="C322" s="423" t="s">
        <v>1948</v>
      </c>
      <c r="D322" s="581" t="s">
        <v>1972</v>
      </c>
      <c r="E322" s="134" t="s">
        <v>1395</v>
      </c>
      <c r="F322" s="134"/>
      <c r="G322" s="584" t="s">
        <v>2087</v>
      </c>
      <c r="H322" s="584" t="s">
        <v>4190</v>
      </c>
      <c r="I322" s="423" t="s">
        <v>2089</v>
      </c>
      <c r="J322" s="134" t="s">
        <v>162</v>
      </c>
      <c r="K322" s="581" t="s">
        <v>147</v>
      </c>
      <c r="L322" s="134"/>
      <c r="M322" s="581" t="s">
        <v>1989</v>
      </c>
      <c r="N322" s="134" t="s">
        <v>1955</v>
      </c>
      <c r="O322" s="134">
        <v>8.0</v>
      </c>
      <c r="P322" s="134">
        <v>8.5447E9</v>
      </c>
      <c r="Q322" s="597">
        <v>1327.2058823529412</v>
      </c>
      <c r="R322" s="126" t="s">
        <v>10</v>
      </c>
      <c r="S322" s="49"/>
      <c r="T322" s="118">
        <v>4424.019607843137</v>
      </c>
      <c r="U322" s="118">
        <v>2654.4117647058824</v>
      </c>
      <c r="V322" s="118">
        <v>2212.0098039215686</v>
      </c>
      <c r="W322" s="118">
        <v>1769.607843137255</v>
      </c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</row>
    <row r="323" ht="13.5" customHeight="1">
      <c r="A323" s="423" t="s">
        <v>84</v>
      </c>
      <c r="B323" s="423" t="s">
        <v>1266</v>
      </c>
      <c r="C323" s="423" t="s">
        <v>1948</v>
      </c>
      <c r="D323" s="581" t="s">
        <v>1972</v>
      </c>
      <c r="E323" s="134" t="s">
        <v>1395</v>
      </c>
      <c r="F323" s="134"/>
      <c r="G323" s="584" t="s">
        <v>2091</v>
      </c>
      <c r="H323" s="584" t="s">
        <v>4191</v>
      </c>
      <c r="I323" s="423" t="s">
        <v>2093</v>
      </c>
      <c r="J323" s="134" t="s">
        <v>162</v>
      </c>
      <c r="K323" s="581" t="s">
        <v>147</v>
      </c>
      <c r="L323" s="134"/>
      <c r="M323" s="581" t="s">
        <v>1989</v>
      </c>
      <c r="N323" s="134" t="s">
        <v>1955</v>
      </c>
      <c r="O323" s="134">
        <v>4.0</v>
      </c>
      <c r="P323" s="134">
        <v>8.5447E9</v>
      </c>
      <c r="Q323" s="597">
        <v>2477.9411764705883</v>
      </c>
      <c r="R323" s="126" t="s">
        <v>10</v>
      </c>
      <c r="S323" s="40"/>
      <c r="T323" s="118">
        <v>8259.803921568628</v>
      </c>
      <c r="U323" s="118">
        <v>4955.882352941177</v>
      </c>
      <c r="V323" s="118">
        <v>4129.901960784314</v>
      </c>
      <c r="W323" s="118">
        <v>3303.921568627451</v>
      </c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</row>
    <row r="324" ht="13.5" customHeight="1">
      <c r="A324" s="423" t="s">
        <v>84</v>
      </c>
      <c r="B324" s="423" t="s">
        <v>1266</v>
      </c>
      <c r="C324" s="423" t="s">
        <v>1948</v>
      </c>
      <c r="D324" s="581" t="s">
        <v>1972</v>
      </c>
      <c r="E324" s="134" t="s">
        <v>1465</v>
      </c>
      <c r="F324" s="134"/>
      <c r="G324" s="584" t="s">
        <v>2095</v>
      </c>
      <c r="H324" s="584" t="s">
        <v>4192</v>
      </c>
      <c r="I324" s="423" t="s">
        <v>2097</v>
      </c>
      <c r="J324" s="134" t="s">
        <v>162</v>
      </c>
      <c r="K324" s="581" t="s">
        <v>147</v>
      </c>
      <c r="L324" s="134"/>
      <c r="M324" s="581" t="s">
        <v>1989</v>
      </c>
      <c r="N324" s="134" t="s">
        <v>1955</v>
      </c>
      <c r="O324" s="134">
        <v>8.0</v>
      </c>
      <c r="P324" s="134">
        <v>8.5447E9</v>
      </c>
      <c r="Q324" s="597">
        <v>1341.9117647058824</v>
      </c>
      <c r="R324" s="126" t="s">
        <v>10</v>
      </c>
      <c r="S324" s="49"/>
      <c r="T324" s="118">
        <v>4473.039215686275</v>
      </c>
      <c r="U324" s="118">
        <v>2683.8235294117653</v>
      </c>
      <c r="V324" s="118">
        <v>2236.5196078431377</v>
      </c>
      <c r="W324" s="118">
        <v>1789.2156862745103</v>
      </c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</row>
    <row r="325" ht="13.5" customHeight="1">
      <c r="A325" s="423" t="s">
        <v>84</v>
      </c>
      <c r="B325" s="423" t="s">
        <v>1266</v>
      </c>
      <c r="C325" s="423" t="s">
        <v>1948</v>
      </c>
      <c r="D325" s="581" t="s">
        <v>1972</v>
      </c>
      <c r="E325" s="134" t="s">
        <v>1465</v>
      </c>
      <c r="F325" s="134"/>
      <c r="G325" s="584" t="s">
        <v>2099</v>
      </c>
      <c r="H325" s="584" t="s">
        <v>4193</v>
      </c>
      <c r="I325" s="423" t="s">
        <v>2101</v>
      </c>
      <c r="J325" s="134" t="s">
        <v>162</v>
      </c>
      <c r="K325" s="581" t="s">
        <v>147</v>
      </c>
      <c r="L325" s="134"/>
      <c r="M325" s="581" t="s">
        <v>1989</v>
      </c>
      <c r="N325" s="134" t="s">
        <v>1955</v>
      </c>
      <c r="O325" s="134">
        <v>8.0</v>
      </c>
      <c r="P325" s="134">
        <v>8.5447E9</v>
      </c>
      <c r="Q325" s="597">
        <v>1724.2647058823532</v>
      </c>
      <c r="R325" s="126" t="s">
        <v>10</v>
      </c>
      <c r="S325" s="49"/>
      <c r="T325" s="118">
        <v>5747.5490196078445</v>
      </c>
      <c r="U325" s="118">
        <v>3448.5294117647068</v>
      </c>
      <c r="V325" s="118">
        <v>2873.7745098039222</v>
      </c>
      <c r="W325" s="118">
        <v>2299.0196078431377</v>
      </c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</row>
    <row r="326" ht="13.5" customHeight="1">
      <c r="A326" s="423" t="s">
        <v>84</v>
      </c>
      <c r="B326" s="423" t="s">
        <v>1266</v>
      </c>
      <c r="C326" s="423" t="s">
        <v>1948</v>
      </c>
      <c r="D326" s="581" t="s">
        <v>1972</v>
      </c>
      <c r="E326" s="134" t="s">
        <v>1465</v>
      </c>
      <c r="F326" s="134"/>
      <c r="G326" s="584" t="s">
        <v>2103</v>
      </c>
      <c r="H326" s="584" t="s">
        <v>4194</v>
      </c>
      <c r="I326" s="423" t="s">
        <v>2105</v>
      </c>
      <c r="J326" s="134" t="s">
        <v>162</v>
      </c>
      <c r="K326" s="581" t="s">
        <v>147</v>
      </c>
      <c r="L326" s="134"/>
      <c r="M326" s="581" t="s">
        <v>1989</v>
      </c>
      <c r="N326" s="134" t="s">
        <v>1955</v>
      </c>
      <c r="O326" s="134">
        <v>8.0</v>
      </c>
      <c r="P326" s="134">
        <v>8.5447E9</v>
      </c>
      <c r="Q326" s="597">
        <v>2584.558823529412</v>
      </c>
      <c r="R326" s="126" t="s">
        <v>10</v>
      </c>
      <c r="S326" s="49"/>
      <c r="T326" s="118">
        <v>8615.196078431374</v>
      </c>
      <c r="U326" s="118">
        <v>5169.117647058824</v>
      </c>
      <c r="V326" s="118">
        <v>4307.598039215687</v>
      </c>
      <c r="W326" s="118">
        <v>3446.07843137255</v>
      </c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</row>
    <row r="327" ht="13.5" customHeight="1">
      <c r="A327" s="423" t="s">
        <v>84</v>
      </c>
      <c r="B327" s="423" t="s">
        <v>1266</v>
      </c>
      <c r="C327" s="423" t="s">
        <v>1948</v>
      </c>
      <c r="D327" s="581" t="s">
        <v>1972</v>
      </c>
      <c r="E327" s="134" t="s">
        <v>1465</v>
      </c>
      <c r="F327" s="134"/>
      <c r="G327" s="584" t="s">
        <v>2107</v>
      </c>
      <c r="H327" s="584" t="s">
        <v>4195</v>
      </c>
      <c r="I327" s="423" t="s">
        <v>2109</v>
      </c>
      <c r="J327" s="134" t="s">
        <v>162</v>
      </c>
      <c r="K327" s="581" t="s">
        <v>147</v>
      </c>
      <c r="L327" s="134"/>
      <c r="M327" s="581" t="s">
        <v>1989</v>
      </c>
      <c r="N327" s="134" t="s">
        <v>1955</v>
      </c>
      <c r="O327" s="134">
        <v>8.0</v>
      </c>
      <c r="P327" s="134">
        <v>8.5447E9</v>
      </c>
      <c r="Q327" s="597">
        <v>4888.970588235295</v>
      </c>
      <c r="R327" s="126" t="s">
        <v>10</v>
      </c>
      <c r="S327" s="49"/>
      <c r="T327" s="118">
        <v>16296.568627450983</v>
      </c>
      <c r="U327" s="118">
        <v>9777.94117647059</v>
      </c>
      <c r="V327" s="118">
        <v>8148.284313725491</v>
      </c>
      <c r="W327" s="118">
        <v>6518.627450980393</v>
      </c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</row>
    <row r="328" ht="13.5" customHeight="1">
      <c r="A328" s="423" t="s">
        <v>84</v>
      </c>
      <c r="B328" s="423" t="s">
        <v>1266</v>
      </c>
      <c r="C328" s="423" t="s">
        <v>1948</v>
      </c>
      <c r="D328" s="581" t="s">
        <v>2036</v>
      </c>
      <c r="E328" s="134" t="s">
        <v>1395</v>
      </c>
      <c r="F328" s="134"/>
      <c r="G328" s="584" t="s">
        <v>2111</v>
      </c>
      <c r="H328" s="584" t="s">
        <v>4196</v>
      </c>
      <c r="I328" s="423" t="s">
        <v>2113</v>
      </c>
      <c r="J328" s="134" t="s">
        <v>206</v>
      </c>
      <c r="K328" s="581" t="s">
        <v>147</v>
      </c>
      <c r="L328" s="134"/>
      <c r="M328" s="581" t="s">
        <v>1989</v>
      </c>
      <c r="N328" s="134" t="s">
        <v>1955</v>
      </c>
      <c r="O328" s="134">
        <v>4.0</v>
      </c>
      <c r="P328" s="134">
        <v>8.5447E9</v>
      </c>
      <c r="Q328" s="597">
        <v>4566.176470588236</v>
      </c>
      <c r="R328" s="126" t="s">
        <v>10</v>
      </c>
      <c r="S328" s="49"/>
      <c r="T328" s="118">
        <v>15220.58823529412</v>
      </c>
      <c r="U328" s="118">
        <v>9132.352941176472</v>
      </c>
      <c r="V328" s="118">
        <v>7610.29411764706</v>
      </c>
      <c r="W328" s="118">
        <v>6088.235294117649</v>
      </c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</row>
    <row r="329" ht="13.5" customHeight="1">
      <c r="A329" s="423" t="s">
        <v>84</v>
      </c>
      <c r="B329" s="423" t="s">
        <v>1266</v>
      </c>
      <c r="C329" s="423" t="s">
        <v>1948</v>
      </c>
      <c r="D329" s="581" t="s">
        <v>2036</v>
      </c>
      <c r="E329" s="134" t="s">
        <v>1395</v>
      </c>
      <c r="F329" s="134"/>
      <c r="G329" s="584" t="s">
        <v>2115</v>
      </c>
      <c r="H329" s="584" t="s">
        <v>4197</v>
      </c>
      <c r="I329" s="423" t="s">
        <v>2117</v>
      </c>
      <c r="J329" s="134" t="s">
        <v>206</v>
      </c>
      <c r="K329" s="581" t="s">
        <v>147</v>
      </c>
      <c r="L329" s="134"/>
      <c r="M329" s="581" t="s">
        <v>1989</v>
      </c>
      <c r="N329" s="134" t="s">
        <v>1955</v>
      </c>
      <c r="O329" s="134">
        <v>2.0</v>
      </c>
      <c r="P329" s="134">
        <v>8.5447E9</v>
      </c>
      <c r="Q329" s="597">
        <v>8585.29411764706</v>
      </c>
      <c r="R329" s="126" t="s">
        <v>10</v>
      </c>
      <c r="S329" s="49"/>
      <c r="T329" s="118">
        <v>28617.64705882353</v>
      </c>
      <c r="U329" s="118">
        <v>17170.58823529412</v>
      </c>
      <c r="V329" s="118">
        <v>14308.823529411766</v>
      </c>
      <c r="W329" s="118">
        <v>11447.058823529413</v>
      </c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</row>
    <row r="330" ht="13.5" customHeight="1">
      <c r="A330" s="423" t="s">
        <v>84</v>
      </c>
      <c r="B330" s="423" t="s">
        <v>1266</v>
      </c>
      <c r="C330" s="423" t="s">
        <v>1948</v>
      </c>
      <c r="D330" s="581" t="s">
        <v>2045</v>
      </c>
      <c r="E330" s="134" t="s">
        <v>1395</v>
      </c>
      <c r="F330" s="134"/>
      <c r="G330" s="584" t="s">
        <v>2119</v>
      </c>
      <c r="H330" s="584" t="s">
        <v>4198</v>
      </c>
      <c r="I330" s="423" t="s">
        <v>2121</v>
      </c>
      <c r="J330" s="134" t="s">
        <v>206</v>
      </c>
      <c r="K330" s="581" t="s">
        <v>147</v>
      </c>
      <c r="L330" s="134"/>
      <c r="M330" s="581" t="s">
        <v>1989</v>
      </c>
      <c r="N330" s="134" t="s">
        <v>1955</v>
      </c>
      <c r="O330" s="134">
        <v>4.0</v>
      </c>
      <c r="P330" s="134">
        <v>8.5447E9</v>
      </c>
      <c r="Q330" s="597">
        <v>4512.857142857143</v>
      </c>
      <c r="R330" s="126" t="s">
        <v>10</v>
      </c>
      <c r="S330" s="49"/>
      <c r="T330" s="118">
        <v>15042.857142857145</v>
      </c>
      <c r="U330" s="118">
        <v>9025.714285714286</v>
      </c>
      <c r="V330" s="118">
        <v>7521.4285714285725</v>
      </c>
      <c r="W330" s="118">
        <v>6017.142857142859</v>
      </c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</row>
    <row r="331" ht="13.5" customHeight="1">
      <c r="A331" s="423" t="s">
        <v>84</v>
      </c>
      <c r="B331" s="423" t="s">
        <v>1266</v>
      </c>
      <c r="C331" s="423" t="s">
        <v>1948</v>
      </c>
      <c r="D331" s="581" t="s">
        <v>2045</v>
      </c>
      <c r="E331" s="134" t="s">
        <v>1395</v>
      </c>
      <c r="F331" s="134"/>
      <c r="G331" s="584" t="s">
        <v>2123</v>
      </c>
      <c r="H331" s="584" t="s">
        <v>4199</v>
      </c>
      <c r="I331" s="423" t="s">
        <v>2125</v>
      </c>
      <c r="J331" s="134" t="s">
        <v>206</v>
      </c>
      <c r="K331" s="581" t="s">
        <v>147</v>
      </c>
      <c r="L331" s="134"/>
      <c r="M331" s="581" t="s">
        <v>1989</v>
      </c>
      <c r="N331" s="134" t="s">
        <v>1955</v>
      </c>
      <c r="O331" s="134">
        <v>2.0</v>
      </c>
      <c r="P331" s="134">
        <v>8.5447E9</v>
      </c>
      <c r="Q331" s="597">
        <v>8464.285714285716</v>
      </c>
      <c r="R331" s="126" t="s">
        <v>10</v>
      </c>
      <c r="S331" s="49"/>
      <c r="T331" s="118">
        <v>28214.28571428572</v>
      </c>
      <c r="U331" s="118">
        <v>16928.57142857143</v>
      </c>
      <c r="V331" s="118">
        <v>14107.14285714286</v>
      </c>
      <c r="W331" s="118">
        <v>11285.71428571429</v>
      </c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</row>
    <row r="332" ht="13.5" customHeight="1">
      <c r="A332" s="423" t="s">
        <v>84</v>
      </c>
      <c r="B332" s="423" t="s">
        <v>1266</v>
      </c>
      <c r="C332" s="423" t="s">
        <v>1948</v>
      </c>
      <c r="D332" s="581" t="s">
        <v>2545</v>
      </c>
      <c r="E332" s="134" t="s">
        <v>1395</v>
      </c>
      <c r="F332" s="134"/>
      <c r="G332" s="584" t="s">
        <v>2547</v>
      </c>
      <c r="H332" s="584" t="s">
        <v>778</v>
      </c>
      <c r="I332" s="423" t="s">
        <v>2549</v>
      </c>
      <c r="J332" s="134" t="s">
        <v>201</v>
      </c>
      <c r="K332" s="581" t="s">
        <v>147</v>
      </c>
      <c r="L332" s="134"/>
      <c r="M332" s="581" t="s">
        <v>1989</v>
      </c>
      <c r="N332" s="134" t="s">
        <v>1955</v>
      </c>
      <c r="O332" s="134">
        <v>4.0</v>
      </c>
      <c r="P332" s="134">
        <v>8.5447E9</v>
      </c>
      <c r="Q332" s="597">
        <v>1808.2191780821918</v>
      </c>
      <c r="R332" s="126" t="s">
        <v>10</v>
      </c>
      <c r="S332" s="49"/>
      <c r="T332" s="118">
        <v>6027.397260273973</v>
      </c>
      <c r="U332" s="118">
        <v>3616.438356164384</v>
      </c>
      <c r="V332" s="118">
        <v>3013.6986301369866</v>
      </c>
      <c r="W332" s="118">
        <v>2410.958904109589</v>
      </c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</row>
    <row r="333" ht="13.5" customHeight="1">
      <c r="A333" s="423" t="s">
        <v>84</v>
      </c>
      <c r="B333" s="423" t="s">
        <v>1266</v>
      </c>
      <c r="C333" s="423" t="s">
        <v>1948</v>
      </c>
      <c r="D333" s="581" t="s">
        <v>2545</v>
      </c>
      <c r="E333" s="134" t="s">
        <v>1395</v>
      </c>
      <c r="F333" s="134"/>
      <c r="G333" s="584" t="s">
        <v>2551</v>
      </c>
      <c r="H333" s="584" t="s">
        <v>778</v>
      </c>
      <c r="I333" s="423" t="s">
        <v>2553</v>
      </c>
      <c r="J333" s="134" t="s">
        <v>201</v>
      </c>
      <c r="K333" s="581" t="s">
        <v>147</v>
      </c>
      <c r="L333" s="134"/>
      <c r="M333" s="581" t="s">
        <v>1989</v>
      </c>
      <c r="N333" s="134" t="s">
        <v>1955</v>
      </c>
      <c r="O333" s="134">
        <v>4.0</v>
      </c>
      <c r="P333" s="134">
        <v>8.5447E9</v>
      </c>
      <c r="Q333" s="597">
        <v>2820.5479452054797</v>
      </c>
      <c r="R333" s="126" t="s">
        <v>10</v>
      </c>
      <c r="S333" s="49"/>
      <c r="T333" s="118">
        <v>9401.826484018266</v>
      </c>
      <c r="U333" s="118">
        <v>5641.095890410959</v>
      </c>
      <c r="V333" s="118">
        <v>4700.913242009133</v>
      </c>
      <c r="W333" s="118">
        <v>3760.730593607306</v>
      </c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</row>
    <row r="334" ht="13.5" customHeight="1">
      <c r="A334" s="423" t="s">
        <v>84</v>
      </c>
      <c r="B334" s="423" t="s">
        <v>1266</v>
      </c>
      <c r="C334" s="423" t="s">
        <v>1948</v>
      </c>
      <c r="D334" s="581" t="s">
        <v>2545</v>
      </c>
      <c r="E334" s="134" t="s">
        <v>1395</v>
      </c>
      <c r="F334" s="134"/>
      <c r="G334" s="584" t="s">
        <v>2555</v>
      </c>
      <c r="H334" s="584" t="s">
        <v>778</v>
      </c>
      <c r="I334" s="423" t="s">
        <v>2557</v>
      </c>
      <c r="J334" s="134" t="s">
        <v>201</v>
      </c>
      <c r="K334" s="581" t="s">
        <v>147</v>
      </c>
      <c r="L334" s="134"/>
      <c r="M334" s="581" t="s">
        <v>1989</v>
      </c>
      <c r="N334" s="134" t="s">
        <v>1955</v>
      </c>
      <c r="O334" s="134">
        <v>4.0</v>
      </c>
      <c r="P334" s="134">
        <v>8.5447E9</v>
      </c>
      <c r="Q334" s="597">
        <v>4869.86301369863</v>
      </c>
      <c r="R334" s="126" t="s">
        <v>10</v>
      </c>
      <c r="S334" s="49"/>
      <c r="T334" s="118">
        <v>16232.876712328769</v>
      </c>
      <c r="U334" s="118">
        <v>9739.72602739726</v>
      </c>
      <c r="V334" s="118">
        <v>8116.4383561643845</v>
      </c>
      <c r="W334" s="118">
        <v>6493.150684931508</v>
      </c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</row>
    <row r="335" ht="13.5" customHeight="1">
      <c r="A335" s="423" t="s">
        <v>84</v>
      </c>
      <c r="B335" s="423" t="s">
        <v>1266</v>
      </c>
      <c r="C335" s="423" t="s">
        <v>1948</v>
      </c>
      <c r="D335" s="581" t="s">
        <v>2394</v>
      </c>
      <c r="E335" s="134" t="s">
        <v>1395</v>
      </c>
      <c r="F335" s="134"/>
      <c r="G335" s="584" t="s">
        <v>2559</v>
      </c>
      <c r="H335" s="584" t="s">
        <v>778</v>
      </c>
      <c r="I335" s="423" t="s">
        <v>2561</v>
      </c>
      <c r="J335" s="134" t="s">
        <v>201</v>
      </c>
      <c r="K335" s="581" t="s">
        <v>147</v>
      </c>
      <c r="L335" s="134"/>
      <c r="M335" s="581" t="s">
        <v>1989</v>
      </c>
      <c r="N335" s="134" t="s">
        <v>1955</v>
      </c>
      <c r="O335" s="134">
        <v>2.0</v>
      </c>
      <c r="P335" s="134">
        <v>8.5447E9</v>
      </c>
      <c r="Q335" s="597">
        <v>2178.082191780822</v>
      </c>
      <c r="R335" s="126" t="s">
        <v>10</v>
      </c>
      <c r="S335" s="49"/>
      <c r="T335" s="118">
        <v>7260.27397260274</v>
      </c>
      <c r="U335" s="118">
        <v>4356.164383561644</v>
      </c>
      <c r="V335" s="118">
        <v>3630.13698630137</v>
      </c>
      <c r="W335" s="118">
        <v>2904.109589041096</v>
      </c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</row>
    <row r="336" ht="13.5" customHeight="1">
      <c r="A336" s="423" t="s">
        <v>84</v>
      </c>
      <c r="B336" s="423" t="s">
        <v>1266</v>
      </c>
      <c r="C336" s="423" t="s">
        <v>1948</v>
      </c>
      <c r="D336" s="581" t="s">
        <v>2394</v>
      </c>
      <c r="E336" s="134" t="s">
        <v>1395</v>
      </c>
      <c r="F336" s="134"/>
      <c r="G336" s="584" t="s">
        <v>2563</v>
      </c>
      <c r="H336" s="584" t="s">
        <v>778</v>
      </c>
      <c r="I336" s="423" t="s">
        <v>2565</v>
      </c>
      <c r="J336" s="134" t="s">
        <v>201</v>
      </c>
      <c r="K336" s="581" t="s">
        <v>147</v>
      </c>
      <c r="L336" s="134"/>
      <c r="M336" s="581" t="s">
        <v>1989</v>
      </c>
      <c r="N336" s="134" t="s">
        <v>1955</v>
      </c>
      <c r="O336" s="134">
        <v>2.0</v>
      </c>
      <c r="P336" s="134">
        <v>8.5447E9</v>
      </c>
      <c r="Q336" s="597">
        <v>3238.356164383562</v>
      </c>
      <c r="R336" s="126" t="s">
        <v>10</v>
      </c>
      <c r="S336" s="49"/>
      <c r="T336" s="118">
        <v>10794.520547945207</v>
      </c>
      <c r="U336" s="118">
        <v>6476.712328767124</v>
      </c>
      <c r="V336" s="118">
        <v>5397.2602739726035</v>
      </c>
      <c r="W336" s="118">
        <v>4317.808219178083</v>
      </c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</row>
    <row r="337" ht="12.75" customHeight="1">
      <c r="A337" s="423" t="s">
        <v>84</v>
      </c>
      <c r="B337" s="423" t="s">
        <v>1266</v>
      </c>
      <c r="C337" s="423" t="s">
        <v>1948</v>
      </c>
      <c r="D337" s="581" t="s">
        <v>2394</v>
      </c>
      <c r="E337" s="134" t="s">
        <v>1395</v>
      </c>
      <c r="F337" s="134"/>
      <c r="G337" s="584" t="s">
        <v>2567</v>
      </c>
      <c r="H337" s="584" t="s">
        <v>778</v>
      </c>
      <c r="I337" s="423" t="s">
        <v>2569</v>
      </c>
      <c r="J337" s="134" t="s">
        <v>201</v>
      </c>
      <c r="K337" s="581" t="s">
        <v>147</v>
      </c>
      <c r="L337" s="134"/>
      <c r="M337" s="581" t="s">
        <v>1989</v>
      </c>
      <c r="N337" s="134" t="s">
        <v>1955</v>
      </c>
      <c r="O337" s="134">
        <v>2.0</v>
      </c>
      <c r="P337" s="134">
        <v>8.5447E9</v>
      </c>
      <c r="Q337" s="597">
        <v>5301.369863013699</v>
      </c>
      <c r="R337" s="126" t="s">
        <v>10</v>
      </c>
      <c r="S337" s="49"/>
      <c r="T337" s="118">
        <v>17671.23287671233</v>
      </c>
      <c r="U337" s="118">
        <v>10602.739726027397</v>
      </c>
      <c r="V337" s="118">
        <v>8835.616438356165</v>
      </c>
      <c r="W337" s="118">
        <v>7068.493150684932</v>
      </c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</row>
    <row r="338" ht="13.5" customHeight="1">
      <c r="A338" s="423" t="s">
        <v>84</v>
      </c>
      <c r="B338" s="423" t="s">
        <v>1266</v>
      </c>
      <c r="C338" s="423" t="s">
        <v>1948</v>
      </c>
      <c r="D338" s="581" t="s">
        <v>1949</v>
      </c>
      <c r="E338" s="134" t="s">
        <v>2150</v>
      </c>
      <c r="F338" s="134"/>
      <c r="G338" s="584" t="s">
        <v>2665</v>
      </c>
      <c r="H338" s="584" t="s">
        <v>4200</v>
      </c>
      <c r="I338" s="423" t="s">
        <v>2667</v>
      </c>
      <c r="J338" s="134" t="s">
        <v>162</v>
      </c>
      <c r="K338" s="581" t="s">
        <v>147</v>
      </c>
      <c r="L338" s="134"/>
      <c r="M338" s="581" t="s">
        <v>1989</v>
      </c>
      <c r="N338" s="134" t="s">
        <v>1955</v>
      </c>
      <c r="O338" s="134">
        <v>8.0</v>
      </c>
      <c r="P338" s="134">
        <v>8.5447E9</v>
      </c>
      <c r="Q338" s="597">
        <v>280.14705882352945</v>
      </c>
      <c r="R338" s="126" t="s">
        <v>10</v>
      </c>
      <c r="S338" s="49"/>
      <c r="T338" s="118">
        <v>933.8235294117649</v>
      </c>
      <c r="U338" s="118">
        <v>560.2941176470589</v>
      </c>
      <c r="V338" s="118">
        <v>466.91176470588243</v>
      </c>
      <c r="W338" s="118">
        <v>373.52941176470597</v>
      </c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</row>
    <row r="339" ht="13.5" customHeight="1">
      <c r="A339" s="423" t="s">
        <v>84</v>
      </c>
      <c r="B339" s="423" t="s">
        <v>1266</v>
      </c>
      <c r="C339" s="423" t="s">
        <v>1948</v>
      </c>
      <c r="D339" s="581" t="s">
        <v>1949</v>
      </c>
      <c r="E339" s="134" t="s">
        <v>2150</v>
      </c>
      <c r="F339" s="134"/>
      <c r="G339" s="584" t="s">
        <v>2673</v>
      </c>
      <c r="H339" s="584" t="s">
        <v>4201</v>
      </c>
      <c r="I339" s="423" t="s">
        <v>2675</v>
      </c>
      <c r="J339" s="134" t="s">
        <v>162</v>
      </c>
      <c r="K339" s="581" t="s">
        <v>147</v>
      </c>
      <c r="L339" s="134"/>
      <c r="M339" s="581" t="s">
        <v>1989</v>
      </c>
      <c r="N339" s="134" t="s">
        <v>1955</v>
      </c>
      <c r="O339" s="134">
        <v>8.0</v>
      </c>
      <c r="P339" s="134">
        <v>8.5447E9</v>
      </c>
      <c r="Q339" s="597">
        <v>309.55882352941177</v>
      </c>
      <c r="R339" s="126" t="s">
        <v>10</v>
      </c>
      <c r="S339" s="49"/>
      <c r="T339" s="118">
        <v>1031.8627450980393</v>
      </c>
      <c r="U339" s="118">
        <v>619.1176470588235</v>
      </c>
      <c r="V339" s="118">
        <v>515.9313725490197</v>
      </c>
      <c r="W339" s="118">
        <v>412.74509803921575</v>
      </c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</row>
    <row r="340" ht="13.5" customHeight="1">
      <c r="A340" s="423" t="s">
        <v>84</v>
      </c>
      <c r="B340" s="423" t="s">
        <v>1266</v>
      </c>
      <c r="C340" s="423" t="s">
        <v>1948</v>
      </c>
      <c r="D340" s="581" t="s">
        <v>1949</v>
      </c>
      <c r="E340" s="134" t="s">
        <v>2150</v>
      </c>
      <c r="F340" s="134"/>
      <c r="G340" s="584" t="s">
        <v>2677</v>
      </c>
      <c r="H340" s="584" t="s">
        <v>4202</v>
      </c>
      <c r="I340" s="423" t="s">
        <v>2679</v>
      </c>
      <c r="J340" s="134" t="s">
        <v>162</v>
      </c>
      <c r="K340" s="581" t="s">
        <v>147</v>
      </c>
      <c r="L340" s="134"/>
      <c r="M340" s="581" t="s">
        <v>1989</v>
      </c>
      <c r="N340" s="134" t="s">
        <v>1955</v>
      </c>
      <c r="O340" s="134">
        <v>8.0</v>
      </c>
      <c r="P340" s="134">
        <v>8.5447E9</v>
      </c>
      <c r="Q340" s="597">
        <v>387.50000000000006</v>
      </c>
      <c r="R340" s="126" t="s">
        <v>10</v>
      </c>
      <c r="S340" s="49"/>
      <c r="T340" s="118">
        <v>1291.666666666667</v>
      </c>
      <c r="U340" s="118">
        <v>775.0000000000001</v>
      </c>
      <c r="V340" s="118">
        <v>645.8333333333335</v>
      </c>
      <c r="W340" s="118">
        <v>516.6666666666669</v>
      </c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</row>
    <row r="341" ht="13.5" customHeight="1">
      <c r="A341" s="423" t="s">
        <v>84</v>
      </c>
      <c r="B341" s="423" t="s">
        <v>1266</v>
      </c>
      <c r="C341" s="423" t="s">
        <v>1948</v>
      </c>
      <c r="D341" s="581" t="s">
        <v>1972</v>
      </c>
      <c r="E341" s="134" t="s">
        <v>2150</v>
      </c>
      <c r="F341" s="134"/>
      <c r="G341" s="584" t="s">
        <v>2170</v>
      </c>
      <c r="H341" s="584" t="s">
        <v>4203</v>
      </c>
      <c r="I341" s="423" t="s">
        <v>2172</v>
      </c>
      <c r="J341" s="134" t="s">
        <v>162</v>
      </c>
      <c r="K341" s="581" t="s">
        <v>147</v>
      </c>
      <c r="L341" s="134"/>
      <c r="M341" s="581" t="s">
        <v>1989</v>
      </c>
      <c r="N341" s="134" t="s">
        <v>1955</v>
      </c>
      <c r="O341" s="134">
        <v>8.0</v>
      </c>
      <c r="P341" s="134">
        <v>8.5447E9</v>
      </c>
      <c r="Q341" s="597">
        <v>257.24637681159425</v>
      </c>
      <c r="R341" s="126" t="s">
        <v>10</v>
      </c>
      <c r="S341" s="49"/>
      <c r="T341" s="118">
        <v>857.4879227053142</v>
      </c>
      <c r="U341" s="118">
        <v>514.4927536231885</v>
      </c>
      <c r="V341" s="118">
        <v>428.7439613526571</v>
      </c>
      <c r="W341" s="118">
        <v>342.9951690821257</v>
      </c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</row>
    <row r="342" ht="13.5" customHeight="1">
      <c r="A342" s="423" t="s">
        <v>84</v>
      </c>
      <c r="B342" s="423" t="s">
        <v>1266</v>
      </c>
      <c r="C342" s="423" t="s">
        <v>1948</v>
      </c>
      <c r="D342" s="581" t="s">
        <v>1972</v>
      </c>
      <c r="E342" s="134" t="s">
        <v>2150</v>
      </c>
      <c r="F342" s="134"/>
      <c r="G342" s="584" t="s">
        <v>2174</v>
      </c>
      <c r="H342" s="584" t="s">
        <v>4204</v>
      </c>
      <c r="I342" s="423" t="s">
        <v>2176</v>
      </c>
      <c r="J342" s="134" t="s">
        <v>162</v>
      </c>
      <c r="K342" s="581" t="s">
        <v>147</v>
      </c>
      <c r="L342" s="134"/>
      <c r="M342" s="581" t="s">
        <v>1989</v>
      </c>
      <c r="N342" s="134" t="s">
        <v>1955</v>
      </c>
      <c r="O342" s="134">
        <v>8.0</v>
      </c>
      <c r="P342" s="134">
        <v>8.5447E9</v>
      </c>
      <c r="Q342" s="597">
        <v>274.6575342465753</v>
      </c>
      <c r="R342" s="126" t="s">
        <v>10</v>
      </c>
      <c r="S342" s="49"/>
      <c r="T342" s="118">
        <v>915.5251141552511</v>
      </c>
      <c r="U342" s="118">
        <v>549.3150684931506</v>
      </c>
      <c r="V342" s="118">
        <v>457.76255707762556</v>
      </c>
      <c r="W342" s="118">
        <v>366.21004566210047</v>
      </c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</row>
    <row r="343" ht="13.5" customHeight="1">
      <c r="A343" s="423" t="s">
        <v>84</v>
      </c>
      <c r="B343" s="423" t="s">
        <v>1266</v>
      </c>
      <c r="C343" s="423" t="s">
        <v>1948</v>
      </c>
      <c r="D343" s="581" t="s">
        <v>1972</v>
      </c>
      <c r="E343" s="134" t="s">
        <v>2150</v>
      </c>
      <c r="F343" s="134"/>
      <c r="G343" s="584" t="s">
        <v>2178</v>
      </c>
      <c r="H343" s="584" t="s">
        <v>4205</v>
      </c>
      <c r="I343" s="423" t="s">
        <v>2180</v>
      </c>
      <c r="J343" s="134" t="s">
        <v>162</v>
      </c>
      <c r="K343" s="581" t="s">
        <v>147</v>
      </c>
      <c r="L343" s="134"/>
      <c r="M343" s="581" t="s">
        <v>1989</v>
      </c>
      <c r="N343" s="134" t="s">
        <v>1955</v>
      </c>
      <c r="O343" s="134">
        <v>8.0</v>
      </c>
      <c r="P343" s="134">
        <v>8.5447E9</v>
      </c>
      <c r="Q343" s="597">
        <v>315.75342465753425</v>
      </c>
      <c r="R343" s="126" t="s">
        <v>10</v>
      </c>
      <c r="S343" s="49"/>
      <c r="T343" s="118">
        <v>1052.5114155251142</v>
      </c>
      <c r="U343" s="118">
        <v>631.5068493150685</v>
      </c>
      <c r="V343" s="118">
        <v>526.2557077625571</v>
      </c>
      <c r="W343" s="118">
        <v>421.0045662100457</v>
      </c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</row>
    <row r="344" ht="13.5" customHeight="1">
      <c r="A344" s="423" t="s">
        <v>84</v>
      </c>
      <c r="B344" s="423" t="s">
        <v>1266</v>
      </c>
      <c r="C344" s="423" t="s">
        <v>1948</v>
      </c>
      <c r="D344" s="581" t="s">
        <v>1972</v>
      </c>
      <c r="E344" s="134" t="s">
        <v>2150</v>
      </c>
      <c r="F344" s="134"/>
      <c r="G344" s="584" t="s">
        <v>2182</v>
      </c>
      <c r="H344" s="584" t="s">
        <v>4206</v>
      </c>
      <c r="I344" s="423" t="s">
        <v>2184</v>
      </c>
      <c r="J344" s="134" t="s">
        <v>162</v>
      </c>
      <c r="K344" s="581" t="s">
        <v>147</v>
      </c>
      <c r="L344" s="134"/>
      <c r="M344" s="581" t="s">
        <v>1989</v>
      </c>
      <c r="N344" s="134" t="s">
        <v>1955</v>
      </c>
      <c r="O344" s="134">
        <v>8.0</v>
      </c>
      <c r="P344" s="134">
        <v>8.5447E9</v>
      </c>
      <c r="Q344" s="597">
        <v>436.3013698630137</v>
      </c>
      <c r="R344" s="126" t="s">
        <v>10</v>
      </c>
      <c r="S344" s="49"/>
      <c r="T344" s="118">
        <v>1454.337899543379</v>
      </c>
      <c r="U344" s="118">
        <v>872.6027397260274</v>
      </c>
      <c r="V344" s="118">
        <v>727.1689497716895</v>
      </c>
      <c r="W344" s="118">
        <v>581.7351598173517</v>
      </c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</row>
    <row r="345" ht="13.5" customHeight="1">
      <c r="A345" s="423" t="s">
        <v>84</v>
      </c>
      <c r="B345" s="423" t="s">
        <v>1266</v>
      </c>
      <c r="C345" s="423" t="s">
        <v>1948</v>
      </c>
      <c r="D345" s="581" t="s">
        <v>1991</v>
      </c>
      <c r="E345" s="134" t="s">
        <v>2150</v>
      </c>
      <c r="F345" s="134"/>
      <c r="G345" s="584" t="s">
        <v>2186</v>
      </c>
      <c r="H345" s="584" t="s">
        <v>4207</v>
      </c>
      <c r="I345" s="423" t="s">
        <v>2188</v>
      </c>
      <c r="J345" s="134" t="s">
        <v>206</v>
      </c>
      <c r="K345" s="581" t="s">
        <v>147</v>
      </c>
      <c r="L345" s="134"/>
      <c r="M345" s="581" t="s">
        <v>1989</v>
      </c>
      <c r="N345" s="134" t="s">
        <v>1955</v>
      </c>
      <c r="O345" s="134">
        <v>8.0</v>
      </c>
      <c r="P345" s="134">
        <v>8.5447E9</v>
      </c>
      <c r="Q345" s="597">
        <v>235.60606060606062</v>
      </c>
      <c r="R345" s="126" t="s">
        <v>10</v>
      </c>
      <c r="S345" s="49"/>
      <c r="T345" s="118">
        <v>785.3535353535354</v>
      </c>
      <c r="U345" s="118">
        <v>471.21212121212125</v>
      </c>
      <c r="V345" s="118">
        <v>392.6767676767677</v>
      </c>
      <c r="W345" s="118">
        <v>314.1414141414142</v>
      </c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</row>
    <row r="346" ht="13.5" customHeight="1">
      <c r="A346" s="423" t="s">
        <v>84</v>
      </c>
      <c r="B346" s="423" t="s">
        <v>1266</v>
      </c>
      <c r="C346" s="423" t="s">
        <v>1948</v>
      </c>
      <c r="D346" s="581" t="s">
        <v>1991</v>
      </c>
      <c r="E346" s="134" t="s">
        <v>2150</v>
      </c>
      <c r="F346" s="134"/>
      <c r="G346" s="584" t="s">
        <v>2190</v>
      </c>
      <c r="H346" s="584" t="s">
        <v>4208</v>
      </c>
      <c r="I346" s="423" t="s">
        <v>2192</v>
      </c>
      <c r="J346" s="134" t="s">
        <v>206</v>
      </c>
      <c r="K346" s="581" t="s">
        <v>147</v>
      </c>
      <c r="L346" s="134"/>
      <c r="M346" s="581" t="s">
        <v>1989</v>
      </c>
      <c r="N346" s="134" t="s">
        <v>1955</v>
      </c>
      <c r="O346" s="134">
        <v>8.0</v>
      </c>
      <c r="P346" s="134">
        <v>8.5447E9</v>
      </c>
      <c r="Q346" s="597">
        <v>248.50746268656718</v>
      </c>
      <c r="R346" s="126" t="s">
        <v>10</v>
      </c>
      <c r="S346" s="49"/>
      <c r="T346" s="118">
        <v>828.358208955224</v>
      </c>
      <c r="U346" s="118">
        <v>497.01492537313436</v>
      </c>
      <c r="V346" s="118">
        <v>414.179104477612</v>
      </c>
      <c r="W346" s="118">
        <v>331.3432835820896</v>
      </c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</row>
    <row r="347" ht="13.5" customHeight="1">
      <c r="A347" s="423" t="s">
        <v>84</v>
      </c>
      <c r="B347" s="423" t="s">
        <v>1266</v>
      </c>
      <c r="C347" s="423" t="s">
        <v>1948</v>
      </c>
      <c r="D347" s="581" t="s">
        <v>1991</v>
      </c>
      <c r="E347" s="134" t="s">
        <v>2150</v>
      </c>
      <c r="F347" s="134"/>
      <c r="G347" s="584" t="s">
        <v>2194</v>
      </c>
      <c r="H347" s="584" t="s">
        <v>4209</v>
      </c>
      <c r="I347" s="423" t="s">
        <v>2196</v>
      </c>
      <c r="J347" s="134" t="s">
        <v>206</v>
      </c>
      <c r="K347" s="581" t="s">
        <v>147</v>
      </c>
      <c r="L347" s="134"/>
      <c r="M347" s="581" t="s">
        <v>1989</v>
      </c>
      <c r="N347" s="134" t="s">
        <v>1955</v>
      </c>
      <c r="O347" s="134">
        <v>8.0</v>
      </c>
      <c r="P347" s="134">
        <v>8.5447E9</v>
      </c>
      <c r="Q347" s="597">
        <v>264.92537313432837</v>
      </c>
      <c r="R347" s="126" t="s">
        <v>10</v>
      </c>
      <c r="S347" s="49"/>
      <c r="T347" s="118">
        <v>883.0845771144279</v>
      </c>
      <c r="U347" s="118">
        <v>529.8507462686567</v>
      </c>
      <c r="V347" s="118">
        <v>441.54228855721396</v>
      </c>
      <c r="W347" s="118">
        <v>353.2338308457712</v>
      </c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</row>
    <row r="348" ht="13.5" customHeight="1">
      <c r="A348" s="423" t="s">
        <v>84</v>
      </c>
      <c r="B348" s="423" t="s">
        <v>1266</v>
      </c>
      <c r="C348" s="423" t="s">
        <v>1948</v>
      </c>
      <c r="D348" s="581" t="s">
        <v>1991</v>
      </c>
      <c r="E348" s="134" t="s">
        <v>2150</v>
      </c>
      <c r="F348" s="134"/>
      <c r="G348" s="584" t="s">
        <v>2198</v>
      </c>
      <c r="H348" s="584" t="s">
        <v>4210</v>
      </c>
      <c r="I348" s="423" t="s">
        <v>2200</v>
      </c>
      <c r="J348" s="134" t="s">
        <v>206</v>
      </c>
      <c r="K348" s="581" t="s">
        <v>147</v>
      </c>
      <c r="L348" s="134"/>
      <c r="M348" s="581" t="s">
        <v>1989</v>
      </c>
      <c r="N348" s="134" t="s">
        <v>1955</v>
      </c>
      <c r="O348" s="134">
        <v>8.0</v>
      </c>
      <c r="P348" s="134">
        <v>8.5447E9</v>
      </c>
      <c r="Q348" s="597">
        <v>347.79411764705884</v>
      </c>
      <c r="R348" s="126" t="s">
        <v>10</v>
      </c>
      <c r="S348" s="49"/>
      <c r="T348" s="118">
        <v>1159.3137254901962</v>
      </c>
      <c r="U348" s="118">
        <v>695.5882352941177</v>
      </c>
      <c r="V348" s="118">
        <v>579.6568627450981</v>
      </c>
      <c r="W348" s="118">
        <v>463.7254901960785</v>
      </c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</row>
    <row r="349" ht="13.5" customHeight="1">
      <c r="A349" s="423" t="s">
        <v>84</v>
      </c>
      <c r="B349" s="423" t="s">
        <v>1266</v>
      </c>
      <c r="C349" s="423" t="s">
        <v>1948</v>
      </c>
      <c r="D349" s="581" t="s">
        <v>2008</v>
      </c>
      <c r="E349" s="134" t="s">
        <v>2150</v>
      </c>
      <c r="F349" s="134"/>
      <c r="G349" s="584" t="s">
        <v>2202</v>
      </c>
      <c r="H349" s="584" t="s">
        <v>4211</v>
      </c>
      <c r="I349" s="423" t="s">
        <v>2204</v>
      </c>
      <c r="J349" s="134" t="s">
        <v>206</v>
      </c>
      <c r="K349" s="581" t="s">
        <v>147</v>
      </c>
      <c r="L349" s="134"/>
      <c r="M349" s="581" t="s">
        <v>1989</v>
      </c>
      <c r="N349" s="134" t="s">
        <v>1955</v>
      </c>
      <c r="O349" s="134">
        <v>8.0</v>
      </c>
      <c r="P349" s="134">
        <v>8.5447E9</v>
      </c>
      <c r="Q349" s="597">
        <v>309.55882352941177</v>
      </c>
      <c r="R349" s="126" t="s">
        <v>10</v>
      </c>
      <c r="S349" s="49"/>
      <c r="T349" s="118">
        <v>1031.8627450980393</v>
      </c>
      <c r="U349" s="118">
        <v>619.1176470588235</v>
      </c>
      <c r="V349" s="118">
        <v>515.9313725490197</v>
      </c>
      <c r="W349" s="118">
        <v>412.74509803921575</v>
      </c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</row>
    <row r="350" ht="13.5" customHeight="1">
      <c r="A350" s="423" t="s">
        <v>84</v>
      </c>
      <c r="B350" s="423" t="s">
        <v>1266</v>
      </c>
      <c r="C350" s="423" t="s">
        <v>1948</v>
      </c>
      <c r="D350" s="581" t="s">
        <v>2008</v>
      </c>
      <c r="E350" s="134" t="s">
        <v>2150</v>
      </c>
      <c r="F350" s="134"/>
      <c r="G350" s="584" t="s">
        <v>2206</v>
      </c>
      <c r="H350" s="584" t="s">
        <v>4212</v>
      </c>
      <c r="I350" s="423" t="s">
        <v>2208</v>
      </c>
      <c r="J350" s="134" t="s">
        <v>206</v>
      </c>
      <c r="K350" s="581" t="s">
        <v>147</v>
      </c>
      <c r="L350" s="134"/>
      <c r="M350" s="581" t="s">
        <v>1989</v>
      </c>
      <c r="N350" s="134" t="s">
        <v>1955</v>
      </c>
      <c r="O350" s="134">
        <v>8.0</v>
      </c>
      <c r="P350" s="134">
        <v>8.5447E9</v>
      </c>
      <c r="Q350" s="597">
        <v>322.79411764705884</v>
      </c>
      <c r="R350" s="126" t="s">
        <v>10</v>
      </c>
      <c r="S350" s="49"/>
      <c r="T350" s="118">
        <v>1075.9803921568628</v>
      </c>
      <c r="U350" s="118">
        <v>645.5882352941177</v>
      </c>
      <c r="V350" s="118">
        <v>537.9901960784314</v>
      </c>
      <c r="W350" s="118">
        <v>430.39215686274514</v>
      </c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</row>
    <row r="351" ht="13.5" customHeight="1">
      <c r="A351" s="423" t="s">
        <v>84</v>
      </c>
      <c r="B351" s="423" t="s">
        <v>1266</v>
      </c>
      <c r="C351" s="423" t="s">
        <v>1948</v>
      </c>
      <c r="D351" s="581" t="s">
        <v>2008</v>
      </c>
      <c r="E351" s="134" t="s">
        <v>2150</v>
      </c>
      <c r="F351" s="134"/>
      <c r="G351" s="584" t="s">
        <v>2210</v>
      </c>
      <c r="H351" s="584" t="s">
        <v>4213</v>
      </c>
      <c r="I351" s="423" t="s">
        <v>2212</v>
      </c>
      <c r="J351" s="134" t="s">
        <v>206</v>
      </c>
      <c r="K351" s="581" t="s">
        <v>147</v>
      </c>
      <c r="L351" s="134"/>
      <c r="M351" s="581" t="s">
        <v>1989</v>
      </c>
      <c r="N351" s="134" t="s">
        <v>1955</v>
      </c>
      <c r="O351" s="134">
        <v>8.0</v>
      </c>
      <c r="P351" s="134">
        <v>8.5447E9</v>
      </c>
      <c r="Q351" s="597">
        <v>338.97058823529414</v>
      </c>
      <c r="R351" s="126" t="s">
        <v>10</v>
      </c>
      <c r="S351" s="49"/>
      <c r="T351" s="118">
        <v>1129.9019607843138</v>
      </c>
      <c r="U351" s="118">
        <v>677.9411764705883</v>
      </c>
      <c r="V351" s="118">
        <v>564.9509803921569</v>
      </c>
      <c r="W351" s="118">
        <v>451.9607843137255</v>
      </c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</row>
    <row r="352" ht="13.5" customHeight="1">
      <c r="A352" s="423" t="s">
        <v>84</v>
      </c>
      <c r="B352" s="423" t="s">
        <v>1266</v>
      </c>
      <c r="C352" s="423" t="s">
        <v>1948</v>
      </c>
      <c r="D352" s="581" t="s">
        <v>2008</v>
      </c>
      <c r="E352" s="134" t="s">
        <v>2150</v>
      </c>
      <c r="F352" s="134"/>
      <c r="G352" s="584" t="s">
        <v>2214</v>
      </c>
      <c r="H352" s="584" t="s">
        <v>4214</v>
      </c>
      <c r="I352" s="423" t="s">
        <v>2216</v>
      </c>
      <c r="J352" s="134" t="s">
        <v>206</v>
      </c>
      <c r="K352" s="581" t="s">
        <v>147</v>
      </c>
      <c r="L352" s="134"/>
      <c r="M352" s="581" t="s">
        <v>1989</v>
      </c>
      <c r="N352" s="134" t="s">
        <v>1955</v>
      </c>
      <c r="O352" s="134">
        <v>8.0</v>
      </c>
      <c r="P352" s="134">
        <v>8.5447E9</v>
      </c>
      <c r="Q352" s="597">
        <v>421.32352941176475</v>
      </c>
      <c r="R352" s="126" t="s">
        <v>10</v>
      </c>
      <c r="S352" s="49"/>
      <c r="T352" s="118">
        <v>1404.4117647058827</v>
      </c>
      <c r="U352" s="118">
        <v>842.6470588235296</v>
      </c>
      <c r="V352" s="118">
        <v>702.2058823529413</v>
      </c>
      <c r="W352" s="118">
        <v>561.764705882353</v>
      </c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</row>
    <row r="353" ht="13.5" customHeight="1">
      <c r="A353" s="423" t="s">
        <v>84</v>
      </c>
      <c r="B353" s="423" t="s">
        <v>1266</v>
      </c>
      <c r="C353" s="423" t="s">
        <v>1948</v>
      </c>
      <c r="D353" s="581" t="s">
        <v>2008</v>
      </c>
      <c r="E353" s="134" t="s">
        <v>2150</v>
      </c>
      <c r="F353" s="134"/>
      <c r="G353" s="584" t="s">
        <v>2723</v>
      </c>
      <c r="H353" s="584" t="s">
        <v>778</v>
      </c>
      <c r="I353" s="423" t="s">
        <v>2725</v>
      </c>
      <c r="J353" s="134" t="s">
        <v>201</v>
      </c>
      <c r="K353" s="581" t="s">
        <v>147</v>
      </c>
      <c r="L353" s="134"/>
      <c r="M353" s="581" t="s">
        <v>1989</v>
      </c>
      <c r="N353" s="134" t="s">
        <v>1955</v>
      </c>
      <c r="O353" s="134">
        <v>8.0</v>
      </c>
      <c r="P353" s="134">
        <v>8.5447E9</v>
      </c>
      <c r="Q353" s="597">
        <v>484.5588235294118</v>
      </c>
      <c r="R353" s="126" t="s">
        <v>10</v>
      </c>
      <c r="S353" s="49"/>
      <c r="T353" s="118">
        <v>1615.1960784313728</v>
      </c>
      <c r="U353" s="118">
        <v>969.1176470588236</v>
      </c>
      <c r="V353" s="118">
        <v>807.5980392156864</v>
      </c>
      <c r="W353" s="118">
        <v>646.0784313725492</v>
      </c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</row>
    <row r="354" ht="13.5" customHeight="1">
      <c r="A354" s="423" t="s">
        <v>84</v>
      </c>
      <c r="B354" s="423" t="s">
        <v>1266</v>
      </c>
      <c r="C354" s="423" t="s">
        <v>1948</v>
      </c>
      <c r="D354" s="581" t="s">
        <v>2008</v>
      </c>
      <c r="E354" s="134" t="s">
        <v>2150</v>
      </c>
      <c r="F354" s="134"/>
      <c r="G354" s="584" t="s">
        <v>2727</v>
      </c>
      <c r="H354" s="584" t="s">
        <v>778</v>
      </c>
      <c r="I354" s="423" t="s">
        <v>2729</v>
      </c>
      <c r="J354" s="134" t="s">
        <v>201</v>
      </c>
      <c r="K354" s="581" t="s">
        <v>147</v>
      </c>
      <c r="L354" s="134"/>
      <c r="M354" s="581" t="s">
        <v>1989</v>
      </c>
      <c r="N354" s="134" t="s">
        <v>1955</v>
      </c>
      <c r="O354" s="134">
        <v>8.0</v>
      </c>
      <c r="P354" s="134">
        <v>8.5447E9</v>
      </c>
      <c r="Q354" s="597">
        <v>618.3823529411766</v>
      </c>
      <c r="R354" s="126" t="s">
        <v>10</v>
      </c>
      <c r="S354" s="49"/>
      <c r="T354" s="118">
        <v>2061.2745098039222</v>
      </c>
      <c r="U354" s="118">
        <v>1236.7647058823534</v>
      </c>
      <c r="V354" s="118">
        <v>1030.6372549019611</v>
      </c>
      <c r="W354" s="118">
        <v>824.509803921569</v>
      </c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</row>
    <row r="355" ht="13.5" customHeight="1">
      <c r="A355" s="423" t="s">
        <v>84</v>
      </c>
      <c r="B355" s="423" t="s">
        <v>1266</v>
      </c>
      <c r="C355" s="423" t="s">
        <v>1948</v>
      </c>
      <c r="D355" s="581" t="s">
        <v>2008</v>
      </c>
      <c r="E355" s="134" t="s">
        <v>2150</v>
      </c>
      <c r="F355" s="134"/>
      <c r="G355" s="584" t="s">
        <v>2731</v>
      </c>
      <c r="H355" s="584" t="s">
        <v>778</v>
      </c>
      <c r="I355" s="423" t="s">
        <v>2733</v>
      </c>
      <c r="J355" s="134" t="s">
        <v>201</v>
      </c>
      <c r="K355" s="581" t="s">
        <v>147</v>
      </c>
      <c r="L355" s="134"/>
      <c r="M355" s="581" t="s">
        <v>1989</v>
      </c>
      <c r="N355" s="134" t="s">
        <v>1955</v>
      </c>
      <c r="O355" s="134">
        <v>8.0</v>
      </c>
      <c r="P355" s="134">
        <v>8.5447E9</v>
      </c>
      <c r="Q355" s="597">
        <v>468.3823529411765</v>
      </c>
      <c r="R355" s="126" t="s">
        <v>10</v>
      </c>
      <c r="S355" s="49"/>
      <c r="T355" s="118">
        <v>1561.2745098039218</v>
      </c>
      <c r="U355" s="118">
        <v>936.764705882353</v>
      </c>
      <c r="V355" s="118">
        <v>780.6372549019609</v>
      </c>
      <c r="W355" s="118">
        <v>624.5098039215687</v>
      </c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</row>
    <row r="356" ht="13.5" customHeight="1">
      <c r="A356" s="423" t="s">
        <v>84</v>
      </c>
      <c r="B356" s="423" t="s">
        <v>1266</v>
      </c>
      <c r="C356" s="423" t="s">
        <v>1948</v>
      </c>
      <c r="D356" s="581" t="s">
        <v>2008</v>
      </c>
      <c r="E356" s="134" t="s">
        <v>2150</v>
      </c>
      <c r="F356" s="134"/>
      <c r="G356" s="584" t="s">
        <v>2735</v>
      </c>
      <c r="H356" s="584" t="s">
        <v>778</v>
      </c>
      <c r="I356" s="423" t="s">
        <v>2737</v>
      </c>
      <c r="J356" s="134" t="s">
        <v>201</v>
      </c>
      <c r="K356" s="581" t="s">
        <v>147</v>
      </c>
      <c r="L356" s="134"/>
      <c r="M356" s="581" t="s">
        <v>1989</v>
      </c>
      <c r="N356" s="134" t="s">
        <v>1955</v>
      </c>
      <c r="O356" s="134">
        <v>8.0</v>
      </c>
      <c r="P356" s="134">
        <v>8.5447E9</v>
      </c>
      <c r="Q356" s="597">
        <v>478.67647058823536</v>
      </c>
      <c r="R356" s="126" t="s">
        <v>10</v>
      </c>
      <c r="S356" s="49"/>
      <c r="T356" s="118">
        <v>1595.588235294118</v>
      </c>
      <c r="U356" s="118">
        <v>957.3529411764707</v>
      </c>
      <c r="V356" s="118">
        <v>797.794117647059</v>
      </c>
      <c r="W356" s="118">
        <v>638.2352941176473</v>
      </c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</row>
    <row r="357" ht="13.5" customHeight="1">
      <c r="A357" s="423" t="s">
        <v>84</v>
      </c>
      <c r="B357" s="423" t="s">
        <v>1266</v>
      </c>
      <c r="C357" s="423" t="s">
        <v>1948</v>
      </c>
      <c r="D357" s="581" t="s">
        <v>2008</v>
      </c>
      <c r="E357" s="134" t="s">
        <v>2150</v>
      </c>
      <c r="F357" s="134"/>
      <c r="G357" s="584" t="s">
        <v>2739</v>
      </c>
      <c r="H357" s="584" t="s">
        <v>778</v>
      </c>
      <c r="I357" s="423" t="s">
        <v>2741</v>
      </c>
      <c r="J357" s="134" t="s">
        <v>201</v>
      </c>
      <c r="K357" s="581" t="s">
        <v>147</v>
      </c>
      <c r="L357" s="134"/>
      <c r="M357" s="581" t="s">
        <v>1989</v>
      </c>
      <c r="N357" s="134" t="s">
        <v>1955</v>
      </c>
      <c r="O357" s="134">
        <v>8.0</v>
      </c>
      <c r="P357" s="134">
        <v>8.5447E9</v>
      </c>
      <c r="Q357" s="597">
        <v>490.4411764705883</v>
      </c>
      <c r="R357" s="126" t="s">
        <v>10</v>
      </c>
      <c r="S357" s="49"/>
      <c r="T357" s="118">
        <v>1634.8039215686276</v>
      </c>
      <c r="U357" s="118">
        <v>980.8823529411766</v>
      </c>
      <c r="V357" s="118">
        <v>817.4019607843138</v>
      </c>
      <c r="W357" s="118">
        <v>653.921568627451</v>
      </c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</row>
    <row r="358" ht="13.5" customHeight="1">
      <c r="A358" s="423" t="s">
        <v>84</v>
      </c>
      <c r="B358" s="423" t="s">
        <v>1266</v>
      </c>
      <c r="C358" s="423" t="s">
        <v>1948</v>
      </c>
      <c r="D358" s="581" t="s">
        <v>2008</v>
      </c>
      <c r="E358" s="134" t="s">
        <v>2150</v>
      </c>
      <c r="F358" s="134"/>
      <c r="G358" s="584" t="s">
        <v>2743</v>
      </c>
      <c r="H358" s="584" t="s">
        <v>778</v>
      </c>
      <c r="I358" s="423" t="s">
        <v>2745</v>
      </c>
      <c r="J358" s="134" t="s">
        <v>201</v>
      </c>
      <c r="K358" s="581" t="s">
        <v>147</v>
      </c>
      <c r="L358" s="134"/>
      <c r="M358" s="581" t="s">
        <v>1989</v>
      </c>
      <c r="N358" s="134" t="s">
        <v>1955</v>
      </c>
      <c r="O358" s="134">
        <v>8.0</v>
      </c>
      <c r="P358" s="134">
        <v>8.5447E9</v>
      </c>
      <c r="Q358" s="597">
        <v>512.5</v>
      </c>
      <c r="R358" s="126" t="s">
        <v>10</v>
      </c>
      <c r="S358" s="49"/>
      <c r="T358" s="118">
        <v>1708.3333333333335</v>
      </c>
      <c r="U358" s="118">
        <v>1025.0</v>
      </c>
      <c r="V358" s="118">
        <v>854.1666666666667</v>
      </c>
      <c r="W358" s="118">
        <v>683.3333333333335</v>
      </c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</row>
    <row r="359" ht="13.5" customHeight="1">
      <c r="A359" s="423" t="s">
        <v>84</v>
      </c>
      <c r="B359" s="423" t="s">
        <v>1266</v>
      </c>
      <c r="C359" s="423" t="s">
        <v>1948</v>
      </c>
      <c r="D359" s="581" t="s">
        <v>2008</v>
      </c>
      <c r="E359" s="134" t="s">
        <v>2150</v>
      </c>
      <c r="F359" s="134"/>
      <c r="G359" s="584" t="s">
        <v>2747</v>
      </c>
      <c r="H359" s="584" t="s">
        <v>778</v>
      </c>
      <c r="I359" s="423" t="s">
        <v>2749</v>
      </c>
      <c r="J359" s="134" t="s">
        <v>201</v>
      </c>
      <c r="K359" s="581" t="s">
        <v>147</v>
      </c>
      <c r="L359" s="134"/>
      <c r="M359" s="581" t="s">
        <v>1989</v>
      </c>
      <c r="N359" s="134" t="s">
        <v>1955</v>
      </c>
      <c r="O359" s="134">
        <v>8.0</v>
      </c>
      <c r="P359" s="134">
        <v>8.5447E9</v>
      </c>
      <c r="Q359" s="597">
        <v>646.3235294117648</v>
      </c>
      <c r="R359" s="126" t="s">
        <v>10</v>
      </c>
      <c r="S359" s="49"/>
      <c r="T359" s="118">
        <v>2154.4117647058824</v>
      </c>
      <c r="U359" s="118">
        <v>1292.6470588235295</v>
      </c>
      <c r="V359" s="118">
        <v>1077.2058823529412</v>
      </c>
      <c r="W359" s="118">
        <v>861.764705882353</v>
      </c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</row>
    <row r="360" ht="13.5" customHeight="1">
      <c r="A360" s="423" t="s">
        <v>84</v>
      </c>
      <c r="B360" s="423" t="s">
        <v>1266</v>
      </c>
      <c r="C360" s="423" t="s">
        <v>1948</v>
      </c>
      <c r="D360" s="581" t="s">
        <v>2025</v>
      </c>
      <c r="E360" s="134" t="s">
        <v>2150</v>
      </c>
      <c r="F360" s="134"/>
      <c r="G360" s="584" t="s">
        <v>2781</v>
      </c>
      <c r="H360" s="584" t="s">
        <v>778</v>
      </c>
      <c r="I360" s="423" t="s">
        <v>2784</v>
      </c>
      <c r="J360" s="134" t="s">
        <v>162</v>
      </c>
      <c r="K360" s="581" t="s">
        <v>147</v>
      </c>
      <c r="L360" s="134"/>
      <c r="M360" s="581" t="s">
        <v>1989</v>
      </c>
      <c r="N360" s="134" t="s">
        <v>1955</v>
      </c>
      <c r="O360" s="134">
        <v>4.0</v>
      </c>
      <c r="P360" s="134">
        <v>8.5447E9</v>
      </c>
      <c r="Q360" s="597">
        <v>779.4520547945206</v>
      </c>
      <c r="R360" s="126" t="s">
        <v>10</v>
      </c>
      <c r="S360" s="49"/>
      <c r="T360" s="118">
        <v>2598.1735159817354</v>
      </c>
      <c r="U360" s="118">
        <v>1558.9041095890411</v>
      </c>
      <c r="V360" s="118">
        <v>1299.0867579908677</v>
      </c>
      <c r="W360" s="118">
        <v>1039.2694063926942</v>
      </c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</row>
    <row r="361" ht="13.5" customHeight="1">
      <c r="A361" s="423" t="s">
        <v>84</v>
      </c>
      <c r="B361" s="423" t="s">
        <v>1266</v>
      </c>
      <c r="C361" s="423" t="s">
        <v>1948</v>
      </c>
      <c r="D361" s="581" t="s">
        <v>2036</v>
      </c>
      <c r="E361" s="134" t="s">
        <v>2150</v>
      </c>
      <c r="F361" s="134"/>
      <c r="G361" s="584" t="s">
        <v>2230</v>
      </c>
      <c r="H361" s="584" t="s">
        <v>4215</v>
      </c>
      <c r="I361" s="423" t="s">
        <v>2232</v>
      </c>
      <c r="J361" s="134" t="s">
        <v>206</v>
      </c>
      <c r="K361" s="581" t="s">
        <v>147</v>
      </c>
      <c r="L361" s="134"/>
      <c r="M361" s="581" t="s">
        <v>1989</v>
      </c>
      <c r="N361" s="134" t="s">
        <v>1955</v>
      </c>
      <c r="O361" s="134">
        <v>2.0</v>
      </c>
      <c r="P361" s="134">
        <v>8.5447E9</v>
      </c>
      <c r="Q361" s="597">
        <v>1027.3972602739727</v>
      </c>
      <c r="R361" s="126" t="s">
        <v>10</v>
      </c>
      <c r="S361" s="49"/>
      <c r="T361" s="118">
        <v>3424.657534246576</v>
      </c>
      <c r="U361" s="118">
        <v>2054.7945205479455</v>
      </c>
      <c r="V361" s="118">
        <v>1712.328767123288</v>
      </c>
      <c r="W361" s="118">
        <v>1369.8630136986303</v>
      </c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</row>
    <row r="362" ht="13.5" customHeight="1">
      <c r="A362" s="423" t="s">
        <v>84</v>
      </c>
      <c r="B362" s="423" t="s">
        <v>1266</v>
      </c>
      <c r="C362" s="423" t="s">
        <v>1948</v>
      </c>
      <c r="D362" s="581" t="s">
        <v>2036</v>
      </c>
      <c r="E362" s="134" t="s">
        <v>2150</v>
      </c>
      <c r="F362" s="134"/>
      <c r="G362" s="584" t="s">
        <v>2226</v>
      </c>
      <c r="H362" s="584" t="s">
        <v>4216</v>
      </c>
      <c r="I362" s="423" t="s">
        <v>2228</v>
      </c>
      <c r="J362" s="134" t="s">
        <v>206</v>
      </c>
      <c r="K362" s="581" t="s">
        <v>147</v>
      </c>
      <c r="L362" s="134"/>
      <c r="M362" s="581" t="s">
        <v>1989</v>
      </c>
      <c r="N362" s="134" t="s">
        <v>1955</v>
      </c>
      <c r="O362" s="134">
        <v>4.0</v>
      </c>
      <c r="P362" s="134">
        <v>8.5447E9</v>
      </c>
      <c r="Q362" s="597">
        <v>710.9589041095891</v>
      </c>
      <c r="R362" s="126" t="s">
        <v>10</v>
      </c>
      <c r="S362" s="49"/>
      <c r="T362" s="118">
        <v>2369.8630136986303</v>
      </c>
      <c r="U362" s="118">
        <v>1421.9178082191781</v>
      </c>
      <c r="V362" s="118">
        <v>1184.9315068493152</v>
      </c>
      <c r="W362" s="118">
        <v>947.9452054794522</v>
      </c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</row>
    <row r="363" ht="13.5" customHeight="1">
      <c r="A363" s="423" t="s">
        <v>84</v>
      </c>
      <c r="B363" s="423" t="s">
        <v>1266</v>
      </c>
      <c r="C363" s="423" t="s">
        <v>1948</v>
      </c>
      <c r="D363" s="581" t="s">
        <v>2036</v>
      </c>
      <c r="E363" s="134" t="s">
        <v>2150</v>
      </c>
      <c r="F363" s="134"/>
      <c r="G363" s="584" t="s">
        <v>2804</v>
      </c>
      <c r="H363" s="584" t="s">
        <v>778</v>
      </c>
      <c r="I363" s="423" t="s">
        <v>2806</v>
      </c>
      <c r="J363" s="134" t="s">
        <v>206</v>
      </c>
      <c r="K363" s="581" t="s">
        <v>147</v>
      </c>
      <c r="L363" s="134"/>
      <c r="M363" s="581" t="s">
        <v>1989</v>
      </c>
      <c r="N363" s="134" t="s">
        <v>1955</v>
      </c>
      <c r="O363" s="134">
        <v>4.0</v>
      </c>
      <c r="P363" s="134">
        <v>8.5447E9</v>
      </c>
      <c r="Q363" s="597">
        <v>552.054794520548</v>
      </c>
      <c r="R363" s="126" t="s">
        <v>10</v>
      </c>
      <c r="S363" s="49"/>
      <c r="T363" s="118">
        <v>1840.1826484018266</v>
      </c>
      <c r="U363" s="118">
        <v>1104.109589041096</v>
      </c>
      <c r="V363" s="118">
        <v>920.0913242009133</v>
      </c>
      <c r="W363" s="118">
        <v>736.0730593607307</v>
      </c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</row>
    <row r="364" ht="13.5" customHeight="1">
      <c r="A364" s="423" t="s">
        <v>84</v>
      </c>
      <c r="B364" s="423" t="s">
        <v>1266</v>
      </c>
      <c r="C364" s="423" t="s">
        <v>1948</v>
      </c>
      <c r="D364" s="581" t="s">
        <v>2045</v>
      </c>
      <c r="E364" s="134" t="s">
        <v>2150</v>
      </c>
      <c r="F364" s="134"/>
      <c r="G364" s="584" t="s">
        <v>2234</v>
      </c>
      <c r="H364" s="584" t="s">
        <v>4217</v>
      </c>
      <c r="I364" s="423" t="s">
        <v>2236</v>
      </c>
      <c r="J364" s="134" t="s">
        <v>206</v>
      </c>
      <c r="K364" s="581" t="s">
        <v>147</v>
      </c>
      <c r="L364" s="134"/>
      <c r="M364" s="581" t="s">
        <v>1989</v>
      </c>
      <c r="N364" s="134" t="s">
        <v>1955</v>
      </c>
      <c r="O364" s="134">
        <v>4.0</v>
      </c>
      <c r="P364" s="134">
        <v>8.5447E9</v>
      </c>
      <c r="Q364" s="597">
        <v>823.2876712328767</v>
      </c>
      <c r="R364" s="126" t="s">
        <v>10</v>
      </c>
      <c r="S364" s="49"/>
      <c r="T364" s="118">
        <v>2744.2922374429227</v>
      </c>
      <c r="U364" s="118">
        <v>1646.5753424657535</v>
      </c>
      <c r="V364" s="118">
        <v>1372.1461187214613</v>
      </c>
      <c r="W364" s="118">
        <v>1097.7168949771692</v>
      </c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</row>
    <row r="365" ht="13.5" customHeight="1">
      <c r="A365" s="423" t="s">
        <v>84</v>
      </c>
      <c r="B365" s="423" t="s">
        <v>1266</v>
      </c>
      <c r="C365" s="423" t="s">
        <v>1948</v>
      </c>
      <c r="D365" s="581" t="s">
        <v>2045</v>
      </c>
      <c r="E365" s="134" t="s">
        <v>2150</v>
      </c>
      <c r="F365" s="134"/>
      <c r="G365" s="584" t="s">
        <v>2238</v>
      </c>
      <c r="H365" s="584" t="s">
        <v>4218</v>
      </c>
      <c r="I365" s="423" t="s">
        <v>2240</v>
      </c>
      <c r="J365" s="134" t="s">
        <v>206</v>
      </c>
      <c r="K365" s="581" t="s">
        <v>147</v>
      </c>
      <c r="L365" s="134"/>
      <c r="M365" s="581" t="s">
        <v>1989</v>
      </c>
      <c r="N365" s="134" t="s">
        <v>1955</v>
      </c>
      <c r="O365" s="134">
        <v>2.0</v>
      </c>
      <c r="P365" s="134">
        <v>8.5447E9</v>
      </c>
      <c r="Q365" s="597">
        <v>1183.5616438356165</v>
      </c>
      <c r="R365" s="126" t="s">
        <v>10</v>
      </c>
      <c r="S365" s="49"/>
      <c r="T365" s="118">
        <v>3945.205479452055</v>
      </c>
      <c r="U365" s="118">
        <v>2367.123287671233</v>
      </c>
      <c r="V365" s="118">
        <v>1972.6027397260275</v>
      </c>
      <c r="W365" s="118">
        <v>1578.082191780822</v>
      </c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</row>
    <row r="366" ht="13.5" customHeight="1">
      <c r="A366" s="423" t="s">
        <v>84</v>
      </c>
      <c r="B366" s="423" t="s">
        <v>1266</v>
      </c>
      <c r="C366" s="423" t="s">
        <v>1948</v>
      </c>
      <c r="D366" s="581" t="s">
        <v>2545</v>
      </c>
      <c r="E366" s="134" t="s">
        <v>2150</v>
      </c>
      <c r="F366" s="134"/>
      <c r="G366" s="584" t="s">
        <v>2814</v>
      </c>
      <c r="H366" s="584" t="s">
        <v>778</v>
      </c>
      <c r="I366" s="423" t="s">
        <v>2816</v>
      </c>
      <c r="J366" s="134" t="s">
        <v>201</v>
      </c>
      <c r="K366" s="581" t="s">
        <v>147</v>
      </c>
      <c r="L366" s="134"/>
      <c r="M366" s="581" t="s">
        <v>1989</v>
      </c>
      <c r="N366" s="134" t="s">
        <v>1955</v>
      </c>
      <c r="O366" s="134">
        <v>4.0</v>
      </c>
      <c r="P366" s="134">
        <v>8.5447E9</v>
      </c>
      <c r="Q366" s="597">
        <v>915.068493150685</v>
      </c>
      <c r="R366" s="126" t="s">
        <v>10</v>
      </c>
      <c r="S366" s="49"/>
      <c r="T366" s="118">
        <v>3050.2283105022834</v>
      </c>
      <c r="U366" s="118">
        <v>1830.13698630137</v>
      </c>
      <c r="V366" s="118">
        <v>1525.1141552511417</v>
      </c>
      <c r="W366" s="118">
        <v>1220.0913242009135</v>
      </c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</row>
    <row r="367" ht="13.5" customHeight="1">
      <c r="A367" s="423" t="s">
        <v>84</v>
      </c>
      <c r="B367" s="423" t="s">
        <v>1266</v>
      </c>
      <c r="C367" s="423" t="s">
        <v>1948</v>
      </c>
      <c r="D367" s="581" t="s">
        <v>2545</v>
      </c>
      <c r="E367" s="134" t="s">
        <v>2150</v>
      </c>
      <c r="F367" s="134"/>
      <c r="G367" s="584" t="s">
        <v>2818</v>
      </c>
      <c r="H367" s="584" t="s">
        <v>778</v>
      </c>
      <c r="I367" s="423" t="s">
        <v>2820</v>
      </c>
      <c r="J367" s="134" t="s">
        <v>201</v>
      </c>
      <c r="K367" s="581" t="s">
        <v>147</v>
      </c>
      <c r="L367" s="134"/>
      <c r="M367" s="581" t="s">
        <v>1989</v>
      </c>
      <c r="N367" s="134" t="s">
        <v>1955</v>
      </c>
      <c r="O367" s="134">
        <v>4.0</v>
      </c>
      <c r="P367" s="134">
        <v>8.5447E9</v>
      </c>
      <c r="Q367" s="597">
        <v>973.9726027397261</v>
      </c>
      <c r="R367" s="126" t="s">
        <v>10</v>
      </c>
      <c r="S367" s="49"/>
      <c r="T367" s="118">
        <v>3246.5753424657537</v>
      </c>
      <c r="U367" s="118">
        <v>1947.9452054794522</v>
      </c>
      <c r="V367" s="118">
        <v>1623.2876712328768</v>
      </c>
      <c r="W367" s="118">
        <v>1298.6301369863015</v>
      </c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</row>
    <row r="368" ht="13.5" customHeight="1">
      <c r="A368" s="423" t="s">
        <v>84</v>
      </c>
      <c r="B368" s="423" t="s">
        <v>1266</v>
      </c>
      <c r="C368" s="423" t="s">
        <v>1948</v>
      </c>
      <c r="D368" s="581" t="s">
        <v>2545</v>
      </c>
      <c r="E368" s="134" t="s">
        <v>2150</v>
      </c>
      <c r="F368" s="134"/>
      <c r="G368" s="584" t="s">
        <v>2822</v>
      </c>
      <c r="H368" s="584" t="s">
        <v>778</v>
      </c>
      <c r="I368" s="423" t="s">
        <v>2824</v>
      </c>
      <c r="J368" s="134" t="s">
        <v>201</v>
      </c>
      <c r="K368" s="581" t="s">
        <v>147</v>
      </c>
      <c r="L368" s="134"/>
      <c r="M368" s="581" t="s">
        <v>1989</v>
      </c>
      <c r="N368" s="134" t="s">
        <v>1955</v>
      </c>
      <c r="O368" s="134">
        <v>4.0</v>
      </c>
      <c r="P368" s="134">
        <v>8.5447E9</v>
      </c>
      <c r="Q368" s="597">
        <v>1120.5479452054794</v>
      </c>
      <c r="R368" s="126" t="s">
        <v>10</v>
      </c>
      <c r="S368" s="49"/>
      <c r="T368" s="118">
        <v>3735.159817351598</v>
      </c>
      <c r="U368" s="118">
        <v>2241.095890410959</v>
      </c>
      <c r="V368" s="118">
        <v>1867.579908675799</v>
      </c>
      <c r="W368" s="118">
        <v>1494.0639269406392</v>
      </c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</row>
    <row r="369" ht="13.5" customHeight="1">
      <c r="A369" s="423" t="s">
        <v>84</v>
      </c>
      <c r="B369" s="423" t="s">
        <v>1266</v>
      </c>
      <c r="C369" s="423" t="s">
        <v>1948</v>
      </c>
      <c r="D369" s="581" t="s">
        <v>2545</v>
      </c>
      <c r="E369" s="134" t="s">
        <v>2150</v>
      </c>
      <c r="F369" s="134"/>
      <c r="G369" s="584" t="s">
        <v>2826</v>
      </c>
      <c r="H369" s="584" t="s">
        <v>778</v>
      </c>
      <c r="I369" s="423" t="s">
        <v>2828</v>
      </c>
      <c r="J369" s="134" t="s">
        <v>201</v>
      </c>
      <c r="K369" s="581" t="s">
        <v>147</v>
      </c>
      <c r="L369" s="134"/>
      <c r="M369" s="581" t="s">
        <v>1989</v>
      </c>
      <c r="N369" s="134" t="s">
        <v>1955</v>
      </c>
      <c r="O369" s="134">
        <v>2.0</v>
      </c>
      <c r="P369" s="134">
        <v>8.5447E9</v>
      </c>
      <c r="Q369" s="597">
        <v>1910.9589041095892</v>
      </c>
      <c r="R369" s="126" t="s">
        <v>10</v>
      </c>
      <c r="S369" s="49"/>
      <c r="T369" s="118">
        <v>6369.863013698631</v>
      </c>
      <c r="U369" s="118">
        <v>3821.9178082191784</v>
      </c>
      <c r="V369" s="118">
        <v>3184.9315068493156</v>
      </c>
      <c r="W369" s="118">
        <v>2547.945205479453</v>
      </c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</row>
    <row r="370" ht="13.5" customHeight="1">
      <c r="A370" s="423" t="s">
        <v>84</v>
      </c>
      <c r="B370" s="423" t="s">
        <v>1266</v>
      </c>
      <c r="C370" s="423" t="s">
        <v>1948</v>
      </c>
      <c r="D370" s="581" t="s">
        <v>2545</v>
      </c>
      <c r="E370" s="134" t="s">
        <v>2150</v>
      </c>
      <c r="F370" s="134"/>
      <c r="G370" s="584" t="s">
        <v>2830</v>
      </c>
      <c r="H370" s="584" t="s">
        <v>778</v>
      </c>
      <c r="I370" s="423" t="s">
        <v>2832</v>
      </c>
      <c r="J370" s="134" t="s">
        <v>201</v>
      </c>
      <c r="K370" s="581" t="s">
        <v>147</v>
      </c>
      <c r="L370" s="134"/>
      <c r="M370" s="581" t="s">
        <v>1989</v>
      </c>
      <c r="N370" s="134" t="s">
        <v>1955</v>
      </c>
      <c r="O370" s="134">
        <v>2.0</v>
      </c>
      <c r="P370" s="134">
        <v>8.5447E9</v>
      </c>
      <c r="Q370" s="597">
        <v>2960.27397260274</v>
      </c>
      <c r="R370" s="126" t="s">
        <v>10</v>
      </c>
      <c r="S370" s="49"/>
      <c r="T370" s="118">
        <v>9867.5799086758</v>
      </c>
      <c r="U370" s="118">
        <v>5920.54794520548</v>
      </c>
      <c r="V370" s="118">
        <v>4933.7899543379</v>
      </c>
      <c r="W370" s="118">
        <v>3947.03196347032</v>
      </c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</row>
    <row r="371" ht="13.5" customHeight="1">
      <c r="A371" s="423" t="s">
        <v>84</v>
      </c>
      <c r="B371" s="423" t="s">
        <v>1266</v>
      </c>
      <c r="C371" s="423" t="s">
        <v>1948</v>
      </c>
      <c r="D371" s="581" t="s">
        <v>2394</v>
      </c>
      <c r="E371" s="134" t="s">
        <v>2150</v>
      </c>
      <c r="F371" s="134"/>
      <c r="G371" s="584" t="s">
        <v>2834</v>
      </c>
      <c r="H371" s="584" t="s">
        <v>778</v>
      </c>
      <c r="I371" s="423" t="s">
        <v>2836</v>
      </c>
      <c r="J371" s="134" t="s">
        <v>201</v>
      </c>
      <c r="K371" s="581" t="s">
        <v>147</v>
      </c>
      <c r="L371" s="134"/>
      <c r="M371" s="581" t="s">
        <v>1989</v>
      </c>
      <c r="N371" s="134" t="s">
        <v>1955</v>
      </c>
      <c r="O371" s="134">
        <v>2.0</v>
      </c>
      <c r="P371" s="134">
        <v>8.5447E9</v>
      </c>
      <c r="Q371" s="597">
        <v>1360.2739726027398</v>
      </c>
      <c r="R371" s="126" t="s">
        <v>10</v>
      </c>
      <c r="S371" s="49"/>
      <c r="T371" s="118">
        <v>4534.246575342467</v>
      </c>
      <c r="U371" s="118">
        <v>2720.54794520548</v>
      </c>
      <c r="V371" s="118">
        <v>2267.1232876712334</v>
      </c>
      <c r="W371" s="118">
        <v>1813.6986301369868</v>
      </c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</row>
    <row r="372" ht="13.5" customHeight="1">
      <c r="A372" s="423" t="s">
        <v>84</v>
      </c>
      <c r="B372" s="423" t="s">
        <v>1266</v>
      </c>
      <c r="C372" s="423" t="s">
        <v>1948</v>
      </c>
      <c r="D372" s="581" t="s">
        <v>2394</v>
      </c>
      <c r="E372" s="134" t="s">
        <v>2150</v>
      </c>
      <c r="F372" s="134"/>
      <c r="G372" s="584" t="s">
        <v>2838</v>
      </c>
      <c r="H372" s="584" t="s">
        <v>778</v>
      </c>
      <c r="I372" s="423" t="s">
        <v>4363</v>
      </c>
      <c r="J372" s="134" t="s">
        <v>201</v>
      </c>
      <c r="K372" s="581" t="s">
        <v>147</v>
      </c>
      <c r="L372" s="134"/>
      <c r="M372" s="581" t="s">
        <v>1989</v>
      </c>
      <c r="N372" s="134" t="s">
        <v>1955</v>
      </c>
      <c r="O372" s="134">
        <v>2.0</v>
      </c>
      <c r="P372" s="134">
        <v>8.5447E9</v>
      </c>
      <c r="Q372" s="597">
        <v>1147.9452054794522</v>
      </c>
      <c r="R372" s="126" t="s">
        <v>10</v>
      </c>
      <c r="S372" s="49"/>
      <c r="T372" s="118">
        <v>3826.484018264841</v>
      </c>
      <c r="U372" s="118">
        <v>2295.8904109589043</v>
      </c>
      <c r="V372" s="118">
        <v>1913.2420091324204</v>
      </c>
      <c r="W372" s="118">
        <v>1530.5936073059365</v>
      </c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</row>
    <row r="373" ht="13.5" customHeight="1">
      <c r="A373" s="423" t="s">
        <v>84</v>
      </c>
      <c r="B373" s="423" t="s">
        <v>1266</v>
      </c>
      <c r="C373" s="423" t="s">
        <v>1948</v>
      </c>
      <c r="D373" s="581" t="s">
        <v>2394</v>
      </c>
      <c r="E373" s="134" t="s">
        <v>2150</v>
      </c>
      <c r="F373" s="134"/>
      <c r="G373" s="584" t="s">
        <v>2843</v>
      </c>
      <c r="H373" s="584" t="s">
        <v>778</v>
      </c>
      <c r="I373" s="423" t="s">
        <v>4364</v>
      </c>
      <c r="J373" s="134" t="s">
        <v>201</v>
      </c>
      <c r="K373" s="581" t="s">
        <v>147</v>
      </c>
      <c r="L373" s="134"/>
      <c r="M373" s="581" t="s">
        <v>1989</v>
      </c>
      <c r="N373" s="134" t="s">
        <v>1955</v>
      </c>
      <c r="O373" s="134">
        <v>2.0</v>
      </c>
      <c r="P373" s="134">
        <v>8.5447E9</v>
      </c>
      <c r="Q373" s="597">
        <v>1208.2191780821918</v>
      </c>
      <c r="R373" s="126" t="s">
        <v>10</v>
      </c>
      <c r="S373" s="49"/>
      <c r="T373" s="118">
        <v>4027.3972602739727</v>
      </c>
      <c r="U373" s="118">
        <v>2416.4383561643835</v>
      </c>
      <c r="V373" s="118">
        <v>2013.6986301369864</v>
      </c>
      <c r="W373" s="118">
        <v>1610.9589041095892</v>
      </c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</row>
    <row r="374" ht="13.5" customHeight="1">
      <c r="A374" s="423" t="s">
        <v>84</v>
      </c>
      <c r="B374" s="423" t="s">
        <v>1266</v>
      </c>
      <c r="C374" s="423" t="s">
        <v>1948</v>
      </c>
      <c r="D374" s="581" t="s">
        <v>2394</v>
      </c>
      <c r="E374" s="134" t="s">
        <v>2150</v>
      </c>
      <c r="F374" s="134"/>
      <c r="G374" s="584" t="s">
        <v>2848</v>
      </c>
      <c r="H374" s="584" t="s">
        <v>778</v>
      </c>
      <c r="I374" s="423" t="s">
        <v>4365</v>
      </c>
      <c r="J374" s="134" t="s">
        <v>201</v>
      </c>
      <c r="K374" s="581" t="s">
        <v>147</v>
      </c>
      <c r="L374" s="134"/>
      <c r="M374" s="581" t="s">
        <v>1989</v>
      </c>
      <c r="N374" s="134" t="s">
        <v>1955</v>
      </c>
      <c r="O374" s="134">
        <v>2.0</v>
      </c>
      <c r="P374" s="134">
        <v>8.5447E9</v>
      </c>
      <c r="Q374" s="597">
        <v>1319.178082191781</v>
      </c>
      <c r="R374" s="126" t="s">
        <v>10</v>
      </c>
      <c r="S374" s="49"/>
      <c r="T374" s="118">
        <v>4397.2602739726035</v>
      </c>
      <c r="U374" s="118">
        <v>2638.356164383562</v>
      </c>
      <c r="V374" s="118">
        <v>2198.6301369863017</v>
      </c>
      <c r="W374" s="118">
        <v>1758.9041095890416</v>
      </c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</row>
    <row r="375" ht="13.5" customHeight="1">
      <c r="A375" s="423" t="s">
        <v>84</v>
      </c>
      <c r="B375" s="423" t="s">
        <v>1266</v>
      </c>
      <c r="C375" s="423" t="s">
        <v>1948</v>
      </c>
      <c r="D375" s="581" t="s">
        <v>2394</v>
      </c>
      <c r="E375" s="134" t="s">
        <v>2150</v>
      </c>
      <c r="F375" s="134"/>
      <c r="G375" s="584" t="s">
        <v>2853</v>
      </c>
      <c r="H375" s="584" t="s">
        <v>778</v>
      </c>
      <c r="I375" s="423" t="s">
        <v>2855</v>
      </c>
      <c r="J375" s="134" t="s">
        <v>201</v>
      </c>
      <c r="K375" s="581" t="s">
        <v>147</v>
      </c>
      <c r="L375" s="134"/>
      <c r="M375" s="581" t="s">
        <v>1989</v>
      </c>
      <c r="N375" s="134" t="s">
        <v>1955</v>
      </c>
      <c r="O375" s="134">
        <v>2.0</v>
      </c>
      <c r="P375" s="134">
        <v>8.5447E9</v>
      </c>
      <c r="Q375" s="597">
        <v>2278.082191780822</v>
      </c>
      <c r="R375" s="126" t="s">
        <v>10</v>
      </c>
      <c r="S375" s="49"/>
      <c r="T375" s="118">
        <v>7593.607305936074</v>
      </c>
      <c r="U375" s="118">
        <v>4556.164383561644</v>
      </c>
      <c r="V375" s="118">
        <v>3796.803652968037</v>
      </c>
      <c r="W375" s="118">
        <v>3037.44292237443</v>
      </c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</row>
    <row r="376" ht="13.5" customHeight="1">
      <c r="A376" s="423" t="s">
        <v>84</v>
      </c>
      <c r="B376" s="423" t="s">
        <v>1266</v>
      </c>
      <c r="C376" s="423" t="s">
        <v>1948</v>
      </c>
      <c r="D376" s="581" t="s">
        <v>2394</v>
      </c>
      <c r="E376" s="134" t="s">
        <v>2150</v>
      </c>
      <c r="F376" s="134"/>
      <c r="G376" s="584" t="s">
        <v>2857</v>
      </c>
      <c r="H376" s="584" t="s">
        <v>778</v>
      </c>
      <c r="I376" s="423" t="s">
        <v>2859</v>
      </c>
      <c r="J376" s="134" t="s">
        <v>201</v>
      </c>
      <c r="K376" s="581" t="s">
        <v>147</v>
      </c>
      <c r="L376" s="134"/>
      <c r="M376" s="581" t="s">
        <v>1989</v>
      </c>
      <c r="N376" s="134" t="s">
        <v>1955</v>
      </c>
      <c r="O376" s="134">
        <v>2.0</v>
      </c>
      <c r="P376" s="134">
        <v>8.5447E9</v>
      </c>
      <c r="Q376" s="597">
        <v>3452.054794520548</v>
      </c>
      <c r="R376" s="126" t="s">
        <v>10</v>
      </c>
      <c r="S376" s="49"/>
      <c r="T376" s="118">
        <v>11506.849315068494</v>
      </c>
      <c r="U376" s="118">
        <v>6904.109589041096</v>
      </c>
      <c r="V376" s="118">
        <v>5753.424657534247</v>
      </c>
      <c r="W376" s="118">
        <v>4602.739726027397</v>
      </c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</row>
    <row r="377" ht="13.5" customHeight="1">
      <c r="A377" s="423" t="s">
        <v>84</v>
      </c>
      <c r="B377" s="423" t="s">
        <v>1886</v>
      </c>
      <c r="C377" s="585" t="s">
        <v>2920</v>
      </c>
      <c r="D377" s="582" t="s">
        <v>3029</v>
      </c>
      <c r="E377" s="134"/>
      <c r="F377" s="134"/>
      <c r="G377" s="586" t="s">
        <v>3030</v>
      </c>
      <c r="H377" s="586" t="s">
        <v>778</v>
      </c>
      <c r="I377" s="581" t="s">
        <v>3032</v>
      </c>
      <c r="J377" s="134"/>
      <c r="K377" s="585" t="s">
        <v>95</v>
      </c>
      <c r="L377" s="361"/>
      <c r="M377" s="582" t="s">
        <v>2924</v>
      </c>
      <c r="N377" s="593" t="s">
        <v>3033</v>
      </c>
      <c r="O377" s="593" t="s">
        <v>2926</v>
      </c>
      <c r="P377" s="361">
        <v>9.403208E9</v>
      </c>
      <c r="Q377" s="132">
        <v>63.6015325670498</v>
      </c>
      <c r="R377" s="592" t="s">
        <v>10</v>
      </c>
      <c r="S377" s="49"/>
      <c r="T377" s="224">
        <v>212.00510855683268</v>
      </c>
      <c r="U377" s="224">
        <v>127.2030651340996</v>
      </c>
      <c r="V377" s="224">
        <v>106.00255427841634</v>
      </c>
      <c r="W377" s="224">
        <v>84.80204342273308</v>
      </c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</row>
    <row r="378" ht="13.5" customHeight="1">
      <c r="A378" s="423" t="s">
        <v>84</v>
      </c>
      <c r="B378" s="423" t="s">
        <v>1886</v>
      </c>
      <c r="C378" s="585" t="s">
        <v>2920</v>
      </c>
      <c r="D378" s="582" t="s">
        <v>3029</v>
      </c>
      <c r="E378" s="134"/>
      <c r="F378" s="134"/>
      <c r="G378" s="586" t="s">
        <v>3034</v>
      </c>
      <c r="H378" s="586" t="s">
        <v>778</v>
      </c>
      <c r="I378" s="581" t="s">
        <v>3036</v>
      </c>
      <c r="J378" s="134"/>
      <c r="K378" s="585" t="s">
        <v>95</v>
      </c>
      <c r="L378" s="361"/>
      <c r="M378" s="582" t="s">
        <v>2924</v>
      </c>
      <c r="N378" s="594"/>
      <c r="O378" s="594"/>
      <c r="P378" s="361">
        <v>9.403208E9</v>
      </c>
      <c r="Q378" s="132">
        <v>71.00095785440614</v>
      </c>
      <c r="R378" s="592" t="s">
        <v>10</v>
      </c>
      <c r="S378" s="49"/>
      <c r="T378" s="224">
        <v>236.66985951468715</v>
      </c>
      <c r="U378" s="224">
        <v>142.00191570881228</v>
      </c>
      <c r="V378" s="224">
        <v>118.33492975734357</v>
      </c>
      <c r="W378" s="224">
        <v>94.66794380587487</v>
      </c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</row>
    <row r="379" ht="13.5" customHeight="1">
      <c r="A379" s="423" t="s">
        <v>84</v>
      </c>
      <c r="B379" s="423" t="s">
        <v>1886</v>
      </c>
      <c r="C379" s="585" t="s">
        <v>2920</v>
      </c>
      <c r="D379" s="582" t="s">
        <v>3029</v>
      </c>
      <c r="E379" s="134"/>
      <c r="F379" s="134"/>
      <c r="G379" s="586" t="s">
        <v>3037</v>
      </c>
      <c r="H379" s="586" t="s">
        <v>778</v>
      </c>
      <c r="I379" s="581" t="s">
        <v>3039</v>
      </c>
      <c r="J379" s="134"/>
      <c r="K379" s="585" t="s">
        <v>95</v>
      </c>
      <c r="L379" s="361"/>
      <c r="M379" s="582" t="s">
        <v>2924</v>
      </c>
      <c r="N379" s="594"/>
      <c r="O379" s="594"/>
      <c r="P379" s="361">
        <v>9.403208E9</v>
      </c>
      <c r="Q379" s="132">
        <v>78.3764367816092</v>
      </c>
      <c r="R379" s="592" t="s">
        <v>10</v>
      </c>
      <c r="S379" s="49"/>
      <c r="T379" s="224">
        <v>261.2547892720307</v>
      </c>
      <c r="U379" s="224">
        <v>156.7528735632184</v>
      </c>
      <c r="V379" s="224">
        <v>130.62739463601534</v>
      </c>
      <c r="W379" s="224">
        <v>104.50191570881228</v>
      </c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</row>
    <row r="380" ht="13.5" customHeight="1">
      <c r="A380" s="423" t="s">
        <v>84</v>
      </c>
      <c r="B380" s="423" t="s">
        <v>1886</v>
      </c>
      <c r="C380" s="585" t="s">
        <v>2920</v>
      </c>
      <c r="D380" s="582" t="s">
        <v>3029</v>
      </c>
      <c r="E380" s="134"/>
      <c r="F380" s="134"/>
      <c r="G380" s="586" t="s">
        <v>3040</v>
      </c>
      <c r="H380" s="586" t="s">
        <v>778</v>
      </c>
      <c r="I380" s="581" t="s">
        <v>3042</v>
      </c>
      <c r="J380" s="134"/>
      <c r="K380" s="585" t="s">
        <v>95</v>
      </c>
      <c r="L380" s="361"/>
      <c r="M380" s="582" t="s">
        <v>2924</v>
      </c>
      <c r="N380" s="594"/>
      <c r="O380" s="594"/>
      <c r="P380" s="361">
        <v>9.403208E9</v>
      </c>
      <c r="Q380" s="132">
        <v>87.69157088122606</v>
      </c>
      <c r="R380" s="592" t="s">
        <v>10</v>
      </c>
      <c r="S380" s="49"/>
      <c r="T380" s="224">
        <v>292.30523627075354</v>
      </c>
      <c r="U380" s="224">
        <v>175.3831417624521</v>
      </c>
      <c r="V380" s="224">
        <v>146.15261813537677</v>
      </c>
      <c r="W380" s="224">
        <v>116.92209450830143</v>
      </c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</row>
    <row r="381" ht="13.5" customHeight="1">
      <c r="A381" s="423" t="s">
        <v>84</v>
      </c>
      <c r="B381" s="423" t="s">
        <v>1886</v>
      </c>
      <c r="C381" s="585" t="s">
        <v>2920</v>
      </c>
      <c r="D381" s="582" t="s">
        <v>3029</v>
      </c>
      <c r="E381" s="134"/>
      <c r="F381" s="134"/>
      <c r="G381" s="586" t="s">
        <v>3043</v>
      </c>
      <c r="H381" s="586" t="s">
        <v>778</v>
      </c>
      <c r="I381" s="581" t="s">
        <v>3045</v>
      </c>
      <c r="J381" s="134"/>
      <c r="K381" s="585" t="s">
        <v>95</v>
      </c>
      <c r="L381" s="361"/>
      <c r="M381" s="582" t="s">
        <v>2924</v>
      </c>
      <c r="N381" s="594"/>
      <c r="O381" s="594"/>
      <c r="P381" s="361">
        <v>9.403208E9</v>
      </c>
      <c r="Q381" s="132">
        <v>95.64176245210727</v>
      </c>
      <c r="R381" s="592" t="s">
        <v>10</v>
      </c>
      <c r="S381" s="49"/>
      <c r="T381" s="224">
        <v>318.8058748403576</v>
      </c>
      <c r="U381" s="224">
        <v>191.28352490421454</v>
      </c>
      <c r="V381" s="224">
        <v>159.4029374201788</v>
      </c>
      <c r="W381" s="224">
        <v>127.52234993614304</v>
      </c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</row>
    <row r="382" ht="13.5" customHeight="1">
      <c r="A382" s="423" t="s">
        <v>84</v>
      </c>
      <c r="B382" s="423" t="s">
        <v>1886</v>
      </c>
      <c r="C382" s="585" t="s">
        <v>2920</v>
      </c>
      <c r="D382" s="582" t="s">
        <v>3029</v>
      </c>
      <c r="E382" s="134"/>
      <c r="F382" s="134"/>
      <c r="G382" s="586" t="s">
        <v>3046</v>
      </c>
      <c r="H382" s="586" t="s">
        <v>778</v>
      </c>
      <c r="I382" s="581" t="s">
        <v>3048</v>
      </c>
      <c r="J382" s="134"/>
      <c r="K382" s="585" t="s">
        <v>95</v>
      </c>
      <c r="L382" s="361"/>
      <c r="M382" s="582" t="s">
        <v>2924</v>
      </c>
      <c r="N382" s="594"/>
      <c r="O382" s="594"/>
      <c r="P382" s="361">
        <v>9.403208E9</v>
      </c>
      <c r="Q382" s="132">
        <v>105.35201149425289</v>
      </c>
      <c r="R382" s="592" t="s">
        <v>10</v>
      </c>
      <c r="S382" s="49"/>
      <c r="T382" s="224">
        <v>351.17337164750967</v>
      </c>
      <c r="U382" s="224">
        <v>210.70402298850578</v>
      </c>
      <c r="V382" s="224">
        <v>175.58668582375483</v>
      </c>
      <c r="W382" s="224">
        <v>140.46934865900388</v>
      </c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</row>
    <row r="383" ht="13.5" customHeight="1">
      <c r="A383" s="423" t="s">
        <v>84</v>
      </c>
      <c r="B383" s="423" t="s">
        <v>1886</v>
      </c>
      <c r="C383" s="585" t="s">
        <v>2920</v>
      </c>
      <c r="D383" s="582" t="s">
        <v>3029</v>
      </c>
      <c r="E383" s="134"/>
      <c r="F383" s="134"/>
      <c r="G383" s="586" t="s">
        <v>3049</v>
      </c>
      <c r="H383" s="586" t="s">
        <v>778</v>
      </c>
      <c r="I383" s="581" t="s">
        <v>3051</v>
      </c>
      <c r="J383" s="134"/>
      <c r="K383" s="585" t="s">
        <v>95</v>
      </c>
      <c r="L383" s="361"/>
      <c r="M383" s="582" t="s">
        <v>2924</v>
      </c>
      <c r="N383" s="594"/>
      <c r="O383" s="594"/>
      <c r="P383" s="361">
        <v>9.403208E9</v>
      </c>
      <c r="Q383" s="132">
        <v>0.0</v>
      </c>
      <c r="R383" s="592" t="s">
        <v>10</v>
      </c>
      <c r="S383" s="49"/>
      <c r="T383" s="224">
        <v>0.0</v>
      </c>
      <c r="U383" s="224">
        <v>0.0</v>
      </c>
      <c r="V383" s="224">
        <v>0.0</v>
      </c>
      <c r="W383" s="224">
        <v>0.0</v>
      </c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</row>
    <row r="384" ht="13.5" customHeight="1">
      <c r="A384" s="423" t="s">
        <v>84</v>
      </c>
      <c r="B384" s="423" t="s">
        <v>1886</v>
      </c>
      <c r="C384" s="585" t="s">
        <v>2920</v>
      </c>
      <c r="D384" s="582" t="s">
        <v>3029</v>
      </c>
      <c r="E384" s="134"/>
      <c r="F384" s="134"/>
      <c r="G384" s="586" t="s">
        <v>3052</v>
      </c>
      <c r="H384" s="586" t="s">
        <v>778</v>
      </c>
      <c r="I384" s="581" t="s">
        <v>3054</v>
      </c>
      <c r="J384" s="134"/>
      <c r="K384" s="585" t="s">
        <v>95</v>
      </c>
      <c r="L384" s="361"/>
      <c r="M384" s="582" t="s">
        <v>2924</v>
      </c>
      <c r="N384" s="594"/>
      <c r="O384" s="594"/>
      <c r="P384" s="361">
        <v>9.403208E9</v>
      </c>
      <c r="Q384" s="132">
        <v>54.29837164750958</v>
      </c>
      <c r="R384" s="592" t="s">
        <v>10</v>
      </c>
      <c r="S384" s="49"/>
      <c r="T384" s="224">
        <v>180.9945721583653</v>
      </c>
      <c r="U384" s="224">
        <v>108.59674329501917</v>
      </c>
      <c r="V384" s="224">
        <v>90.49728607918264</v>
      </c>
      <c r="W384" s="224">
        <v>72.39782886334612</v>
      </c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</row>
    <row r="385" ht="13.5" customHeight="1">
      <c r="A385" s="423" t="s">
        <v>84</v>
      </c>
      <c r="B385" s="423" t="s">
        <v>1886</v>
      </c>
      <c r="C385" s="585" t="s">
        <v>2920</v>
      </c>
      <c r="D385" s="582" t="s">
        <v>3029</v>
      </c>
      <c r="E385" s="134"/>
      <c r="F385" s="134"/>
      <c r="G385" s="586" t="s">
        <v>3055</v>
      </c>
      <c r="H385" s="586" t="s">
        <v>778</v>
      </c>
      <c r="I385" s="581" t="s">
        <v>3057</v>
      </c>
      <c r="J385" s="134"/>
      <c r="K385" s="585" t="s">
        <v>95</v>
      </c>
      <c r="L385" s="361"/>
      <c r="M385" s="582" t="s">
        <v>2924</v>
      </c>
      <c r="N385" s="594"/>
      <c r="O385" s="594"/>
      <c r="P385" s="361">
        <v>9.403208E9</v>
      </c>
      <c r="Q385" s="132">
        <v>60.53639846743296</v>
      </c>
      <c r="R385" s="592" t="s">
        <v>10</v>
      </c>
      <c r="S385" s="49"/>
      <c r="T385" s="224">
        <v>201.78799489144322</v>
      </c>
      <c r="U385" s="224">
        <v>121.07279693486592</v>
      </c>
      <c r="V385" s="224">
        <v>100.89399744572161</v>
      </c>
      <c r="W385" s="224">
        <v>80.7151979565773</v>
      </c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</row>
    <row r="386" ht="13.5" customHeight="1">
      <c r="A386" s="423" t="s">
        <v>84</v>
      </c>
      <c r="B386" s="423" t="s">
        <v>1886</v>
      </c>
      <c r="C386" s="585" t="s">
        <v>2920</v>
      </c>
      <c r="D386" s="582" t="s">
        <v>3029</v>
      </c>
      <c r="E386" s="134"/>
      <c r="F386" s="134"/>
      <c r="G386" s="586" t="s">
        <v>3058</v>
      </c>
      <c r="H386" s="586" t="s">
        <v>778</v>
      </c>
      <c r="I386" s="581" t="s">
        <v>3060</v>
      </c>
      <c r="J386" s="134"/>
      <c r="K386" s="585" t="s">
        <v>95</v>
      </c>
      <c r="L386" s="361"/>
      <c r="M386" s="582" t="s">
        <v>2924</v>
      </c>
      <c r="N386" s="594"/>
      <c r="O386" s="594"/>
      <c r="P386" s="361">
        <v>9.403208E9</v>
      </c>
      <c r="Q386" s="132">
        <v>67.04980842911877</v>
      </c>
      <c r="R386" s="592" t="s">
        <v>10</v>
      </c>
      <c r="S386" s="49"/>
      <c r="T386" s="224">
        <v>223.4993614303959</v>
      </c>
      <c r="U386" s="224">
        <v>134.09961685823754</v>
      </c>
      <c r="V386" s="224">
        <v>111.74968071519795</v>
      </c>
      <c r="W386" s="224">
        <v>89.39974457215837</v>
      </c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</row>
    <row r="387" ht="13.5" customHeight="1">
      <c r="A387" s="423" t="s">
        <v>84</v>
      </c>
      <c r="B387" s="423" t="s">
        <v>1886</v>
      </c>
      <c r="C387" s="585" t="s">
        <v>2920</v>
      </c>
      <c r="D387" s="582" t="s">
        <v>3029</v>
      </c>
      <c r="E387" s="134"/>
      <c r="F387" s="134"/>
      <c r="G387" s="586" t="s">
        <v>3061</v>
      </c>
      <c r="H387" s="586" t="s">
        <v>778</v>
      </c>
      <c r="I387" s="581" t="s">
        <v>3063</v>
      </c>
      <c r="J387" s="134"/>
      <c r="K387" s="585" t="s">
        <v>95</v>
      </c>
      <c r="L387" s="361"/>
      <c r="M387" s="582" t="s">
        <v>2924</v>
      </c>
      <c r="N387" s="594"/>
      <c r="O387" s="594"/>
      <c r="P387" s="361">
        <v>9.403208E9</v>
      </c>
      <c r="Q387" s="132">
        <v>74.79645593869732</v>
      </c>
      <c r="R387" s="592" t="s">
        <v>10</v>
      </c>
      <c r="S387" s="49"/>
      <c r="T387" s="224">
        <v>249.32151979565774</v>
      </c>
      <c r="U387" s="224">
        <v>149.59291187739464</v>
      </c>
      <c r="V387" s="224">
        <v>124.66075989782887</v>
      </c>
      <c r="W387" s="224">
        <v>99.7286079182631</v>
      </c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</row>
    <row r="388" ht="13.5" customHeight="1">
      <c r="A388" s="423" t="s">
        <v>84</v>
      </c>
      <c r="B388" s="423" t="s">
        <v>1886</v>
      </c>
      <c r="C388" s="585" t="s">
        <v>2920</v>
      </c>
      <c r="D388" s="582" t="s">
        <v>3029</v>
      </c>
      <c r="E388" s="134"/>
      <c r="F388" s="134"/>
      <c r="G388" s="586" t="s">
        <v>3064</v>
      </c>
      <c r="H388" s="586" t="s">
        <v>778</v>
      </c>
      <c r="I388" s="581" t="s">
        <v>3066</v>
      </c>
      <c r="J388" s="134"/>
      <c r="K388" s="585" t="s">
        <v>95</v>
      </c>
      <c r="L388" s="361"/>
      <c r="M388" s="582" t="s">
        <v>2924</v>
      </c>
      <c r="N388" s="594"/>
      <c r="O388" s="594"/>
      <c r="P388" s="361">
        <v>9.403208E9</v>
      </c>
      <c r="Q388" s="132">
        <v>81.38170498084291</v>
      </c>
      <c r="R388" s="592" t="s">
        <v>10</v>
      </c>
      <c r="S388" s="49"/>
      <c r="T388" s="224">
        <v>271.27234993614303</v>
      </c>
      <c r="U388" s="224">
        <v>162.76340996168582</v>
      </c>
      <c r="V388" s="224">
        <v>135.63617496807151</v>
      </c>
      <c r="W388" s="224">
        <v>108.50893997445722</v>
      </c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</row>
    <row r="389" ht="13.5" customHeight="1">
      <c r="A389" s="423" t="s">
        <v>84</v>
      </c>
      <c r="B389" s="423" t="s">
        <v>1886</v>
      </c>
      <c r="C389" s="585" t="s">
        <v>2920</v>
      </c>
      <c r="D389" s="582" t="s">
        <v>3029</v>
      </c>
      <c r="E389" s="134"/>
      <c r="F389" s="134"/>
      <c r="G389" s="586" t="s">
        <v>3067</v>
      </c>
      <c r="H389" s="586" t="s">
        <v>778</v>
      </c>
      <c r="I389" s="581" t="s">
        <v>3069</v>
      </c>
      <c r="J389" s="134"/>
      <c r="K389" s="585" t="s">
        <v>95</v>
      </c>
      <c r="L389" s="361"/>
      <c r="M389" s="582" t="s">
        <v>2924</v>
      </c>
      <c r="N389" s="594"/>
      <c r="O389" s="594"/>
      <c r="P389" s="361">
        <v>9.403208E9</v>
      </c>
      <c r="Q389" s="132">
        <v>90.30172413793105</v>
      </c>
      <c r="R389" s="592" t="s">
        <v>10</v>
      </c>
      <c r="S389" s="49"/>
      <c r="T389" s="224">
        <v>301.00574712643686</v>
      </c>
      <c r="U389" s="224">
        <v>180.60344827586212</v>
      </c>
      <c r="V389" s="224">
        <v>150.50287356321843</v>
      </c>
      <c r="W389" s="224">
        <v>120.40229885057475</v>
      </c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</row>
    <row r="390" ht="13.5" customHeight="1">
      <c r="A390" s="423" t="s">
        <v>84</v>
      </c>
      <c r="B390" s="423" t="s">
        <v>1886</v>
      </c>
      <c r="C390" s="585" t="s">
        <v>2920</v>
      </c>
      <c r="D390" s="582" t="s">
        <v>3029</v>
      </c>
      <c r="E390" s="134"/>
      <c r="F390" s="134"/>
      <c r="G390" s="586" t="s">
        <v>3070</v>
      </c>
      <c r="H390" s="586" t="s">
        <v>778</v>
      </c>
      <c r="I390" s="581" t="s">
        <v>3072</v>
      </c>
      <c r="J390" s="134"/>
      <c r="K390" s="585" t="s">
        <v>95</v>
      </c>
      <c r="L390" s="361"/>
      <c r="M390" s="582" t="s">
        <v>2924</v>
      </c>
      <c r="N390" s="595"/>
      <c r="O390" s="595"/>
      <c r="P390" s="361">
        <v>9.403208E9</v>
      </c>
      <c r="Q390" s="132">
        <v>13.88888888888889</v>
      </c>
      <c r="R390" s="592" t="s">
        <v>10</v>
      </c>
      <c r="S390" s="49"/>
      <c r="T390" s="224">
        <v>46.2962962962963</v>
      </c>
      <c r="U390" s="224">
        <v>27.77777777777778</v>
      </c>
      <c r="V390" s="224">
        <v>23.14814814814815</v>
      </c>
      <c r="W390" s="224">
        <v>18.51851851851852</v>
      </c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</row>
    <row r="391" ht="13.5" customHeight="1">
      <c r="A391" s="423" t="s">
        <v>84</v>
      </c>
      <c r="B391" s="423" t="s">
        <v>1886</v>
      </c>
      <c r="C391" s="585" t="s">
        <v>3074</v>
      </c>
      <c r="D391" s="582" t="s">
        <v>3029</v>
      </c>
      <c r="E391" s="134" t="s">
        <v>3075</v>
      </c>
      <c r="F391" s="134" t="s">
        <v>3076</v>
      </c>
      <c r="G391" s="583" t="s">
        <v>3077</v>
      </c>
      <c r="H391" s="583" t="s">
        <v>4221</v>
      </c>
      <c r="I391" s="581" t="s">
        <v>3079</v>
      </c>
      <c r="J391" s="134"/>
      <c r="K391" s="585" t="s">
        <v>147</v>
      </c>
      <c r="L391" s="361"/>
      <c r="M391" s="582" t="s">
        <v>3081</v>
      </c>
      <c r="N391" s="361"/>
      <c r="O391" s="361"/>
      <c r="P391" s="361">
        <v>9.403208E9</v>
      </c>
      <c r="Q391" s="132">
        <v>214.04109589041101</v>
      </c>
      <c r="R391" s="592" t="s">
        <v>10</v>
      </c>
      <c r="S391" s="49"/>
      <c r="T391" s="224">
        <v>713.4703196347034</v>
      </c>
      <c r="U391" s="224">
        <v>428.08219178082203</v>
      </c>
      <c r="V391" s="224">
        <v>356.7351598173517</v>
      </c>
      <c r="W391" s="224">
        <v>285.3881278538814</v>
      </c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</row>
    <row r="392" ht="13.5" customHeight="1">
      <c r="A392" s="423" t="s">
        <v>84</v>
      </c>
      <c r="B392" s="423" t="s">
        <v>1886</v>
      </c>
      <c r="C392" s="585" t="s">
        <v>3074</v>
      </c>
      <c r="D392" s="582" t="s">
        <v>3029</v>
      </c>
      <c r="E392" s="134" t="s">
        <v>3082</v>
      </c>
      <c r="F392" s="134" t="s">
        <v>3076</v>
      </c>
      <c r="G392" s="583" t="s">
        <v>3083</v>
      </c>
      <c r="H392" s="583" t="s">
        <v>4222</v>
      </c>
      <c r="I392" s="581" t="s">
        <v>3085</v>
      </c>
      <c r="J392" s="134"/>
      <c r="K392" s="585" t="s">
        <v>147</v>
      </c>
      <c r="L392" s="361"/>
      <c r="M392" s="582" t="s">
        <v>3081</v>
      </c>
      <c r="N392" s="361"/>
      <c r="O392" s="361"/>
      <c r="P392" s="361">
        <v>9.403208E9</v>
      </c>
      <c r="Q392" s="132">
        <v>228.80255077940484</v>
      </c>
      <c r="R392" s="592" t="s">
        <v>10</v>
      </c>
      <c r="S392" s="49"/>
      <c r="T392" s="224">
        <v>762.6751692646828</v>
      </c>
      <c r="U392" s="224">
        <v>457.6051015588097</v>
      </c>
      <c r="V392" s="224">
        <v>381.3375846323414</v>
      </c>
      <c r="W392" s="224">
        <v>305.07006770587316</v>
      </c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</row>
    <row r="393" ht="13.5" customHeight="1">
      <c r="A393" s="423" t="s">
        <v>84</v>
      </c>
      <c r="B393" s="423" t="s">
        <v>1886</v>
      </c>
      <c r="C393" s="585" t="s">
        <v>3074</v>
      </c>
      <c r="D393" s="582" t="s">
        <v>3029</v>
      </c>
      <c r="E393" s="134" t="s">
        <v>3086</v>
      </c>
      <c r="F393" s="134" t="s">
        <v>3076</v>
      </c>
      <c r="G393" s="583" t="s">
        <v>3087</v>
      </c>
      <c r="H393" s="583" t="s">
        <v>4223</v>
      </c>
      <c r="I393" s="581" t="s">
        <v>3089</v>
      </c>
      <c r="J393" s="134"/>
      <c r="K393" s="585" t="s">
        <v>147</v>
      </c>
      <c r="L393" s="361"/>
      <c r="M393" s="582" t="s">
        <v>3081</v>
      </c>
      <c r="N393" s="361"/>
      <c r="O393" s="361"/>
      <c r="P393" s="361">
        <v>9.403208E9</v>
      </c>
      <c r="Q393" s="132">
        <v>243.5640056683987</v>
      </c>
      <c r="R393" s="592" t="s">
        <v>10</v>
      </c>
      <c r="S393" s="49"/>
      <c r="T393" s="224">
        <v>811.8800188946624</v>
      </c>
      <c r="U393" s="224">
        <v>487.1280113367974</v>
      </c>
      <c r="V393" s="224">
        <v>405.9400094473312</v>
      </c>
      <c r="W393" s="224">
        <v>324.752007557865</v>
      </c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</row>
    <row r="394" ht="13.5" customHeight="1">
      <c r="A394" s="423" t="s">
        <v>84</v>
      </c>
      <c r="B394" s="423" t="s">
        <v>1886</v>
      </c>
      <c r="C394" s="585" t="s">
        <v>3074</v>
      </c>
      <c r="D394" s="582" t="s">
        <v>3029</v>
      </c>
      <c r="E394" s="134" t="s">
        <v>3090</v>
      </c>
      <c r="F394" s="134" t="s">
        <v>3076</v>
      </c>
      <c r="G394" s="583" t="s">
        <v>3091</v>
      </c>
      <c r="H394" s="583" t="s">
        <v>4224</v>
      </c>
      <c r="I394" s="581" t="s">
        <v>3093</v>
      </c>
      <c r="J394" s="134"/>
      <c r="K394" s="585" t="s">
        <v>147</v>
      </c>
      <c r="L394" s="361"/>
      <c r="M394" s="582" t="s">
        <v>3081</v>
      </c>
      <c r="N394" s="361"/>
      <c r="O394" s="361"/>
      <c r="P394" s="361">
        <v>9.403208E9</v>
      </c>
      <c r="Q394" s="132">
        <v>265.7061880018895</v>
      </c>
      <c r="R394" s="592" t="s">
        <v>10</v>
      </c>
      <c r="S394" s="49"/>
      <c r="T394" s="224">
        <v>885.6872933396317</v>
      </c>
      <c r="U394" s="224">
        <v>531.412376003779</v>
      </c>
      <c r="V394" s="224">
        <v>442.8436466698158</v>
      </c>
      <c r="W394" s="224">
        <v>354.2749173358527</v>
      </c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</row>
    <row r="395" ht="13.5" customHeight="1">
      <c r="A395" s="423" t="s">
        <v>84</v>
      </c>
      <c r="B395" s="423" t="s">
        <v>1886</v>
      </c>
      <c r="C395" s="585" t="s">
        <v>3074</v>
      </c>
      <c r="D395" s="582" t="s">
        <v>3029</v>
      </c>
      <c r="E395" s="134" t="s">
        <v>3094</v>
      </c>
      <c r="F395" s="134" t="s">
        <v>3076</v>
      </c>
      <c r="G395" s="583" t="s">
        <v>3095</v>
      </c>
      <c r="H395" s="583" t="s">
        <v>4225</v>
      </c>
      <c r="I395" s="581" t="s">
        <v>3097</v>
      </c>
      <c r="J395" s="134"/>
      <c r="K395" s="585" t="s">
        <v>147</v>
      </c>
      <c r="L395" s="361"/>
      <c r="M395" s="582" t="s">
        <v>3081</v>
      </c>
      <c r="N395" s="361"/>
      <c r="O395" s="361"/>
      <c r="P395" s="361">
        <v>9.403208E9</v>
      </c>
      <c r="Q395" s="132">
        <v>317.371280113368</v>
      </c>
      <c r="R395" s="592" t="s">
        <v>10</v>
      </c>
      <c r="S395" s="49"/>
      <c r="T395" s="224">
        <v>1057.9042670445601</v>
      </c>
      <c r="U395" s="224">
        <v>634.742560226736</v>
      </c>
      <c r="V395" s="224">
        <v>528.9521335222801</v>
      </c>
      <c r="W395" s="224">
        <v>423.1617068178241</v>
      </c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</row>
    <row r="396" ht="13.5" customHeight="1">
      <c r="A396" s="423" t="s">
        <v>84</v>
      </c>
      <c r="B396" s="423" t="s">
        <v>1886</v>
      </c>
      <c r="C396" s="585" t="s">
        <v>3074</v>
      </c>
      <c r="D396" s="582" t="s">
        <v>3029</v>
      </c>
      <c r="E396" s="134" t="s">
        <v>3094</v>
      </c>
      <c r="F396" s="134" t="s">
        <v>3076</v>
      </c>
      <c r="G396" s="583" t="s">
        <v>3098</v>
      </c>
      <c r="H396" s="583" t="s">
        <v>4226</v>
      </c>
      <c r="I396" s="581" t="s">
        <v>3100</v>
      </c>
      <c r="J396" s="134"/>
      <c r="K396" s="585" t="s">
        <v>147</v>
      </c>
      <c r="L396" s="361"/>
      <c r="M396" s="582" t="s">
        <v>3081</v>
      </c>
      <c r="N396" s="361"/>
      <c r="O396" s="361"/>
      <c r="P396" s="361">
        <v>9.403208E9</v>
      </c>
      <c r="Q396" s="132">
        <v>249.46858762399626</v>
      </c>
      <c r="R396" s="592" t="s">
        <v>10</v>
      </c>
      <c r="S396" s="49"/>
      <c r="T396" s="224">
        <v>831.5619587466542</v>
      </c>
      <c r="U396" s="224">
        <v>498.9371752479925</v>
      </c>
      <c r="V396" s="224">
        <v>415.7809793733271</v>
      </c>
      <c r="W396" s="224">
        <v>332.6247834986617</v>
      </c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</row>
    <row r="397" ht="13.5" customHeight="1">
      <c r="A397" s="423" t="s">
        <v>84</v>
      </c>
      <c r="B397" s="423" t="s">
        <v>1886</v>
      </c>
      <c r="C397" s="585" t="s">
        <v>3074</v>
      </c>
      <c r="D397" s="582" t="s">
        <v>3029</v>
      </c>
      <c r="E397" s="134" t="s">
        <v>3075</v>
      </c>
      <c r="F397" s="134" t="s">
        <v>3101</v>
      </c>
      <c r="G397" s="583" t="s">
        <v>3102</v>
      </c>
      <c r="H397" s="583" t="s">
        <v>4227</v>
      </c>
      <c r="I397" s="581" t="s">
        <v>3104</v>
      </c>
      <c r="J397" s="134"/>
      <c r="K397" s="585" t="s">
        <v>147</v>
      </c>
      <c r="L397" s="361"/>
      <c r="M397" s="582" t="s">
        <v>3081</v>
      </c>
      <c r="N397" s="361"/>
      <c r="O397" s="361"/>
      <c r="P397" s="361">
        <v>9.403208E9</v>
      </c>
      <c r="Q397" s="132">
        <v>250.94473311289562</v>
      </c>
      <c r="R397" s="592" t="s">
        <v>10</v>
      </c>
      <c r="S397" s="49"/>
      <c r="T397" s="224">
        <v>836.4824437096521</v>
      </c>
      <c r="U397" s="224">
        <v>501.88946622579124</v>
      </c>
      <c r="V397" s="224">
        <v>418.24122185482605</v>
      </c>
      <c r="W397" s="224">
        <v>334.59297748386086</v>
      </c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</row>
    <row r="398" ht="13.5" customHeight="1">
      <c r="A398" s="423" t="s">
        <v>84</v>
      </c>
      <c r="B398" s="423" t="s">
        <v>1886</v>
      </c>
      <c r="C398" s="585" t="s">
        <v>3074</v>
      </c>
      <c r="D398" s="582" t="s">
        <v>3029</v>
      </c>
      <c r="E398" s="134" t="s">
        <v>3082</v>
      </c>
      <c r="F398" s="134" t="s">
        <v>3101</v>
      </c>
      <c r="G398" s="583" t="s">
        <v>4228</v>
      </c>
      <c r="H398" s="583" t="s">
        <v>4229</v>
      </c>
      <c r="I398" s="581" t="s">
        <v>3107</v>
      </c>
      <c r="J398" s="134"/>
      <c r="K398" s="585" t="s">
        <v>147</v>
      </c>
      <c r="L398" s="361"/>
      <c r="M398" s="582" t="s">
        <v>3081</v>
      </c>
      <c r="N398" s="361"/>
      <c r="O398" s="361"/>
      <c r="P398" s="361">
        <v>9.403208E9</v>
      </c>
      <c r="Q398" s="132">
        <v>265.7061880018895</v>
      </c>
      <c r="R398" s="592" t="s">
        <v>10</v>
      </c>
      <c r="S398" s="49"/>
      <c r="T398" s="224">
        <v>885.6872933396317</v>
      </c>
      <c r="U398" s="224">
        <v>531.412376003779</v>
      </c>
      <c r="V398" s="224">
        <v>442.8436466698158</v>
      </c>
      <c r="W398" s="224">
        <v>354.2749173358527</v>
      </c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</row>
    <row r="399" ht="13.5" customHeight="1">
      <c r="A399" s="423" t="s">
        <v>84</v>
      </c>
      <c r="B399" s="423" t="s">
        <v>1886</v>
      </c>
      <c r="C399" s="585" t="s">
        <v>3074</v>
      </c>
      <c r="D399" s="582" t="s">
        <v>3029</v>
      </c>
      <c r="E399" s="134" t="s">
        <v>3086</v>
      </c>
      <c r="F399" s="134" t="s">
        <v>3101</v>
      </c>
      <c r="G399" s="583" t="s">
        <v>4230</v>
      </c>
      <c r="H399" s="583" t="s">
        <v>4231</v>
      </c>
      <c r="I399" s="581" t="s">
        <v>3110</v>
      </c>
      <c r="J399" s="134"/>
      <c r="K399" s="585" t="s">
        <v>147</v>
      </c>
      <c r="L399" s="361"/>
      <c r="M399" s="582" t="s">
        <v>3081</v>
      </c>
      <c r="N399" s="361"/>
      <c r="O399" s="361"/>
      <c r="P399" s="361">
        <v>9.403208E9</v>
      </c>
      <c r="Q399" s="132">
        <v>276.03920642418524</v>
      </c>
      <c r="R399" s="592" t="s">
        <v>10</v>
      </c>
      <c r="S399" s="49"/>
      <c r="T399" s="224">
        <v>920.1306880806175</v>
      </c>
      <c r="U399" s="224">
        <v>552.0784128483705</v>
      </c>
      <c r="V399" s="224">
        <v>460.06534404030873</v>
      </c>
      <c r="W399" s="224">
        <v>368.052275232247</v>
      </c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</row>
    <row r="400" ht="13.5" customHeight="1">
      <c r="A400" s="423" t="s">
        <v>84</v>
      </c>
      <c r="B400" s="423" t="s">
        <v>1886</v>
      </c>
      <c r="C400" s="585" t="s">
        <v>3074</v>
      </c>
      <c r="D400" s="582" t="s">
        <v>3029</v>
      </c>
      <c r="E400" s="134" t="s">
        <v>3090</v>
      </c>
      <c r="F400" s="134" t="s">
        <v>3101</v>
      </c>
      <c r="G400" s="583" t="s">
        <v>4232</v>
      </c>
      <c r="H400" s="583" t="s">
        <v>4233</v>
      </c>
      <c r="I400" s="581" t="s">
        <v>3113</v>
      </c>
      <c r="J400" s="134"/>
      <c r="K400" s="585" t="s">
        <v>147</v>
      </c>
      <c r="L400" s="361"/>
      <c r="M400" s="582" t="s">
        <v>3081</v>
      </c>
      <c r="N400" s="361"/>
      <c r="O400" s="361"/>
      <c r="P400" s="361">
        <v>9.403208E9</v>
      </c>
      <c r="Q400" s="132">
        <v>302.60982522437416</v>
      </c>
      <c r="R400" s="592" t="s">
        <v>10</v>
      </c>
      <c r="S400" s="49"/>
      <c r="T400" s="224">
        <v>1008.6994174145806</v>
      </c>
      <c r="U400" s="224">
        <v>605.2196504487483</v>
      </c>
      <c r="V400" s="224">
        <v>504.3497087072903</v>
      </c>
      <c r="W400" s="224">
        <v>403.47976696583225</v>
      </c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</row>
    <row r="401" ht="13.5" customHeight="1">
      <c r="A401" s="423" t="s">
        <v>84</v>
      </c>
      <c r="B401" s="423" t="s">
        <v>1886</v>
      </c>
      <c r="C401" s="585" t="s">
        <v>3074</v>
      </c>
      <c r="D401" s="582" t="s">
        <v>3029</v>
      </c>
      <c r="E401" s="134" t="s">
        <v>3094</v>
      </c>
      <c r="F401" s="134" t="s">
        <v>3101</v>
      </c>
      <c r="G401" s="583" t="s">
        <v>4234</v>
      </c>
      <c r="H401" s="583" t="s">
        <v>4235</v>
      </c>
      <c r="I401" s="581" t="s">
        <v>3116</v>
      </c>
      <c r="J401" s="134"/>
      <c r="K401" s="585" t="s">
        <v>147</v>
      </c>
      <c r="L401" s="361"/>
      <c r="M401" s="582" t="s">
        <v>3081</v>
      </c>
      <c r="N401" s="361"/>
      <c r="O401" s="361"/>
      <c r="P401" s="361">
        <v>9.403208E9</v>
      </c>
      <c r="Q401" s="132">
        <v>339.5134624468588</v>
      </c>
      <c r="R401" s="592" t="s">
        <v>10</v>
      </c>
      <c r="S401" s="49"/>
      <c r="T401" s="224">
        <v>1131.7115414895293</v>
      </c>
      <c r="U401" s="224">
        <v>679.0269248937176</v>
      </c>
      <c r="V401" s="224">
        <v>565.8557707447646</v>
      </c>
      <c r="W401" s="224">
        <v>452.68461659581175</v>
      </c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</row>
    <row r="402" ht="13.5" customHeight="1">
      <c r="A402" s="423" t="s">
        <v>84</v>
      </c>
      <c r="B402" s="423" t="s">
        <v>1886</v>
      </c>
      <c r="C402" s="585" t="s">
        <v>3074</v>
      </c>
      <c r="D402" s="582" t="s">
        <v>3029</v>
      </c>
      <c r="E402" s="134" t="s">
        <v>3094</v>
      </c>
      <c r="F402" s="134" t="s">
        <v>3101</v>
      </c>
      <c r="G402" s="583" t="s">
        <v>3117</v>
      </c>
      <c r="H402" s="583" t="s">
        <v>4236</v>
      </c>
      <c r="I402" s="581" t="s">
        <v>3119</v>
      </c>
      <c r="J402" s="134"/>
      <c r="K402" s="585" t="s">
        <v>147</v>
      </c>
      <c r="L402" s="361"/>
      <c r="M402" s="582" t="s">
        <v>3081</v>
      </c>
      <c r="N402" s="361"/>
      <c r="O402" s="361"/>
      <c r="P402" s="361">
        <v>9.403208E9</v>
      </c>
      <c r="Q402" s="132">
        <v>265.7061880018895</v>
      </c>
      <c r="R402" s="592" t="s">
        <v>10</v>
      </c>
      <c r="S402" s="49"/>
      <c r="T402" s="224">
        <v>885.6872933396317</v>
      </c>
      <c r="U402" s="224">
        <v>531.412376003779</v>
      </c>
      <c r="V402" s="224">
        <v>442.8436466698158</v>
      </c>
      <c r="W402" s="224">
        <v>354.2749173358527</v>
      </c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</row>
    <row r="403" ht="13.5" customHeight="1">
      <c r="A403" s="423" t="s">
        <v>84</v>
      </c>
      <c r="B403" s="423" t="s">
        <v>1886</v>
      </c>
      <c r="C403" s="585" t="s">
        <v>3074</v>
      </c>
      <c r="D403" s="582" t="s">
        <v>3029</v>
      </c>
      <c r="E403" s="134" t="s">
        <v>3094</v>
      </c>
      <c r="F403" s="134" t="s">
        <v>3120</v>
      </c>
      <c r="G403" s="583" t="s">
        <v>3121</v>
      </c>
      <c r="H403" s="583" t="s">
        <v>4237</v>
      </c>
      <c r="I403" s="581" t="s">
        <v>3123</v>
      </c>
      <c r="J403" s="134"/>
      <c r="K403" s="585" t="s">
        <v>147</v>
      </c>
      <c r="L403" s="361"/>
      <c r="M403" s="582" t="s">
        <v>3081</v>
      </c>
      <c r="N403" s="361"/>
      <c r="O403" s="361"/>
      <c r="P403" s="361">
        <v>9.403208E9</v>
      </c>
      <c r="Q403" s="132">
        <v>405.9400094473312</v>
      </c>
      <c r="R403" s="592" t="s">
        <v>10</v>
      </c>
      <c r="S403" s="49"/>
      <c r="T403" s="224">
        <v>1353.1333648244374</v>
      </c>
      <c r="U403" s="224">
        <v>811.8800188946624</v>
      </c>
      <c r="V403" s="224">
        <v>676.5666824122187</v>
      </c>
      <c r="W403" s="224">
        <v>541.253345929775</v>
      </c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</row>
    <row r="404" ht="13.5" customHeight="1">
      <c r="A404" s="423" t="s">
        <v>84</v>
      </c>
      <c r="B404" s="423" t="s">
        <v>1886</v>
      </c>
      <c r="C404" s="585" t="s">
        <v>3074</v>
      </c>
      <c r="D404" s="582" t="s">
        <v>3029</v>
      </c>
      <c r="E404" s="134" t="s">
        <v>3094</v>
      </c>
      <c r="F404" s="134" t="s">
        <v>3124</v>
      </c>
      <c r="G404" s="583" t="s">
        <v>3125</v>
      </c>
      <c r="H404" s="583" t="s">
        <v>4238</v>
      </c>
      <c r="I404" s="581" t="s">
        <v>3127</v>
      </c>
      <c r="J404" s="134"/>
      <c r="K404" s="585" t="s">
        <v>147</v>
      </c>
      <c r="L404" s="361"/>
      <c r="M404" s="582" t="s">
        <v>3081</v>
      </c>
      <c r="N404" s="361"/>
      <c r="O404" s="361"/>
      <c r="P404" s="361">
        <v>9.403208E9</v>
      </c>
      <c r="Q404" s="132">
        <v>361.6556447803496</v>
      </c>
      <c r="R404" s="592" t="s">
        <v>10</v>
      </c>
      <c r="S404" s="49"/>
      <c r="T404" s="224">
        <v>1205.5188159344987</v>
      </c>
      <c r="U404" s="224">
        <v>723.3112895606992</v>
      </c>
      <c r="V404" s="224">
        <v>602.7594079672493</v>
      </c>
      <c r="W404" s="224">
        <v>482.2075263737995</v>
      </c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</row>
    <row r="405" ht="13.5" customHeight="1">
      <c r="A405" s="423" t="s">
        <v>84</v>
      </c>
      <c r="B405" s="423" t="s">
        <v>1886</v>
      </c>
      <c r="C405" s="585" t="s">
        <v>3074</v>
      </c>
      <c r="D405" s="582" t="s">
        <v>3029</v>
      </c>
      <c r="E405" s="134" t="s">
        <v>3094</v>
      </c>
      <c r="F405" s="134" t="s">
        <v>3124</v>
      </c>
      <c r="G405" s="583" t="s">
        <v>3128</v>
      </c>
      <c r="H405" s="583" t="s">
        <v>4239</v>
      </c>
      <c r="I405" s="581" t="s">
        <v>3130</v>
      </c>
      <c r="J405" s="134"/>
      <c r="K405" s="585" t="s">
        <v>147</v>
      </c>
      <c r="L405" s="361"/>
      <c r="M405" s="582" t="s">
        <v>3081</v>
      </c>
      <c r="N405" s="361"/>
      <c r="O405" s="361"/>
      <c r="P405" s="361">
        <v>9.403208E9</v>
      </c>
      <c r="Q405" s="132">
        <v>273.08691544638646</v>
      </c>
      <c r="R405" s="592" t="s">
        <v>10</v>
      </c>
      <c r="S405" s="49"/>
      <c r="T405" s="224">
        <v>910.2897181546216</v>
      </c>
      <c r="U405" s="224">
        <v>546.1738308927729</v>
      </c>
      <c r="V405" s="224">
        <v>455.1448590773108</v>
      </c>
      <c r="W405" s="224">
        <v>364.1158872618487</v>
      </c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</row>
    <row r="406" ht="13.5" customHeight="1">
      <c r="A406" s="423" t="s">
        <v>84</v>
      </c>
      <c r="B406" s="423" t="s">
        <v>1886</v>
      </c>
      <c r="C406" s="585" t="s">
        <v>3074</v>
      </c>
      <c r="D406" s="582" t="s">
        <v>3029</v>
      </c>
      <c r="E406" s="134" t="s">
        <v>3086</v>
      </c>
      <c r="F406" s="134" t="s">
        <v>3134</v>
      </c>
      <c r="G406" s="583" t="s">
        <v>3141</v>
      </c>
      <c r="H406" s="583" t="s">
        <v>4240</v>
      </c>
      <c r="I406" s="581" t="s">
        <v>3143</v>
      </c>
      <c r="J406" s="134"/>
      <c r="K406" s="585" t="s">
        <v>147</v>
      </c>
      <c r="L406" s="361"/>
      <c r="M406" s="582" t="s">
        <v>3081</v>
      </c>
      <c r="N406" s="361"/>
      <c r="O406" s="361"/>
      <c r="P406" s="361">
        <v>9.403208E9</v>
      </c>
      <c r="Q406" s="132">
        <v>333.60888049126123</v>
      </c>
      <c r="R406" s="592" t="s">
        <v>10</v>
      </c>
      <c r="S406" s="49"/>
      <c r="T406" s="224">
        <v>1112.0296016375376</v>
      </c>
      <c r="U406" s="224">
        <v>667.2177609825225</v>
      </c>
      <c r="V406" s="224">
        <v>556.0148008187688</v>
      </c>
      <c r="W406" s="224">
        <v>444.81184065501503</v>
      </c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</row>
    <row r="407" ht="13.5" customHeight="1">
      <c r="A407" s="423" t="s">
        <v>84</v>
      </c>
      <c r="B407" s="423" t="s">
        <v>1886</v>
      </c>
      <c r="C407" s="585" t="s">
        <v>3074</v>
      </c>
      <c r="D407" s="582" t="s">
        <v>3029</v>
      </c>
      <c r="E407" s="134" t="s">
        <v>3090</v>
      </c>
      <c r="F407" s="134" t="s">
        <v>3134</v>
      </c>
      <c r="G407" s="583" t="s">
        <v>3147</v>
      </c>
      <c r="H407" s="583" t="s">
        <v>4241</v>
      </c>
      <c r="I407" s="581" t="s">
        <v>3149</v>
      </c>
      <c r="J407" s="134"/>
      <c r="K407" s="585" t="s">
        <v>147</v>
      </c>
      <c r="L407" s="361"/>
      <c r="M407" s="582" t="s">
        <v>3081</v>
      </c>
      <c r="N407" s="361"/>
      <c r="O407" s="361"/>
      <c r="P407" s="361">
        <v>9.403208E9</v>
      </c>
      <c r="Q407" s="132">
        <v>351.32262635805387</v>
      </c>
      <c r="R407" s="592" t="s">
        <v>10</v>
      </c>
      <c r="S407" s="49"/>
      <c r="T407" s="224">
        <v>1171.075421193513</v>
      </c>
      <c r="U407" s="224">
        <v>702.6452527161077</v>
      </c>
      <c r="V407" s="224">
        <v>585.5377105967565</v>
      </c>
      <c r="W407" s="224">
        <v>468.43016847740523</v>
      </c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</row>
    <row r="408" ht="13.5" customHeight="1">
      <c r="A408" s="423" t="s">
        <v>84</v>
      </c>
      <c r="B408" s="423" t="s">
        <v>1886</v>
      </c>
      <c r="C408" s="585" t="s">
        <v>3074</v>
      </c>
      <c r="D408" s="582" t="s">
        <v>3029</v>
      </c>
      <c r="E408" s="134" t="s">
        <v>3094</v>
      </c>
      <c r="F408" s="134" t="s">
        <v>3134</v>
      </c>
      <c r="G408" s="583" t="s">
        <v>3153</v>
      </c>
      <c r="H408" s="583" t="s">
        <v>4242</v>
      </c>
      <c r="I408" s="581" t="s">
        <v>3155</v>
      </c>
      <c r="J408" s="134"/>
      <c r="K408" s="585" t="s">
        <v>147</v>
      </c>
      <c r="L408" s="361"/>
      <c r="M408" s="582" t="s">
        <v>3081</v>
      </c>
      <c r="N408" s="361"/>
      <c r="O408" s="361"/>
      <c r="P408" s="361">
        <v>9.403208E9</v>
      </c>
      <c r="Q408" s="132">
        <v>391.1785545583373</v>
      </c>
      <c r="R408" s="592" t="s">
        <v>10</v>
      </c>
      <c r="S408" s="49"/>
      <c r="T408" s="224">
        <v>1303.9285151944578</v>
      </c>
      <c r="U408" s="224">
        <v>782.3571091166747</v>
      </c>
      <c r="V408" s="224">
        <v>651.9642575972289</v>
      </c>
      <c r="W408" s="224">
        <v>521.5714060777831</v>
      </c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</row>
    <row r="409" ht="13.5" customHeight="1">
      <c r="A409" s="423" t="s">
        <v>84</v>
      </c>
      <c r="B409" s="423" t="s">
        <v>1886</v>
      </c>
      <c r="C409" s="585" t="s">
        <v>3074</v>
      </c>
      <c r="D409" s="582" t="s">
        <v>3029</v>
      </c>
      <c r="E409" s="134" t="s">
        <v>3094</v>
      </c>
      <c r="F409" s="134" t="s">
        <v>3134</v>
      </c>
      <c r="G409" s="583" t="s">
        <v>3156</v>
      </c>
      <c r="H409" s="583" t="s">
        <v>4243</v>
      </c>
      <c r="I409" s="581" t="s">
        <v>3158</v>
      </c>
      <c r="J409" s="134"/>
      <c r="K409" s="585" t="s">
        <v>147</v>
      </c>
      <c r="L409" s="361"/>
      <c r="M409" s="582" t="s">
        <v>3081</v>
      </c>
      <c r="N409" s="361"/>
      <c r="O409" s="361"/>
      <c r="P409" s="361">
        <v>9.403208E9</v>
      </c>
      <c r="Q409" s="132">
        <v>309.9905526688711</v>
      </c>
      <c r="R409" s="592" t="s">
        <v>10</v>
      </c>
      <c r="S409" s="49"/>
      <c r="T409" s="224">
        <v>1033.3018422295704</v>
      </c>
      <c r="U409" s="224">
        <v>619.9811053377422</v>
      </c>
      <c r="V409" s="224">
        <v>516.6509211147852</v>
      </c>
      <c r="W409" s="224">
        <v>413.3207368918282</v>
      </c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</row>
    <row r="410" ht="13.5" customHeight="1">
      <c r="A410" s="423" t="s">
        <v>84</v>
      </c>
      <c r="B410" s="423" t="s">
        <v>1886</v>
      </c>
      <c r="C410" s="585" t="s">
        <v>3074</v>
      </c>
      <c r="D410" s="582" t="s">
        <v>3029</v>
      </c>
      <c r="E410" s="134" t="s">
        <v>3094</v>
      </c>
      <c r="F410" s="134" t="s">
        <v>3159</v>
      </c>
      <c r="G410" s="583" t="s">
        <v>3160</v>
      </c>
      <c r="H410" s="583" t="s">
        <v>4244</v>
      </c>
      <c r="I410" s="581" t="s">
        <v>3162</v>
      </c>
      <c r="J410" s="134"/>
      <c r="K410" s="585" t="s">
        <v>147</v>
      </c>
      <c r="L410" s="361"/>
      <c r="M410" s="582" t="s">
        <v>3081</v>
      </c>
      <c r="N410" s="361"/>
      <c r="O410" s="361"/>
      <c r="P410" s="361">
        <v>9.403208E9</v>
      </c>
      <c r="Q410" s="132">
        <v>442.8436466698159</v>
      </c>
      <c r="R410" s="592" t="s">
        <v>10</v>
      </c>
      <c r="S410" s="49"/>
      <c r="T410" s="224">
        <v>1476.1454888993862</v>
      </c>
      <c r="U410" s="224">
        <v>885.6872933396318</v>
      </c>
      <c r="V410" s="224">
        <v>738.0727444496931</v>
      </c>
      <c r="W410" s="224">
        <v>590.4581955597545</v>
      </c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</row>
    <row r="411" ht="13.5" customHeight="1">
      <c r="A411" s="423" t="s">
        <v>84</v>
      </c>
      <c r="B411" s="423" t="s">
        <v>1886</v>
      </c>
      <c r="C411" s="585" t="s">
        <v>3074</v>
      </c>
      <c r="D411" s="582" t="s">
        <v>3029</v>
      </c>
      <c r="E411" s="134" t="s">
        <v>3094</v>
      </c>
      <c r="F411" s="134" t="s">
        <v>3159</v>
      </c>
      <c r="G411" s="583" t="s">
        <v>3131</v>
      </c>
      <c r="H411" s="583" t="s">
        <v>4245</v>
      </c>
      <c r="I411" s="581" t="s">
        <v>3133</v>
      </c>
      <c r="J411" s="134"/>
      <c r="K411" s="585" t="s">
        <v>147</v>
      </c>
      <c r="L411" s="361"/>
      <c r="M411" s="582" t="s">
        <v>3081</v>
      </c>
      <c r="N411" s="361"/>
      <c r="O411" s="361"/>
      <c r="P411" s="361">
        <v>9.403208E9</v>
      </c>
      <c r="Q411" s="132">
        <v>361.6556447803496</v>
      </c>
      <c r="R411" s="592" t="s">
        <v>10</v>
      </c>
      <c r="S411" s="49"/>
      <c r="T411" s="224">
        <v>1205.5188159344987</v>
      </c>
      <c r="U411" s="224">
        <v>723.3112895606992</v>
      </c>
      <c r="V411" s="224">
        <v>602.7594079672493</v>
      </c>
      <c r="W411" s="224">
        <v>482.2075263737995</v>
      </c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</row>
    <row r="412" ht="13.5" customHeight="1">
      <c r="A412" s="423" t="s">
        <v>84</v>
      </c>
      <c r="B412" s="423" t="s">
        <v>1886</v>
      </c>
      <c r="C412" s="585" t="s">
        <v>3074</v>
      </c>
      <c r="D412" s="582" t="s">
        <v>3029</v>
      </c>
      <c r="E412" s="134"/>
      <c r="F412" s="134"/>
      <c r="G412" s="583" t="s">
        <v>3167</v>
      </c>
      <c r="H412" s="583" t="s">
        <v>778</v>
      </c>
      <c r="I412" s="581" t="s">
        <v>3169</v>
      </c>
      <c r="J412" s="134"/>
      <c r="K412" s="585" t="s">
        <v>147</v>
      </c>
      <c r="L412" s="361"/>
      <c r="M412" s="582" t="s">
        <v>3081</v>
      </c>
      <c r="N412" s="361"/>
      <c r="O412" s="361"/>
      <c r="P412" s="361">
        <v>9.403208E9</v>
      </c>
      <c r="Q412" s="132">
        <v>0.0</v>
      </c>
      <c r="R412" s="592" t="s">
        <v>10</v>
      </c>
      <c r="S412" s="49"/>
      <c r="T412" s="224">
        <v>0.0</v>
      </c>
      <c r="U412" s="224">
        <v>0.0</v>
      </c>
      <c r="V412" s="224">
        <v>0.0</v>
      </c>
      <c r="W412" s="224">
        <v>0.0</v>
      </c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</row>
    <row r="413" ht="13.5" customHeight="1">
      <c r="A413" s="423" t="s">
        <v>84</v>
      </c>
      <c r="B413" s="423" t="s">
        <v>1886</v>
      </c>
      <c r="C413" s="585" t="s">
        <v>3074</v>
      </c>
      <c r="D413" s="582" t="s">
        <v>3029</v>
      </c>
      <c r="E413" s="134"/>
      <c r="F413" s="134"/>
      <c r="G413" s="583" t="s">
        <v>3170</v>
      </c>
      <c r="H413" s="583" t="s">
        <v>778</v>
      </c>
      <c r="I413" s="581" t="s">
        <v>3172</v>
      </c>
      <c r="J413" s="134"/>
      <c r="K413" s="585" t="s">
        <v>147</v>
      </c>
      <c r="L413" s="361"/>
      <c r="M413" s="582" t="s">
        <v>3081</v>
      </c>
      <c r="N413" s="361"/>
      <c r="O413" s="361"/>
      <c r="P413" s="361">
        <v>9.403208E9</v>
      </c>
      <c r="Q413" s="132">
        <v>0.0</v>
      </c>
      <c r="R413" s="592" t="s">
        <v>10</v>
      </c>
      <c r="S413" s="49"/>
      <c r="T413" s="224">
        <v>0.0</v>
      </c>
      <c r="U413" s="224">
        <v>0.0</v>
      </c>
      <c r="V413" s="224">
        <v>0.0</v>
      </c>
      <c r="W413" s="224">
        <v>0.0</v>
      </c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</row>
    <row r="414" ht="13.5" customHeight="1">
      <c r="A414" s="423" t="s">
        <v>84</v>
      </c>
      <c r="B414" s="423" t="s">
        <v>1886</v>
      </c>
      <c r="C414" s="585" t="s">
        <v>3074</v>
      </c>
      <c r="D414" s="582" t="s">
        <v>3029</v>
      </c>
      <c r="E414" s="134"/>
      <c r="F414" s="134"/>
      <c r="G414" s="583" t="s">
        <v>3173</v>
      </c>
      <c r="H414" s="583" t="s">
        <v>778</v>
      </c>
      <c r="I414" s="581" t="s">
        <v>3175</v>
      </c>
      <c r="J414" s="134"/>
      <c r="K414" s="585" t="s">
        <v>147</v>
      </c>
      <c r="L414" s="361"/>
      <c r="M414" s="582" t="s">
        <v>3081</v>
      </c>
      <c r="N414" s="361"/>
      <c r="O414" s="361"/>
      <c r="P414" s="361">
        <v>9.403208E9</v>
      </c>
      <c r="Q414" s="132">
        <v>0.0</v>
      </c>
      <c r="R414" s="592" t="s">
        <v>10</v>
      </c>
      <c r="S414" s="49"/>
      <c r="T414" s="224">
        <v>0.0</v>
      </c>
      <c r="U414" s="224">
        <v>0.0</v>
      </c>
      <c r="V414" s="224">
        <v>0.0</v>
      </c>
      <c r="W414" s="224">
        <v>0.0</v>
      </c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</row>
    <row r="415" ht="13.5" customHeight="1">
      <c r="A415" s="423" t="s">
        <v>84</v>
      </c>
      <c r="B415" s="423" t="s">
        <v>1886</v>
      </c>
      <c r="C415" s="585" t="s">
        <v>3074</v>
      </c>
      <c r="D415" s="582" t="s">
        <v>3029</v>
      </c>
      <c r="E415" s="134"/>
      <c r="F415" s="134"/>
      <c r="G415" s="583" t="s">
        <v>3176</v>
      </c>
      <c r="H415" s="583" t="s">
        <v>778</v>
      </c>
      <c r="I415" s="581" t="s">
        <v>3178</v>
      </c>
      <c r="J415" s="134"/>
      <c r="K415" s="585" t="s">
        <v>147</v>
      </c>
      <c r="L415" s="361"/>
      <c r="M415" s="582" t="s">
        <v>3081</v>
      </c>
      <c r="N415" s="361"/>
      <c r="O415" s="361"/>
      <c r="P415" s="361">
        <v>9.403208E9</v>
      </c>
      <c r="Q415" s="132">
        <v>0.0</v>
      </c>
      <c r="R415" s="592" t="s">
        <v>10</v>
      </c>
      <c r="S415" s="49"/>
      <c r="T415" s="224">
        <v>0.0</v>
      </c>
      <c r="U415" s="224">
        <v>0.0</v>
      </c>
      <c r="V415" s="224">
        <v>0.0</v>
      </c>
      <c r="W415" s="224">
        <v>0.0</v>
      </c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</row>
    <row r="416" ht="13.5" customHeight="1">
      <c r="A416" s="423" t="s">
        <v>84</v>
      </c>
      <c r="B416" s="423" t="s">
        <v>1886</v>
      </c>
      <c r="C416" s="585" t="s">
        <v>3074</v>
      </c>
      <c r="D416" s="582" t="s">
        <v>3029</v>
      </c>
      <c r="E416" s="134"/>
      <c r="F416" s="134"/>
      <c r="G416" s="583" t="s">
        <v>3179</v>
      </c>
      <c r="H416" s="583" t="s">
        <v>778</v>
      </c>
      <c r="I416" s="581" t="s">
        <v>3181</v>
      </c>
      <c r="J416" s="134"/>
      <c r="K416" s="585" t="s">
        <v>147</v>
      </c>
      <c r="L416" s="361"/>
      <c r="M416" s="582" t="s">
        <v>3081</v>
      </c>
      <c r="N416" s="361"/>
      <c r="O416" s="361"/>
      <c r="P416" s="361">
        <v>9.403208E9</v>
      </c>
      <c r="Q416" s="132">
        <v>0.0</v>
      </c>
      <c r="R416" s="592" t="s">
        <v>10</v>
      </c>
      <c r="S416" s="49"/>
      <c r="T416" s="224">
        <v>0.0</v>
      </c>
      <c r="U416" s="224">
        <v>0.0</v>
      </c>
      <c r="V416" s="224">
        <v>0.0</v>
      </c>
      <c r="W416" s="224">
        <v>0.0</v>
      </c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</row>
    <row r="417" ht="13.5" customHeight="1">
      <c r="A417" s="423" t="s">
        <v>84</v>
      </c>
      <c r="B417" s="423" t="s">
        <v>1886</v>
      </c>
      <c r="C417" s="585" t="s">
        <v>3074</v>
      </c>
      <c r="D417" s="582" t="s">
        <v>3029</v>
      </c>
      <c r="E417" s="134"/>
      <c r="F417" s="134"/>
      <c r="G417" s="583" t="s">
        <v>3182</v>
      </c>
      <c r="H417" s="583" t="s">
        <v>778</v>
      </c>
      <c r="I417" s="581" t="s">
        <v>3184</v>
      </c>
      <c r="J417" s="134"/>
      <c r="K417" s="585" t="s">
        <v>147</v>
      </c>
      <c r="L417" s="361"/>
      <c r="M417" s="582" t="s">
        <v>3081</v>
      </c>
      <c r="N417" s="361"/>
      <c r="O417" s="361"/>
      <c r="P417" s="361">
        <v>9.403208E9</v>
      </c>
      <c r="Q417" s="132">
        <v>0.0</v>
      </c>
      <c r="R417" s="592" t="s">
        <v>10</v>
      </c>
      <c r="S417" s="49"/>
      <c r="T417" s="224">
        <v>0.0</v>
      </c>
      <c r="U417" s="224">
        <v>0.0</v>
      </c>
      <c r="V417" s="224">
        <v>0.0</v>
      </c>
      <c r="W417" s="224">
        <v>0.0</v>
      </c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</row>
    <row r="418" ht="13.5" customHeight="1">
      <c r="A418" s="423" t="s">
        <v>84</v>
      </c>
      <c r="B418" s="423" t="s">
        <v>1886</v>
      </c>
      <c r="C418" s="585" t="s">
        <v>3074</v>
      </c>
      <c r="D418" s="582" t="s">
        <v>3185</v>
      </c>
      <c r="E418" s="134" t="s">
        <v>3075</v>
      </c>
      <c r="F418" s="134" t="s">
        <v>3076</v>
      </c>
      <c r="G418" s="583" t="s">
        <v>3186</v>
      </c>
      <c r="H418" s="583" t="s">
        <v>4246</v>
      </c>
      <c r="I418" s="581" t="s">
        <v>3188</v>
      </c>
      <c r="J418" s="134"/>
      <c r="K418" s="585" t="s">
        <v>147</v>
      </c>
      <c r="L418" s="361"/>
      <c r="M418" s="582" t="s">
        <v>3081</v>
      </c>
      <c r="N418" s="361"/>
      <c r="O418" s="361"/>
      <c r="P418" s="361">
        <v>9.403208E9</v>
      </c>
      <c r="Q418" s="132">
        <v>251.43678160919538</v>
      </c>
      <c r="R418" s="592" t="s">
        <v>10</v>
      </c>
      <c r="S418" s="49"/>
      <c r="T418" s="224">
        <v>838.1226053639846</v>
      </c>
      <c r="U418" s="224">
        <v>502.8735632183907</v>
      </c>
      <c r="V418" s="224">
        <v>419.0613026819923</v>
      </c>
      <c r="W418" s="224">
        <v>335.2490421455939</v>
      </c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</row>
    <row r="419" ht="13.5" customHeight="1">
      <c r="A419" s="423" t="s">
        <v>84</v>
      </c>
      <c r="B419" s="423" t="s">
        <v>1886</v>
      </c>
      <c r="C419" s="585" t="s">
        <v>3074</v>
      </c>
      <c r="D419" s="582" t="s">
        <v>3185</v>
      </c>
      <c r="E419" s="134" t="s">
        <v>3082</v>
      </c>
      <c r="F419" s="134" t="s">
        <v>3076</v>
      </c>
      <c r="G419" s="583" t="s">
        <v>3189</v>
      </c>
      <c r="H419" s="583" t="s">
        <v>4247</v>
      </c>
      <c r="I419" s="581" t="s">
        <v>3191</v>
      </c>
      <c r="J419" s="134"/>
      <c r="K419" s="585" t="s">
        <v>147</v>
      </c>
      <c r="L419" s="361"/>
      <c r="M419" s="582" t="s">
        <v>3081</v>
      </c>
      <c r="N419" s="361"/>
      <c r="O419" s="361"/>
      <c r="P419" s="361">
        <v>9.403208E9</v>
      </c>
      <c r="Q419" s="132">
        <v>258.62068965517244</v>
      </c>
      <c r="R419" s="592" t="s">
        <v>10</v>
      </c>
      <c r="S419" s="49"/>
      <c r="T419" s="224">
        <v>862.0689655172415</v>
      </c>
      <c r="U419" s="224">
        <v>517.2413793103449</v>
      </c>
      <c r="V419" s="224">
        <v>431.03448275862075</v>
      </c>
      <c r="W419" s="224">
        <v>344.8275862068966</v>
      </c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</row>
    <row r="420" ht="13.5" customHeight="1">
      <c r="A420" s="423" t="s">
        <v>84</v>
      </c>
      <c r="B420" s="423" t="s">
        <v>1886</v>
      </c>
      <c r="C420" s="585" t="s">
        <v>3074</v>
      </c>
      <c r="D420" s="582" t="s">
        <v>3185</v>
      </c>
      <c r="E420" s="134" t="s">
        <v>3086</v>
      </c>
      <c r="F420" s="134" t="s">
        <v>3076</v>
      </c>
      <c r="G420" s="583" t="s">
        <v>3192</v>
      </c>
      <c r="H420" s="583" t="s">
        <v>4248</v>
      </c>
      <c r="I420" s="581" t="s">
        <v>3194</v>
      </c>
      <c r="J420" s="134"/>
      <c r="K420" s="585" t="s">
        <v>147</v>
      </c>
      <c r="L420" s="361"/>
      <c r="M420" s="582" t="s">
        <v>3081</v>
      </c>
      <c r="N420" s="361"/>
      <c r="O420" s="361"/>
      <c r="P420" s="361">
        <v>9.403208E9</v>
      </c>
      <c r="Q420" s="132">
        <v>272.98850574712645</v>
      </c>
      <c r="R420" s="592" t="s">
        <v>10</v>
      </c>
      <c r="S420" s="49"/>
      <c r="T420" s="224">
        <v>909.9616858237549</v>
      </c>
      <c r="U420" s="224">
        <v>545.9770114942529</v>
      </c>
      <c r="V420" s="224">
        <v>454.98084291187746</v>
      </c>
      <c r="W420" s="224">
        <v>363.984674329502</v>
      </c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</row>
    <row r="421" ht="13.5" customHeight="1">
      <c r="A421" s="423" t="s">
        <v>84</v>
      </c>
      <c r="B421" s="423" t="s">
        <v>1886</v>
      </c>
      <c r="C421" s="585" t="s">
        <v>3074</v>
      </c>
      <c r="D421" s="582" t="s">
        <v>3185</v>
      </c>
      <c r="E421" s="134" t="s">
        <v>3090</v>
      </c>
      <c r="F421" s="134" t="s">
        <v>3076</v>
      </c>
      <c r="G421" s="583" t="s">
        <v>3195</v>
      </c>
      <c r="H421" s="583" t="s">
        <v>4249</v>
      </c>
      <c r="I421" s="581" t="s">
        <v>3197</v>
      </c>
      <c r="J421" s="134"/>
      <c r="K421" s="585" t="s">
        <v>147</v>
      </c>
      <c r="L421" s="361"/>
      <c r="M421" s="582" t="s">
        <v>3081</v>
      </c>
      <c r="N421" s="361"/>
      <c r="O421" s="361"/>
      <c r="P421" s="361">
        <v>9.403208E9</v>
      </c>
      <c r="Q421" s="132">
        <v>301.7241379310345</v>
      </c>
      <c r="R421" s="592" t="s">
        <v>10</v>
      </c>
      <c r="S421" s="49"/>
      <c r="T421" s="224">
        <v>1005.7471264367816</v>
      </c>
      <c r="U421" s="224">
        <v>603.448275862069</v>
      </c>
      <c r="V421" s="224">
        <v>502.8735632183908</v>
      </c>
      <c r="W421" s="224">
        <v>402.2988505747127</v>
      </c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</row>
    <row r="422" ht="13.5" customHeight="1">
      <c r="A422" s="423" t="s">
        <v>84</v>
      </c>
      <c r="B422" s="423" t="s">
        <v>1886</v>
      </c>
      <c r="C422" s="585" t="s">
        <v>3074</v>
      </c>
      <c r="D422" s="582" t="s">
        <v>3185</v>
      </c>
      <c r="E422" s="134" t="s">
        <v>3094</v>
      </c>
      <c r="F422" s="134" t="s">
        <v>3076</v>
      </c>
      <c r="G422" s="583" t="s">
        <v>3198</v>
      </c>
      <c r="H422" s="583" t="s">
        <v>4250</v>
      </c>
      <c r="I422" s="581" t="s">
        <v>3200</v>
      </c>
      <c r="J422" s="134"/>
      <c r="K422" s="585" t="s">
        <v>147</v>
      </c>
      <c r="L422" s="361"/>
      <c r="M422" s="582" t="s">
        <v>3081</v>
      </c>
      <c r="N422" s="361"/>
      <c r="O422" s="361"/>
      <c r="P422" s="361">
        <v>9.403208E9</v>
      </c>
      <c r="Q422" s="132">
        <v>352.01149425287355</v>
      </c>
      <c r="R422" s="592" t="s">
        <v>10</v>
      </c>
      <c r="S422" s="49"/>
      <c r="T422" s="224">
        <v>1173.3716475095785</v>
      </c>
      <c r="U422" s="224">
        <v>704.0229885057471</v>
      </c>
      <c r="V422" s="224">
        <v>586.6858237547892</v>
      </c>
      <c r="W422" s="224">
        <v>469.3486590038314</v>
      </c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</row>
    <row r="423" ht="13.5" customHeight="1">
      <c r="A423" s="423" t="s">
        <v>84</v>
      </c>
      <c r="B423" s="423" t="s">
        <v>1886</v>
      </c>
      <c r="C423" s="585" t="s">
        <v>3074</v>
      </c>
      <c r="D423" s="582" t="s">
        <v>3185</v>
      </c>
      <c r="E423" s="134" t="s">
        <v>3075</v>
      </c>
      <c r="F423" s="134" t="s">
        <v>3101</v>
      </c>
      <c r="G423" s="583" t="s">
        <v>3201</v>
      </c>
      <c r="H423" s="583" t="s">
        <v>4251</v>
      </c>
      <c r="I423" s="581" t="s">
        <v>3203</v>
      </c>
      <c r="J423" s="134"/>
      <c r="K423" s="585" t="s">
        <v>147</v>
      </c>
      <c r="L423" s="361"/>
      <c r="M423" s="582" t="s">
        <v>3081</v>
      </c>
      <c r="N423" s="361"/>
      <c r="O423" s="361"/>
      <c r="P423" s="361">
        <v>9.403208E9</v>
      </c>
      <c r="Q423" s="132">
        <v>272.98850574712645</v>
      </c>
      <c r="R423" s="592" t="s">
        <v>10</v>
      </c>
      <c r="S423" s="49"/>
      <c r="T423" s="224">
        <v>909.9616858237549</v>
      </c>
      <c r="U423" s="224">
        <v>545.9770114942529</v>
      </c>
      <c r="V423" s="224">
        <v>454.98084291187746</v>
      </c>
      <c r="W423" s="224">
        <v>363.984674329502</v>
      </c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</row>
    <row r="424" ht="13.5" customHeight="1">
      <c r="A424" s="423" t="s">
        <v>84</v>
      </c>
      <c r="B424" s="423" t="s">
        <v>1886</v>
      </c>
      <c r="C424" s="585" t="s">
        <v>3074</v>
      </c>
      <c r="D424" s="582" t="s">
        <v>3185</v>
      </c>
      <c r="E424" s="134" t="s">
        <v>3086</v>
      </c>
      <c r="F424" s="134" t="s">
        <v>3101</v>
      </c>
      <c r="G424" s="583" t="s">
        <v>3204</v>
      </c>
      <c r="H424" s="583" t="s">
        <v>4252</v>
      </c>
      <c r="I424" s="581" t="s">
        <v>3206</v>
      </c>
      <c r="J424" s="134"/>
      <c r="K424" s="585" t="s">
        <v>147</v>
      </c>
      <c r="L424" s="361"/>
      <c r="M424" s="582" t="s">
        <v>3081</v>
      </c>
      <c r="N424" s="361"/>
      <c r="O424" s="361"/>
      <c r="P424" s="361">
        <v>9.403208E9</v>
      </c>
      <c r="Q424" s="132">
        <v>301.7241379310345</v>
      </c>
      <c r="R424" s="592" t="s">
        <v>10</v>
      </c>
      <c r="S424" s="49"/>
      <c r="T424" s="224">
        <v>1005.7471264367816</v>
      </c>
      <c r="U424" s="224">
        <v>603.448275862069</v>
      </c>
      <c r="V424" s="224">
        <v>502.8735632183908</v>
      </c>
      <c r="W424" s="224">
        <v>402.2988505747127</v>
      </c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</row>
    <row r="425" ht="13.5" customHeight="1">
      <c r="A425" s="423" t="s">
        <v>84</v>
      </c>
      <c r="B425" s="423" t="s">
        <v>1886</v>
      </c>
      <c r="C425" s="585" t="s">
        <v>3074</v>
      </c>
      <c r="D425" s="582" t="s">
        <v>3185</v>
      </c>
      <c r="E425" s="134" t="s">
        <v>3094</v>
      </c>
      <c r="F425" s="134" t="s">
        <v>3101</v>
      </c>
      <c r="G425" s="583" t="s">
        <v>3207</v>
      </c>
      <c r="H425" s="583" t="s">
        <v>4253</v>
      </c>
      <c r="I425" s="581" t="s">
        <v>3209</v>
      </c>
      <c r="J425" s="134"/>
      <c r="K425" s="585" t="s">
        <v>147</v>
      </c>
      <c r="L425" s="361"/>
      <c r="M425" s="582" t="s">
        <v>3081</v>
      </c>
      <c r="N425" s="361"/>
      <c r="O425" s="361"/>
      <c r="P425" s="361">
        <v>9.403208E9</v>
      </c>
      <c r="Q425" s="132">
        <v>380.7471264367816</v>
      </c>
      <c r="R425" s="592" t="s">
        <v>10</v>
      </c>
      <c r="S425" s="49"/>
      <c r="T425" s="224">
        <v>1269.1570881226055</v>
      </c>
      <c r="U425" s="224">
        <v>761.4942528735633</v>
      </c>
      <c r="V425" s="224">
        <v>634.5785440613028</v>
      </c>
      <c r="W425" s="224">
        <v>507.66283524904225</v>
      </c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</row>
    <row r="426" ht="13.5" customHeight="1">
      <c r="A426" s="423" t="s">
        <v>84</v>
      </c>
      <c r="B426" s="423" t="s">
        <v>1886</v>
      </c>
      <c r="C426" s="585" t="s">
        <v>3074</v>
      </c>
      <c r="D426" s="582" t="s">
        <v>3185</v>
      </c>
      <c r="E426" s="134" t="s">
        <v>3094</v>
      </c>
      <c r="F426" s="134" t="s">
        <v>3120</v>
      </c>
      <c r="G426" s="583" t="s">
        <v>3210</v>
      </c>
      <c r="H426" s="583" t="s">
        <v>4254</v>
      </c>
      <c r="I426" s="581" t="s">
        <v>3212</v>
      </c>
      <c r="J426" s="134"/>
      <c r="K426" s="585" t="s">
        <v>147</v>
      </c>
      <c r="L426" s="361"/>
      <c r="M426" s="582" t="s">
        <v>3081</v>
      </c>
      <c r="N426" s="361"/>
      <c r="O426" s="361"/>
      <c r="P426" s="361">
        <v>9.403208E9</v>
      </c>
      <c r="Q426" s="132">
        <v>416.66666666666674</v>
      </c>
      <c r="R426" s="592" t="s">
        <v>10</v>
      </c>
      <c r="S426" s="49"/>
      <c r="T426" s="224">
        <v>1388.8888888888891</v>
      </c>
      <c r="U426" s="224">
        <v>833.3333333333335</v>
      </c>
      <c r="V426" s="224">
        <v>694.4444444444446</v>
      </c>
      <c r="W426" s="224">
        <v>555.5555555555557</v>
      </c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</row>
    <row r="427" ht="13.5" customHeight="1">
      <c r="A427" s="423" t="s">
        <v>84</v>
      </c>
      <c r="B427" s="423" t="s">
        <v>1886</v>
      </c>
      <c r="C427" s="585" t="s">
        <v>3074</v>
      </c>
      <c r="D427" s="582" t="s">
        <v>3185</v>
      </c>
      <c r="E427" s="134" t="s">
        <v>3075</v>
      </c>
      <c r="F427" s="134" t="s">
        <v>3076</v>
      </c>
      <c r="G427" s="583" t="s">
        <v>3247</v>
      </c>
      <c r="H427" s="583" t="s">
        <v>4255</v>
      </c>
      <c r="I427" s="581" t="s">
        <v>3249</v>
      </c>
      <c r="J427" s="134"/>
      <c r="K427" s="585" t="s">
        <v>147</v>
      </c>
      <c r="L427" s="361"/>
      <c r="M427" s="582" t="s">
        <v>3081</v>
      </c>
      <c r="N427" s="361"/>
      <c r="O427" s="361"/>
      <c r="P427" s="361">
        <v>9.403208E9</v>
      </c>
      <c r="Q427" s="132">
        <v>294.5402298850575</v>
      </c>
      <c r="R427" s="592" t="s">
        <v>10</v>
      </c>
      <c r="S427" s="49"/>
      <c r="T427" s="224">
        <v>981.800766283525</v>
      </c>
      <c r="U427" s="224">
        <v>589.080459770115</v>
      </c>
      <c r="V427" s="224">
        <v>490.9003831417625</v>
      </c>
      <c r="W427" s="224">
        <v>392.72030651341004</v>
      </c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</row>
    <row r="428" ht="13.5" customHeight="1">
      <c r="A428" s="423" t="s">
        <v>84</v>
      </c>
      <c r="B428" s="423" t="s">
        <v>1886</v>
      </c>
      <c r="C428" s="585" t="s">
        <v>3074</v>
      </c>
      <c r="D428" s="582" t="s">
        <v>3185</v>
      </c>
      <c r="E428" s="134" t="s">
        <v>3082</v>
      </c>
      <c r="F428" s="134" t="s">
        <v>3076</v>
      </c>
      <c r="G428" s="583" t="s">
        <v>3250</v>
      </c>
      <c r="H428" s="583" t="s">
        <v>4256</v>
      </c>
      <c r="I428" s="581" t="s">
        <v>3252</v>
      </c>
      <c r="J428" s="134"/>
      <c r="K428" s="585" t="s">
        <v>147</v>
      </c>
      <c r="L428" s="361"/>
      <c r="M428" s="582" t="s">
        <v>3081</v>
      </c>
      <c r="N428" s="361"/>
      <c r="O428" s="361"/>
      <c r="P428" s="361">
        <v>9.403208E9</v>
      </c>
      <c r="Q428" s="132">
        <v>303.1609195402299</v>
      </c>
      <c r="R428" s="592" t="s">
        <v>10</v>
      </c>
      <c r="S428" s="49"/>
      <c r="T428" s="224">
        <v>1010.536398467433</v>
      </c>
      <c r="U428" s="224">
        <v>606.3218390804598</v>
      </c>
      <c r="V428" s="224">
        <v>505.2681992337165</v>
      </c>
      <c r="W428" s="224">
        <v>404.2145593869732</v>
      </c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</row>
    <row r="429" ht="13.5" customHeight="1">
      <c r="A429" s="423" t="s">
        <v>84</v>
      </c>
      <c r="B429" s="423" t="s">
        <v>1886</v>
      </c>
      <c r="C429" s="585" t="s">
        <v>3074</v>
      </c>
      <c r="D429" s="582" t="s">
        <v>3185</v>
      </c>
      <c r="E429" s="134" t="s">
        <v>3086</v>
      </c>
      <c r="F429" s="134" t="s">
        <v>3076</v>
      </c>
      <c r="G429" s="583" t="s">
        <v>3253</v>
      </c>
      <c r="H429" s="583" t="s">
        <v>4257</v>
      </c>
      <c r="I429" s="581" t="s">
        <v>3255</v>
      </c>
      <c r="J429" s="134"/>
      <c r="K429" s="585" t="s">
        <v>147</v>
      </c>
      <c r="L429" s="361"/>
      <c r="M429" s="582" t="s">
        <v>3081</v>
      </c>
      <c r="N429" s="361"/>
      <c r="O429" s="361"/>
      <c r="P429" s="361">
        <v>9.403208E9</v>
      </c>
      <c r="Q429" s="132">
        <v>316.09195402298855</v>
      </c>
      <c r="R429" s="592" t="s">
        <v>10</v>
      </c>
      <c r="S429" s="49"/>
      <c r="T429" s="224">
        <v>1053.6398467432953</v>
      </c>
      <c r="U429" s="224">
        <v>632.1839080459771</v>
      </c>
      <c r="V429" s="224">
        <v>526.8199233716476</v>
      </c>
      <c r="W429" s="224">
        <v>421.4559386973181</v>
      </c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</row>
    <row r="430" ht="13.5" customHeight="1">
      <c r="A430" s="423" t="s">
        <v>84</v>
      </c>
      <c r="B430" s="423" t="s">
        <v>1886</v>
      </c>
      <c r="C430" s="585" t="s">
        <v>3074</v>
      </c>
      <c r="D430" s="582" t="s">
        <v>3185</v>
      </c>
      <c r="E430" s="134" t="s">
        <v>3090</v>
      </c>
      <c r="F430" s="134" t="s">
        <v>3076</v>
      </c>
      <c r="G430" s="583" t="s">
        <v>3256</v>
      </c>
      <c r="H430" s="583" t="s">
        <v>4258</v>
      </c>
      <c r="I430" s="581" t="s">
        <v>3258</v>
      </c>
      <c r="J430" s="134"/>
      <c r="K430" s="585" t="s">
        <v>147</v>
      </c>
      <c r="L430" s="361"/>
      <c r="M430" s="582" t="s">
        <v>3081</v>
      </c>
      <c r="N430" s="361"/>
      <c r="O430" s="361"/>
      <c r="P430" s="361">
        <v>9.403208E9</v>
      </c>
      <c r="Q430" s="132">
        <v>354.8850574712644</v>
      </c>
      <c r="R430" s="592" t="s">
        <v>10</v>
      </c>
      <c r="S430" s="49"/>
      <c r="T430" s="224">
        <v>1182.9501915708815</v>
      </c>
      <c r="U430" s="224">
        <v>709.770114942529</v>
      </c>
      <c r="V430" s="224">
        <v>591.4750957854408</v>
      </c>
      <c r="W430" s="224">
        <v>473.18007662835265</v>
      </c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</row>
    <row r="431" ht="13.5" customHeight="1">
      <c r="A431" s="423" t="s">
        <v>84</v>
      </c>
      <c r="B431" s="423" t="s">
        <v>1886</v>
      </c>
      <c r="C431" s="585" t="s">
        <v>3074</v>
      </c>
      <c r="D431" s="582" t="s">
        <v>3185</v>
      </c>
      <c r="E431" s="134" t="s">
        <v>3094</v>
      </c>
      <c r="F431" s="134" t="s">
        <v>3076</v>
      </c>
      <c r="G431" s="583" t="s">
        <v>3259</v>
      </c>
      <c r="H431" s="583" t="s">
        <v>4259</v>
      </c>
      <c r="I431" s="581" t="s">
        <v>3261</v>
      </c>
      <c r="J431" s="134"/>
      <c r="K431" s="585" t="s">
        <v>147</v>
      </c>
      <c r="L431" s="361"/>
      <c r="M431" s="582" t="s">
        <v>3081</v>
      </c>
      <c r="N431" s="361"/>
      <c r="O431" s="361"/>
      <c r="P431" s="361">
        <v>9.403208E9</v>
      </c>
      <c r="Q431" s="132">
        <v>395.11494252873564</v>
      </c>
      <c r="R431" s="592" t="s">
        <v>10</v>
      </c>
      <c r="S431" s="49"/>
      <c r="T431" s="224">
        <v>1317.049808429119</v>
      </c>
      <c r="U431" s="224">
        <v>790.2298850574713</v>
      </c>
      <c r="V431" s="224">
        <v>658.5249042145595</v>
      </c>
      <c r="W431" s="224">
        <v>526.8199233716476</v>
      </c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</row>
    <row r="432" ht="13.5" customHeight="1">
      <c r="A432" s="423" t="s">
        <v>84</v>
      </c>
      <c r="B432" s="423" t="s">
        <v>1886</v>
      </c>
      <c r="C432" s="585" t="s">
        <v>3074</v>
      </c>
      <c r="D432" s="582" t="s">
        <v>3185</v>
      </c>
      <c r="E432" s="134" t="s">
        <v>3075</v>
      </c>
      <c r="F432" s="134" t="s">
        <v>3101</v>
      </c>
      <c r="G432" s="583" t="s">
        <v>3262</v>
      </c>
      <c r="H432" s="583" t="s">
        <v>4260</v>
      </c>
      <c r="I432" s="581" t="s">
        <v>3264</v>
      </c>
      <c r="J432" s="134"/>
      <c r="K432" s="585" t="s">
        <v>147</v>
      </c>
      <c r="L432" s="361"/>
      <c r="M432" s="582" t="s">
        <v>3081</v>
      </c>
      <c r="N432" s="361"/>
      <c r="O432" s="361"/>
      <c r="P432" s="361">
        <v>9.403208E9</v>
      </c>
      <c r="Q432" s="132">
        <v>316.09195402298855</v>
      </c>
      <c r="R432" s="592" t="s">
        <v>10</v>
      </c>
      <c r="S432" s="49"/>
      <c r="T432" s="224">
        <v>1053.6398467432953</v>
      </c>
      <c r="U432" s="224">
        <v>632.1839080459771</v>
      </c>
      <c r="V432" s="224">
        <v>526.8199233716476</v>
      </c>
      <c r="W432" s="224">
        <v>421.4559386973181</v>
      </c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</row>
    <row r="433" ht="13.5" customHeight="1">
      <c r="A433" s="423" t="s">
        <v>84</v>
      </c>
      <c r="B433" s="423" t="s">
        <v>1886</v>
      </c>
      <c r="C433" s="585" t="s">
        <v>3074</v>
      </c>
      <c r="D433" s="582" t="s">
        <v>3185</v>
      </c>
      <c r="E433" s="134" t="s">
        <v>3086</v>
      </c>
      <c r="F433" s="134" t="s">
        <v>3101</v>
      </c>
      <c r="G433" s="583" t="s">
        <v>3265</v>
      </c>
      <c r="H433" s="583" t="s">
        <v>4261</v>
      </c>
      <c r="I433" s="581" t="s">
        <v>3267</v>
      </c>
      <c r="J433" s="134"/>
      <c r="K433" s="585" t="s">
        <v>147</v>
      </c>
      <c r="L433" s="361"/>
      <c r="M433" s="582" t="s">
        <v>3081</v>
      </c>
      <c r="N433" s="361"/>
      <c r="O433" s="361"/>
      <c r="P433" s="361">
        <v>9.403208E9</v>
      </c>
      <c r="Q433" s="132">
        <v>344.82758620689657</v>
      </c>
      <c r="R433" s="592" t="s">
        <v>10</v>
      </c>
      <c r="S433" s="49"/>
      <c r="T433" s="224">
        <v>1149.4252873563219</v>
      </c>
      <c r="U433" s="224">
        <v>689.6551724137931</v>
      </c>
      <c r="V433" s="224">
        <v>574.7126436781609</v>
      </c>
      <c r="W433" s="224">
        <v>459.7701149425288</v>
      </c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</row>
    <row r="434" ht="13.5" customHeight="1">
      <c r="A434" s="423" t="s">
        <v>84</v>
      </c>
      <c r="B434" s="423" t="s">
        <v>1886</v>
      </c>
      <c r="C434" s="585" t="s">
        <v>3074</v>
      </c>
      <c r="D434" s="582" t="s">
        <v>3185</v>
      </c>
      <c r="E434" s="134" t="s">
        <v>3094</v>
      </c>
      <c r="F434" s="134" t="s">
        <v>3101</v>
      </c>
      <c r="G434" s="583" t="s">
        <v>3268</v>
      </c>
      <c r="H434" s="583" t="s">
        <v>4262</v>
      </c>
      <c r="I434" s="581" t="s">
        <v>3270</v>
      </c>
      <c r="J434" s="134"/>
      <c r="K434" s="585" t="s">
        <v>147</v>
      </c>
      <c r="L434" s="361"/>
      <c r="M434" s="582" t="s">
        <v>3081</v>
      </c>
      <c r="N434" s="361"/>
      <c r="O434" s="361"/>
      <c r="P434" s="361">
        <v>9.403208E9</v>
      </c>
      <c r="Q434" s="132">
        <v>431.03448275862075</v>
      </c>
      <c r="R434" s="592" t="s">
        <v>10</v>
      </c>
      <c r="S434" s="49"/>
      <c r="T434" s="224">
        <v>1436.7816091954026</v>
      </c>
      <c r="U434" s="224">
        <v>862.0689655172415</v>
      </c>
      <c r="V434" s="224">
        <v>718.3908045977013</v>
      </c>
      <c r="W434" s="224">
        <v>574.712643678161</v>
      </c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</row>
    <row r="435" ht="13.5" customHeight="1">
      <c r="A435" s="423" t="s">
        <v>84</v>
      </c>
      <c r="B435" s="423" t="s">
        <v>1886</v>
      </c>
      <c r="C435" s="585" t="s">
        <v>3074</v>
      </c>
      <c r="D435" s="582" t="s">
        <v>3185</v>
      </c>
      <c r="E435" s="134" t="s">
        <v>3094</v>
      </c>
      <c r="F435" s="134" t="s">
        <v>3120</v>
      </c>
      <c r="G435" s="583" t="s">
        <v>3271</v>
      </c>
      <c r="H435" s="583" t="s">
        <v>4263</v>
      </c>
      <c r="I435" s="581" t="s">
        <v>3273</v>
      </c>
      <c r="J435" s="134"/>
      <c r="K435" s="585" t="s">
        <v>147</v>
      </c>
      <c r="L435" s="361"/>
      <c r="M435" s="582" t="s">
        <v>3081</v>
      </c>
      <c r="N435" s="361"/>
      <c r="O435" s="361"/>
      <c r="P435" s="361">
        <v>9.403208E9</v>
      </c>
      <c r="Q435" s="132">
        <v>474.1379310344828</v>
      </c>
      <c r="R435" s="592" t="s">
        <v>10</v>
      </c>
      <c r="S435" s="49"/>
      <c r="T435" s="224">
        <v>1580.4597701149428</v>
      </c>
      <c r="U435" s="224">
        <v>948.2758620689656</v>
      </c>
      <c r="V435" s="224">
        <v>790.2298850574714</v>
      </c>
      <c r="W435" s="224">
        <v>632.1839080459772</v>
      </c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</row>
    <row r="436" ht="13.5" customHeight="1">
      <c r="A436" s="423" t="s">
        <v>84</v>
      </c>
      <c r="B436" s="423" t="s">
        <v>1886</v>
      </c>
      <c r="C436" s="585" t="s">
        <v>3074</v>
      </c>
      <c r="D436" s="582" t="s">
        <v>3185</v>
      </c>
      <c r="E436" s="134" t="s">
        <v>3094</v>
      </c>
      <c r="F436" s="134" t="s">
        <v>3124</v>
      </c>
      <c r="G436" s="583" t="s">
        <v>3274</v>
      </c>
      <c r="H436" s="583" t="s">
        <v>4264</v>
      </c>
      <c r="I436" s="581" t="s">
        <v>3276</v>
      </c>
      <c r="J436" s="134"/>
      <c r="K436" s="585" t="s">
        <v>147</v>
      </c>
      <c r="L436" s="361"/>
      <c r="M436" s="582" t="s">
        <v>3081</v>
      </c>
      <c r="N436" s="361"/>
      <c r="O436" s="361"/>
      <c r="P436" s="361">
        <v>9.403208E9</v>
      </c>
      <c r="Q436" s="132">
        <v>488.5057471264368</v>
      </c>
      <c r="R436" s="592" t="s">
        <v>10</v>
      </c>
      <c r="S436" s="49"/>
      <c r="T436" s="224">
        <v>1628.352490421456</v>
      </c>
      <c r="U436" s="224">
        <v>977.0114942528735</v>
      </c>
      <c r="V436" s="224">
        <v>814.176245210728</v>
      </c>
      <c r="W436" s="224">
        <v>651.3409961685825</v>
      </c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</row>
    <row r="437" ht="13.5" customHeight="1">
      <c r="A437" s="423" t="s">
        <v>84</v>
      </c>
      <c r="B437" s="423" t="s">
        <v>1886</v>
      </c>
      <c r="C437" s="585" t="s">
        <v>3074</v>
      </c>
      <c r="D437" s="582" t="s">
        <v>3185</v>
      </c>
      <c r="E437" s="134" t="s">
        <v>3090</v>
      </c>
      <c r="F437" s="134" t="s">
        <v>3134</v>
      </c>
      <c r="G437" s="583" t="s">
        <v>3277</v>
      </c>
      <c r="H437" s="583" t="s">
        <v>4265</v>
      </c>
      <c r="I437" s="581" t="s">
        <v>3279</v>
      </c>
      <c r="J437" s="134"/>
      <c r="K437" s="585" t="s">
        <v>147</v>
      </c>
      <c r="L437" s="361"/>
      <c r="M437" s="582" t="s">
        <v>3081</v>
      </c>
      <c r="N437" s="361"/>
      <c r="O437" s="361"/>
      <c r="P437" s="361">
        <v>9.403208E9</v>
      </c>
      <c r="Q437" s="132">
        <v>466.9540229885058</v>
      </c>
      <c r="R437" s="592" t="s">
        <v>10</v>
      </c>
      <c r="S437" s="49"/>
      <c r="T437" s="224">
        <v>1556.5134099616862</v>
      </c>
      <c r="U437" s="224">
        <v>933.9080459770116</v>
      </c>
      <c r="V437" s="224">
        <v>778.2567049808431</v>
      </c>
      <c r="W437" s="224">
        <v>622.6053639846746</v>
      </c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</row>
    <row r="438" ht="13.5" customHeight="1">
      <c r="A438" s="423" t="s">
        <v>84</v>
      </c>
      <c r="B438" s="423" t="s">
        <v>1886</v>
      </c>
      <c r="C438" s="585" t="s">
        <v>3074</v>
      </c>
      <c r="D438" s="582" t="s">
        <v>3185</v>
      </c>
      <c r="E438" s="134" t="s">
        <v>3094</v>
      </c>
      <c r="F438" s="134" t="s">
        <v>3134</v>
      </c>
      <c r="G438" s="583" t="s">
        <v>3280</v>
      </c>
      <c r="H438" s="583" t="s">
        <v>4266</v>
      </c>
      <c r="I438" s="581" t="s">
        <v>3282</v>
      </c>
      <c r="J438" s="134"/>
      <c r="K438" s="585" t="s">
        <v>147</v>
      </c>
      <c r="L438" s="361"/>
      <c r="M438" s="582" t="s">
        <v>3081</v>
      </c>
      <c r="N438" s="361"/>
      <c r="O438" s="361"/>
      <c r="P438" s="361">
        <v>9.403208E9</v>
      </c>
      <c r="Q438" s="132">
        <v>488.5057471264368</v>
      </c>
      <c r="R438" s="592" t="s">
        <v>10</v>
      </c>
      <c r="S438" s="49"/>
      <c r="T438" s="224">
        <v>1628.352490421456</v>
      </c>
      <c r="U438" s="224">
        <v>977.0114942528735</v>
      </c>
      <c r="V438" s="224">
        <v>814.176245210728</v>
      </c>
      <c r="W438" s="224">
        <v>651.3409961685825</v>
      </c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</row>
    <row r="439" ht="13.5" customHeight="1">
      <c r="A439" s="423" t="s">
        <v>84</v>
      </c>
      <c r="B439" s="423" t="s">
        <v>1886</v>
      </c>
      <c r="C439" s="585" t="s">
        <v>3074</v>
      </c>
      <c r="D439" s="582" t="s">
        <v>3185</v>
      </c>
      <c r="E439" s="134" t="s">
        <v>3228</v>
      </c>
      <c r="F439" s="134" t="s">
        <v>3134</v>
      </c>
      <c r="G439" s="583" t="s">
        <v>3283</v>
      </c>
      <c r="H439" s="583" t="s">
        <v>4267</v>
      </c>
      <c r="I439" s="581" t="s">
        <v>3285</v>
      </c>
      <c r="J439" s="134"/>
      <c r="K439" s="585" t="s">
        <v>147</v>
      </c>
      <c r="L439" s="361"/>
      <c r="M439" s="582" t="s">
        <v>3081</v>
      </c>
      <c r="N439" s="361"/>
      <c r="O439" s="361"/>
      <c r="P439" s="361">
        <v>9.403208E9</v>
      </c>
      <c r="Q439" s="132">
        <v>574.7126436781609</v>
      </c>
      <c r="R439" s="592" t="s">
        <v>10</v>
      </c>
      <c r="S439" s="49"/>
      <c r="T439" s="224">
        <v>1915.7088122605364</v>
      </c>
      <c r="U439" s="224">
        <v>1149.4252873563219</v>
      </c>
      <c r="V439" s="224">
        <v>957.8544061302682</v>
      </c>
      <c r="W439" s="224">
        <v>766.2835249042146</v>
      </c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</row>
    <row r="440" ht="13.5" customHeight="1">
      <c r="A440" s="423" t="s">
        <v>84</v>
      </c>
      <c r="B440" s="423" t="s">
        <v>1886</v>
      </c>
      <c r="C440" s="585" t="s">
        <v>3074</v>
      </c>
      <c r="D440" s="582" t="s">
        <v>3185</v>
      </c>
      <c r="E440" s="134" t="s">
        <v>3094</v>
      </c>
      <c r="F440" s="134" t="s">
        <v>3159</v>
      </c>
      <c r="G440" s="583" t="s">
        <v>3286</v>
      </c>
      <c r="H440" s="583" t="s">
        <v>4268</v>
      </c>
      <c r="I440" s="581" t="s">
        <v>3288</v>
      </c>
      <c r="J440" s="134"/>
      <c r="K440" s="585" t="s">
        <v>147</v>
      </c>
      <c r="L440" s="361"/>
      <c r="M440" s="582" t="s">
        <v>3081</v>
      </c>
      <c r="N440" s="361"/>
      <c r="O440" s="361"/>
      <c r="P440" s="361">
        <v>9.403208E9</v>
      </c>
      <c r="Q440" s="132">
        <v>553.1609195402299</v>
      </c>
      <c r="R440" s="592" t="s">
        <v>10</v>
      </c>
      <c r="S440" s="49"/>
      <c r="T440" s="224">
        <v>1843.8697318007664</v>
      </c>
      <c r="U440" s="224">
        <v>1106.3218390804598</v>
      </c>
      <c r="V440" s="224">
        <v>921.9348659003832</v>
      </c>
      <c r="W440" s="224">
        <v>737.5478927203067</v>
      </c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</row>
    <row r="441" ht="13.5" customHeight="1">
      <c r="A441" s="423" t="s">
        <v>84</v>
      </c>
      <c r="B441" s="423" t="s">
        <v>1886</v>
      </c>
      <c r="C441" s="585" t="s">
        <v>3074</v>
      </c>
      <c r="D441" s="582" t="s">
        <v>3185</v>
      </c>
      <c r="E441" s="134" t="s">
        <v>3094</v>
      </c>
      <c r="F441" s="134" t="s">
        <v>3240</v>
      </c>
      <c r="G441" s="583" t="s">
        <v>3289</v>
      </c>
      <c r="H441" s="583" t="s">
        <v>4269</v>
      </c>
      <c r="I441" s="581" t="s">
        <v>3291</v>
      </c>
      <c r="J441" s="134"/>
      <c r="K441" s="585" t="s">
        <v>147</v>
      </c>
      <c r="L441" s="361"/>
      <c r="M441" s="582" t="s">
        <v>3081</v>
      </c>
      <c r="N441" s="361"/>
      <c r="O441" s="361"/>
      <c r="P441" s="361">
        <v>9.403208E9</v>
      </c>
      <c r="Q441" s="132">
        <v>625.0</v>
      </c>
      <c r="R441" s="592" t="s">
        <v>10</v>
      </c>
      <c r="S441" s="49"/>
      <c r="T441" s="224">
        <v>2083.3333333333335</v>
      </c>
      <c r="U441" s="224">
        <v>1250.0</v>
      </c>
      <c r="V441" s="224">
        <v>1041.6666666666667</v>
      </c>
      <c r="W441" s="224">
        <v>833.3333333333335</v>
      </c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</row>
    <row r="442" ht="13.5" customHeight="1">
      <c r="A442" s="423" t="s">
        <v>84</v>
      </c>
      <c r="B442" s="423" t="s">
        <v>1886</v>
      </c>
      <c r="C442" s="585" t="s">
        <v>3074</v>
      </c>
      <c r="D442" s="582" t="s">
        <v>3185</v>
      </c>
      <c r="E442" s="134" t="s">
        <v>3228</v>
      </c>
      <c r="F442" s="134" t="s">
        <v>3240</v>
      </c>
      <c r="G442" s="583" t="s">
        <v>3292</v>
      </c>
      <c r="H442" s="583" t="s">
        <v>4270</v>
      </c>
      <c r="I442" s="581" t="s">
        <v>3294</v>
      </c>
      <c r="J442" s="134"/>
      <c r="K442" s="585" t="s">
        <v>147</v>
      </c>
      <c r="L442" s="361"/>
      <c r="M442" s="582" t="s">
        <v>3081</v>
      </c>
      <c r="N442" s="361"/>
      <c r="O442" s="361"/>
      <c r="P442" s="361">
        <v>9.403208E9</v>
      </c>
      <c r="Q442" s="132">
        <v>675.2873563218392</v>
      </c>
      <c r="R442" s="592" t="s">
        <v>10</v>
      </c>
      <c r="S442" s="49"/>
      <c r="T442" s="224">
        <v>2250.9578544061305</v>
      </c>
      <c r="U442" s="224">
        <v>1350.5747126436784</v>
      </c>
      <c r="V442" s="224">
        <v>1125.4789272030653</v>
      </c>
      <c r="W442" s="224">
        <v>900.3831417624523</v>
      </c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</row>
    <row r="443" ht="13.5" customHeight="1">
      <c r="A443" s="423" t="s">
        <v>84</v>
      </c>
      <c r="B443" s="423" t="s">
        <v>1886</v>
      </c>
      <c r="C443" s="585" t="s">
        <v>3074</v>
      </c>
      <c r="D443" s="582" t="s">
        <v>3185</v>
      </c>
      <c r="E443" s="134" t="s">
        <v>3090</v>
      </c>
      <c r="F443" s="134" t="s">
        <v>3134</v>
      </c>
      <c r="G443" s="583" t="s">
        <v>3295</v>
      </c>
      <c r="H443" s="583" t="s">
        <v>4271</v>
      </c>
      <c r="I443" s="581" t="s">
        <v>3297</v>
      </c>
      <c r="J443" s="134"/>
      <c r="K443" s="585" t="s">
        <v>147</v>
      </c>
      <c r="L443" s="361"/>
      <c r="M443" s="582" t="s">
        <v>3081</v>
      </c>
      <c r="N443" s="361"/>
      <c r="O443" s="361"/>
      <c r="P443" s="361">
        <v>9.403208E9</v>
      </c>
      <c r="Q443" s="132">
        <v>538.7931034482759</v>
      </c>
      <c r="R443" s="592" t="s">
        <v>10</v>
      </c>
      <c r="S443" s="49"/>
      <c r="T443" s="224">
        <v>1795.9770114942532</v>
      </c>
      <c r="U443" s="224">
        <v>1077.5862068965519</v>
      </c>
      <c r="V443" s="224">
        <v>897.9885057471266</v>
      </c>
      <c r="W443" s="224">
        <v>718.3908045977014</v>
      </c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</row>
    <row r="444" ht="13.5" customHeight="1">
      <c r="A444" s="423" t="s">
        <v>84</v>
      </c>
      <c r="B444" s="423" t="s">
        <v>1886</v>
      </c>
      <c r="C444" s="585" t="s">
        <v>3074</v>
      </c>
      <c r="D444" s="582" t="s">
        <v>3185</v>
      </c>
      <c r="E444" s="134" t="s">
        <v>3094</v>
      </c>
      <c r="F444" s="134" t="s">
        <v>3134</v>
      </c>
      <c r="G444" s="583" t="s">
        <v>3298</v>
      </c>
      <c r="H444" s="583" t="s">
        <v>4272</v>
      </c>
      <c r="I444" s="581" t="s">
        <v>3300</v>
      </c>
      <c r="J444" s="134"/>
      <c r="K444" s="585" t="s">
        <v>147</v>
      </c>
      <c r="L444" s="361"/>
      <c r="M444" s="582" t="s">
        <v>3081</v>
      </c>
      <c r="N444" s="361"/>
      <c r="O444" s="361"/>
      <c r="P444" s="361">
        <v>9.403208E9</v>
      </c>
      <c r="Q444" s="132">
        <v>603.448275862069</v>
      </c>
      <c r="R444" s="592" t="s">
        <v>10</v>
      </c>
      <c r="S444" s="49"/>
      <c r="T444" s="224">
        <v>2011.4942528735633</v>
      </c>
      <c r="U444" s="224">
        <v>1206.896551724138</v>
      </c>
      <c r="V444" s="224">
        <v>1005.7471264367816</v>
      </c>
      <c r="W444" s="224">
        <v>804.5977011494253</v>
      </c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</row>
    <row r="445" ht="13.5" customHeight="1">
      <c r="A445" s="423" t="s">
        <v>84</v>
      </c>
      <c r="B445" s="423" t="s">
        <v>1886</v>
      </c>
      <c r="C445" s="585" t="s">
        <v>3074</v>
      </c>
      <c r="D445" s="582" t="s">
        <v>3185</v>
      </c>
      <c r="E445" s="134" t="s">
        <v>3228</v>
      </c>
      <c r="F445" s="134" t="s">
        <v>3134</v>
      </c>
      <c r="G445" s="583" t="s">
        <v>3301</v>
      </c>
      <c r="H445" s="583" t="s">
        <v>4273</v>
      </c>
      <c r="I445" s="581" t="s">
        <v>3303</v>
      </c>
      <c r="J445" s="134"/>
      <c r="K445" s="585" t="s">
        <v>147</v>
      </c>
      <c r="L445" s="361"/>
      <c r="M445" s="582" t="s">
        <v>3081</v>
      </c>
      <c r="N445" s="361"/>
      <c r="O445" s="361"/>
      <c r="P445" s="361">
        <v>9.403208E9</v>
      </c>
      <c r="Q445" s="132">
        <v>653.7356321839081</v>
      </c>
      <c r="R445" s="592" t="s">
        <v>10</v>
      </c>
      <c r="S445" s="49"/>
      <c r="T445" s="224">
        <v>2179.1187739463608</v>
      </c>
      <c r="U445" s="224">
        <v>1307.4712643678165</v>
      </c>
      <c r="V445" s="224">
        <v>1089.5593869731804</v>
      </c>
      <c r="W445" s="224">
        <v>871.6475095785444</v>
      </c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</row>
    <row r="446" ht="13.5" customHeight="1">
      <c r="A446" s="423" t="s">
        <v>84</v>
      </c>
      <c r="B446" s="423" t="s">
        <v>1886</v>
      </c>
      <c r="C446" s="585" t="s">
        <v>3074</v>
      </c>
      <c r="D446" s="582" t="s">
        <v>3185</v>
      </c>
      <c r="E446" s="134" t="s">
        <v>3094</v>
      </c>
      <c r="F446" s="134" t="s">
        <v>3159</v>
      </c>
      <c r="G446" s="583" t="s">
        <v>3304</v>
      </c>
      <c r="H446" s="583" t="s">
        <v>4274</v>
      </c>
      <c r="I446" s="581" t="s">
        <v>3306</v>
      </c>
      <c r="J446" s="134"/>
      <c r="K446" s="585" t="s">
        <v>147</v>
      </c>
      <c r="L446" s="361"/>
      <c r="M446" s="582" t="s">
        <v>3081</v>
      </c>
      <c r="N446" s="361"/>
      <c r="O446" s="361"/>
      <c r="P446" s="361">
        <v>9.403208E9</v>
      </c>
      <c r="Q446" s="132">
        <v>639.3678160919541</v>
      </c>
      <c r="R446" s="592" t="s">
        <v>10</v>
      </c>
      <c r="S446" s="49"/>
      <c r="T446" s="224">
        <v>2131.226053639847</v>
      </c>
      <c r="U446" s="224">
        <v>1278.7356321839081</v>
      </c>
      <c r="V446" s="224">
        <v>1065.6130268199236</v>
      </c>
      <c r="W446" s="224">
        <v>852.4904214559389</v>
      </c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</row>
    <row r="447" ht="13.5" customHeight="1">
      <c r="A447" s="423" t="s">
        <v>84</v>
      </c>
      <c r="B447" s="423" t="s">
        <v>1886</v>
      </c>
      <c r="C447" s="585" t="s">
        <v>3074</v>
      </c>
      <c r="D447" s="582" t="s">
        <v>3185</v>
      </c>
      <c r="E447" s="134" t="s">
        <v>3094</v>
      </c>
      <c r="F447" s="134" t="s">
        <v>3240</v>
      </c>
      <c r="G447" s="583" t="s">
        <v>3307</v>
      </c>
      <c r="H447" s="583" t="s">
        <v>4275</v>
      </c>
      <c r="I447" s="581" t="s">
        <v>3309</v>
      </c>
      <c r="J447" s="134"/>
      <c r="K447" s="585" t="s">
        <v>147</v>
      </c>
      <c r="L447" s="361"/>
      <c r="M447" s="582" t="s">
        <v>3081</v>
      </c>
      <c r="N447" s="361"/>
      <c r="O447" s="361"/>
      <c r="P447" s="361">
        <v>9.403208E9</v>
      </c>
      <c r="Q447" s="132">
        <v>704.0229885057471</v>
      </c>
      <c r="R447" s="592" t="s">
        <v>10</v>
      </c>
      <c r="S447" s="49"/>
      <c r="T447" s="224">
        <v>2346.743295019157</v>
      </c>
      <c r="U447" s="224">
        <v>1408.0459770114942</v>
      </c>
      <c r="V447" s="224">
        <v>1173.3716475095785</v>
      </c>
      <c r="W447" s="224">
        <v>938.6973180076628</v>
      </c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</row>
    <row r="448" ht="13.5" customHeight="1">
      <c r="A448" s="423" t="s">
        <v>84</v>
      </c>
      <c r="B448" s="423" t="s">
        <v>1886</v>
      </c>
      <c r="C448" s="585" t="s">
        <v>3074</v>
      </c>
      <c r="D448" s="582" t="s">
        <v>3185</v>
      </c>
      <c r="E448" s="134" t="s">
        <v>3228</v>
      </c>
      <c r="F448" s="134" t="s">
        <v>3240</v>
      </c>
      <c r="G448" s="583" t="s">
        <v>3310</v>
      </c>
      <c r="H448" s="583" t="s">
        <v>4276</v>
      </c>
      <c r="I448" s="581" t="s">
        <v>3312</v>
      </c>
      <c r="J448" s="134"/>
      <c r="K448" s="585" t="s">
        <v>147</v>
      </c>
      <c r="L448" s="361"/>
      <c r="M448" s="582" t="s">
        <v>3081</v>
      </c>
      <c r="N448" s="361"/>
      <c r="O448" s="361"/>
      <c r="P448" s="361">
        <v>9.403208E9</v>
      </c>
      <c r="Q448" s="132">
        <v>761.4942528735633</v>
      </c>
      <c r="R448" s="592" t="s">
        <v>10</v>
      </c>
      <c r="S448" s="49"/>
      <c r="T448" s="224">
        <v>2538.314176245211</v>
      </c>
      <c r="U448" s="224">
        <v>1522.9885057471265</v>
      </c>
      <c r="V448" s="224">
        <v>1269.1570881226055</v>
      </c>
      <c r="W448" s="224">
        <v>1015.3256704980845</v>
      </c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</row>
    <row r="449" ht="13.5" customHeight="1">
      <c r="A449" s="423" t="s">
        <v>84</v>
      </c>
      <c r="B449" s="423" t="s">
        <v>1886</v>
      </c>
      <c r="C449" s="585" t="s">
        <v>3074</v>
      </c>
      <c r="D449" s="582" t="s">
        <v>3185</v>
      </c>
      <c r="E449" s="134" t="s">
        <v>3075</v>
      </c>
      <c r="F449" s="134"/>
      <c r="G449" s="583" t="s">
        <v>3313</v>
      </c>
      <c r="H449" s="583" t="s">
        <v>4277</v>
      </c>
      <c r="I449" s="581" t="s">
        <v>3315</v>
      </c>
      <c r="J449" s="134"/>
      <c r="K449" s="585" t="s">
        <v>147</v>
      </c>
      <c r="L449" s="361"/>
      <c r="M449" s="582" t="s">
        <v>3081</v>
      </c>
      <c r="N449" s="361"/>
      <c r="O449" s="361"/>
      <c r="P449" s="361">
        <v>9.403208E9</v>
      </c>
      <c r="Q449" s="132">
        <v>258.62068965517244</v>
      </c>
      <c r="R449" s="592" t="s">
        <v>10</v>
      </c>
      <c r="S449" s="49"/>
      <c r="T449" s="224">
        <v>862.0689655172415</v>
      </c>
      <c r="U449" s="224">
        <v>517.2413793103449</v>
      </c>
      <c r="V449" s="224">
        <v>431.03448275862075</v>
      </c>
      <c r="W449" s="224">
        <v>344.8275862068966</v>
      </c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</row>
    <row r="450" ht="13.5" customHeight="1">
      <c r="A450" s="423" t="s">
        <v>84</v>
      </c>
      <c r="B450" s="423" t="s">
        <v>1886</v>
      </c>
      <c r="C450" s="585" t="s">
        <v>3074</v>
      </c>
      <c r="D450" s="582" t="s">
        <v>3185</v>
      </c>
      <c r="E450" s="134" t="s">
        <v>3082</v>
      </c>
      <c r="F450" s="134"/>
      <c r="G450" s="583" t="s">
        <v>3316</v>
      </c>
      <c r="H450" s="583" t="s">
        <v>4278</v>
      </c>
      <c r="I450" s="581" t="s">
        <v>3318</v>
      </c>
      <c r="J450" s="134"/>
      <c r="K450" s="585" t="s">
        <v>147</v>
      </c>
      <c r="L450" s="361"/>
      <c r="M450" s="582" t="s">
        <v>3081</v>
      </c>
      <c r="N450" s="361"/>
      <c r="O450" s="361"/>
      <c r="P450" s="361">
        <v>9.403208E9</v>
      </c>
      <c r="Q450" s="132">
        <v>272.98850574712645</v>
      </c>
      <c r="R450" s="592" t="s">
        <v>10</v>
      </c>
      <c r="S450" s="49"/>
      <c r="T450" s="224">
        <v>909.9616858237549</v>
      </c>
      <c r="U450" s="224">
        <v>545.9770114942529</v>
      </c>
      <c r="V450" s="224">
        <v>454.98084291187746</v>
      </c>
      <c r="W450" s="224">
        <v>363.984674329502</v>
      </c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</row>
    <row r="451" ht="13.5" customHeight="1">
      <c r="A451" s="423" t="s">
        <v>84</v>
      </c>
      <c r="B451" s="423" t="s">
        <v>1886</v>
      </c>
      <c r="C451" s="585" t="s">
        <v>3074</v>
      </c>
      <c r="D451" s="582" t="s">
        <v>3185</v>
      </c>
      <c r="E451" s="134" t="s">
        <v>3086</v>
      </c>
      <c r="F451" s="134"/>
      <c r="G451" s="583" t="s">
        <v>3319</v>
      </c>
      <c r="H451" s="583" t="s">
        <v>4279</v>
      </c>
      <c r="I451" s="581" t="s">
        <v>3321</v>
      </c>
      <c r="J451" s="134"/>
      <c r="K451" s="585" t="s">
        <v>147</v>
      </c>
      <c r="L451" s="361"/>
      <c r="M451" s="582" t="s">
        <v>3081</v>
      </c>
      <c r="N451" s="361"/>
      <c r="O451" s="361"/>
      <c r="P451" s="361">
        <v>9.403208E9</v>
      </c>
      <c r="Q451" s="132">
        <v>287.35632183908046</v>
      </c>
      <c r="R451" s="592" t="s">
        <v>10</v>
      </c>
      <c r="S451" s="49"/>
      <c r="T451" s="224">
        <v>957.8544061302682</v>
      </c>
      <c r="U451" s="224">
        <v>574.7126436781609</v>
      </c>
      <c r="V451" s="224">
        <v>478.9272030651341</v>
      </c>
      <c r="W451" s="224">
        <v>383.1417624521073</v>
      </c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</row>
    <row r="452" ht="13.5" customHeight="1">
      <c r="A452" s="423" t="s">
        <v>84</v>
      </c>
      <c r="B452" s="423" t="s">
        <v>1886</v>
      </c>
      <c r="C452" s="585" t="s">
        <v>3074</v>
      </c>
      <c r="D452" s="582" t="s">
        <v>3185</v>
      </c>
      <c r="E452" s="134" t="s">
        <v>3090</v>
      </c>
      <c r="F452" s="134" t="s">
        <v>3076</v>
      </c>
      <c r="G452" s="583" t="s">
        <v>3322</v>
      </c>
      <c r="H452" s="583" t="s">
        <v>4280</v>
      </c>
      <c r="I452" s="581" t="s">
        <v>3324</v>
      </c>
      <c r="J452" s="134"/>
      <c r="K452" s="585" t="s">
        <v>147</v>
      </c>
      <c r="L452" s="361"/>
      <c r="M452" s="582" t="s">
        <v>3081</v>
      </c>
      <c r="N452" s="361"/>
      <c r="O452" s="361"/>
      <c r="P452" s="361">
        <v>9.403208E9</v>
      </c>
      <c r="Q452" s="132">
        <v>316.09195402298855</v>
      </c>
      <c r="R452" s="592" t="s">
        <v>10</v>
      </c>
      <c r="S452" s="49"/>
      <c r="T452" s="224">
        <v>1053.6398467432953</v>
      </c>
      <c r="U452" s="224">
        <v>632.1839080459771</v>
      </c>
      <c r="V452" s="224">
        <v>526.8199233716476</v>
      </c>
      <c r="W452" s="224">
        <v>421.4559386973181</v>
      </c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</row>
    <row r="453" ht="13.5" customHeight="1">
      <c r="A453" s="423" t="s">
        <v>84</v>
      </c>
      <c r="B453" s="423" t="s">
        <v>1886</v>
      </c>
      <c r="C453" s="585" t="s">
        <v>3074</v>
      </c>
      <c r="D453" s="582" t="s">
        <v>3185</v>
      </c>
      <c r="E453" s="134" t="s">
        <v>3094</v>
      </c>
      <c r="F453" s="134" t="s">
        <v>3076</v>
      </c>
      <c r="G453" s="583" t="s">
        <v>3325</v>
      </c>
      <c r="H453" s="583" t="s">
        <v>4281</v>
      </c>
      <c r="I453" s="581" t="s">
        <v>3327</v>
      </c>
      <c r="J453" s="134"/>
      <c r="K453" s="585" t="s">
        <v>147</v>
      </c>
      <c r="L453" s="361"/>
      <c r="M453" s="582" t="s">
        <v>3081</v>
      </c>
      <c r="N453" s="361"/>
      <c r="O453" s="361"/>
      <c r="P453" s="361">
        <v>9.403208E9</v>
      </c>
      <c r="Q453" s="132">
        <v>359.1954022988505</v>
      </c>
      <c r="R453" s="592" t="s">
        <v>10</v>
      </c>
      <c r="S453" s="49"/>
      <c r="T453" s="224">
        <v>1197.318007662835</v>
      </c>
      <c r="U453" s="224">
        <v>718.390804597701</v>
      </c>
      <c r="V453" s="224">
        <v>598.6590038314175</v>
      </c>
      <c r="W453" s="224">
        <v>478.92720306513405</v>
      </c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</row>
    <row r="454" ht="13.5" customHeight="1">
      <c r="A454" s="423" t="s">
        <v>84</v>
      </c>
      <c r="B454" s="423" t="s">
        <v>1886</v>
      </c>
      <c r="C454" s="585" t="s">
        <v>3074</v>
      </c>
      <c r="D454" s="582" t="s">
        <v>3185</v>
      </c>
      <c r="E454" s="134" t="s">
        <v>3075</v>
      </c>
      <c r="F454" s="134"/>
      <c r="G454" s="583" t="s">
        <v>3328</v>
      </c>
      <c r="H454" s="583" t="s">
        <v>4282</v>
      </c>
      <c r="I454" s="581" t="s">
        <v>3330</v>
      </c>
      <c r="J454" s="134"/>
      <c r="K454" s="585" t="s">
        <v>147</v>
      </c>
      <c r="L454" s="361"/>
      <c r="M454" s="582" t="s">
        <v>3081</v>
      </c>
      <c r="N454" s="361"/>
      <c r="O454" s="361"/>
      <c r="P454" s="361">
        <v>9.403208E9</v>
      </c>
      <c r="Q454" s="132">
        <v>287.35632183908046</v>
      </c>
      <c r="R454" s="592" t="s">
        <v>10</v>
      </c>
      <c r="S454" s="49"/>
      <c r="T454" s="224">
        <v>957.8544061302682</v>
      </c>
      <c r="U454" s="224">
        <v>574.7126436781609</v>
      </c>
      <c r="V454" s="224">
        <v>478.9272030651341</v>
      </c>
      <c r="W454" s="224">
        <v>383.1417624521073</v>
      </c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</row>
    <row r="455" ht="13.5" customHeight="1">
      <c r="A455" s="423" t="s">
        <v>84</v>
      </c>
      <c r="B455" s="423" t="s">
        <v>1886</v>
      </c>
      <c r="C455" s="585" t="s">
        <v>3074</v>
      </c>
      <c r="D455" s="582" t="s">
        <v>3185</v>
      </c>
      <c r="E455" s="134" t="s">
        <v>3086</v>
      </c>
      <c r="F455" s="134" t="s">
        <v>3101</v>
      </c>
      <c r="G455" s="583" t="s">
        <v>3331</v>
      </c>
      <c r="H455" s="583" t="s">
        <v>4283</v>
      </c>
      <c r="I455" s="581" t="s">
        <v>3333</v>
      </c>
      <c r="J455" s="134"/>
      <c r="K455" s="585" t="s">
        <v>147</v>
      </c>
      <c r="L455" s="361"/>
      <c r="M455" s="582" t="s">
        <v>3081</v>
      </c>
      <c r="N455" s="361"/>
      <c r="O455" s="361"/>
      <c r="P455" s="361">
        <v>9.403208E9</v>
      </c>
      <c r="Q455" s="132">
        <v>316.09195402298855</v>
      </c>
      <c r="R455" s="592" t="s">
        <v>10</v>
      </c>
      <c r="S455" s="49"/>
      <c r="T455" s="224">
        <v>1053.6398467432953</v>
      </c>
      <c r="U455" s="224">
        <v>632.1839080459771</v>
      </c>
      <c r="V455" s="224">
        <v>526.8199233716476</v>
      </c>
      <c r="W455" s="224">
        <v>421.4559386973181</v>
      </c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</row>
    <row r="456" ht="13.5" customHeight="1">
      <c r="A456" s="423" t="s">
        <v>84</v>
      </c>
      <c r="B456" s="423" t="s">
        <v>1886</v>
      </c>
      <c r="C456" s="585" t="s">
        <v>3074</v>
      </c>
      <c r="D456" s="582" t="s">
        <v>3185</v>
      </c>
      <c r="E456" s="134" t="s">
        <v>3094</v>
      </c>
      <c r="F456" s="134" t="s">
        <v>3101</v>
      </c>
      <c r="G456" s="583" t="s">
        <v>3334</v>
      </c>
      <c r="H456" s="583" t="s">
        <v>4284</v>
      </c>
      <c r="I456" s="581" t="s">
        <v>3336</v>
      </c>
      <c r="J456" s="134"/>
      <c r="K456" s="585" t="s">
        <v>147</v>
      </c>
      <c r="L456" s="361"/>
      <c r="M456" s="582" t="s">
        <v>3081</v>
      </c>
      <c r="N456" s="361"/>
      <c r="O456" s="361"/>
      <c r="P456" s="361">
        <v>9.403208E9</v>
      </c>
      <c r="Q456" s="132">
        <v>387.9310344827586</v>
      </c>
      <c r="R456" s="592" t="s">
        <v>10</v>
      </c>
      <c r="S456" s="49"/>
      <c r="T456" s="224">
        <v>1293.103448275862</v>
      </c>
      <c r="U456" s="224">
        <v>775.8620689655172</v>
      </c>
      <c r="V456" s="224">
        <v>646.551724137931</v>
      </c>
      <c r="W456" s="224">
        <v>517.2413793103449</v>
      </c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</row>
    <row r="457" ht="13.5" customHeight="1">
      <c r="A457" s="423" t="s">
        <v>84</v>
      </c>
      <c r="B457" s="423" t="s">
        <v>1886</v>
      </c>
      <c r="C457" s="585" t="s">
        <v>3074</v>
      </c>
      <c r="D457" s="582" t="s">
        <v>3185</v>
      </c>
      <c r="E457" s="134" t="s">
        <v>3228</v>
      </c>
      <c r="F457" s="134" t="s">
        <v>3101</v>
      </c>
      <c r="G457" s="583" t="s">
        <v>3337</v>
      </c>
      <c r="H457" s="583" t="s">
        <v>4285</v>
      </c>
      <c r="I457" s="581" t="s">
        <v>3339</v>
      </c>
      <c r="J457" s="134"/>
      <c r="K457" s="585" t="s">
        <v>147</v>
      </c>
      <c r="L457" s="361"/>
      <c r="M457" s="582" t="s">
        <v>3081</v>
      </c>
      <c r="N457" s="361"/>
      <c r="O457" s="361"/>
      <c r="P457" s="361">
        <v>9.403208E9</v>
      </c>
      <c r="Q457" s="132">
        <v>416.66666666666674</v>
      </c>
      <c r="R457" s="592" t="s">
        <v>10</v>
      </c>
      <c r="S457" s="49"/>
      <c r="T457" s="224">
        <v>1388.8888888888891</v>
      </c>
      <c r="U457" s="224">
        <v>833.3333333333335</v>
      </c>
      <c r="V457" s="224">
        <v>694.4444444444446</v>
      </c>
      <c r="W457" s="224">
        <v>555.5555555555557</v>
      </c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</row>
    <row r="458" ht="13.5" customHeight="1">
      <c r="A458" s="423" t="s">
        <v>84</v>
      </c>
      <c r="B458" s="423" t="s">
        <v>1886</v>
      </c>
      <c r="C458" s="585" t="s">
        <v>3074</v>
      </c>
      <c r="D458" s="582" t="s">
        <v>3185</v>
      </c>
      <c r="E458" s="134" t="s">
        <v>3094</v>
      </c>
      <c r="F458" s="134" t="s">
        <v>3120</v>
      </c>
      <c r="G458" s="583" t="s">
        <v>3340</v>
      </c>
      <c r="H458" s="583" t="s">
        <v>4286</v>
      </c>
      <c r="I458" s="581" t="s">
        <v>3342</v>
      </c>
      <c r="J458" s="134"/>
      <c r="K458" s="585" t="s">
        <v>147</v>
      </c>
      <c r="L458" s="361"/>
      <c r="M458" s="582" t="s">
        <v>3081</v>
      </c>
      <c r="N458" s="361"/>
      <c r="O458" s="361"/>
      <c r="P458" s="361">
        <v>9.403208E9</v>
      </c>
      <c r="Q458" s="132">
        <v>423.8505747126437</v>
      </c>
      <c r="R458" s="592" t="s">
        <v>10</v>
      </c>
      <c r="S458" s="49"/>
      <c r="T458" s="224">
        <v>1412.8352490421457</v>
      </c>
      <c r="U458" s="224">
        <v>847.7011494252874</v>
      </c>
      <c r="V458" s="224">
        <v>706.4176245210729</v>
      </c>
      <c r="W458" s="224">
        <v>565.1340996168583</v>
      </c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</row>
    <row r="459" ht="13.5" customHeight="1">
      <c r="A459" s="423" t="s">
        <v>84</v>
      </c>
      <c r="B459" s="423" t="s">
        <v>1886</v>
      </c>
      <c r="C459" s="585" t="s">
        <v>3074</v>
      </c>
      <c r="D459" s="582" t="s">
        <v>3185</v>
      </c>
      <c r="E459" s="134" t="s">
        <v>3075</v>
      </c>
      <c r="F459" s="134" t="s">
        <v>4372</v>
      </c>
      <c r="G459" s="583" t="s">
        <v>3344</v>
      </c>
      <c r="H459" s="583" t="s">
        <v>4287</v>
      </c>
      <c r="I459" s="581" t="s">
        <v>3346</v>
      </c>
      <c r="J459" s="134"/>
      <c r="K459" s="585" t="s">
        <v>147</v>
      </c>
      <c r="L459" s="361"/>
      <c r="M459" s="582" t="s">
        <v>3081</v>
      </c>
      <c r="N459" s="361"/>
      <c r="O459" s="361"/>
      <c r="P459" s="361">
        <v>9.403208E9</v>
      </c>
      <c r="Q459" s="132">
        <v>294.5402298850575</v>
      </c>
      <c r="R459" s="592" t="s">
        <v>10</v>
      </c>
      <c r="S459" s="49"/>
      <c r="T459" s="224">
        <v>981.800766283525</v>
      </c>
      <c r="U459" s="224">
        <v>589.080459770115</v>
      </c>
      <c r="V459" s="224">
        <v>490.9003831417625</v>
      </c>
      <c r="W459" s="224">
        <v>392.72030651341004</v>
      </c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</row>
    <row r="460" ht="13.5" customHeight="1">
      <c r="A460" s="423" t="s">
        <v>84</v>
      </c>
      <c r="B460" s="423" t="s">
        <v>1886</v>
      </c>
      <c r="C460" s="585" t="s">
        <v>3074</v>
      </c>
      <c r="D460" s="582" t="s">
        <v>3185</v>
      </c>
      <c r="E460" s="134" t="s">
        <v>3082</v>
      </c>
      <c r="F460" s="134" t="s">
        <v>3076</v>
      </c>
      <c r="G460" s="583" t="s">
        <v>3347</v>
      </c>
      <c r="H460" s="583" t="s">
        <v>4288</v>
      </c>
      <c r="I460" s="581" t="s">
        <v>3349</v>
      </c>
      <c r="J460" s="134"/>
      <c r="K460" s="585" t="s">
        <v>147</v>
      </c>
      <c r="L460" s="361"/>
      <c r="M460" s="582" t="s">
        <v>3081</v>
      </c>
      <c r="N460" s="361"/>
      <c r="O460" s="361"/>
      <c r="P460" s="361">
        <v>9.403208E9</v>
      </c>
      <c r="Q460" s="132">
        <v>308.90804597701157</v>
      </c>
      <c r="R460" s="592" t="s">
        <v>10</v>
      </c>
      <c r="S460" s="49"/>
      <c r="T460" s="224">
        <v>1029.6934865900387</v>
      </c>
      <c r="U460" s="224">
        <v>617.8160919540231</v>
      </c>
      <c r="V460" s="224">
        <v>514.8467432950193</v>
      </c>
      <c r="W460" s="224">
        <v>411.8773946360155</v>
      </c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</row>
    <row r="461" ht="13.5" customHeight="1">
      <c r="A461" s="423" t="s">
        <v>84</v>
      </c>
      <c r="B461" s="423" t="s">
        <v>1886</v>
      </c>
      <c r="C461" s="585" t="s">
        <v>3074</v>
      </c>
      <c r="D461" s="582" t="s">
        <v>3185</v>
      </c>
      <c r="E461" s="134" t="s">
        <v>3086</v>
      </c>
      <c r="F461" s="134" t="s">
        <v>3076</v>
      </c>
      <c r="G461" s="583" t="s">
        <v>3350</v>
      </c>
      <c r="H461" s="583" t="s">
        <v>4289</v>
      </c>
      <c r="I461" s="581" t="s">
        <v>3352</v>
      </c>
      <c r="J461" s="134"/>
      <c r="K461" s="585" t="s">
        <v>147</v>
      </c>
      <c r="L461" s="361"/>
      <c r="M461" s="582" t="s">
        <v>3081</v>
      </c>
      <c r="N461" s="361"/>
      <c r="O461" s="361"/>
      <c r="P461" s="361">
        <v>9.403208E9</v>
      </c>
      <c r="Q461" s="132">
        <v>323.2758620689655</v>
      </c>
      <c r="R461" s="592" t="s">
        <v>10</v>
      </c>
      <c r="S461" s="49"/>
      <c r="T461" s="224">
        <v>1077.5862068965519</v>
      </c>
      <c r="U461" s="224">
        <v>646.551724137931</v>
      </c>
      <c r="V461" s="224">
        <v>538.7931034482759</v>
      </c>
      <c r="W461" s="224">
        <v>431.03448275862075</v>
      </c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</row>
    <row r="462" ht="13.5" customHeight="1">
      <c r="A462" s="423" t="s">
        <v>84</v>
      </c>
      <c r="B462" s="423" t="s">
        <v>1886</v>
      </c>
      <c r="C462" s="585" t="s">
        <v>3074</v>
      </c>
      <c r="D462" s="582" t="s">
        <v>3185</v>
      </c>
      <c r="E462" s="134" t="s">
        <v>3090</v>
      </c>
      <c r="F462" s="134" t="s">
        <v>3076</v>
      </c>
      <c r="G462" s="583" t="s">
        <v>3353</v>
      </c>
      <c r="H462" s="583" t="s">
        <v>4290</v>
      </c>
      <c r="I462" s="581" t="s">
        <v>3355</v>
      </c>
      <c r="J462" s="134"/>
      <c r="K462" s="585" t="s">
        <v>147</v>
      </c>
      <c r="L462" s="361"/>
      <c r="M462" s="582" t="s">
        <v>3081</v>
      </c>
      <c r="N462" s="361"/>
      <c r="O462" s="361"/>
      <c r="P462" s="361">
        <v>9.403208E9</v>
      </c>
      <c r="Q462" s="132">
        <v>359.1954022988505</v>
      </c>
      <c r="R462" s="592" t="s">
        <v>10</v>
      </c>
      <c r="S462" s="49"/>
      <c r="T462" s="224">
        <v>1197.318007662835</v>
      </c>
      <c r="U462" s="224">
        <v>718.390804597701</v>
      </c>
      <c r="V462" s="224">
        <v>598.6590038314175</v>
      </c>
      <c r="W462" s="224">
        <v>478.92720306513405</v>
      </c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</row>
    <row r="463" ht="13.5" customHeight="1">
      <c r="A463" s="423" t="s">
        <v>84</v>
      </c>
      <c r="B463" s="423" t="s">
        <v>1886</v>
      </c>
      <c r="C463" s="585" t="s">
        <v>3074</v>
      </c>
      <c r="D463" s="582" t="s">
        <v>3185</v>
      </c>
      <c r="E463" s="134" t="s">
        <v>3094</v>
      </c>
      <c r="F463" s="134" t="s">
        <v>3076</v>
      </c>
      <c r="G463" s="583" t="s">
        <v>3356</v>
      </c>
      <c r="H463" s="583" t="s">
        <v>4291</v>
      </c>
      <c r="I463" s="581" t="s">
        <v>3358</v>
      </c>
      <c r="J463" s="134"/>
      <c r="K463" s="585" t="s">
        <v>147</v>
      </c>
      <c r="L463" s="361"/>
      <c r="M463" s="582" t="s">
        <v>3081</v>
      </c>
      <c r="N463" s="361"/>
      <c r="O463" s="361"/>
      <c r="P463" s="361">
        <v>9.403208E9</v>
      </c>
      <c r="Q463" s="132">
        <v>402.29885057471273</v>
      </c>
      <c r="R463" s="592" t="s">
        <v>10</v>
      </c>
      <c r="S463" s="49"/>
      <c r="T463" s="224">
        <v>1340.9961685823757</v>
      </c>
      <c r="U463" s="224">
        <v>804.5977011494255</v>
      </c>
      <c r="V463" s="224">
        <v>670.4980842911879</v>
      </c>
      <c r="W463" s="224">
        <v>536.3984674329503</v>
      </c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</row>
    <row r="464" ht="13.5" customHeight="1">
      <c r="A464" s="423" t="s">
        <v>84</v>
      </c>
      <c r="B464" s="423" t="s">
        <v>1886</v>
      </c>
      <c r="C464" s="585" t="s">
        <v>3074</v>
      </c>
      <c r="D464" s="582" t="s">
        <v>3185</v>
      </c>
      <c r="E464" s="134" t="s">
        <v>3075</v>
      </c>
      <c r="F464" s="134" t="s">
        <v>3101</v>
      </c>
      <c r="G464" s="583" t="s">
        <v>3359</v>
      </c>
      <c r="H464" s="583" t="s">
        <v>4292</v>
      </c>
      <c r="I464" s="581" t="s">
        <v>3361</v>
      </c>
      <c r="J464" s="134"/>
      <c r="K464" s="585" t="s">
        <v>147</v>
      </c>
      <c r="L464" s="361"/>
      <c r="M464" s="582" t="s">
        <v>3081</v>
      </c>
      <c r="N464" s="361"/>
      <c r="O464" s="361"/>
      <c r="P464" s="361">
        <v>9.403208E9</v>
      </c>
      <c r="Q464" s="132">
        <v>316.09195402298855</v>
      </c>
      <c r="R464" s="592" t="s">
        <v>10</v>
      </c>
      <c r="S464" s="49"/>
      <c r="T464" s="224">
        <v>1053.6398467432953</v>
      </c>
      <c r="U464" s="224">
        <v>632.1839080459771</v>
      </c>
      <c r="V464" s="224">
        <v>526.8199233716476</v>
      </c>
      <c r="W464" s="224">
        <v>421.4559386973181</v>
      </c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</row>
    <row r="465" ht="13.5" customHeight="1">
      <c r="A465" s="423" t="s">
        <v>84</v>
      </c>
      <c r="B465" s="423" t="s">
        <v>1886</v>
      </c>
      <c r="C465" s="585" t="s">
        <v>3074</v>
      </c>
      <c r="D465" s="582" t="s">
        <v>3185</v>
      </c>
      <c r="E465" s="134" t="s">
        <v>3086</v>
      </c>
      <c r="F465" s="134" t="s">
        <v>3101</v>
      </c>
      <c r="G465" s="583" t="s">
        <v>3362</v>
      </c>
      <c r="H465" s="583" t="s">
        <v>4293</v>
      </c>
      <c r="I465" s="581" t="s">
        <v>3364</v>
      </c>
      <c r="J465" s="134"/>
      <c r="K465" s="585" t="s">
        <v>147</v>
      </c>
      <c r="L465" s="361"/>
      <c r="M465" s="582" t="s">
        <v>3081</v>
      </c>
      <c r="N465" s="361"/>
      <c r="O465" s="361"/>
      <c r="P465" s="361">
        <v>9.403208E9</v>
      </c>
      <c r="Q465" s="132">
        <v>344.82758620689657</v>
      </c>
      <c r="R465" s="592" t="s">
        <v>10</v>
      </c>
      <c r="S465" s="49"/>
      <c r="T465" s="224">
        <v>1149.4252873563219</v>
      </c>
      <c r="U465" s="224">
        <v>689.6551724137931</v>
      </c>
      <c r="V465" s="224">
        <v>574.7126436781609</v>
      </c>
      <c r="W465" s="224">
        <v>459.7701149425288</v>
      </c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</row>
    <row r="466" ht="13.5" customHeight="1">
      <c r="A466" s="423" t="s">
        <v>84</v>
      </c>
      <c r="B466" s="423" t="s">
        <v>1886</v>
      </c>
      <c r="C466" s="585" t="s">
        <v>3074</v>
      </c>
      <c r="D466" s="582" t="s">
        <v>3185</v>
      </c>
      <c r="E466" s="134" t="s">
        <v>3094</v>
      </c>
      <c r="F466" s="134" t="s">
        <v>3101</v>
      </c>
      <c r="G466" s="583" t="s">
        <v>3365</v>
      </c>
      <c r="H466" s="583" t="s">
        <v>4294</v>
      </c>
      <c r="I466" s="581" t="s">
        <v>3367</v>
      </c>
      <c r="J466" s="134"/>
      <c r="K466" s="585" t="s">
        <v>147</v>
      </c>
      <c r="L466" s="361"/>
      <c r="M466" s="582" t="s">
        <v>3081</v>
      </c>
      <c r="N466" s="361"/>
      <c r="O466" s="361"/>
      <c r="P466" s="361">
        <v>9.403208E9</v>
      </c>
      <c r="Q466" s="132">
        <v>438.21839080459773</v>
      </c>
      <c r="R466" s="592" t="s">
        <v>10</v>
      </c>
      <c r="S466" s="49"/>
      <c r="T466" s="224">
        <v>1460.7279693486591</v>
      </c>
      <c r="U466" s="224">
        <v>876.4367816091955</v>
      </c>
      <c r="V466" s="224">
        <v>730.3639846743296</v>
      </c>
      <c r="W466" s="224">
        <v>584.2911877394637</v>
      </c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</row>
    <row r="467" ht="13.5" customHeight="1">
      <c r="A467" s="423" t="s">
        <v>84</v>
      </c>
      <c r="B467" s="423" t="s">
        <v>1886</v>
      </c>
      <c r="C467" s="585" t="s">
        <v>3074</v>
      </c>
      <c r="D467" s="582" t="s">
        <v>3185</v>
      </c>
      <c r="E467" s="134" t="s">
        <v>3228</v>
      </c>
      <c r="F467" s="134" t="s">
        <v>3101</v>
      </c>
      <c r="G467" s="583" t="s">
        <v>3368</v>
      </c>
      <c r="H467" s="583" t="s">
        <v>4295</v>
      </c>
      <c r="I467" s="581" t="s">
        <v>3370</v>
      </c>
      <c r="J467" s="134"/>
      <c r="K467" s="585" t="s">
        <v>147</v>
      </c>
      <c r="L467" s="361"/>
      <c r="M467" s="582" t="s">
        <v>3081</v>
      </c>
      <c r="N467" s="361"/>
      <c r="O467" s="361"/>
      <c r="P467" s="361">
        <v>9.403208E9</v>
      </c>
      <c r="Q467" s="132">
        <v>471.2643678160919</v>
      </c>
      <c r="R467" s="592" t="s">
        <v>10</v>
      </c>
      <c r="S467" s="49"/>
      <c r="T467" s="224">
        <v>1570.8812260536397</v>
      </c>
      <c r="U467" s="224">
        <v>942.5287356321837</v>
      </c>
      <c r="V467" s="224">
        <v>785.4406130268198</v>
      </c>
      <c r="W467" s="224">
        <v>628.352490421456</v>
      </c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</row>
    <row r="468" ht="13.5" customHeight="1">
      <c r="A468" s="423" t="s">
        <v>84</v>
      </c>
      <c r="B468" s="423" t="s">
        <v>1886</v>
      </c>
      <c r="C468" s="585" t="s">
        <v>3074</v>
      </c>
      <c r="D468" s="582" t="s">
        <v>3185</v>
      </c>
      <c r="E468" s="134" t="s">
        <v>3094</v>
      </c>
      <c r="F468" s="134" t="s">
        <v>3120</v>
      </c>
      <c r="G468" s="583" t="s">
        <v>3371</v>
      </c>
      <c r="H468" s="583" t="s">
        <v>4296</v>
      </c>
      <c r="I468" s="581" t="s">
        <v>3373</v>
      </c>
      <c r="J468" s="134"/>
      <c r="K468" s="585" t="s">
        <v>147</v>
      </c>
      <c r="L468" s="361"/>
      <c r="M468" s="582" t="s">
        <v>3081</v>
      </c>
      <c r="N468" s="361"/>
      <c r="O468" s="361"/>
      <c r="P468" s="361">
        <v>9.403208E9</v>
      </c>
      <c r="Q468" s="132">
        <v>478.448275862069</v>
      </c>
      <c r="R468" s="592" t="s">
        <v>10</v>
      </c>
      <c r="S468" s="49"/>
      <c r="T468" s="224">
        <v>1594.8275862068967</v>
      </c>
      <c r="U468" s="224">
        <v>956.896551724138</v>
      </c>
      <c r="V468" s="224">
        <v>797.4137931034484</v>
      </c>
      <c r="W468" s="224">
        <v>637.9310344827587</v>
      </c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</row>
    <row r="469" ht="13.5" customHeight="1">
      <c r="A469" s="423" t="s">
        <v>84</v>
      </c>
      <c r="B469" s="423" t="s">
        <v>1886</v>
      </c>
      <c r="C469" s="585" t="s">
        <v>3074</v>
      </c>
      <c r="D469" s="582" t="s">
        <v>3185</v>
      </c>
      <c r="E469" s="134" t="s">
        <v>3094</v>
      </c>
      <c r="F469" s="134" t="s">
        <v>3124</v>
      </c>
      <c r="G469" s="583" t="s">
        <v>3374</v>
      </c>
      <c r="H469" s="583" t="s">
        <v>4297</v>
      </c>
      <c r="I469" s="581" t="s">
        <v>3376</v>
      </c>
      <c r="J469" s="134"/>
      <c r="K469" s="585" t="s">
        <v>147</v>
      </c>
      <c r="L469" s="361"/>
      <c r="M469" s="582" t="s">
        <v>3081</v>
      </c>
      <c r="N469" s="361"/>
      <c r="O469" s="361"/>
      <c r="P469" s="361">
        <v>9.403208E9</v>
      </c>
      <c r="Q469" s="132">
        <v>481.32183908045977</v>
      </c>
      <c r="R469" s="592" t="s">
        <v>10</v>
      </c>
      <c r="S469" s="49"/>
      <c r="T469" s="224">
        <v>1604.4061302681994</v>
      </c>
      <c r="U469" s="224">
        <v>962.6436781609195</v>
      </c>
      <c r="V469" s="224">
        <v>802.2030651340997</v>
      </c>
      <c r="W469" s="224">
        <v>641.7624521072798</v>
      </c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</row>
    <row r="470" ht="13.5" customHeight="1">
      <c r="A470" s="423" t="s">
        <v>84</v>
      </c>
      <c r="B470" s="423" t="s">
        <v>1886</v>
      </c>
      <c r="C470" s="585" t="s">
        <v>3074</v>
      </c>
      <c r="D470" s="582" t="s">
        <v>3185</v>
      </c>
      <c r="E470" s="134" t="s">
        <v>3090</v>
      </c>
      <c r="F470" s="134" t="s">
        <v>3134</v>
      </c>
      <c r="G470" s="583" t="s">
        <v>3377</v>
      </c>
      <c r="H470" s="583" t="s">
        <v>4298</v>
      </c>
      <c r="I470" s="581" t="s">
        <v>3379</v>
      </c>
      <c r="J470" s="134"/>
      <c r="K470" s="585" t="s">
        <v>147</v>
      </c>
      <c r="L470" s="361"/>
      <c r="M470" s="582" t="s">
        <v>3081</v>
      </c>
      <c r="N470" s="361"/>
      <c r="O470" s="361"/>
      <c r="P470" s="361">
        <v>9.403208E9</v>
      </c>
      <c r="Q470" s="132">
        <v>459.7701149425288</v>
      </c>
      <c r="R470" s="592" t="s">
        <v>10</v>
      </c>
      <c r="S470" s="49"/>
      <c r="T470" s="224">
        <v>1532.5670498084294</v>
      </c>
      <c r="U470" s="224">
        <v>919.5402298850576</v>
      </c>
      <c r="V470" s="224">
        <v>766.2835249042147</v>
      </c>
      <c r="W470" s="224">
        <v>613.0268199233718</v>
      </c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</row>
    <row r="471" ht="13.5" customHeight="1">
      <c r="A471" s="423" t="s">
        <v>84</v>
      </c>
      <c r="B471" s="423" t="s">
        <v>1886</v>
      </c>
      <c r="C471" s="585" t="s">
        <v>3074</v>
      </c>
      <c r="D471" s="582" t="s">
        <v>3185</v>
      </c>
      <c r="E471" s="134" t="s">
        <v>3094</v>
      </c>
      <c r="F471" s="134" t="s">
        <v>3134</v>
      </c>
      <c r="G471" s="583" t="s">
        <v>3380</v>
      </c>
      <c r="H471" s="583" t="s">
        <v>4299</v>
      </c>
      <c r="I471" s="581" t="s">
        <v>3382</v>
      </c>
      <c r="J471" s="134"/>
      <c r="K471" s="585" t="s">
        <v>147</v>
      </c>
      <c r="L471" s="361"/>
      <c r="M471" s="582" t="s">
        <v>3081</v>
      </c>
      <c r="N471" s="361"/>
      <c r="O471" s="361"/>
      <c r="P471" s="361">
        <v>9.403208E9</v>
      </c>
      <c r="Q471" s="132">
        <v>488.5057471264368</v>
      </c>
      <c r="R471" s="592" t="s">
        <v>10</v>
      </c>
      <c r="S471" s="49"/>
      <c r="T471" s="224">
        <v>1628.352490421456</v>
      </c>
      <c r="U471" s="224">
        <v>977.0114942528735</v>
      </c>
      <c r="V471" s="224">
        <v>814.176245210728</v>
      </c>
      <c r="W471" s="224">
        <v>651.3409961685825</v>
      </c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</row>
    <row r="472" ht="13.5" customHeight="1">
      <c r="A472" s="423" t="s">
        <v>84</v>
      </c>
      <c r="B472" s="423" t="s">
        <v>1886</v>
      </c>
      <c r="C472" s="585" t="s">
        <v>3074</v>
      </c>
      <c r="D472" s="582" t="s">
        <v>3185</v>
      </c>
      <c r="E472" s="134" t="s">
        <v>3228</v>
      </c>
      <c r="F472" s="134" t="s">
        <v>3134</v>
      </c>
      <c r="G472" s="583" t="s">
        <v>3383</v>
      </c>
      <c r="H472" s="583" t="s">
        <v>4300</v>
      </c>
      <c r="I472" s="581" t="s">
        <v>3385</v>
      </c>
      <c r="J472" s="134"/>
      <c r="K472" s="585" t="s">
        <v>147</v>
      </c>
      <c r="L472" s="361"/>
      <c r="M472" s="582" t="s">
        <v>3081</v>
      </c>
      <c r="N472" s="361"/>
      <c r="O472" s="361"/>
      <c r="P472" s="361">
        <v>9.403208E9</v>
      </c>
      <c r="Q472" s="132">
        <v>574.7126436781609</v>
      </c>
      <c r="R472" s="592" t="s">
        <v>10</v>
      </c>
      <c r="S472" s="49"/>
      <c r="T472" s="224">
        <v>1915.7088122605364</v>
      </c>
      <c r="U472" s="224">
        <v>1149.4252873563219</v>
      </c>
      <c r="V472" s="224">
        <v>957.8544061302682</v>
      </c>
      <c r="W472" s="224">
        <v>766.2835249042146</v>
      </c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</row>
    <row r="473" ht="13.5" customHeight="1">
      <c r="A473" s="423" t="s">
        <v>84</v>
      </c>
      <c r="B473" s="423" t="s">
        <v>1886</v>
      </c>
      <c r="C473" s="585" t="s">
        <v>3074</v>
      </c>
      <c r="D473" s="582" t="s">
        <v>3185</v>
      </c>
      <c r="E473" s="134" t="s">
        <v>3094</v>
      </c>
      <c r="F473" s="134" t="s">
        <v>3159</v>
      </c>
      <c r="G473" s="583" t="s">
        <v>3386</v>
      </c>
      <c r="H473" s="583" t="s">
        <v>4301</v>
      </c>
      <c r="I473" s="581" t="s">
        <v>3388</v>
      </c>
      <c r="J473" s="134"/>
      <c r="K473" s="585" t="s">
        <v>147</v>
      </c>
      <c r="L473" s="361"/>
      <c r="M473" s="582" t="s">
        <v>3081</v>
      </c>
      <c r="N473" s="361"/>
      <c r="O473" s="361"/>
      <c r="P473" s="361">
        <v>9.403208E9</v>
      </c>
      <c r="Q473" s="132">
        <v>560.344827586207</v>
      </c>
      <c r="R473" s="592" t="s">
        <v>10</v>
      </c>
      <c r="S473" s="49"/>
      <c r="T473" s="224">
        <v>1867.8160919540232</v>
      </c>
      <c r="U473" s="224">
        <v>1120.689655172414</v>
      </c>
      <c r="V473" s="224">
        <v>933.9080459770116</v>
      </c>
      <c r="W473" s="224">
        <v>747.1264367816093</v>
      </c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</row>
    <row r="474" ht="13.5" customHeight="1">
      <c r="A474" s="423" t="s">
        <v>84</v>
      </c>
      <c r="B474" s="423" t="s">
        <v>1886</v>
      </c>
      <c r="C474" s="585" t="s">
        <v>3074</v>
      </c>
      <c r="D474" s="582" t="s">
        <v>3185</v>
      </c>
      <c r="E474" s="134" t="s">
        <v>3228</v>
      </c>
      <c r="F474" s="134" t="s">
        <v>3159</v>
      </c>
      <c r="G474" s="583" t="s">
        <v>3389</v>
      </c>
      <c r="H474" s="583" t="s">
        <v>4302</v>
      </c>
      <c r="I474" s="581" t="s">
        <v>3391</v>
      </c>
      <c r="J474" s="134"/>
      <c r="K474" s="585" t="s">
        <v>147</v>
      </c>
      <c r="L474" s="361"/>
      <c r="M474" s="582" t="s">
        <v>3081</v>
      </c>
      <c r="N474" s="361"/>
      <c r="O474" s="361"/>
      <c r="P474" s="361">
        <v>9.403208E9</v>
      </c>
      <c r="Q474" s="132">
        <v>610.632183908046</v>
      </c>
      <c r="R474" s="592" t="s">
        <v>10</v>
      </c>
      <c r="S474" s="49"/>
      <c r="T474" s="224">
        <v>2035.4406130268203</v>
      </c>
      <c r="U474" s="224">
        <v>1221.264367816092</v>
      </c>
      <c r="V474" s="224">
        <v>1017.7203065134102</v>
      </c>
      <c r="W474" s="224">
        <v>814.1762452107282</v>
      </c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</row>
    <row r="475" ht="13.5" customHeight="1">
      <c r="A475" s="423" t="s">
        <v>84</v>
      </c>
      <c r="B475" s="423" t="s">
        <v>1886</v>
      </c>
      <c r="C475" s="585" t="s">
        <v>3074</v>
      </c>
      <c r="D475" s="582" t="s">
        <v>3185</v>
      </c>
      <c r="E475" s="134" t="s">
        <v>3094</v>
      </c>
      <c r="F475" s="134" t="s">
        <v>3240</v>
      </c>
      <c r="G475" s="583" t="s">
        <v>3392</v>
      </c>
      <c r="H475" s="583" t="s">
        <v>4303</v>
      </c>
      <c r="I475" s="581" t="s">
        <v>3394</v>
      </c>
      <c r="J475" s="134"/>
      <c r="K475" s="585" t="s">
        <v>147</v>
      </c>
      <c r="L475" s="361"/>
      <c r="M475" s="582" t="s">
        <v>3081</v>
      </c>
      <c r="N475" s="361"/>
      <c r="O475" s="361"/>
      <c r="P475" s="361">
        <v>9.403208E9</v>
      </c>
      <c r="Q475" s="132">
        <v>619.2528735632185</v>
      </c>
      <c r="R475" s="592" t="s">
        <v>10</v>
      </c>
      <c r="S475" s="49"/>
      <c r="T475" s="224">
        <v>2064.176245210728</v>
      </c>
      <c r="U475" s="224">
        <v>1238.505747126437</v>
      </c>
      <c r="V475" s="224">
        <v>1032.088122605364</v>
      </c>
      <c r="W475" s="224">
        <v>825.6704980842914</v>
      </c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</row>
    <row r="476" ht="13.5" customHeight="1">
      <c r="A476" s="423" t="s">
        <v>84</v>
      </c>
      <c r="B476" s="423" t="s">
        <v>1886</v>
      </c>
      <c r="C476" s="585" t="s">
        <v>3074</v>
      </c>
      <c r="D476" s="582" t="s">
        <v>3185</v>
      </c>
      <c r="E476" s="134" t="s">
        <v>3228</v>
      </c>
      <c r="F476" s="134" t="s">
        <v>3240</v>
      </c>
      <c r="G476" s="583" t="s">
        <v>3395</v>
      </c>
      <c r="H476" s="583" t="s">
        <v>4304</v>
      </c>
      <c r="I476" s="581" t="s">
        <v>3397</v>
      </c>
      <c r="J476" s="134"/>
      <c r="K476" s="585" t="s">
        <v>147</v>
      </c>
      <c r="L476" s="361"/>
      <c r="M476" s="582" t="s">
        <v>3081</v>
      </c>
      <c r="N476" s="361"/>
      <c r="O476" s="361"/>
      <c r="P476" s="361">
        <v>9.403208E9</v>
      </c>
      <c r="Q476" s="132">
        <v>682.4712643678162</v>
      </c>
      <c r="R476" s="592" t="s">
        <v>10</v>
      </c>
      <c r="S476" s="49"/>
      <c r="T476" s="224">
        <v>2274.904214559387</v>
      </c>
      <c r="U476" s="224">
        <v>1364.9425287356323</v>
      </c>
      <c r="V476" s="224">
        <v>1137.4521072796936</v>
      </c>
      <c r="W476" s="224">
        <v>909.9616858237549</v>
      </c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</row>
    <row r="477" ht="13.5" customHeight="1">
      <c r="A477" s="423" t="s">
        <v>84</v>
      </c>
      <c r="B477" s="423" t="s">
        <v>1886</v>
      </c>
      <c r="C477" s="585" t="s">
        <v>3074</v>
      </c>
      <c r="D477" s="582" t="s">
        <v>3185</v>
      </c>
      <c r="E477" s="134" t="s">
        <v>3094</v>
      </c>
      <c r="F477" s="134" t="s">
        <v>3124</v>
      </c>
      <c r="G477" s="583" t="s">
        <v>3398</v>
      </c>
      <c r="H477" s="583" t="s">
        <v>4305</v>
      </c>
      <c r="I477" s="581" t="s">
        <v>3400</v>
      </c>
      <c r="J477" s="134"/>
      <c r="K477" s="585" t="s">
        <v>147</v>
      </c>
      <c r="L477" s="361"/>
      <c r="M477" s="582" t="s">
        <v>3081</v>
      </c>
      <c r="N477" s="361"/>
      <c r="O477" s="361"/>
      <c r="P477" s="361">
        <v>9.403208E9</v>
      </c>
      <c r="Q477" s="132">
        <v>545.9770114942529</v>
      </c>
      <c r="R477" s="592" t="s">
        <v>10</v>
      </c>
      <c r="S477" s="49"/>
      <c r="T477" s="224">
        <v>1819.9233716475098</v>
      </c>
      <c r="U477" s="224">
        <v>1091.9540229885058</v>
      </c>
      <c r="V477" s="224">
        <v>909.9616858237549</v>
      </c>
      <c r="W477" s="224">
        <v>727.969348659004</v>
      </c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</row>
    <row r="478" ht="13.5" customHeight="1">
      <c r="A478" s="423" t="s">
        <v>84</v>
      </c>
      <c r="B478" s="423" t="s">
        <v>1886</v>
      </c>
      <c r="C478" s="585" t="s">
        <v>3074</v>
      </c>
      <c r="D478" s="582" t="s">
        <v>3185</v>
      </c>
      <c r="E478" s="134" t="s">
        <v>3090</v>
      </c>
      <c r="F478" s="134" t="s">
        <v>3134</v>
      </c>
      <c r="G478" s="583" t="s">
        <v>3401</v>
      </c>
      <c r="H478" s="583" t="s">
        <v>4306</v>
      </c>
      <c r="I478" s="581" t="s">
        <v>3403</v>
      </c>
      <c r="J478" s="134"/>
      <c r="K478" s="585" t="s">
        <v>147</v>
      </c>
      <c r="L478" s="361"/>
      <c r="M478" s="582" t="s">
        <v>3081</v>
      </c>
      <c r="N478" s="361"/>
      <c r="O478" s="361"/>
      <c r="P478" s="361">
        <v>9.403208E9</v>
      </c>
      <c r="Q478" s="132">
        <v>517.2413793103449</v>
      </c>
      <c r="R478" s="592" t="s">
        <v>10</v>
      </c>
      <c r="S478" s="49"/>
      <c r="T478" s="224">
        <v>1724.137931034483</v>
      </c>
      <c r="U478" s="224">
        <v>1034.4827586206898</v>
      </c>
      <c r="V478" s="224">
        <v>862.0689655172415</v>
      </c>
      <c r="W478" s="224">
        <v>689.6551724137933</v>
      </c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</row>
    <row r="479" ht="13.5" customHeight="1">
      <c r="A479" s="423" t="s">
        <v>84</v>
      </c>
      <c r="B479" s="423" t="s">
        <v>1886</v>
      </c>
      <c r="C479" s="585" t="s">
        <v>3074</v>
      </c>
      <c r="D479" s="582" t="s">
        <v>3185</v>
      </c>
      <c r="E479" s="134" t="s">
        <v>3094</v>
      </c>
      <c r="F479" s="134" t="s">
        <v>3134</v>
      </c>
      <c r="G479" s="583" t="s">
        <v>3404</v>
      </c>
      <c r="H479" s="583" t="s">
        <v>4307</v>
      </c>
      <c r="I479" s="581" t="s">
        <v>3406</v>
      </c>
      <c r="J479" s="134"/>
      <c r="K479" s="585" t="s">
        <v>147</v>
      </c>
      <c r="L479" s="361"/>
      <c r="M479" s="582" t="s">
        <v>3081</v>
      </c>
      <c r="N479" s="361"/>
      <c r="O479" s="361"/>
      <c r="P479" s="361">
        <v>9.403208E9</v>
      </c>
      <c r="Q479" s="132">
        <v>545.9770114942529</v>
      </c>
      <c r="R479" s="592" t="s">
        <v>10</v>
      </c>
      <c r="S479" s="49"/>
      <c r="T479" s="224">
        <v>1819.9233716475098</v>
      </c>
      <c r="U479" s="224">
        <v>1091.9540229885058</v>
      </c>
      <c r="V479" s="224">
        <v>909.9616858237549</v>
      </c>
      <c r="W479" s="224">
        <v>727.969348659004</v>
      </c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</row>
    <row r="480" ht="13.5" customHeight="1">
      <c r="A480" s="423" t="s">
        <v>84</v>
      </c>
      <c r="B480" s="423" t="s">
        <v>1886</v>
      </c>
      <c r="C480" s="585" t="s">
        <v>3074</v>
      </c>
      <c r="D480" s="582" t="s">
        <v>3185</v>
      </c>
      <c r="E480" s="134" t="s">
        <v>3228</v>
      </c>
      <c r="F480" s="134" t="s">
        <v>3134</v>
      </c>
      <c r="G480" s="583" t="s">
        <v>3407</v>
      </c>
      <c r="H480" s="583" t="s">
        <v>4308</v>
      </c>
      <c r="I480" s="581" t="s">
        <v>3409</v>
      </c>
      <c r="J480" s="134"/>
      <c r="K480" s="585" t="s">
        <v>147</v>
      </c>
      <c r="L480" s="361"/>
      <c r="M480" s="582" t="s">
        <v>3081</v>
      </c>
      <c r="N480" s="361"/>
      <c r="O480" s="361"/>
      <c r="P480" s="361">
        <v>9.403208E9</v>
      </c>
      <c r="Q480" s="132">
        <v>653.7356321839081</v>
      </c>
      <c r="R480" s="592" t="s">
        <v>10</v>
      </c>
      <c r="S480" s="49"/>
      <c r="T480" s="224">
        <v>2179.1187739463608</v>
      </c>
      <c r="U480" s="224">
        <v>1307.4712643678165</v>
      </c>
      <c r="V480" s="224">
        <v>1089.5593869731804</v>
      </c>
      <c r="W480" s="224">
        <v>871.6475095785444</v>
      </c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</row>
    <row r="481" ht="13.5" customHeight="1">
      <c r="A481" s="423" t="s">
        <v>84</v>
      </c>
      <c r="B481" s="423" t="s">
        <v>1886</v>
      </c>
      <c r="C481" s="585" t="s">
        <v>3074</v>
      </c>
      <c r="D481" s="582" t="s">
        <v>3185</v>
      </c>
      <c r="E481" s="134" t="s">
        <v>3094</v>
      </c>
      <c r="F481" s="134" t="s">
        <v>3159</v>
      </c>
      <c r="G481" s="583" t="s">
        <v>3410</v>
      </c>
      <c r="H481" s="583" t="s">
        <v>4309</v>
      </c>
      <c r="I481" s="581" t="s">
        <v>3412</v>
      </c>
      <c r="J481" s="134"/>
      <c r="K481" s="585" t="s">
        <v>147</v>
      </c>
      <c r="L481" s="361"/>
      <c r="M481" s="582" t="s">
        <v>3081</v>
      </c>
      <c r="N481" s="361"/>
      <c r="O481" s="361"/>
      <c r="P481" s="361">
        <v>9.403208E9</v>
      </c>
      <c r="Q481" s="132">
        <v>610.632183908046</v>
      </c>
      <c r="R481" s="592" t="s">
        <v>10</v>
      </c>
      <c r="S481" s="49"/>
      <c r="T481" s="224">
        <v>2035.4406130268203</v>
      </c>
      <c r="U481" s="224">
        <v>1221.264367816092</v>
      </c>
      <c r="V481" s="224">
        <v>1017.7203065134102</v>
      </c>
      <c r="W481" s="224">
        <v>814.1762452107282</v>
      </c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</row>
    <row r="482" ht="13.5" customHeight="1">
      <c r="A482" s="423" t="s">
        <v>84</v>
      </c>
      <c r="B482" s="423" t="s">
        <v>1886</v>
      </c>
      <c r="C482" s="585" t="s">
        <v>3074</v>
      </c>
      <c r="D482" s="582" t="s">
        <v>3185</v>
      </c>
      <c r="E482" s="134" t="s">
        <v>3228</v>
      </c>
      <c r="F482" s="134" t="s">
        <v>3159</v>
      </c>
      <c r="G482" s="583" t="s">
        <v>3413</v>
      </c>
      <c r="H482" s="583" t="s">
        <v>4310</v>
      </c>
      <c r="I482" s="581" t="s">
        <v>3415</v>
      </c>
      <c r="J482" s="134"/>
      <c r="K482" s="585" t="s">
        <v>147</v>
      </c>
      <c r="L482" s="361"/>
      <c r="M482" s="582" t="s">
        <v>3081</v>
      </c>
      <c r="N482" s="361"/>
      <c r="O482" s="361"/>
      <c r="P482" s="361">
        <v>9.403208E9</v>
      </c>
      <c r="Q482" s="132">
        <v>668.1034482758621</v>
      </c>
      <c r="R482" s="592" t="s">
        <v>10</v>
      </c>
      <c r="S482" s="49"/>
      <c r="T482" s="224">
        <v>2227.011494252874</v>
      </c>
      <c r="U482" s="224">
        <v>1336.2068965517244</v>
      </c>
      <c r="V482" s="224">
        <v>1113.505747126437</v>
      </c>
      <c r="W482" s="224">
        <v>890.8045977011496</v>
      </c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</row>
    <row r="483" ht="13.5" customHeight="1">
      <c r="A483" s="423" t="s">
        <v>84</v>
      </c>
      <c r="B483" s="423" t="s">
        <v>1886</v>
      </c>
      <c r="C483" s="585" t="s">
        <v>3074</v>
      </c>
      <c r="D483" s="582" t="s">
        <v>3185</v>
      </c>
      <c r="E483" s="134" t="s">
        <v>3094</v>
      </c>
      <c r="F483" s="134" t="s">
        <v>3240</v>
      </c>
      <c r="G483" s="583" t="s">
        <v>3416</v>
      </c>
      <c r="H483" s="583" t="s">
        <v>4311</v>
      </c>
      <c r="I483" s="581" t="s">
        <v>3418</v>
      </c>
      <c r="J483" s="134"/>
      <c r="K483" s="585" t="s">
        <v>147</v>
      </c>
      <c r="L483" s="361"/>
      <c r="M483" s="582" t="s">
        <v>3081</v>
      </c>
      <c r="N483" s="361"/>
      <c r="O483" s="361"/>
      <c r="P483" s="361">
        <v>9.403208E9</v>
      </c>
      <c r="Q483" s="132">
        <v>675.2873563218392</v>
      </c>
      <c r="R483" s="592" t="s">
        <v>10</v>
      </c>
      <c r="S483" s="49"/>
      <c r="T483" s="224">
        <v>2250.9578544061305</v>
      </c>
      <c r="U483" s="224">
        <v>1350.5747126436784</v>
      </c>
      <c r="V483" s="224">
        <v>1125.4789272030653</v>
      </c>
      <c r="W483" s="224">
        <v>900.3831417624523</v>
      </c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</row>
    <row r="484" ht="13.5" customHeight="1">
      <c r="A484" s="423" t="s">
        <v>84</v>
      </c>
      <c r="B484" s="423" t="s">
        <v>1886</v>
      </c>
      <c r="C484" s="585" t="s">
        <v>3074</v>
      </c>
      <c r="D484" s="582" t="s">
        <v>3185</v>
      </c>
      <c r="E484" s="134" t="s">
        <v>3228</v>
      </c>
      <c r="F484" s="134" t="s">
        <v>3240</v>
      </c>
      <c r="G484" s="583" t="s">
        <v>3419</v>
      </c>
      <c r="H484" s="583" t="s">
        <v>4312</v>
      </c>
      <c r="I484" s="581" t="s">
        <v>3421</v>
      </c>
      <c r="J484" s="134"/>
      <c r="K484" s="585" t="s">
        <v>147</v>
      </c>
      <c r="L484" s="361"/>
      <c r="M484" s="582" t="s">
        <v>3081</v>
      </c>
      <c r="N484" s="361"/>
      <c r="O484" s="361"/>
      <c r="P484" s="361">
        <v>9.403208E9</v>
      </c>
      <c r="Q484" s="132">
        <v>739.9425287356322</v>
      </c>
      <c r="R484" s="592" t="s">
        <v>10</v>
      </c>
      <c r="S484" s="49"/>
      <c r="T484" s="224">
        <v>2466.4750957854408</v>
      </c>
      <c r="U484" s="224">
        <v>1479.8850574712644</v>
      </c>
      <c r="V484" s="224">
        <v>1233.2375478927204</v>
      </c>
      <c r="W484" s="224">
        <v>986.5900383141764</v>
      </c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</row>
    <row r="485" ht="13.5" customHeight="1">
      <c r="A485" s="423" t="s">
        <v>84</v>
      </c>
      <c r="B485" s="423" t="s">
        <v>1886</v>
      </c>
      <c r="C485" s="585" t="s">
        <v>3074</v>
      </c>
      <c r="D485" s="582" t="s">
        <v>3441</v>
      </c>
      <c r="E485" s="134" t="s">
        <v>3094</v>
      </c>
      <c r="F485" s="134" t="s">
        <v>3134</v>
      </c>
      <c r="G485" s="583" t="s">
        <v>3451</v>
      </c>
      <c r="H485" s="583" t="s">
        <v>4313</v>
      </c>
      <c r="I485" s="581" t="s">
        <v>3453</v>
      </c>
      <c r="J485" s="134"/>
      <c r="K485" s="585" t="s">
        <v>147</v>
      </c>
      <c r="L485" s="361"/>
      <c r="M485" s="582" t="s">
        <v>3081</v>
      </c>
      <c r="N485" s="361"/>
      <c r="O485" s="361"/>
      <c r="P485" s="361">
        <v>9.403208E9</v>
      </c>
      <c r="Q485" s="132">
        <v>605.2196504487483</v>
      </c>
      <c r="R485" s="592" t="s">
        <v>10</v>
      </c>
      <c r="S485" s="49"/>
      <c r="T485" s="224">
        <v>2017.3988348291612</v>
      </c>
      <c r="U485" s="224">
        <v>1210.4393008974967</v>
      </c>
      <c r="V485" s="224">
        <v>1008.6994174145806</v>
      </c>
      <c r="W485" s="224">
        <v>806.9595339316645</v>
      </c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</row>
    <row r="486" ht="13.5" customHeight="1">
      <c r="A486" s="423" t="s">
        <v>84</v>
      </c>
      <c r="B486" s="423" t="s">
        <v>1886</v>
      </c>
      <c r="C486" s="585" t="s">
        <v>3074</v>
      </c>
      <c r="D486" s="582" t="s">
        <v>3441</v>
      </c>
      <c r="E486" s="134" t="s">
        <v>3094</v>
      </c>
      <c r="F486" s="134" t="s">
        <v>3134</v>
      </c>
      <c r="G486" s="583" t="s">
        <v>3454</v>
      </c>
      <c r="H486" s="583" t="s">
        <v>4314</v>
      </c>
      <c r="I486" s="581" t="s">
        <v>3456</v>
      </c>
      <c r="J486" s="134"/>
      <c r="K486" s="585" t="s">
        <v>147</v>
      </c>
      <c r="L486" s="361"/>
      <c r="M486" s="582" t="s">
        <v>3081</v>
      </c>
      <c r="N486" s="361"/>
      <c r="O486" s="361"/>
      <c r="P486" s="361">
        <v>9.403208E9</v>
      </c>
      <c r="Q486" s="132">
        <v>524.0316485592821</v>
      </c>
      <c r="R486" s="592" t="s">
        <v>10</v>
      </c>
      <c r="S486" s="49"/>
      <c r="T486" s="224">
        <v>1746.7721618642736</v>
      </c>
      <c r="U486" s="224">
        <v>1048.0632971185642</v>
      </c>
      <c r="V486" s="224">
        <v>873.3860809321368</v>
      </c>
      <c r="W486" s="224">
        <v>698.7088647457094</v>
      </c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</row>
    <row r="487" ht="13.5" customHeight="1">
      <c r="A487" s="423" t="s">
        <v>84</v>
      </c>
      <c r="B487" s="423" t="s">
        <v>1886</v>
      </c>
      <c r="C487" s="585" t="s">
        <v>3074</v>
      </c>
      <c r="D487" s="582" t="s">
        <v>3441</v>
      </c>
      <c r="E487" s="134" t="s">
        <v>3094</v>
      </c>
      <c r="F487" s="134" t="s">
        <v>3076</v>
      </c>
      <c r="G487" s="583" t="s">
        <v>3457</v>
      </c>
      <c r="H487" s="583" t="s">
        <v>4315</v>
      </c>
      <c r="I487" s="581" t="s">
        <v>3459</v>
      </c>
      <c r="J487" s="134"/>
      <c r="K487" s="585" t="s">
        <v>147</v>
      </c>
      <c r="L487" s="361"/>
      <c r="M487" s="582" t="s">
        <v>3081</v>
      </c>
      <c r="N487" s="361"/>
      <c r="O487" s="361"/>
      <c r="P487" s="361">
        <v>9.403208E9</v>
      </c>
      <c r="Q487" s="132">
        <v>457.6051015588097</v>
      </c>
      <c r="R487" s="592" t="s">
        <v>10</v>
      </c>
      <c r="S487" s="49"/>
      <c r="T487" s="224">
        <v>1525.3503385293657</v>
      </c>
      <c r="U487" s="224">
        <v>915.2102031176194</v>
      </c>
      <c r="V487" s="224">
        <v>762.6751692646828</v>
      </c>
      <c r="W487" s="224">
        <v>610.1401354117463</v>
      </c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</row>
    <row r="488" ht="13.5" customHeight="1">
      <c r="A488" s="423" t="s">
        <v>84</v>
      </c>
      <c r="B488" s="423" t="s">
        <v>1886</v>
      </c>
      <c r="C488" s="585" t="s">
        <v>3074</v>
      </c>
      <c r="D488" s="582" t="s">
        <v>3441</v>
      </c>
      <c r="E488" s="134" t="s">
        <v>3094</v>
      </c>
      <c r="F488" s="134" t="s">
        <v>3076</v>
      </c>
      <c r="G488" s="583" t="s">
        <v>3460</v>
      </c>
      <c r="H488" s="583" t="s">
        <v>4316</v>
      </c>
      <c r="I488" s="581" t="s">
        <v>3462</v>
      </c>
      <c r="J488" s="134"/>
      <c r="K488" s="585" t="s">
        <v>147</v>
      </c>
      <c r="L488" s="361"/>
      <c r="M488" s="582" t="s">
        <v>3081</v>
      </c>
      <c r="N488" s="361"/>
      <c r="O488" s="361"/>
      <c r="P488" s="361">
        <v>9.403208E9</v>
      </c>
      <c r="Q488" s="132">
        <v>376.41709966934343</v>
      </c>
      <c r="R488" s="592" t="s">
        <v>10</v>
      </c>
      <c r="S488" s="49"/>
      <c r="T488" s="224">
        <v>1254.723665564478</v>
      </c>
      <c r="U488" s="224">
        <v>752.8341993386869</v>
      </c>
      <c r="V488" s="224">
        <v>627.361832782239</v>
      </c>
      <c r="W488" s="224">
        <v>501.88946622579124</v>
      </c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</row>
    <row r="489" ht="13.5" customHeight="1">
      <c r="A489" s="423" t="s">
        <v>84</v>
      </c>
      <c r="B489" s="423" t="s">
        <v>1886</v>
      </c>
      <c r="C489" s="585" t="s">
        <v>3074</v>
      </c>
      <c r="D489" s="582" t="s">
        <v>3441</v>
      </c>
      <c r="E489" s="134" t="s">
        <v>3094</v>
      </c>
      <c r="F489" s="134" t="s">
        <v>3101</v>
      </c>
      <c r="G489" s="583" t="s">
        <v>3463</v>
      </c>
      <c r="H489" s="583" t="s">
        <v>4317</v>
      </c>
      <c r="I489" s="581" t="s">
        <v>3465</v>
      </c>
      <c r="J489" s="134"/>
      <c r="K489" s="585" t="s">
        <v>147</v>
      </c>
      <c r="L489" s="361"/>
      <c r="M489" s="582" t="s">
        <v>3081</v>
      </c>
      <c r="N489" s="361"/>
      <c r="O489" s="361"/>
      <c r="P489" s="361">
        <v>9.403208E9</v>
      </c>
      <c r="Q489" s="132">
        <v>487.1280113367974</v>
      </c>
      <c r="R489" s="592" t="s">
        <v>10</v>
      </c>
      <c r="S489" s="49"/>
      <c r="T489" s="224">
        <v>1623.7600377893248</v>
      </c>
      <c r="U489" s="224">
        <v>974.2560226735948</v>
      </c>
      <c r="V489" s="224">
        <v>811.8800188946624</v>
      </c>
      <c r="W489" s="224">
        <v>649.50401511573</v>
      </c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</row>
    <row r="490" ht="13.5" customHeight="1">
      <c r="A490" s="423" t="s">
        <v>84</v>
      </c>
      <c r="B490" s="423" t="s">
        <v>1886</v>
      </c>
      <c r="C490" s="585" t="s">
        <v>3074</v>
      </c>
      <c r="D490" s="582" t="s">
        <v>3441</v>
      </c>
      <c r="E490" s="134" t="s">
        <v>3094</v>
      </c>
      <c r="F490" s="134" t="s">
        <v>3101</v>
      </c>
      <c r="G490" s="583" t="s">
        <v>3466</v>
      </c>
      <c r="H490" s="583" t="s">
        <v>4318</v>
      </c>
      <c r="I490" s="581" t="s">
        <v>3468</v>
      </c>
      <c r="J490" s="134"/>
      <c r="K490" s="585" t="s">
        <v>147</v>
      </c>
      <c r="L490" s="361"/>
      <c r="M490" s="582" t="s">
        <v>3081</v>
      </c>
      <c r="N490" s="361"/>
      <c r="O490" s="361"/>
      <c r="P490" s="361">
        <v>9.403208E9</v>
      </c>
      <c r="Q490" s="132">
        <v>391.1785545583373</v>
      </c>
      <c r="R490" s="592" t="s">
        <v>10</v>
      </c>
      <c r="S490" s="49"/>
      <c r="T490" s="224">
        <v>1303.9285151944578</v>
      </c>
      <c r="U490" s="224">
        <v>782.3571091166747</v>
      </c>
      <c r="V490" s="224">
        <v>651.9642575972289</v>
      </c>
      <c r="W490" s="224">
        <v>521.5714060777831</v>
      </c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</row>
    <row r="491" ht="13.5" customHeight="1">
      <c r="A491" s="423" t="s">
        <v>84</v>
      </c>
      <c r="B491" s="423" t="s">
        <v>1886</v>
      </c>
      <c r="C491" s="585" t="s">
        <v>3074</v>
      </c>
      <c r="D491" s="582" t="s">
        <v>3441</v>
      </c>
      <c r="E491" s="134" t="s">
        <v>3094</v>
      </c>
      <c r="F491" s="134" t="s">
        <v>3159</v>
      </c>
      <c r="G491" s="583" t="s">
        <v>3469</v>
      </c>
      <c r="H491" s="583" t="s">
        <v>4319</v>
      </c>
      <c r="I491" s="581" t="s">
        <v>3471</v>
      </c>
      <c r="J491" s="134"/>
      <c r="K491" s="585" t="s">
        <v>147</v>
      </c>
      <c r="L491" s="361"/>
      <c r="M491" s="582" t="s">
        <v>3081</v>
      </c>
      <c r="N491" s="361"/>
      <c r="O491" s="361"/>
      <c r="P491" s="361">
        <v>9.403208E9</v>
      </c>
      <c r="Q491" s="132">
        <v>656.8847425602269</v>
      </c>
      <c r="R491" s="592" t="s">
        <v>10</v>
      </c>
      <c r="S491" s="49"/>
      <c r="T491" s="224">
        <v>2189.61580853409</v>
      </c>
      <c r="U491" s="224">
        <v>1313.769485120454</v>
      </c>
      <c r="V491" s="224">
        <v>1094.807904267045</v>
      </c>
      <c r="W491" s="224">
        <v>875.846323413636</v>
      </c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</row>
    <row r="492" ht="13.5" customHeight="1">
      <c r="A492" s="423" t="s">
        <v>84</v>
      </c>
      <c r="B492" s="423" t="s">
        <v>1886</v>
      </c>
      <c r="C492" s="585" t="s">
        <v>3074</v>
      </c>
      <c r="D492" s="582" t="s">
        <v>3441</v>
      </c>
      <c r="E492" s="134" t="s">
        <v>3094</v>
      </c>
      <c r="F492" s="134" t="s">
        <v>3159</v>
      </c>
      <c r="G492" s="583" t="s">
        <v>3472</v>
      </c>
      <c r="H492" s="583" t="s">
        <v>4320</v>
      </c>
      <c r="I492" s="581" t="s">
        <v>3474</v>
      </c>
      <c r="J492" s="134"/>
      <c r="K492" s="585" t="s">
        <v>147</v>
      </c>
      <c r="L492" s="361"/>
      <c r="M492" s="582" t="s">
        <v>3081</v>
      </c>
      <c r="N492" s="361"/>
      <c r="O492" s="361"/>
      <c r="P492" s="361">
        <v>9.403208E9</v>
      </c>
      <c r="Q492" s="132">
        <v>546.1738308927729</v>
      </c>
      <c r="R492" s="592" t="s">
        <v>10</v>
      </c>
      <c r="S492" s="49"/>
      <c r="T492" s="224">
        <v>1820.5794363092432</v>
      </c>
      <c r="U492" s="224">
        <v>1092.3476617855458</v>
      </c>
      <c r="V492" s="224">
        <v>910.2897181546216</v>
      </c>
      <c r="W492" s="224">
        <v>728.2317745236974</v>
      </c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</row>
    <row r="493" ht="13.5" customHeight="1">
      <c r="A493" s="423" t="s">
        <v>84</v>
      </c>
      <c r="B493" s="423" t="s">
        <v>1886</v>
      </c>
      <c r="C493" s="585" t="s">
        <v>3074</v>
      </c>
      <c r="D493" s="582" t="s">
        <v>3441</v>
      </c>
      <c r="E493" s="134" t="s">
        <v>3228</v>
      </c>
      <c r="F493" s="134" t="s">
        <v>3134</v>
      </c>
      <c r="G493" s="583" t="s">
        <v>3475</v>
      </c>
      <c r="H493" s="583" t="s">
        <v>4321</v>
      </c>
      <c r="I493" s="581" t="s">
        <v>3477</v>
      </c>
      <c r="J493" s="134"/>
      <c r="K493" s="585" t="s">
        <v>147</v>
      </c>
      <c r="L493" s="361"/>
      <c r="M493" s="582" t="s">
        <v>3081</v>
      </c>
      <c r="N493" s="361"/>
      <c r="O493" s="361"/>
      <c r="P493" s="361">
        <v>9.403208E9</v>
      </c>
      <c r="Q493" s="132">
        <v>664.2654700047237</v>
      </c>
      <c r="R493" s="592" t="s">
        <v>10</v>
      </c>
      <c r="S493" s="49"/>
      <c r="T493" s="224">
        <v>2214.218233349079</v>
      </c>
      <c r="U493" s="224">
        <v>1328.5309400094475</v>
      </c>
      <c r="V493" s="224">
        <v>1107.1091166745396</v>
      </c>
      <c r="W493" s="224">
        <v>885.6872933396317</v>
      </c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</row>
    <row r="494" ht="13.5" customHeight="1">
      <c r="A494" s="423" t="s">
        <v>84</v>
      </c>
      <c r="B494" s="423" t="s">
        <v>1886</v>
      </c>
      <c r="C494" s="585" t="s">
        <v>3074</v>
      </c>
      <c r="D494" s="582" t="s">
        <v>3441</v>
      </c>
      <c r="E494" s="134" t="s">
        <v>3228</v>
      </c>
      <c r="F494" s="134" t="s">
        <v>3134</v>
      </c>
      <c r="G494" s="583" t="s">
        <v>3478</v>
      </c>
      <c r="H494" s="583" t="s">
        <v>4322</v>
      </c>
      <c r="I494" s="581" t="s">
        <v>3480</v>
      </c>
      <c r="J494" s="134"/>
      <c r="K494" s="585" t="s">
        <v>147</v>
      </c>
      <c r="L494" s="361"/>
      <c r="M494" s="582" t="s">
        <v>3081</v>
      </c>
      <c r="N494" s="361"/>
      <c r="O494" s="361"/>
      <c r="P494" s="361">
        <v>9.403208E9</v>
      </c>
      <c r="Q494" s="132">
        <v>575.6967406707606</v>
      </c>
      <c r="R494" s="592" t="s">
        <v>10</v>
      </c>
      <c r="S494" s="49"/>
      <c r="T494" s="224">
        <v>1918.989135569202</v>
      </c>
      <c r="U494" s="224">
        <v>1151.3934813415212</v>
      </c>
      <c r="V494" s="224">
        <v>959.494567784601</v>
      </c>
      <c r="W494" s="224">
        <v>767.5956542276808</v>
      </c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</row>
    <row r="495" ht="13.5" customHeight="1">
      <c r="A495" s="423" t="s">
        <v>84</v>
      </c>
      <c r="B495" s="423" t="s">
        <v>1886</v>
      </c>
      <c r="C495" s="585" t="s">
        <v>3074</v>
      </c>
      <c r="D495" s="582" t="s">
        <v>3441</v>
      </c>
      <c r="E495" s="134" t="s">
        <v>3228</v>
      </c>
      <c r="F495" s="134" t="s">
        <v>3159</v>
      </c>
      <c r="G495" s="583" t="s">
        <v>3481</v>
      </c>
      <c r="H495" s="583" t="s">
        <v>4323</v>
      </c>
      <c r="I495" s="581" t="s">
        <v>3483</v>
      </c>
      <c r="J495" s="134"/>
      <c r="K495" s="585" t="s">
        <v>147</v>
      </c>
      <c r="L495" s="361"/>
      <c r="M495" s="582" t="s">
        <v>3081</v>
      </c>
      <c r="N495" s="361"/>
      <c r="O495" s="361"/>
      <c r="P495" s="361">
        <v>9.403208E9</v>
      </c>
      <c r="Q495" s="132">
        <v>723.3112895606992</v>
      </c>
      <c r="R495" s="592" t="s">
        <v>10</v>
      </c>
      <c r="S495" s="49"/>
      <c r="T495" s="224">
        <v>2411.0376318689973</v>
      </c>
      <c r="U495" s="224">
        <v>1446.6225791213983</v>
      </c>
      <c r="V495" s="224">
        <v>1205.5188159344987</v>
      </c>
      <c r="W495" s="224">
        <v>964.415052747599</v>
      </c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</row>
    <row r="496" ht="13.5" customHeight="1">
      <c r="A496" s="423" t="s">
        <v>84</v>
      </c>
      <c r="B496" s="423" t="s">
        <v>1886</v>
      </c>
      <c r="C496" s="585" t="s">
        <v>3074</v>
      </c>
      <c r="D496" s="582" t="s">
        <v>3441</v>
      </c>
      <c r="E496" s="134" t="s">
        <v>3228</v>
      </c>
      <c r="F496" s="134" t="s">
        <v>3159</v>
      </c>
      <c r="G496" s="583" t="s">
        <v>3484</v>
      </c>
      <c r="H496" s="583" t="s">
        <v>4324</v>
      </c>
      <c r="I496" s="581" t="s">
        <v>3486</v>
      </c>
      <c r="J496" s="134"/>
      <c r="K496" s="585" t="s">
        <v>147</v>
      </c>
      <c r="L496" s="361"/>
      <c r="M496" s="582" t="s">
        <v>3081</v>
      </c>
      <c r="N496" s="361"/>
      <c r="O496" s="361"/>
      <c r="P496" s="361">
        <v>9.403208E9</v>
      </c>
      <c r="Q496" s="132">
        <v>612.6003778932452</v>
      </c>
      <c r="R496" s="592" t="s">
        <v>10</v>
      </c>
      <c r="S496" s="49"/>
      <c r="T496" s="224">
        <v>2042.0012596441507</v>
      </c>
      <c r="U496" s="224">
        <v>1225.2007557864904</v>
      </c>
      <c r="V496" s="224">
        <v>1021.0006298220753</v>
      </c>
      <c r="W496" s="224">
        <v>816.8005038576603</v>
      </c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</row>
    <row r="497" ht="13.5" customHeight="1">
      <c r="A497" s="423" t="s">
        <v>84</v>
      </c>
      <c r="B497" s="423" t="s">
        <v>1886</v>
      </c>
      <c r="C497" s="585" t="s">
        <v>2920</v>
      </c>
      <c r="D497" s="582" t="s">
        <v>3185</v>
      </c>
      <c r="E497" s="134" t="s">
        <v>3490</v>
      </c>
      <c r="F497" s="134"/>
      <c r="G497" s="583" t="s">
        <v>3491</v>
      </c>
      <c r="H497" s="583" t="s">
        <v>4325</v>
      </c>
      <c r="I497" s="581" t="s">
        <v>3493</v>
      </c>
      <c r="J497" s="134"/>
      <c r="K497" s="585" t="s">
        <v>147</v>
      </c>
      <c r="L497" s="361"/>
      <c r="M497" s="582" t="s">
        <v>3081</v>
      </c>
      <c r="N497" s="361"/>
      <c r="O497" s="361"/>
      <c r="P497" s="361">
        <v>9.403208E9</v>
      </c>
      <c r="Q497" s="132">
        <v>111.68411330049261</v>
      </c>
      <c r="R497" s="592" t="s">
        <v>10</v>
      </c>
      <c r="S497" s="49"/>
      <c r="T497" s="224">
        <v>372.28037766830874</v>
      </c>
      <c r="U497" s="224">
        <v>223.36822660098525</v>
      </c>
      <c r="V497" s="224">
        <v>186.14018883415437</v>
      </c>
      <c r="W497" s="224">
        <v>148.9121510673235</v>
      </c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</row>
    <row r="498" ht="13.5" customHeight="1">
      <c r="A498" s="423" t="s">
        <v>84</v>
      </c>
      <c r="B498" s="423" t="s">
        <v>1886</v>
      </c>
      <c r="C498" s="585" t="s">
        <v>2920</v>
      </c>
      <c r="D498" s="582" t="s">
        <v>3185</v>
      </c>
      <c r="E498" s="134" t="s">
        <v>3494</v>
      </c>
      <c r="F498" s="134"/>
      <c r="G498" s="583" t="s">
        <v>3495</v>
      </c>
      <c r="H498" s="583" t="s">
        <v>4326</v>
      </c>
      <c r="I498" s="581" t="s">
        <v>3497</v>
      </c>
      <c r="J498" s="134"/>
      <c r="K498" s="585" t="s">
        <v>147</v>
      </c>
      <c r="L498" s="361"/>
      <c r="M498" s="582" t="s">
        <v>3081</v>
      </c>
      <c r="N498" s="361"/>
      <c r="O498" s="361"/>
      <c r="P498" s="361">
        <v>9.403208E9</v>
      </c>
      <c r="Q498" s="132">
        <v>122.76785714285715</v>
      </c>
      <c r="R498" s="592" t="s">
        <v>10</v>
      </c>
      <c r="S498" s="49"/>
      <c r="T498" s="224">
        <v>409.22619047619054</v>
      </c>
      <c r="U498" s="224">
        <v>245.5357142857143</v>
      </c>
      <c r="V498" s="224">
        <v>204.61309523809527</v>
      </c>
      <c r="W498" s="224">
        <v>163.69047619047623</v>
      </c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</row>
    <row r="499" ht="13.5" customHeight="1">
      <c r="A499" s="423" t="s">
        <v>84</v>
      </c>
      <c r="B499" s="423" t="s">
        <v>1886</v>
      </c>
      <c r="C499" s="585" t="s">
        <v>2920</v>
      </c>
      <c r="D499" s="582" t="s">
        <v>3185</v>
      </c>
      <c r="E499" s="134" t="s">
        <v>3494</v>
      </c>
      <c r="F499" s="134"/>
      <c r="G499" s="583" t="s">
        <v>3498</v>
      </c>
      <c r="H499" s="583" t="s">
        <v>4327</v>
      </c>
      <c r="I499" s="581" t="s">
        <v>3500</v>
      </c>
      <c r="J499" s="134"/>
      <c r="K499" s="585" t="s">
        <v>147</v>
      </c>
      <c r="L499" s="361"/>
      <c r="M499" s="582" t="s">
        <v>3081</v>
      </c>
      <c r="N499" s="361"/>
      <c r="O499" s="361"/>
      <c r="P499" s="361">
        <v>9.403208E9</v>
      </c>
      <c r="Q499" s="132">
        <v>125.07697044334978</v>
      </c>
      <c r="R499" s="592" t="s">
        <v>10</v>
      </c>
      <c r="S499" s="49"/>
      <c r="T499" s="224">
        <v>416.92323481116597</v>
      </c>
      <c r="U499" s="224">
        <v>250.15394088669956</v>
      </c>
      <c r="V499" s="224">
        <v>208.46161740558298</v>
      </c>
      <c r="W499" s="224">
        <v>166.7692939244664</v>
      </c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</row>
    <row r="500" ht="13.5" customHeight="1">
      <c r="A500" s="423" t="s">
        <v>84</v>
      </c>
      <c r="B500" s="423" t="s">
        <v>1886</v>
      </c>
      <c r="C500" s="585" t="s">
        <v>2920</v>
      </c>
      <c r="D500" s="582" t="s">
        <v>3185</v>
      </c>
      <c r="E500" s="134" t="s">
        <v>3494</v>
      </c>
      <c r="F500" s="134"/>
      <c r="G500" s="583" t="s">
        <v>3501</v>
      </c>
      <c r="H500" s="583" t="s">
        <v>4328</v>
      </c>
      <c r="I500" s="581" t="s">
        <v>3503</v>
      </c>
      <c r="J500" s="134"/>
      <c r="K500" s="585" t="s">
        <v>147</v>
      </c>
      <c r="L500" s="361"/>
      <c r="M500" s="582" t="s">
        <v>3081</v>
      </c>
      <c r="N500" s="361"/>
      <c r="O500" s="361"/>
      <c r="P500" s="361">
        <v>9.403208E9</v>
      </c>
      <c r="Q500" s="132">
        <v>144.31958128078819</v>
      </c>
      <c r="R500" s="592" t="s">
        <v>10</v>
      </c>
      <c r="S500" s="49"/>
      <c r="T500" s="224">
        <v>481.06527093596065</v>
      </c>
      <c r="U500" s="224">
        <v>288.63916256157637</v>
      </c>
      <c r="V500" s="224">
        <v>240.53263546798033</v>
      </c>
      <c r="W500" s="224">
        <v>192.42610837438428</v>
      </c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</row>
    <row r="501" ht="13.5" customHeight="1">
      <c r="A501" s="423" t="s">
        <v>84</v>
      </c>
      <c r="B501" s="423" t="s">
        <v>1886</v>
      </c>
      <c r="C501" s="585" t="s">
        <v>2920</v>
      </c>
      <c r="D501" s="582" t="s">
        <v>3185</v>
      </c>
      <c r="E501" s="134" t="s">
        <v>3494</v>
      </c>
      <c r="F501" s="134"/>
      <c r="G501" s="583" t="s">
        <v>3504</v>
      </c>
      <c r="H501" s="583" t="s">
        <v>4329</v>
      </c>
      <c r="I501" s="581" t="s">
        <v>3506</v>
      </c>
      <c r="J501" s="134"/>
      <c r="K501" s="585" t="s">
        <v>147</v>
      </c>
      <c r="L501" s="361"/>
      <c r="M501" s="582" t="s">
        <v>3081</v>
      </c>
      <c r="N501" s="361"/>
      <c r="O501" s="361"/>
      <c r="P501" s="361">
        <v>9.403208E9</v>
      </c>
      <c r="Q501" s="132">
        <v>32.481527093596064</v>
      </c>
      <c r="R501" s="592" t="s">
        <v>10</v>
      </c>
      <c r="S501" s="49"/>
      <c r="T501" s="224">
        <v>108.27175697865356</v>
      </c>
      <c r="U501" s="224">
        <v>64.96305418719213</v>
      </c>
      <c r="V501" s="224">
        <v>54.13587848932678</v>
      </c>
      <c r="W501" s="224">
        <v>43.30870279146143</v>
      </c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</row>
    <row r="502" ht="13.5" customHeight="1">
      <c r="A502" s="423" t="s">
        <v>84</v>
      </c>
      <c r="B502" s="423" t="s">
        <v>1886</v>
      </c>
      <c r="C502" s="585" t="s">
        <v>2920</v>
      </c>
      <c r="D502" s="582" t="s">
        <v>3185</v>
      </c>
      <c r="E502" s="134" t="s">
        <v>3494</v>
      </c>
      <c r="F502" s="134"/>
      <c r="G502" s="583" t="s">
        <v>3507</v>
      </c>
      <c r="H502" s="583" t="s">
        <v>4330</v>
      </c>
      <c r="I502" s="581" t="s">
        <v>3509</v>
      </c>
      <c r="J502" s="134"/>
      <c r="K502" s="585" t="s">
        <v>147</v>
      </c>
      <c r="L502" s="361"/>
      <c r="M502" s="582" t="s">
        <v>3081</v>
      </c>
      <c r="N502" s="361"/>
      <c r="O502" s="361"/>
      <c r="P502" s="361">
        <v>9.403208E9</v>
      </c>
      <c r="Q502" s="132">
        <v>24.47660098522168</v>
      </c>
      <c r="R502" s="592" t="s">
        <v>10</v>
      </c>
      <c r="S502" s="49"/>
      <c r="T502" s="224">
        <v>81.58866995073893</v>
      </c>
      <c r="U502" s="224">
        <v>48.95320197044336</v>
      </c>
      <c r="V502" s="224">
        <v>40.794334975369466</v>
      </c>
      <c r="W502" s="224">
        <v>32.63546798029557</v>
      </c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</row>
    <row r="503" ht="13.5" customHeight="1">
      <c r="A503" s="423" t="s">
        <v>84</v>
      </c>
      <c r="B503" s="423" t="s">
        <v>1886</v>
      </c>
      <c r="C503" s="585" t="s">
        <v>2920</v>
      </c>
      <c r="D503" s="582" t="s">
        <v>3185</v>
      </c>
      <c r="E503" s="134" t="s">
        <v>3075</v>
      </c>
      <c r="F503" s="134"/>
      <c r="G503" s="583" t="s">
        <v>3510</v>
      </c>
      <c r="H503" s="583" t="s">
        <v>4331</v>
      </c>
      <c r="I503" s="581" t="s">
        <v>3512</v>
      </c>
      <c r="J503" s="134"/>
      <c r="K503" s="585" t="s">
        <v>147</v>
      </c>
      <c r="L503" s="361"/>
      <c r="M503" s="582" t="s">
        <v>3081</v>
      </c>
      <c r="N503" s="361"/>
      <c r="O503" s="361"/>
      <c r="P503" s="361">
        <v>9.403208E9</v>
      </c>
      <c r="Q503" s="132">
        <v>142.6570197044335</v>
      </c>
      <c r="R503" s="592" t="s">
        <v>10</v>
      </c>
      <c r="S503" s="49"/>
      <c r="T503" s="224">
        <v>475.52339901477836</v>
      </c>
      <c r="U503" s="224">
        <v>285.314039408867</v>
      </c>
      <c r="V503" s="224">
        <v>237.76169950738918</v>
      </c>
      <c r="W503" s="224">
        <v>190.20935960591135</v>
      </c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</row>
    <row r="504" ht="13.5" customHeight="1">
      <c r="A504" s="423" t="s">
        <v>84</v>
      </c>
      <c r="B504" s="423" t="s">
        <v>1886</v>
      </c>
      <c r="C504" s="585" t="s">
        <v>2920</v>
      </c>
      <c r="D504" s="582" t="s">
        <v>3185</v>
      </c>
      <c r="E504" s="134" t="s">
        <v>3075</v>
      </c>
      <c r="F504" s="134"/>
      <c r="G504" s="583" t="s">
        <v>3513</v>
      </c>
      <c r="H504" s="583" t="s">
        <v>4332</v>
      </c>
      <c r="I504" s="581" t="s">
        <v>3515</v>
      </c>
      <c r="J504" s="134"/>
      <c r="K504" s="585" t="s">
        <v>147</v>
      </c>
      <c r="L504" s="361"/>
      <c r="M504" s="582" t="s">
        <v>3081</v>
      </c>
      <c r="N504" s="361"/>
      <c r="O504" s="361"/>
      <c r="P504" s="361">
        <v>9.403208E9</v>
      </c>
      <c r="Q504" s="132">
        <v>144.96613300492612</v>
      </c>
      <c r="R504" s="592" t="s">
        <v>10</v>
      </c>
      <c r="S504" s="49"/>
      <c r="T504" s="224">
        <v>483.22044334975374</v>
      </c>
      <c r="U504" s="224">
        <v>289.93226600985224</v>
      </c>
      <c r="V504" s="224">
        <v>241.61022167487687</v>
      </c>
      <c r="W504" s="224">
        <v>193.2881773399015</v>
      </c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</row>
    <row r="505" ht="13.5" customHeight="1">
      <c r="A505" s="423" t="s">
        <v>84</v>
      </c>
      <c r="B505" s="423" t="s">
        <v>1886</v>
      </c>
      <c r="C505" s="585" t="s">
        <v>2920</v>
      </c>
      <c r="D505" s="582" t="s">
        <v>3185</v>
      </c>
      <c r="E505" s="134" t="s">
        <v>3075</v>
      </c>
      <c r="F505" s="134"/>
      <c r="G505" s="583" t="s">
        <v>3516</v>
      </c>
      <c r="H505" s="583" t="s">
        <v>4333</v>
      </c>
      <c r="I505" s="581" t="s">
        <v>3518</v>
      </c>
      <c r="J505" s="134"/>
      <c r="K505" s="585" t="s">
        <v>147</v>
      </c>
      <c r="L505" s="361"/>
      <c r="M505" s="582" t="s">
        <v>3081</v>
      </c>
      <c r="N505" s="361"/>
      <c r="O505" s="361"/>
      <c r="P505" s="361">
        <v>9.403208E9</v>
      </c>
      <c r="Q505" s="132">
        <v>161.6379310344828</v>
      </c>
      <c r="R505" s="592" t="s">
        <v>10</v>
      </c>
      <c r="S505" s="49"/>
      <c r="T505" s="224">
        <v>538.793103448276</v>
      </c>
      <c r="U505" s="224">
        <v>323.27586206896564</v>
      </c>
      <c r="V505" s="224">
        <v>269.396551724138</v>
      </c>
      <c r="W505" s="224">
        <v>215.51724137931043</v>
      </c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</row>
    <row r="506" ht="13.5" customHeight="1">
      <c r="A506" s="423" t="s">
        <v>84</v>
      </c>
      <c r="B506" s="423" t="s">
        <v>1886</v>
      </c>
      <c r="C506" s="585" t="s">
        <v>2920</v>
      </c>
      <c r="D506" s="582" t="s">
        <v>3185</v>
      </c>
      <c r="E506" s="134" t="s">
        <v>3075</v>
      </c>
      <c r="F506" s="134"/>
      <c r="G506" s="583" t="s">
        <v>3519</v>
      </c>
      <c r="H506" s="583" t="s">
        <v>4334</v>
      </c>
      <c r="I506" s="581" t="s">
        <v>3521</v>
      </c>
      <c r="J506" s="134"/>
      <c r="K506" s="585" t="s">
        <v>147</v>
      </c>
      <c r="L506" s="361"/>
      <c r="M506" s="582" t="s">
        <v>3081</v>
      </c>
      <c r="N506" s="361"/>
      <c r="O506" s="361"/>
      <c r="P506" s="361">
        <v>9.403208E9</v>
      </c>
      <c r="Q506" s="132">
        <v>167.21059113300498</v>
      </c>
      <c r="R506" s="592" t="s">
        <v>10</v>
      </c>
      <c r="S506" s="49"/>
      <c r="T506" s="224">
        <v>557.3686371100166</v>
      </c>
      <c r="U506" s="224">
        <v>334.42118226600996</v>
      </c>
      <c r="V506" s="224">
        <v>278.6843185550083</v>
      </c>
      <c r="W506" s="224">
        <v>222.94745484400664</v>
      </c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</row>
    <row r="507" ht="13.5" customHeight="1">
      <c r="A507" s="423" t="s">
        <v>84</v>
      </c>
      <c r="B507" s="423" t="s">
        <v>1886</v>
      </c>
      <c r="C507" s="585" t="s">
        <v>2920</v>
      </c>
      <c r="D507" s="582" t="s">
        <v>3185</v>
      </c>
      <c r="E507" s="134" t="s">
        <v>3075</v>
      </c>
      <c r="F507" s="134"/>
      <c r="G507" s="583" t="s">
        <v>3522</v>
      </c>
      <c r="H507" s="583" t="s">
        <v>4335</v>
      </c>
      <c r="I507" s="581" t="s">
        <v>3524</v>
      </c>
      <c r="J507" s="134"/>
      <c r="K507" s="585" t="s">
        <v>147</v>
      </c>
      <c r="L507" s="361"/>
      <c r="M507" s="582" t="s">
        <v>3081</v>
      </c>
      <c r="N507" s="361"/>
      <c r="O507" s="361"/>
      <c r="P507" s="361">
        <v>9.403208E9</v>
      </c>
      <c r="Q507" s="132">
        <v>169.33497536945816</v>
      </c>
      <c r="R507" s="592" t="s">
        <v>10</v>
      </c>
      <c r="S507" s="49"/>
      <c r="T507" s="224">
        <v>564.4499178981939</v>
      </c>
      <c r="U507" s="224">
        <v>338.6699507389163</v>
      </c>
      <c r="V507" s="224">
        <v>282.22495894909696</v>
      </c>
      <c r="W507" s="224">
        <v>225.7799671592776</v>
      </c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</row>
    <row r="508" ht="13.5" customHeight="1">
      <c r="A508" s="423" t="s">
        <v>84</v>
      </c>
      <c r="B508" s="423" t="s">
        <v>1886</v>
      </c>
      <c r="C508" s="585" t="s">
        <v>2920</v>
      </c>
      <c r="D508" s="582" t="s">
        <v>3185</v>
      </c>
      <c r="E508" s="134" t="s">
        <v>3075</v>
      </c>
      <c r="F508" s="134"/>
      <c r="G508" s="583" t="s">
        <v>3525</v>
      </c>
      <c r="H508" s="583" t="s">
        <v>4336</v>
      </c>
      <c r="I508" s="581" t="s">
        <v>3527</v>
      </c>
      <c r="J508" s="134"/>
      <c r="K508" s="585" t="s">
        <v>147</v>
      </c>
      <c r="L508" s="361"/>
      <c r="M508" s="582" t="s">
        <v>3081</v>
      </c>
      <c r="N508" s="361"/>
      <c r="O508" s="361"/>
      <c r="P508" s="361">
        <v>9.403208E9</v>
      </c>
      <c r="Q508" s="132">
        <v>186.45320197044336</v>
      </c>
      <c r="R508" s="592" t="s">
        <v>10</v>
      </c>
      <c r="S508" s="49"/>
      <c r="T508" s="224">
        <v>621.5106732348112</v>
      </c>
      <c r="U508" s="224">
        <v>372.9064039408867</v>
      </c>
      <c r="V508" s="224">
        <v>310.7553366174056</v>
      </c>
      <c r="W508" s="224">
        <v>248.6042692939245</v>
      </c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</row>
    <row r="509" ht="13.5" customHeight="1">
      <c r="A509" s="423" t="s">
        <v>84</v>
      </c>
      <c r="B509" s="423" t="s">
        <v>1886</v>
      </c>
      <c r="C509" s="585" t="s">
        <v>2920</v>
      </c>
      <c r="D509" s="582" t="s">
        <v>3185</v>
      </c>
      <c r="E509" s="134" t="s">
        <v>3075</v>
      </c>
      <c r="F509" s="134"/>
      <c r="G509" s="583" t="s">
        <v>3528</v>
      </c>
      <c r="H509" s="583" t="s">
        <v>4337</v>
      </c>
      <c r="I509" s="581" t="s">
        <v>3530</v>
      </c>
      <c r="J509" s="134"/>
      <c r="K509" s="585" t="s">
        <v>147</v>
      </c>
      <c r="L509" s="361"/>
      <c r="M509" s="582" t="s">
        <v>3081</v>
      </c>
      <c r="N509" s="361"/>
      <c r="O509" s="361"/>
      <c r="P509" s="361">
        <v>9.403208E9</v>
      </c>
      <c r="Q509" s="132">
        <v>34.944581280788185</v>
      </c>
      <c r="R509" s="592" t="s">
        <v>10</v>
      </c>
      <c r="S509" s="49"/>
      <c r="T509" s="224">
        <v>116.48193760262728</v>
      </c>
      <c r="U509" s="224">
        <v>69.88916256157637</v>
      </c>
      <c r="V509" s="224">
        <v>58.24096880131364</v>
      </c>
      <c r="W509" s="224">
        <v>46.59277504105091</v>
      </c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</row>
    <row r="510" ht="13.5" customHeight="1">
      <c r="A510" s="423" t="s">
        <v>84</v>
      </c>
      <c r="B510" s="423" t="s">
        <v>1886</v>
      </c>
      <c r="C510" s="585" t="s">
        <v>2920</v>
      </c>
      <c r="D510" s="582" t="s">
        <v>3185</v>
      </c>
      <c r="E510" s="134" t="s">
        <v>3075</v>
      </c>
      <c r="F510" s="134"/>
      <c r="G510" s="583" t="s">
        <v>3531</v>
      </c>
      <c r="H510" s="583" t="s">
        <v>4338</v>
      </c>
      <c r="I510" s="581" t="s">
        <v>3533</v>
      </c>
      <c r="J510" s="134"/>
      <c r="K510" s="585" t="s">
        <v>147</v>
      </c>
      <c r="L510" s="361"/>
      <c r="M510" s="582" t="s">
        <v>3081</v>
      </c>
      <c r="N510" s="361"/>
      <c r="O510" s="361"/>
      <c r="P510" s="361">
        <v>9.403208E9</v>
      </c>
      <c r="Q510" s="132">
        <v>46.64408866995075</v>
      </c>
      <c r="R510" s="592" t="s">
        <v>10</v>
      </c>
      <c r="S510" s="49"/>
      <c r="T510" s="224">
        <v>155.4802955665025</v>
      </c>
      <c r="U510" s="224">
        <v>93.2881773399015</v>
      </c>
      <c r="V510" s="224">
        <v>77.74014778325125</v>
      </c>
      <c r="W510" s="224">
        <v>62.192118226600996</v>
      </c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</row>
    <row r="511" ht="13.5" customHeight="1">
      <c r="A511" s="423" t="s">
        <v>84</v>
      </c>
      <c r="B511" s="423" t="s">
        <v>1886</v>
      </c>
      <c r="C511" s="585" t="s">
        <v>2920</v>
      </c>
      <c r="D511" s="582" t="s">
        <v>3534</v>
      </c>
      <c r="E511" s="134" t="s">
        <v>3535</v>
      </c>
      <c r="F511" s="134"/>
      <c r="G511" s="479" t="s">
        <v>3536</v>
      </c>
      <c r="H511" s="583"/>
      <c r="I511" s="581" t="s">
        <v>3539</v>
      </c>
      <c r="J511" s="134"/>
      <c r="K511" s="585" t="s">
        <v>147</v>
      </c>
      <c r="L511" s="361"/>
      <c r="M511" s="582" t="s">
        <v>3081</v>
      </c>
      <c r="N511" s="361"/>
      <c r="O511" s="361"/>
      <c r="P511" s="361">
        <v>9.403208E9</v>
      </c>
      <c r="Q511" s="132">
        <v>157.69554247266612</v>
      </c>
      <c r="R511" s="592" t="s">
        <v>10</v>
      </c>
      <c r="S511" s="49"/>
      <c r="T511" s="224">
        <v>525.6518082422205</v>
      </c>
      <c r="U511" s="224">
        <v>315.39108494533224</v>
      </c>
      <c r="V511" s="224">
        <v>262.8259041211102</v>
      </c>
      <c r="W511" s="224">
        <v>210.2607232968882</v>
      </c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</row>
    <row r="512" ht="13.5" customHeight="1">
      <c r="A512" s="423" t="s">
        <v>84</v>
      </c>
      <c r="B512" s="423" t="s">
        <v>1886</v>
      </c>
      <c r="C512" s="585" t="s">
        <v>2920</v>
      </c>
      <c r="D512" s="582" t="s">
        <v>3534</v>
      </c>
      <c r="E512" s="134" t="s">
        <v>3490</v>
      </c>
      <c r="F512" s="134"/>
      <c r="G512" s="479" t="s">
        <v>3540</v>
      </c>
      <c r="H512" s="583"/>
      <c r="I512" s="581" t="s">
        <v>3542</v>
      </c>
      <c r="J512" s="134"/>
      <c r="K512" s="585" t="s">
        <v>147</v>
      </c>
      <c r="L512" s="361"/>
      <c r="M512" s="582" t="s">
        <v>3081</v>
      </c>
      <c r="N512" s="361"/>
      <c r="O512" s="361"/>
      <c r="P512" s="361">
        <v>9.403208E9</v>
      </c>
      <c r="Q512" s="132">
        <v>170.8368376787216</v>
      </c>
      <c r="R512" s="592" t="s">
        <v>10</v>
      </c>
      <c r="S512" s="49"/>
      <c r="T512" s="224">
        <v>569.4561255957386</v>
      </c>
      <c r="U512" s="224">
        <v>341.6736753574432</v>
      </c>
      <c r="V512" s="224">
        <v>284.7280627978693</v>
      </c>
      <c r="W512" s="224">
        <v>227.78245023829547</v>
      </c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</row>
    <row r="513" ht="13.5" customHeight="1">
      <c r="A513" s="423" t="s">
        <v>84</v>
      </c>
      <c r="B513" s="423" t="s">
        <v>1886</v>
      </c>
      <c r="C513" s="585" t="s">
        <v>2920</v>
      </c>
      <c r="D513" s="582" t="s">
        <v>3534</v>
      </c>
      <c r="E513" s="134" t="s">
        <v>3494</v>
      </c>
      <c r="F513" s="134"/>
      <c r="G513" s="479" t="s">
        <v>3543</v>
      </c>
      <c r="H513" s="583"/>
      <c r="I513" s="581" t="s">
        <v>3545</v>
      </c>
      <c r="J513" s="134"/>
      <c r="K513" s="585" t="s">
        <v>147</v>
      </c>
      <c r="L513" s="361"/>
      <c r="M513" s="582" t="s">
        <v>3081</v>
      </c>
      <c r="N513" s="361"/>
      <c r="O513" s="361"/>
      <c r="P513" s="361">
        <v>9.403208E9</v>
      </c>
      <c r="Q513" s="132">
        <v>183.97813288477715</v>
      </c>
      <c r="R513" s="592" t="s">
        <v>10</v>
      </c>
      <c r="S513" s="49"/>
      <c r="T513" s="224">
        <v>613.2604429492573</v>
      </c>
      <c r="U513" s="224">
        <v>367.95626576955436</v>
      </c>
      <c r="V513" s="224">
        <v>306.6302214746286</v>
      </c>
      <c r="W513" s="224">
        <v>245.30417717970292</v>
      </c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</row>
    <row r="514" ht="13.5" customHeight="1">
      <c r="A514" s="423" t="s">
        <v>84</v>
      </c>
      <c r="B514" s="423" t="s">
        <v>1886</v>
      </c>
      <c r="C514" s="585" t="s">
        <v>2920</v>
      </c>
      <c r="D514" s="582" t="s">
        <v>3534</v>
      </c>
      <c r="E514" s="134" t="s">
        <v>3546</v>
      </c>
      <c r="F514" s="134"/>
      <c r="G514" s="479" t="s">
        <v>3547</v>
      </c>
      <c r="H514" s="583"/>
      <c r="I514" s="581" t="s">
        <v>3549</v>
      </c>
      <c r="J514" s="134"/>
      <c r="K514" s="585" t="s">
        <v>147</v>
      </c>
      <c r="L514" s="361"/>
      <c r="M514" s="582" t="s">
        <v>3081</v>
      </c>
      <c r="N514" s="361"/>
      <c r="O514" s="361"/>
      <c r="P514" s="361">
        <v>9.403208E9</v>
      </c>
      <c r="Q514" s="132">
        <v>210.26072329688813</v>
      </c>
      <c r="R514" s="592" t="s">
        <v>10</v>
      </c>
      <c r="S514" s="49"/>
      <c r="T514" s="224">
        <v>700.8690776562938</v>
      </c>
      <c r="U514" s="224">
        <v>420.52144659377626</v>
      </c>
      <c r="V514" s="224">
        <v>350.4345388281469</v>
      </c>
      <c r="W514" s="224">
        <v>280.34763106251756</v>
      </c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</row>
    <row r="515" ht="13.5" customHeight="1">
      <c r="A515" s="423" t="s">
        <v>84</v>
      </c>
      <c r="B515" s="423" t="s">
        <v>1886</v>
      </c>
      <c r="C515" s="585" t="s">
        <v>2920</v>
      </c>
      <c r="D515" s="582" t="s">
        <v>3534</v>
      </c>
      <c r="E515" s="134" t="s">
        <v>3550</v>
      </c>
      <c r="F515" s="134"/>
      <c r="G515" s="479" t="s">
        <v>3551</v>
      </c>
      <c r="H515" s="583"/>
      <c r="I515" s="581" t="s">
        <v>3553</v>
      </c>
      <c r="J515" s="134"/>
      <c r="K515" s="585" t="s">
        <v>147</v>
      </c>
      <c r="L515" s="361"/>
      <c r="M515" s="582" t="s">
        <v>3081</v>
      </c>
      <c r="N515" s="361"/>
      <c r="O515" s="361"/>
      <c r="P515" s="361">
        <v>9.403208E9</v>
      </c>
      <c r="Q515" s="132">
        <v>223.40201850294366</v>
      </c>
      <c r="R515" s="592" t="s">
        <v>10</v>
      </c>
      <c r="S515" s="49"/>
      <c r="T515" s="224">
        <v>744.6733950098122</v>
      </c>
      <c r="U515" s="224">
        <v>446.8040370058873</v>
      </c>
      <c r="V515" s="224">
        <v>372.3366975049061</v>
      </c>
      <c r="W515" s="224">
        <v>297.8693580039249</v>
      </c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</row>
    <row r="516" ht="13.5" customHeight="1">
      <c r="A516" s="423" t="s">
        <v>84</v>
      </c>
      <c r="B516" s="423" t="s">
        <v>1886</v>
      </c>
      <c r="C516" s="585" t="s">
        <v>2920</v>
      </c>
      <c r="D516" s="582" t="s">
        <v>3534</v>
      </c>
      <c r="E516" s="134" t="s">
        <v>3554</v>
      </c>
      <c r="F516" s="134"/>
      <c r="G516" s="479" t="s">
        <v>3555</v>
      </c>
      <c r="H516" s="583"/>
      <c r="I516" s="581" t="s">
        <v>3557</v>
      </c>
      <c r="J516" s="134"/>
      <c r="K516" s="585" t="s">
        <v>147</v>
      </c>
      <c r="L516" s="361"/>
      <c r="M516" s="582" t="s">
        <v>3081</v>
      </c>
      <c r="N516" s="361"/>
      <c r="O516" s="361"/>
      <c r="P516" s="361">
        <v>9.403208E9</v>
      </c>
      <c r="Q516" s="132">
        <v>236.54331370899916</v>
      </c>
      <c r="R516" s="592" t="s">
        <v>10</v>
      </c>
      <c r="S516" s="49"/>
      <c r="T516" s="224">
        <v>788.4777123633306</v>
      </c>
      <c r="U516" s="224">
        <v>473.08662741799833</v>
      </c>
      <c r="V516" s="224">
        <v>394.2388561816653</v>
      </c>
      <c r="W516" s="224">
        <v>315.3910849453323</v>
      </c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</row>
    <row r="517" ht="13.5" customHeight="1">
      <c r="A517" s="423" t="s">
        <v>84</v>
      </c>
      <c r="B517" s="423" t="s">
        <v>1886</v>
      </c>
      <c r="C517" s="585" t="s">
        <v>2920</v>
      </c>
      <c r="D517" s="582" t="s">
        <v>3534</v>
      </c>
      <c r="E517" s="134" t="s">
        <v>3075</v>
      </c>
      <c r="F517" s="134"/>
      <c r="G517" s="479" t="s">
        <v>3558</v>
      </c>
      <c r="H517" s="583"/>
      <c r="I517" s="581" t="s">
        <v>3560</v>
      </c>
      <c r="J517" s="134"/>
      <c r="K517" s="585" t="s">
        <v>147</v>
      </c>
      <c r="L517" s="361"/>
      <c r="M517" s="582" t="s">
        <v>3081</v>
      </c>
      <c r="N517" s="361"/>
      <c r="O517" s="361"/>
      <c r="P517" s="361">
        <v>9.403208E9</v>
      </c>
      <c r="Q517" s="132">
        <v>262.82590412111017</v>
      </c>
      <c r="R517" s="592" t="s">
        <v>10</v>
      </c>
      <c r="S517" s="49"/>
      <c r="T517" s="224">
        <v>876.0863470703673</v>
      </c>
      <c r="U517" s="224">
        <v>525.6518082422203</v>
      </c>
      <c r="V517" s="224">
        <v>438.04317353518366</v>
      </c>
      <c r="W517" s="224">
        <v>350.43453882814697</v>
      </c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</row>
    <row r="518" ht="13.5" customHeight="1">
      <c r="A518" s="423" t="s">
        <v>84</v>
      </c>
      <c r="B518" s="423" t="s">
        <v>1886</v>
      </c>
      <c r="C518" s="585" t="s">
        <v>2920</v>
      </c>
      <c r="D518" s="582" t="s">
        <v>3185</v>
      </c>
      <c r="E518" s="134" t="s">
        <v>3647</v>
      </c>
      <c r="F518" s="134"/>
      <c r="G518" s="479" t="s">
        <v>3648</v>
      </c>
      <c r="H518" s="583"/>
      <c r="I518" s="581" t="s">
        <v>3650</v>
      </c>
      <c r="J518" s="134"/>
      <c r="K518" s="585" t="s">
        <v>147</v>
      </c>
      <c r="L518" s="361"/>
      <c r="M518" s="582" t="s">
        <v>3081</v>
      </c>
      <c r="N518" s="361"/>
      <c r="O518" s="361"/>
      <c r="P518" s="361">
        <v>9.403208E9</v>
      </c>
      <c r="Q518" s="132">
        <v>75.98364279398763</v>
      </c>
      <c r="R518" s="592" t="s">
        <v>10</v>
      </c>
      <c r="S518" s="49"/>
      <c r="T518" s="224">
        <v>253.2788093132921</v>
      </c>
      <c r="U518" s="224">
        <v>151.96728558797525</v>
      </c>
      <c r="V518" s="224">
        <v>126.63940465664605</v>
      </c>
      <c r="W518" s="224">
        <v>101.31152372531685</v>
      </c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</row>
    <row r="519" ht="13.5" customHeight="1">
      <c r="A519" s="423" t="s">
        <v>84</v>
      </c>
      <c r="B519" s="423" t="s">
        <v>1886</v>
      </c>
      <c r="C519" s="585" t="s">
        <v>2920</v>
      </c>
      <c r="D519" s="582" t="s">
        <v>3185</v>
      </c>
      <c r="E519" s="134" t="s">
        <v>3490</v>
      </c>
      <c r="F519" s="134"/>
      <c r="G519" s="479" t="s">
        <v>3651</v>
      </c>
      <c r="H519" s="583"/>
      <c r="I519" s="581" t="s">
        <v>3653</v>
      </c>
      <c r="J519" s="134"/>
      <c r="K519" s="585" t="s">
        <v>147</v>
      </c>
      <c r="L519" s="361"/>
      <c r="M519" s="582" t="s">
        <v>3081</v>
      </c>
      <c r="N519" s="361"/>
      <c r="O519" s="361"/>
      <c r="P519" s="361">
        <v>9.403208E9</v>
      </c>
      <c r="Q519" s="132">
        <v>82.89124668435014</v>
      </c>
      <c r="R519" s="592" t="s">
        <v>10</v>
      </c>
      <c r="S519" s="49"/>
      <c r="T519" s="224">
        <v>276.3041556145005</v>
      </c>
      <c r="U519" s="224">
        <v>165.78249336870027</v>
      </c>
      <c r="V519" s="224">
        <v>138.15207780725024</v>
      </c>
      <c r="W519" s="224">
        <v>110.5216622458002</v>
      </c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</row>
    <row r="520" ht="13.5" customHeight="1">
      <c r="A520" s="423" t="s">
        <v>84</v>
      </c>
      <c r="B520" s="423" t="s">
        <v>1886</v>
      </c>
      <c r="C520" s="585" t="s">
        <v>2920</v>
      </c>
      <c r="D520" s="582" t="s">
        <v>3185</v>
      </c>
      <c r="E520" s="134" t="s">
        <v>3494</v>
      </c>
      <c r="F520" s="134"/>
      <c r="G520" s="479" t="s">
        <v>3654</v>
      </c>
      <c r="H520" s="583"/>
      <c r="I520" s="581" t="s">
        <v>3656</v>
      </c>
      <c r="J520" s="134"/>
      <c r="K520" s="585" t="s">
        <v>147</v>
      </c>
      <c r="L520" s="361"/>
      <c r="M520" s="582" t="s">
        <v>3081</v>
      </c>
      <c r="N520" s="361"/>
      <c r="O520" s="361"/>
      <c r="P520" s="361">
        <v>9.403208E9</v>
      </c>
      <c r="Q520" s="132">
        <v>89.79885057471263</v>
      </c>
      <c r="R520" s="592" t="s">
        <v>10</v>
      </c>
      <c r="S520" s="49"/>
      <c r="T520" s="224">
        <v>299.32950191570876</v>
      </c>
      <c r="U520" s="224">
        <v>179.59770114942526</v>
      </c>
      <c r="V520" s="224">
        <v>149.66475095785438</v>
      </c>
      <c r="W520" s="224">
        <v>119.73180076628351</v>
      </c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</row>
    <row r="521" ht="13.5" customHeight="1">
      <c r="A521" s="423" t="s">
        <v>84</v>
      </c>
      <c r="B521" s="423" t="s">
        <v>1886</v>
      </c>
      <c r="C521" s="585" t="s">
        <v>2920</v>
      </c>
      <c r="D521" s="582" t="s">
        <v>3185</v>
      </c>
      <c r="E521" s="134" t="s">
        <v>3657</v>
      </c>
      <c r="F521" s="134"/>
      <c r="G521" s="479" t="s">
        <v>3658</v>
      </c>
      <c r="H521" s="583"/>
      <c r="I521" s="581" t="s">
        <v>3660</v>
      </c>
      <c r="J521" s="134"/>
      <c r="K521" s="585" t="s">
        <v>147</v>
      </c>
      <c r="L521" s="361"/>
      <c r="M521" s="582" t="s">
        <v>3081</v>
      </c>
      <c r="N521" s="361"/>
      <c r="O521" s="361"/>
      <c r="P521" s="361">
        <v>9.403208E9</v>
      </c>
      <c r="Q521" s="132">
        <v>103.61405835543768</v>
      </c>
      <c r="R521" s="592" t="s">
        <v>10</v>
      </c>
      <c r="S521" s="49"/>
      <c r="T521" s="224">
        <v>345.3801945181256</v>
      </c>
      <c r="U521" s="224">
        <v>207.22811671087536</v>
      </c>
      <c r="V521" s="224">
        <v>172.6900972590628</v>
      </c>
      <c r="W521" s="224">
        <v>138.15207780725027</v>
      </c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</row>
    <row r="522" ht="13.5" customHeight="1">
      <c r="A522" s="423" t="s">
        <v>84</v>
      </c>
      <c r="B522" s="423" t="s">
        <v>1886</v>
      </c>
      <c r="C522" s="585" t="s">
        <v>2920</v>
      </c>
      <c r="D522" s="582" t="s">
        <v>3185</v>
      </c>
      <c r="E522" s="134" t="s">
        <v>3550</v>
      </c>
      <c r="F522" s="134"/>
      <c r="G522" s="479" t="s">
        <v>3661</v>
      </c>
      <c r="H522" s="583"/>
      <c r="I522" s="581" t="s">
        <v>3663</v>
      </c>
      <c r="J522" s="134"/>
      <c r="K522" s="585" t="s">
        <v>147</v>
      </c>
      <c r="L522" s="361"/>
      <c r="M522" s="582" t="s">
        <v>3081</v>
      </c>
      <c r="N522" s="361"/>
      <c r="O522" s="361"/>
      <c r="P522" s="361">
        <v>9.403208E9</v>
      </c>
      <c r="Q522" s="132">
        <v>110.52166224580017</v>
      </c>
      <c r="R522" s="592" t="s">
        <v>10</v>
      </c>
      <c r="S522" s="49"/>
      <c r="T522" s="224">
        <v>368.4055408193339</v>
      </c>
      <c r="U522" s="224">
        <v>221.04332449160034</v>
      </c>
      <c r="V522" s="224">
        <v>184.20277040966695</v>
      </c>
      <c r="W522" s="224">
        <v>147.36221632773356</v>
      </c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</row>
    <row r="523" ht="13.5" customHeight="1">
      <c r="A523" s="423" t="s">
        <v>84</v>
      </c>
      <c r="B523" s="423" t="s">
        <v>1886</v>
      </c>
      <c r="C523" s="585" t="s">
        <v>2920</v>
      </c>
      <c r="D523" s="582" t="s">
        <v>3185</v>
      </c>
      <c r="E523" s="134" t="s">
        <v>3075</v>
      </c>
      <c r="F523" s="134"/>
      <c r="G523" s="479" t="s">
        <v>3664</v>
      </c>
      <c r="H523" s="583"/>
      <c r="I523" s="581" t="s">
        <v>3666</v>
      </c>
      <c r="J523" s="134"/>
      <c r="K523" s="585" t="s">
        <v>147</v>
      </c>
      <c r="L523" s="361"/>
      <c r="M523" s="582" t="s">
        <v>3081</v>
      </c>
      <c r="N523" s="361"/>
      <c r="O523" s="361"/>
      <c r="P523" s="361">
        <v>9.403208E9</v>
      </c>
      <c r="Q523" s="132">
        <v>124.3368700265252</v>
      </c>
      <c r="R523" s="592" t="s">
        <v>10</v>
      </c>
      <c r="S523" s="49"/>
      <c r="T523" s="224">
        <v>414.4562334217507</v>
      </c>
      <c r="U523" s="224">
        <v>248.6737400530504</v>
      </c>
      <c r="V523" s="224">
        <v>207.22811671087536</v>
      </c>
      <c r="W523" s="224">
        <v>165.7824933687003</v>
      </c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</row>
    <row r="524" ht="13.5" customHeight="1">
      <c r="A524" s="423" t="s">
        <v>84</v>
      </c>
      <c r="B524" s="423" t="s">
        <v>1886</v>
      </c>
      <c r="C524" s="585" t="s">
        <v>2920</v>
      </c>
      <c r="D524" s="582" t="s">
        <v>3185</v>
      </c>
      <c r="E524" s="134" t="s">
        <v>3647</v>
      </c>
      <c r="F524" s="134"/>
      <c r="G524" s="479" t="s">
        <v>3667</v>
      </c>
      <c r="H524" s="583"/>
      <c r="I524" s="581" t="s">
        <v>3669</v>
      </c>
      <c r="J524" s="134"/>
      <c r="K524" s="585" t="s">
        <v>147</v>
      </c>
      <c r="L524" s="361"/>
      <c r="M524" s="582" t="s">
        <v>3081</v>
      </c>
      <c r="N524" s="361"/>
      <c r="O524" s="361"/>
      <c r="P524" s="361">
        <v>9.403208E9</v>
      </c>
      <c r="Q524" s="132">
        <v>82.89124668435014</v>
      </c>
      <c r="R524" s="592" t="s">
        <v>10</v>
      </c>
      <c r="S524" s="49"/>
      <c r="T524" s="224">
        <v>276.3041556145005</v>
      </c>
      <c r="U524" s="224">
        <v>165.78249336870027</v>
      </c>
      <c r="V524" s="224">
        <v>138.15207780725024</v>
      </c>
      <c r="W524" s="224">
        <v>110.5216622458002</v>
      </c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</row>
    <row r="525" ht="13.5" customHeight="1">
      <c r="A525" s="423" t="s">
        <v>84</v>
      </c>
      <c r="B525" s="423" t="s">
        <v>1886</v>
      </c>
      <c r="C525" s="585" t="s">
        <v>2920</v>
      </c>
      <c r="D525" s="582" t="s">
        <v>3185</v>
      </c>
      <c r="E525" s="134" t="s">
        <v>3490</v>
      </c>
      <c r="F525" s="134"/>
      <c r="G525" s="479" t="s">
        <v>3670</v>
      </c>
      <c r="H525" s="583"/>
      <c r="I525" s="581" t="s">
        <v>3673</v>
      </c>
      <c r="J525" s="134"/>
      <c r="K525" s="585" t="s">
        <v>147</v>
      </c>
      <c r="L525" s="361"/>
      <c r="M525" s="582" t="s">
        <v>3081</v>
      </c>
      <c r="N525" s="361"/>
      <c r="O525" s="361"/>
      <c r="P525" s="361">
        <v>9.403208E9</v>
      </c>
      <c r="Q525" s="132">
        <v>89.79885057471263</v>
      </c>
      <c r="R525" s="592" t="s">
        <v>10</v>
      </c>
      <c r="S525" s="49"/>
      <c r="T525" s="224">
        <v>299.32950191570876</v>
      </c>
      <c r="U525" s="224">
        <v>179.59770114942526</v>
      </c>
      <c r="V525" s="224">
        <v>149.66475095785438</v>
      </c>
      <c r="W525" s="224">
        <v>119.73180076628351</v>
      </c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</row>
    <row r="526" ht="13.5" customHeight="1">
      <c r="A526" s="423" t="s">
        <v>84</v>
      </c>
      <c r="B526" s="423" t="s">
        <v>1886</v>
      </c>
      <c r="C526" s="585" t="s">
        <v>2920</v>
      </c>
      <c r="D526" s="582" t="s">
        <v>3185</v>
      </c>
      <c r="E526" s="134" t="s">
        <v>3494</v>
      </c>
      <c r="F526" s="134"/>
      <c r="G526" s="479" t="s">
        <v>3674</v>
      </c>
      <c r="H526" s="583"/>
      <c r="I526" s="581" t="s">
        <v>3676</v>
      </c>
      <c r="J526" s="134"/>
      <c r="K526" s="585" t="s">
        <v>147</v>
      </c>
      <c r="L526" s="361"/>
      <c r="M526" s="582" t="s">
        <v>3081</v>
      </c>
      <c r="N526" s="361"/>
      <c r="O526" s="361"/>
      <c r="P526" s="361">
        <v>9.403208E9</v>
      </c>
      <c r="Q526" s="132">
        <v>99.46949602122017</v>
      </c>
      <c r="R526" s="592" t="s">
        <v>10</v>
      </c>
      <c r="S526" s="49"/>
      <c r="T526" s="224">
        <v>331.56498673740055</v>
      </c>
      <c r="U526" s="224">
        <v>198.93899204244033</v>
      </c>
      <c r="V526" s="224">
        <v>165.78249336870027</v>
      </c>
      <c r="W526" s="224">
        <v>132.6259946949602</v>
      </c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</row>
    <row r="527" ht="13.5" customHeight="1">
      <c r="A527" s="423" t="s">
        <v>84</v>
      </c>
      <c r="B527" s="423" t="s">
        <v>1886</v>
      </c>
      <c r="C527" s="585" t="s">
        <v>2920</v>
      </c>
      <c r="D527" s="582" t="s">
        <v>3185</v>
      </c>
      <c r="E527" s="134" t="s">
        <v>3657</v>
      </c>
      <c r="F527" s="134"/>
      <c r="G527" s="479" t="s">
        <v>3677</v>
      </c>
      <c r="H527" s="583"/>
      <c r="I527" s="581" t="s">
        <v>3679</v>
      </c>
      <c r="J527" s="134"/>
      <c r="K527" s="585" t="s">
        <v>147</v>
      </c>
      <c r="L527" s="361"/>
      <c r="M527" s="582" t="s">
        <v>3081</v>
      </c>
      <c r="N527" s="361"/>
      <c r="O527" s="361"/>
      <c r="P527" s="361">
        <v>9.403208E9</v>
      </c>
      <c r="Q527" s="132">
        <v>110.52166224580017</v>
      </c>
      <c r="R527" s="592" t="s">
        <v>10</v>
      </c>
      <c r="S527" s="49"/>
      <c r="T527" s="224">
        <v>368.4055408193339</v>
      </c>
      <c r="U527" s="224">
        <v>221.04332449160034</v>
      </c>
      <c r="V527" s="224">
        <v>184.20277040966695</v>
      </c>
      <c r="W527" s="224">
        <v>147.36221632773356</v>
      </c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</row>
    <row r="528" ht="13.5" customHeight="1">
      <c r="A528" s="423" t="s">
        <v>84</v>
      </c>
      <c r="B528" s="423" t="s">
        <v>1886</v>
      </c>
      <c r="C528" s="585" t="s">
        <v>2920</v>
      </c>
      <c r="D528" s="582" t="s">
        <v>3185</v>
      </c>
      <c r="E528" s="134" t="s">
        <v>3550</v>
      </c>
      <c r="F528" s="134"/>
      <c r="G528" s="479" t="s">
        <v>3680</v>
      </c>
      <c r="H528" s="583"/>
      <c r="I528" s="581" t="s">
        <v>3682</v>
      </c>
      <c r="J528" s="134"/>
      <c r="K528" s="585" t="s">
        <v>147</v>
      </c>
      <c r="L528" s="361"/>
      <c r="M528" s="582" t="s">
        <v>3081</v>
      </c>
      <c r="N528" s="361"/>
      <c r="O528" s="361"/>
      <c r="P528" s="361">
        <v>9.403208E9</v>
      </c>
      <c r="Q528" s="132">
        <v>124.3368700265252</v>
      </c>
      <c r="R528" s="592" t="s">
        <v>10</v>
      </c>
      <c r="S528" s="49"/>
      <c r="T528" s="224">
        <v>414.4562334217507</v>
      </c>
      <c r="U528" s="224">
        <v>248.6737400530504</v>
      </c>
      <c r="V528" s="224">
        <v>207.22811671087536</v>
      </c>
      <c r="W528" s="224">
        <v>165.7824933687003</v>
      </c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</row>
    <row r="529" ht="13.5" customHeight="1">
      <c r="A529" s="423" t="s">
        <v>84</v>
      </c>
      <c r="B529" s="423" t="s">
        <v>1886</v>
      </c>
      <c r="C529" s="585" t="s">
        <v>2920</v>
      </c>
      <c r="D529" s="582" t="s">
        <v>3185</v>
      </c>
      <c r="E529" s="134" t="s">
        <v>3075</v>
      </c>
      <c r="F529" s="134"/>
      <c r="G529" s="479" t="s">
        <v>3683</v>
      </c>
      <c r="H529" s="583"/>
      <c r="I529" s="581" t="s">
        <v>3685</v>
      </c>
      <c r="J529" s="134"/>
      <c r="K529" s="585" t="s">
        <v>147</v>
      </c>
      <c r="L529" s="361"/>
      <c r="M529" s="582" t="s">
        <v>3081</v>
      </c>
      <c r="N529" s="361"/>
      <c r="O529" s="361"/>
      <c r="P529" s="361">
        <v>9.403208E9</v>
      </c>
      <c r="Q529" s="132">
        <v>138.1520778072502</v>
      </c>
      <c r="R529" s="592" t="s">
        <v>10</v>
      </c>
      <c r="S529" s="49"/>
      <c r="T529" s="224">
        <v>460.5069260241674</v>
      </c>
      <c r="U529" s="224">
        <v>276.3041556145004</v>
      </c>
      <c r="V529" s="224">
        <v>230.2534630120837</v>
      </c>
      <c r="W529" s="224">
        <v>184.20277040966698</v>
      </c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</row>
    <row r="530" ht="13.5" customHeight="1">
      <c r="A530" s="423" t="s">
        <v>84</v>
      </c>
      <c r="B530" s="423" t="s">
        <v>1886</v>
      </c>
      <c r="C530" s="585" t="s">
        <v>3686</v>
      </c>
      <c r="D530" s="582" t="s">
        <v>3687</v>
      </c>
      <c r="E530" s="134"/>
      <c r="F530" s="134" t="s">
        <v>3134</v>
      </c>
      <c r="G530" s="479" t="s">
        <v>3688</v>
      </c>
      <c r="H530" s="583"/>
      <c r="I530" s="581" t="s">
        <v>3691</v>
      </c>
      <c r="J530" s="134"/>
      <c r="K530" s="585" t="s">
        <v>147</v>
      </c>
      <c r="L530" s="361"/>
      <c r="M530" s="582" t="s">
        <v>3081</v>
      </c>
      <c r="N530" s="361"/>
      <c r="O530" s="361"/>
      <c r="P530" s="361">
        <v>9.403208E9</v>
      </c>
      <c r="Q530" s="132">
        <v>134.95484400656815</v>
      </c>
      <c r="R530" s="592" t="s">
        <v>10</v>
      </c>
      <c r="S530" s="49"/>
      <c r="T530" s="224">
        <v>449.84948002189384</v>
      </c>
      <c r="U530" s="224">
        <v>269.9096880131363</v>
      </c>
      <c r="V530" s="224">
        <v>224.92474001094692</v>
      </c>
      <c r="W530" s="224">
        <v>179.93979200875754</v>
      </c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</row>
    <row r="531" ht="13.5" customHeight="1">
      <c r="A531" s="423" t="s">
        <v>84</v>
      </c>
      <c r="B531" s="423" t="s">
        <v>1886</v>
      </c>
      <c r="C531" s="585" t="s">
        <v>3686</v>
      </c>
      <c r="D531" s="582" t="s">
        <v>3687</v>
      </c>
      <c r="E531" s="134"/>
      <c r="F531" s="134" t="s">
        <v>3134</v>
      </c>
      <c r="G531" s="479" t="s">
        <v>3692</v>
      </c>
      <c r="H531" s="583"/>
      <c r="I531" s="581" t="s">
        <v>3695</v>
      </c>
      <c r="J531" s="134"/>
      <c r="K531" s="585" t="s">
        <v>147</v>
      </c>
      <c r="L531" s="361"/>
      <c r="M531" s="582" t="s">
        <v>3081</v>
      </c>
      <c r="N531" s="361"/>
      <c r="O531" s="361"/>
      <c r="P531" s="361">
        <v>9.403208E9</v>
      </c>
      <c r="Q531" s="132">
        <v>144.02025177887248</v>
      </c>
      <c r="R531" s="592" t="s">
        <v>10</v>
      </c>
      <c r="S531" s="49"/>
      <c r="T531" s="224">
        <v>480.06750592957496</v>
      </c>
      <c r="U531" s="224">
        <v>288.04050355774496</v>
      </c>
      <c r="V531" s="224">
        <v>240.03375296478748</v>
      </c>
      <c r="W531" s="224">
        <v>192.02700237183</v>
      </c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</row>
    <row r="532" ht="13.5" customHeight="1">
      <c r="A532" s="423" t="s">
        <v>84</v>
      </c>
      <c r="B532" s="423" t="s">
        <v>1886</v>
      </c>
      <c r="C532" s="585" t="s">
        <v>3686</v>
      </c>
      <c r="D532" s="582" t="s">
        <v>3687</v>
      </c>
      <c r="E532" s="134"/>
      <c r="F532" s="134" t="s">
        <v>3159</v>
      </c>
      <c r="G532" s="479" t="s">
        <v>3696</v>
      </c>
      <c r="H532" s="583"/>
      <c r="I532" s="581" t="s">
        <v>3699</v>
      </c>
      <c r="J532" s="134"/>
      <c r="K532" s="585" t="s">
        <v>147</v>
      </c>
      <c r="L532" s="361"/>
      <c r="M532" s="582" t="s">
        <v>3081</v>
      </c>
      <c r="N532" s="361"/>
      <c r="O532" s="361"/>
      <c r="P532" s="361">
        <v>9.403208E9</v>
      </c>
      <c r="Q532" s="132">
        <v>149.83579638752053</v>
      </c>
      <c r="R532" s="592" t="s">
        <v>10</v>
      </c>
      <c r="S532" s="49"/>
      <c r="T532" s="224">
        <v>499.4526546250685</v>
      </c>
      <c r="U532" s="224">
        <v>299.67159277504106</v>
      </c>
      <c r="V532" s="224">
        <v>249.72632731253424</v>
      </c>
      <c r="W532" s="224">
        <v>199.7810618500274</v>
      </c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</row>
    <row r="533" ht="13.5" customHeight="1">
      <c r="A533" s="423" t="s">
        <v>84</v>
      </c>
      <c r="B533" s="423" t="s">
        <v>1886</v>
      </c>
      <c r="C533" s="585" t="s">
        <v>3686</v>
      </c>
      <c r="D533" s="582" t="s">
        <v>3687</v>
      </c>
      <c r="E533" s="134"/>
      <c r="F533" s="134" t="s">
        <v>3159</v>
      </c>
      <c r="G533" s="479" t="s">
        <v>3700</v>
      </c>
      <c r="H533" s="583"/>
      <c r="I533" s="581" t="s">
        <v>3703</v>
      </c>
      <c r="J533" s="134"/>
      <c r="K533" s="585" t="s">
        <v>147</v>
      </c>
      <c r="L533" s="361"/>
      <c r="M533" s="582" t="s">
        <v>3081</v>
      </c>
      <c r="N533" s="361"/>
      <c r="O533" s="361"/>
      <c r="P533" s="361">
        <v>9.403208E9</v>
      </c>
      <c r="Q533" s="132">
        <v>158.90120415982486</v>
      </c>
      <c r="R533" s="592" t="s">
        <v>10</v>
      </c>
      <c r="S533" s="49"/>
      <c r="T533" s="224">
        <v>529.6706805327495</v>
      </c>
      <c r="U533" s="224">
        <v>317.8024083196497</v>
      </c>
      <c r="V533" s="224">
        <v>264.83534026637477</v>
      </c>
      <c r="W533" s="224">
        <v>211.86827221309983</v>
      </c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</row>
    <row r="534" ht="13.5" customHeight="1">
      <c r="A534" s="423" t="s">
        <v>84</v>
      </c>
      <c r="B534" s="423" t="s">
        <v>1886</v>
      </c>
      <c r="C534" s="585" t="s">
        <v>3686</v>
      </c>
      <c r="D534" s="582" t="s">
        <v>3687</v>
      </c>
      <c r="E534" s="134"/>
      <c r="F534" s="134" t="s">
        <v>3076</v>
      </c>
      <c r="G534" s="479" t="s">
        <v>3710</v>
      </c>
      <c r="H534" s="583"/>
      <c r="I534" s="581" t="s">
        <v>3713</v>
      </c>
      <c r="J534" s="134"/>
      <c r="K534" s="585" t="s">
        <v>147</v>
      </c>
      <c r="L534" s="361"/>
      <c r="M534" s="582" t="s">
        <v>3081</v>
      </c>
      <c r="N534" s="361"/>
      <c r="O534" s="361"/>
      <c r="P534" s="361">
        <v>9.403208E9</v>
      </c>
      <c r="Q534" s="132">
        <v>111.86371100164205</v>
      </c>
      <c r="R534" s="592" t="s">
        <v>10</v>
      </c>
      <c r="S534" s="49"/>
      <c r="T534" s="224">
        <v>372.87903667214016</v>
      </c>
      <c r="U534" s="224">
        <v>223.7274220032841</v>
      </c>
      <c r="V534" s="224">
        <v>186.43951833607008</v>
      </c>
      <c r="W534" s="224">
        <v>149.15161466885607</v>
      </c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</row>
    <row r="535" ht="13.5" customHeight="1">
      <c r="A535" s="423" t="s">
        <v>84</v>
      </c>
      <c r="B535" s="423" t="s">
        <v>1886</v>
      </c>
      <c r="C535" s="585" t="s">
        <v>3686</v>
      </c>
      <c r="D535" s="582" t="s">
        <v>3687</v>
      </c>
      <c r="E535" s="134"/>
      <c r="F535" s="134" t="s">
        <v>3076</v>
      </c>
      <c r="G535" s="479" t="s">
        <v>3714</v>
      </c>
      <c r="H535" s="583"/>
      <c r="I535" s="581" t="s">
        <v>3717</v>
      </c>
      <c r="J535" s="134"/>
      <c r="K535" s="585" t="s">
        <v>147</v>
      </c>
      <c r="L535" s="361"/>
      <c r="M535" s="582" t="s">
        <v>3081</v>
      </c>
      <c r="N535" s="361"/>
      <c r="O535" s="361"/>
      <c r="P535" s="361">
        <v>9.403208E9</v>
      </c>
      <c r="Q535" s="132">
        <v>120.92911877394639</v>
      </c>
      <c r="R535" s="592" t="s">
        <v>10</v>
      </c>
      <c r="S535" s="49"/>
      <c r="T535" s="224">
        <v>403.0970625798213</v>
      </c>
      <c r="U535" s="224">
        <v>241.85823754789277</v>
      </c>
      <c r="V535" s="224">
        <v>201.54853128991064</v>
      </c>
      <c r="W535" s="224">
        <v>161.2388250319285</v>
      </c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</row>
    <row r="536" ht="13.5" customHeight="1">
      <c r="A536" s="423" t="s">
        <v>84</v>
      </c>
      <c r="B536" s="423" t="s">
        <v>1886</v>
      </c>
      <c r="C536" s="585" t="s">
        <v>3686</v>
      </c>
      <c r="D536" s="582" t="s">
        <v>3687</v>
      </c>
      <c r="E536" s="134"/>
      <c r="F536" s="134" t="s">
        <v>3101</v>
      </c>
      <c r="G536" s="479" t="s">
        <v>3718</v>
      </c>
      <c r="H536" s="583"/>
      <c r="I536" s="581" t="s">
        <v>3720</v>
      </c>
      <c r="J536" s="134"/>
      <c r="K536" s="585" t="s">
        <v>147</v>
      </c>
      <c r="L536" s="361"/>
      <c r="M536" s="582" t="s">
        <v>3081</v>
      </c>
      <c r="N536" s="361"/>
      <c r="O536" s="361"/>
      <c r="P536" s="361">
        <v>9.403208E9</v>
      </c>
      <c r="Q536" s="132">
        <v>123.32375478927203</v>
      </c>
      <c r="R536" s="592" t="s">
        <v>10</v>
      </c>
      <c r="S536" s="49"/>
      <c r="T536" s="224">
        <v>411.07918263090676</v>
      </c>
      <c r="U536" s="224">
        <v>246.64750957854403</v>
      </c>
      <c r="V536" s="224">
        <v>205.53959131545338</v>
      </c>
      <c r="W536" s="224">
        <v>164.43167305236273</v>
      </c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</row>
    <row r="537" ht="13.5" customHeight="1">
      <c r="A537" s="423" t="s">
        <v>84</v>
      </c>
      <c r="B537" s="423" t="s">
        <v>1886</v>
      </c>
      <c r="C537" s="585" t="s">
        <v>3686</v>
      </c>
      <c r="D537" s="582" t="s">
        <v>3687</v>
      </c>
      <c r="E537" s="134"/>
      <c r="F537" s="134" t="s">
        <v>3101</v>
      </c>
      <c r="G537" s="479" t="s">
        <v>3721</v>
      </c>
      <c r="H537" s="583"/>
      <c r="I537" s="581" t="s">
        <v>3723</v>
      </c>
      <c r="J537" s="134"/>
      <c r="K537" s="585" t="s">
        <v>147</v>
      </c>
      <c r="L537" s="361"/>
      <c r="M537" s="582" t="s">
        <v>3081</v>
      </c>
      <c r="N537" s="361"/>
      <c r="O537" s="361"/>
      <c r="P537" s="361">
        <v>9.403208E9</v>
      </c>
      <c r="Q537" s="132">
        <v>132.21811713191025</v>
      </c>
      <c r="R537" s="592" t="s">
        <v>10</v>
      </c>
      <c r="S537" s="49"/>
      <c r="T537" s="224">
        <v>440.7270571063675</v>
      </c>
      <c r="U537" s="224">
        <v>264.4362342638205</v>
      </c>
      <c r="V537" s="224">
        <v>220.36352855318376</v>
      </c>
      <c r="W537" s="224">
        <v>176.29082284254702</v>
      </c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</row>
    <row r="538" ht="13.5" customHeight="1">
      <c r="A538" s="423" t="s">
        <v>84</v>
      </c>
      <c r="B538" s="423" t="s">
        <v>1886</v>
      </c>
      <c r="C538" s="585" t="s">
        <v>3686</v>
      </c>
      <c r="D538" s="582" t="s">
        <v>3687</v>
      </c>
      <c r="E538" s="134"/>
      <c r="F538" s="134" t="s">
        <v>3120</v>
      </c>
      <c r="G538" s="479" t="s">
        <v>3724</v>
      </c>
      <c r="H538" s="583"/>
      <c r="I538" s="581" t="s">
        <v>3726</v>
      </c>
      <c r="J538" s="134"/>
      <c r="K538" s="585" t="s">
        <v>147</v>
      </c>
      <c r="L538" s="361"/>
      <c r="M538" s="582" t="s">
        <v>3081</v>
      </c>
      <c r="N538" s="361"/>
      <c r="O538" s="361"/>
      <c r="P538" s="361">
        <v>9.403208E9</v>
      </c>
      <c r="Q538" s="132">
        <v>135.81007115489876</v>
      </c>
      <c r="R538" s="592" t="s">
        <v>10</v>
      </c>
      <c r="S538" s="49"/>
      <c r="T538" s="224">
        <v>452.7002371829959</v>
      </c>
      <c r="U538" s="224">
        <v>271.62014230979753</v>
      </c>
      <c r="V538" s="224">
        <v>226.35011859149796</v>
      </c>
      <c r="W538" s="224">
        <v>181.0800948731984</v>
      </c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</row>
    <row r="539" ht="13.5" customHeight="1">
      <c r="A539" s="423" t="s">
        <v>84</v>
      </c>
      <c r="B539" s="423" t="s">
        <v>1886</v>
      </c>
      <c r="C539" s="585" t="s">
        <v>3686</v>
      </c>
      <c r="D539" s="582" t="s">
        <v>3687</v>
      </c>
      <c r="E539" s="134"/>
      <c r="F539" s="134" t="s">
        <v>3727</v>
      </c>
      <c r="G539" s="479" t="s">
        <v>3728</v>
      </c>
      <c r="H539" s="583"/>
      <c r="I539" s="581" t="s">
        <v>3730</v>
      </c>
      <c r="J539" s="134"/>
      <c r="K539" s="585" t="s">
        <v>147</v>
      </c>
      <c r="L539" s="361"/>
      <c r="M539" s="582" t="s">
        <v>3081</v>
      </c>
      <c r="N539" s="361"/>
      <c r="O539" s="361"/>
      <c r="P539" s="361">
        <v>9.403208E9</v>
      </c>
      <c r="Q539" s="132">
        <v>145.0465243568692</v>
      </c>
      <c r="R539" s="592" t="s">
        <v>10</v>
      </c>
      <c r="S539" s="49"/>
      <c r="T539" s="224">
        <v>483.4884145228974</v>
      </c>
      <c r="U539" s="224">
        <v>290.0930487137384</v>
      </c>
      <c r="V539" s="224">
        <v>241.7442072614487</v>
      </c>
      <c r="W539" s="224">
        <v>193.395365809159</v>
      </c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</row>
    <row r="540" ht="13.5" customHeight="1">
      <c r="A540" s="423" t="s">
        <v>84</v>
      </c>
      <c r="B540" s="423" t="s">
        <v>1886</v>
      </c>
      <c r="C540" s="585" t="s">
        <v>3686</v>
      </c>
      <c r="D540" s="582" t="s">
        <v>3687</v>
      </c>
      <c r="E540" s="134"/>
      <c r="F540" s="134"/>
      <c r="G540" s="479" t="s">
        <v>3731</v>
      </c>
      <c r="H540" s="583"/>
      <c r="I540" s="581" t="s">
        <v>3733</v>
      </c>
      <c r="J540" s="134"/>
      <c r="K540" s="585" t="s">
        <v>147</v>
      </c>
      <c r="L540" s="361"/>
      <c r="M540" s="582" t="s">
        <v>3081</v>
      </c>
      <c r="N540" s="361"/>
      <c r="O540" s="361"/>
      <c r="P540" s="361">
        <v>9.403208E9</v>
      </c>
      <c r="Q540" s="132">
        <v>42.76135741652983</v>
      </c>
      <c r="R540" s="592" t="s">
        <v>10</v>
      </c>
      <c r="S540" s="1"/>
      <c r="T540" s="224">
        <v>142.53785805509946</v>
      </c>
      <c r="U540" s="224">
        <v>85.52271483305968</v>
      </c>
      <c r="V540" s="224">
        <v>71.26892902754973</v>
      </c>
      <c r="W540" s="224">
        <v>57.01514322203979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3.5" customHeight="1">
      <c r="A541" s="423" t="s">
        <v>84</v>
      </c>
      <c r="B541" s="423" t="s">
        <v>1886</v>
      </c>
      <c r="C541" s="585" t="s">
        <v>3686</v>
      </c>
      <c r="D541" s="582" t="s">
        <v>3687</v>
      </c>
      <c r="E541" s="134"/>
      <c r="F541" s="134"/>
      <c r="G541" s="479" t="s">
        <v>3734</v>
      </c>
      <c r="H541" s="583"/>
      <c r="I541" s="581" t="s">
        <v>3736</v>
      </c>
      <c r="J541" s="134"/>
      <c r="K541" s="585" t="s">
        <v>147</v>
      </c>
      <c r="L541" s="361"/>
      <c r="M541" s="582" t="s">
        <v>3081</v>
      </c>
      <c r="N541" s="361"/>
      <c r="O541" s="361"/>
      <c r="P541" s="361">
        <v>9.403208E9</v>
      </c>
      <c r="Q541" s="132">
        <v>68.41817186644774</v>
      </c>
      <c r="R541" s="592" t="s">
        <v>10</v>
      </c>
      <c r="S541" s="1"/>
      <c r="T541" s="224">
        <v>228.06057288815913</v>
      </c>
      <c r="U541" s="224">
        <v>136.83634373289547</v>
      </c>
      <c r="V541" s="224">
        <v>114.03028644407956</v>
      </c>
      <c r="W541" s="224">
        <v>91.22422915526366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3.5" customHeight="1">
      <c r="A542" s="423" t="s">
        <v>84</v>
      </c>
      <c r="B542" s="423" t="s">
        <v>1886</v>
      </c>
      <c r="C542" s="582" t="s">
        <v>1887</v>
      </c>
      <c r="D542" s="582" t="s">
        <v>1887</v>
      </c>
      <c r="E542" s="134"/>
      <c r="F542" s="134"/>
      <c r="G542" s="479" t="s">
        <v>3737</v>
      </c>
      <c r="H542" s="583"/>
      <c r="I542" s="423" t="s">
        <v>3739</v>
      </c>
      <c r="J542" s="134"/>
      <c r="K542" s="585" t="s">
        <v>147</v>
      </c>
      <c r="L542" s="361"/>
      <c r="M542" s="582" t="s">
        <v>3081</v>
      </c>
      <c r="N542" s="134" t="s">
        <v>3740</v>
      </c>
      <c r="O542" s="361"/>
      <c r="P542" s="361">
        <v>9.403208E9</v>
      </c>
      <c r="Q542" s="132">
        <v>13.084975369458132</v>
      </c>
      <c r="R542" s="592" t="s">
        <v>10</v>
      </c>
      <c r="S542" s="1"/>
      <c r="T542" s="224">
        <v>43.61658456486044</v>
      </c>
      <c r="U542" s="224">
        <v>26.169950738916263</v>
      </c>
      <c r="V542" s="224">
        <v>21.80829228243022</v>
      </c>
      <c r="W542" s="224">
        <v>17.446633825944176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3.5" customHeight="1">
      <c r="A543" s="423" t="s">
        <v>84</v>
      </c>
      <c r="B543" s="423" t="s">
        <v>1886</v>
      </c>
      <c r="C543" s="582" t="s">
        <v>1887</v>
      </c>
      <c r="D543" s="582" t="s">
        <v>1887</v>
      </c>
      <c r="E543" s="134"/>
      <c r="F543" s="134"/>
      <c r="G543" s="479" t="s">
        <v>3741</v>
      </c>
      <c r="H543" s="583"/>
      <c r="I543" s="423" t="s">
        <v>3743</v>
      </c>
      <c r="J543" s="134"/>
      <c r="K543" s="585" t="s">
        <v>147</v>
      </c>
      <c r="L543" s="361"/>
      <c r="M543" s="582" t="s">
        <v>3081</v>
      </c>
      <c r="N543" s="134" t="s">
        <v>3740</v>
      </c>
      <c r="O543" s="361"/>
      <c r="P543" s="361">
        <v>9.403208E9</v>
      </c>
      <c r="Q543" s="132">
        <v>15.39408866995074</v>
      </c>
      <c r="R543" s="592" t="s">
        <v>10</v>
      </c>
      <c r="S543" s="1"/>
      <c r="T543" s="224">
        <v>51.313628899835805</v>
      </c>
      <c r="U543" s="224">
        <v>30.78817733990148</v>
      </c>
      <c r="V543" s="224">
        <v>25.656814449917903</v>
      </c>
      <c r="W543" s="224">
        <v>20.525451559934325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3.5" customHeight="1">
      <c r="A544" s="423" t="s">
        <v>84</v>
      </c>
      <c r="B544" s="423" t="s">
        <v>1886</v>
      </c>
      <c r="C544" s="582" t="s">
        <v>1887</v>
      </c>
      <c r="D544" s="582" t="s">
        <v>1887</v>
      </c>
      <c r="E544" s="134"/>
      <c r="F544" s="134"/>
      <c r="G544" s="479" t="s">
        <v>3744</v>
      </c>
      <c r="H544" s="583"/>
      <c r="I544" s="423" t="s">
        <v>3746</v>
      </c>
      <c r="J544" s="134"/>
      <c r="K544" s="585" t="s">
        <v>147</v>
      </c>
      <c r="L544" s="361"/>
      <c r="M544" s="582" t="s">
        <v>3081</v>
      </c>
      <c r="N544" s="134" t="s">
        <v>3740</v>
      </c>
      <c r="O544" s="361"/>
      <c r="P544" s="361">
        <v>9.403208E9</v>
      </c>
      <c r="Q544" s="132">
        <v>17.95977011494253</v>
      </c>
      <c r="R544" s="592" t="s">
        <v>10</v>
      </c>
      <c r="S544" s="1"/>
      <c r="T544" s="224">
        <v>59.86590038314176</v>
      </c>
      <c r="U544" s="224">
        <v>35.91954022988506</v>
      </c>
      <c r="V544" s="224">
        <v>29.93295019157088</v>
      </c>
      <c r="W544" s="224">
        <v>23.946360153256705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3.5" customHeight="1">
      <c r="A545" s="423" t="s">
        <v>84</v>
      </c>
      <c r="B545" s="423" t="s">
        <v>1886</v>
      </c>
      <c r="C545" s="582" t="s">
        <v>1887</v>
      </c>
      <c r="D545" s="582" t="s">
        <v>1887</v>
      </c>
      <c r="E545" s="134"/>
      <c r="F545" s="134"/>
      <c r="G545" s="479" t="s">
        <v>3747</v>
      </c>
      <c r="H545" s="583"/>
      <c r="I545" s="423" t="s">
        <v>3749</v>
      </c>
      <c r="J545" s="134"/>
      <c r="K545" s="585" t="s">
        <v>147</v>
      </c>
      <c r="L545" s="361"/>
      <c r="M545" s="582" t="s">
        <v>3081</v>
      </c>
      <c r="N545" s="134" t="s">
        <v>3740</v>
      </c>
      <c r="O545" s="361"/>
      <c r="P545" s="361">
        <v>9.403208E9</v>
      </c>
      <c r="Q545" s="132">
        <v>18.814997263273128</v>
      </c>
      <c r="R545" s="592" t="s">
        <v>10</v>
      </c>
      <c r="S545" s="1"/>
      <c r="T545" s="224">
        <v>62.71665754424376</v>
      </c>
      <c r="U545" s="224">
        <v>37.629994526546255</v>
      </c>
      <c r="V545" s="224">
        <v>31.35832877212188</v>
      </c>
      <c r="W545" s="224">
        <v>25.086663017697504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3.5" customHeight="1">
      <c r="A546" s="423" t="s">
        <v>84</v>
      </c>
      <c r="B546" s="423" t="s">
        <v>1886</v>
      </c>
      <c r="C546" s="582" t="s">
        <v>1887</v>
      </c>
      <c r="D546" s="582" t="s">
        <v>1887</v>
      </c>
      <c r="E546" s="134"/>
      <c r="F546" s="134"/>
      <c r="G546" s="479" t="s">
        <v>3753</v>
      </c>
      <c r="H546" s="583"/>
      <c r="I546" s="423" t="s">
        <v>3755</v>
      </c>
      <c r="J546" s="134"/>
      <c r="K546" s="585" t="s">
        <v>147</v>
      </c>
      <c r="L546" s="361"/>
      <c r="M546" s="582" t="s">
        <v>3081</v>
      </c>
      <c r="N546" s="134" t="s">
        <v>3740</v>
      </c>
      <c r="O546" s="361"/>
      <c r="P546" s="361">
        <v>9.403208E9</v>
      </c>
      <c r="Q546" s="132">
        <v>28.222495894909688</v>
      </c>
      <c r="R546" s="592" t="s">
        <v>10</v>
      </c>
      <c r="S546" s="1"/>
      <c r="T546" s="224">
        <v>94.07498631636562</v>
      </c>
      <c r="U546" s="224">
        <v>56.444991789819376</v>
      </c>
      <c r="V546" s="224">
        <v>47.03749315818281</v>
      </c>
      <c r="W546" s="224">
        <v>37.62999452654625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3.5" customHeight="1">
      <c r="A547" s="423" t="s">
        <v>84</v>
      </c>
      <c r="B547" s="423" t="s">
        <v>1886</v>
      </c>
      <c r="C547" s="582" t="s">
        <v>1887</v>
      </c>
      <c r="D547" s="582" t="s">
        <v>1887</v>
      </c>
      <c r="E547" s="134"/>
      <c r="F547" s="134"/>
      <c r="G547" s="479" t="s">
        <v>3756</v>
      </c>
      <c r="H547" s="583"/>
      <c r="I547" s="423" t="s">
        <v>3758</v>
      </c>
      <c r="J547" s="134"/>
      <c r="K547" s="585" t="s">
        <v>147</v>
      </c>
      <c r="L547" s="361"/>
      <c r="M547" s="582" t="s">
        <v>3081</v>
      </c>
      <c r="N547" s="134" t="s">
        <v>3740</v>
      </c>
      <c r="O547" s="361"/>
      <c r="P547" s="361">
        <v>9.403208E9</v>
      </c>
      <c r="Q547" s="132">
        <v>23.51874657909141</v>
      </c>
      <c r="R547" s="592" t="s">
        <v>10</v>
      </c>
      <c r="S547" s="1"/>
      <c r="T547" s="224">
        <v>78.3958219303047</v>
      </c>
      <c r="U547" s="224">
        <v>47.03749315818282</v>
      </c>
      <c r="V547" s="224">
        <v>39.19791096515235</v>
      </c>
      <c r="W547" s="224">
        <v>31.358328772121883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3.5" customHeight="1">
      <c r="A548" s="423" t="s">
        <v>84</v>
      </c>
      <c r="B548" s="423" t="s">
        <v>1886</v>
      </c>
      <c r="C548" s="582" t="s">
        <v>1887</v>
      </c>
      <c r="D548" s="582" t="s">
        <v>1887</v>
      </c>
      <c r="E548" s="134"/>
      <c r="F548" s="134"/>
      <c r="G548" s="479" t="s">
        <v>3759</v>
      </c>
      <c r="H548" s="583"/>
      <c r="I548" s="423" t="s">
        <v>3761</v>
      </c>
      <c r="J548" s="134"/>
      <c r="K548" s="585" t="s">
        <v>147</v>
      </c>
      <c r="L548" s="361"/>
      <c r="M548" s="582" t="s">
        <v>3081</v>
      </c>
      <c r="N548" s="134" t="s">
        <v>3740</v>
      </c>
      <c r="O548" s="361"/>
      <c r="P548" s="361">
        <v>9.403208E9</v>
      </c>
      <c r="Q548" s="132">
        <v>25.6568144499179</v>
      </c>
      <c r="R548" s="592" t="s">
        <v>10</v>
      </c>
      <c r="S548" s="1"/>
      <c r="T548" s="224">
        <v>85.52271483305967</v>
      </c>
      <c r="U548" s="224">
        <v>51.3136288998358</v>
      </c>
      <c r="V548" s="224">
        <v>42.76135741652983</v>
      </c>
      <c r="W548" s="224">
        <v>34.20908593322387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3.5" customHeight="1">
      <c r="A549" s="423" t="s">
        <v>84</v>
      </c>
      <c r="B549" s="423" t="s">
        <v>1886</v>
      </c>
      <c r="C549" s="582" t="s">
        <v>1887</v>
      </c>
      <c r="D549" s="582" t="s">
        <v>1887</v>
      </c>
      <c r="E549" s="134"/>
      <c r="F549" s="134"/>
      <c r="G549" s="479" t="s">
        <v>3762</v>
      </c>
      <c r="H549" s="583"/>
      <c r="I549" s="423" t="s">
        <v>3764</v>
      </c>
      <c r="J549" s="134"/>
      <c r="K549" s="585" t="s">
        <v>147</v>
      </c>
      <c r="L549" s="361"/>
      <c r="M549" s="582" t="s">
        <v>3081</v>
      </c>
      <c r="N549" s="134" t="s">
        <v>3740</v>
      </c>
      <c r="O549" s="361"/>
      <c r="P549" s="361">
        <v>9.403208E9</v>
      </c>
      <c r="Q549" s="132">
        <v>30.78817733990148</v>
      </c>
      <c r="R549" s="592" t="s">
        <v>10</v>
      </c>
      <c r="S549" s="1"/>
      <c r="T549" s="224">
        <v>102.62725779967161</v>
      </c>
      <c r="U549" s="224">
        <v>61.57635467980296</v>
      </c>
      <c r="V549" s="224">
        <v>51.313628899835805</v>
      </c>
      <c r="W549" s="224">
        <v>41.05090311986865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3.5" customHeight="1">
      <c r="A550" s="423" t="s">
        <v>84</v>
      </c>
      <c r="B550" s="423" t="s">
        <v>1886</v>
      </c>
      <c r="C550" s="585" t="s">
        <v>3686</v>
      </c>
      <c r="D550" s="582" t="s">
        <v>3687</v>
      </c>
      <c r="E550" s="134"/>
      <c r="F550" s="134"/>
      <c r="G550" s="479" t="s">
        <v>3765</v>
      </c>
      <c r="H550" s="583"/>
      <c r="I550" s="581" t="s">
        <v>3767</v>
      </c>
      <c r="J550" s="134"/>
      <c r="K550" s="585" t="s">
        <v>147</v>
      </c>
      <c r="L550" s="361"/>
      <c r="M550" s="582" t="s">
        <v>3081</v>
      </c>
      <c r="N550" s="361"/>
      <c r="O550" s="361"/>
      <c r="P550" s="361">
        <v>9.403208E9</v>
      </c>
      <c r="Q550" s="132">
        <v>25.6568144499179</v>
      </c>
      <c r="R550" s="592" t="s">
        <v>10</v>
      </c>
      <c r="S550" s="1"/>
      <c r="T550" s="224">
        <v>85.52271483305967</v>
      </c>
      <c r="U550" s="224">
        <v>51.3136288998358</v>
      </c>
      <c r="V550" s="224">
        <v>42.76135741652983</v>
      </c>
      <c r="W550" s="224">
        <v>34.20908593322387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3.5" customHeight="1">
      <c r="A551" s="423" t="s">
        <v>84</v>
      </c>
      <c r="B551" s="423" t="s">
        <v>1886</v>
      </c>
      <c r="C551" s="585" t="s">
        <v>3686</v>
      </c>
      <c r="D551" s="582" t="s">
        <v>3687</v>
      </c>
      <c r="E551" s="134"/>
      <c r="F551" s="134"/>
      <c r="G551" s="479" t="s">
        <v>3768</v>
      </c>
      <c r="H551" s="583"/>
      <c r="I551" s="581" t="s">
        <v>3770</v>
      </c>
      <c r="J551" s="134"/>
      <c r="K551" s="585" t="s">
        <v>147</v>
      </c>
      <c r="L551" s="361"/>
      <c r="M551" s="582" t="s">
        <v>3081</v>
      </c>
      <c r="N551" s="361"/>
      <c r="O551" s="361"/>
      <c r="P551" s="361">
        <v>9.403208E9</v>
      </c>
      <c r="Q551" s="132">
        <v>10.00615763546798</v>
      </c>
      <c r="R551" s="592" t="s">
        <v>10</v>
      </c>
      <c r="S551" s="1"/>
      <c r="T551" s="224">
        <v>33.35385878489327</v>
      </c>
      <c r="U551" s="224">
        <v>20.01231527093596</v>
      </c>
      <c r="V551" s="224">
        <v>16.676929392446635</v>
      </c>
      <c r="W551" s="224">
        <v>13.341543513957308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3.5" customHeight="1">
      <c r="A552" s="423" t="s">
        <v>84</v>
      </c>
      <c r="B552" s="423" t="s">
        <v>1886</v>
      </c>
      <c r="C552" s="585" t="s">
        <v>3686</v>
      </c>
      <c r="D552" s="582" t="s">
        <v>3687</v>
      </c>
      <c r="E552" s="134"/>
      <c r="F552" s="134"/>
      <c r="G552" s="479" t="s">
        <v>3771</v>
      </c>
      <c r="H552" s="583"/>
      <c r="I552" s="581" t="s">
        <v>3773</v>
      </c>
      <c r="J552" s="134"/>
      <c r="K552" s="585" t="s">
        <v>147</v>
      </c>
      <c r="L552" s="361"/>
      <c r="M552" s="582" t="s">
        <v>3081</v>
      </c>
      <c r="N552" s="361"/>
      <c r="O552" s="361"/>
      <c r="P552" s="361">
        <v>9.403208E9</v>
      </c>
      <c r="Q552" s="132">
        <v>2.736726874657909</v>
      </c>
      <c r="R552" s="592" t="s">
        <v>10</v>
      </c>
      <c r="S552" s="1"/>
      <c r="T552" s="224">
        <v>9.122422915526364</v>
      </c>
      <c r="U552" s="224">
        <v>5.473453749315818</v>
      </c>
      <c r="V552" s="224">
        <v>4.561211457763182</v>
      </c>
      <c r="W552" s="224">
        <v>3.648969166210546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3.5" customHeight="1">
      <c r="A553" s="423" t="s">
        <v>84</v>
      </c>
      <c r="B553" s="423" t="s">
        <v>1886</v>
      </c>
      <c r="C553" s="585" t="s">
        <v>3686</v>
      </c>
      <c r="D553" s="582" t="s">
        <v>3687</v>
      </c>
      <c r="E553" s="134"/>
      <c r="F553" s="134"/>
      <c r="G553" s="479" t="s">
        <v>3774</v>
      </c>
      <c r="H553" s="583"/>
      <c r="I553" s="581" t="s">
        <v>3776</v>
      </c>
      <c r="J553" s="134"/>
      <c r="K553" s="585" t="s">
        <v>147</v>
      </c>
      <c r="L553" s="361"/>
      <c r="M553" s="582" t="s">
        <v>3081</v>
      </c>
      <c r="N553" s="361"/>
      <c r="O553" s="361"/>
      <c r="P553" s="361">
        <v>9.403208E9</v>
      </c>
      <c r="Q553" s="132">
        <v>7.69704433497537</v>
      </c>
      <c r="R553" s="592" t="s">
        <v>10</v>
      </c>
      <c r="S553" s="1"/>
      <c r="T553" s="224">
        <v>25.656814449917903</v>
      </c>
      <c r="U553" s="224">
        <v>15.39408866995074</v>
      </c>
      <c r="V553" s="224">
        <v>12.828407224958951</v>
      </c>
      <c r="W553" s="224">
        <v>10.262725779967163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3.5" customHeight="1">
      <c r="A554" s="423" t="s">
        <v>84</v>
      </c>
      <c r="B554" s="423" t="s">
        <v>1886</v>
      </c>
      <c r="C554" s="582" t="s">
        <v>1887</v>
      </c>
      <c r="D554" s="582" t="s">
        <v>1887</v>
      </c>
      <c r="E554" s="134"/>
      <c r="F554" s="134"/>
      <c r="G554" s="479" t="s">
        <v>3777</v>
      </c>
      <c r="H554" s="583"/>
      <c r="I554" s="581" t="s">
        <v>3779</v>
      </c>
      <c r="J554" s="134"/>
      <c r="K554" s="585" t="s">
        <v>147</v>
      </c>
      <c r="L554" s="361"/>
      <c r="M554" s="582" t="s">
        <v>3081</v>
      </c>
      <c r="N554" s="134" t="s">
        <v>3740</v>
      </c>
      <c r="O554" s="361"/>
      <c r="P554" s="361">
        <v>9.403208E9</v>
      </c>
      <c r="Q554" s="132">
        <v>3.4209085933223866</v>
      </c>
      <c r="R554" s="592" t="s">
        <v>10</v>
      </c>
      <c r="S554" s="1"/>
      <c r="T554" s="224">
        <v>11.403028644407955</v>
      </c>
      <c r="U554" s="224">
        <v>6.841817186644773</v>
      </c>
      <c r="V554" s="224">
        <v>5.701514322203978</v>
      </c>
      <c r="W554" s="224">
        <v>4.561211457763182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3.5" customHeight="1">
      <c r="A555" s="423" t="s">
        <v>84</v>
      </c>
      <c r="B555" s="423" t="s">
        <v>1886</v>
      </c>
      <c r="C555" s="582" t="s">
        <v>1887</v>
      </c>
      <c r="D555" s="582" t="s">
        <v>1887</v>
      </c>
      <c r="E555" s="134"/>
      <c r="F555" s="134"/>
      <c r="G555" s="479" t="s">
        <v>3780</v>
      </c>
      <c r="H555" s="583"/>
      <c r="I555" s="581" t="s">
        <v>3782</v>
      </c>
      <c r="J555" s="134"/>
      <c r="K555" s="585" t="s">
        <v>147</v>
      </c>
      <c r="L555" s="361"/>
      <c r="M555" s="582" t="s">
        <v>3081</v>
      </c>
      <c r="N555" s="134" t="s">
        <v>3740</v>
      </c>
      <c r="O555" s="361"/>
      <c r="P555" s="361">
        <v>9.403208E9</v>
      </c>
      <c r="Q555" s="132">
        <v>4.2761357416529835</v>
      </c>
      <c r="R555" s="592" t="s">
        <v>10</v>
      </c>
      <c r="S555" s="1"/>
      <c r="T555" s="224">
        <v>14.253785805509946</v>
      </c>
      <c r="U555" s="224">
        <v>8.552271483305967</v>
      </c>
      <c r="V555" s="224">
        <v>7.126892902754973</v>
      </c>
      <c r="W555" s="224">
        <v>5.701514322203979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3.5" customHeight="1">
      <c r="A556" s="423" t="s">
        <v>84</v>
      </c>
      <c r="B556" s="423" t="s">
        <v>1886</v>
      </c>
      <c r="C556" s="582" t="s">
        <v>1887</v>
      </c>
      <c r="D556" s="582" t="s">
        <v>1887</v>
      </c>
      <c r="E556" s="134"/>
      <c r="F556" s="134"/>
      <c r="G556" s="479" t="s">
        <v>3783</v>
      </c>
      <c r="H556" s="583"/>
      <c r="I556" s="581" t="s">
        <v>3785</v>
      </c>
      <c r="J556" s="134"/>
      <c r="K556" s="585" t="s">
        <v>147</v>
      </c>
      <c r="L556" s="361"/>
      <c r="M556" s="582" t="s">
        <v>3081</v>
      </c>
      <c r="N556" s="134" t="s">
        <v>3740</v>
      </c>
      <c r="O556" s="361"/>
      <c r="P556" s="361">
        <v>9.403208E9</v>
      </c>
      <c r="Q556" s="132">
        <v>5.1313628899835795</v>
      </c>
      <c r="R556" s="592" t="s">
        <v>10</v>
      </c>
      <c r="S556" s="1"/>
      <c r="T556" s="224">
        <v>17.104542966611934</v>
      </c>
      <c r="U556" s="224">
        <v>10.26272577996716</v>
      </c>
      <c r="V556" s="224">
        <v>8.552271483305967</v>
      </c>
      <c r="W556" s="224">
        <v>6.841817186644774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3.5" customHeight="1">
      <c r="A557" s="423" t="s">
        <v>84</v>
      </c>
      <c r="B557" s="423" t="s">
        <v>1886</v>
      </c>
      <c r="C557" s="582" t="s">
        <v>1887</v>
      </c>
      <c r="D557" s="582" t="s">
        <v>1887</v>
      </c>
      <c r="E557" s="134"/>
      <c r="F557" s="134"/>
      <c r="G557" s="479" t="s">
        <v>3786</v>
      </c>
      <c r="H557" s="583"/>
      <c r="I557" s="581" t="s">
        <v>3788</v>
      </c>
      <c r="J557" s="134"/>
      <c r="K557" s="585" t="s">
        <v>147</v>
      </c>
      <c r="L557" s="361"/>
      <c r="M557" s="582" t="s">
        <v>3081</v>
      </c>
      <c r="N557" s="134" t="s">
        <v>3740</v>
      </c>
      <c r="O557" s="361"/>
      <c r="P557" s="361">
        <v>9.403208E9</v>
      </c>
      <c r="Q557" s="132">
        <v>7.012862616310892</v>
      </c>
      <c r="R557" s="592" t="s">
        <v>10</v>
      </c>
      <c r="S557" s="1"/>
      <c r="T557" s="224">
        <v>23.37620872103631</v>
      </c>
      <c r="U557" s="224">
        <v>14.025725232621786</v>
      </c>
      <c r="V557" s="224">
        <v>11.688104360518155</v>
      </c>
      <c r="W557" s="224">
        <v>9.350483488414524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3.5" customHeight="1">
      <c r="A558" s="423" t="s">
        <v>84</v>
      </c>
      <c r="B558" s="423" t="s">
        <v>1886</v>
      </c>
      <c r="C558" s="585" t="s">
        <v>3686</v>
      </c>
      <c r="D558" s="582" t="s">
        <v>3687</v>
      </c>
      <c r="E558" s="134"/>
      <c r="F558" s="134" t="s">
        <v>3076</v>
      </c>
      <c r="G558" s="479" t="s">
        <v>3789</v>
      </c>
      <c r="H558" s="583"/>
      <c r="I558" s="581" t="s">
        <v>3791</v>
      </c>
      <c r="J558" s="134"/>
      <c r="K558" s="585" t="s">
        <v>147</v>
      </c>
      <c r="L558" s="361"/>
      <c r="M558" s="582" t="s">
        <v>3081</v>
      </c>
      <c r="N558" s="361"/>
      <c r="O558" s="361"/>
      <c r="P558" s="361">
        <v>9.403208E9</v>
      </c>
      <c r="Q558" s="132">
        <v>54.734537493158186</v>
      </c>
      <c r="R558" s="592" t="s">
        <v>10</v>
      </c>
      <c r="S558" s="1"/>
      <c r="T558" s="224">
        <v>182.4484583105273</v>
      </c>
      <c r="U558" s="224">
        <v>109.46907498631637</v>
      </c>
      <c r="V558" s="224">
        <v>91.22422915526364</v>
      </c>
      <c r="W558" s="224">
        <v>72.97938332421091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3.5" customHeight="1">
      <c r="A559" s="423" t="s">
        <v>84</v>
      </c>
      <c r="B559" s="423" t="s">
        <v>1886</v>
      </c>
      <c r="C559" s="585" t="s">
        <v>3686</v>
      </c>
      <c r="D559" s="582" t="s">
        <v>3687</v>
      </c>
      <c r="E559" s="134"/>
      <c r="F559" s="134" t="s">
        <v>3101</v>
      </c>
      <c r="G559" s="479" t="s">
        <v>3792</v>
      </c>
      <c r="H559" s="583"/>
      <c r="I559" s="581" t="s">
        <v>3794</v>
      </c>
      <c r="J559" s="134"/>
      <c r="K559" s="585" t="s">
        <v>147</v>
      </c>
      <c r="L559" s="361"/>
      <c r="M559" s="582" t="s">
        <v>3081</v>
      </c>
      <c r="N559" s="361"/>
      <c r="O559" s="361"/>
      <c r="P559" s="361">
        <v>9.403208E9</v>
      </c>
      <c r="Q559" s="132">
        <v>59.86590038314177</v>
      </c>
      <c r="R559" s="592" t="s">
        <v>10</v>
      </c>
      <c r="S559" s="1"/>
      <c r="T559" s="224">
        <v>199.55300127713923</v>
      </c>
      <c r="U559" s="224">
        <v>119.73180076628353</v>
      </c>
      <c r="V559" s="224">
        <v>99.77650063856962</v>
      </c>
      <c r="W559" s="224">
        <v>79.8212005108557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3.5" customHeight="1">
      <c r="A560" s="423" t="s">
        <v>84</v>
      </c>
      <c r="B560" s="423" t="s">
        <v>1886</v>
      </c>
      <c r="C560" s="585" t="s">
        <v>3686</v>
      </c>
      <c r="D560" s="582" t="s">
        <v>3687</v>
      </c>
      <c r="E560" s="134"/>
      <c r="F560" s="134" t="s">
        <v>3124</v>
      </c>
      <c r="G560" s="479" t="s">
        <v>3795</v>
      </c>
      <c r="H560" s="583"/>
      <c r="I560" s="581" t="s">
        <v>3797</v>
      </c>
      <c r="J560" s="134"/>
      <c r="K560" s="585" t="s">
        <v>147</v>
      </c>
      <c r="L560" s="361"/>
      <c r="M560" s="582" t="s">
        <v>3081</v>
      </c>
      <c r="N560" s="361"/>
      <c r="O560" s="361"/>
      <c r="P560" s="361">
        <v>9.403208E9</v>
      </c>
      <c r="Q560" s="132">
        <v>59.86590038314177</v>
      </c>
      <c r="R560" s="592" t="s">
        <v>10</v>
      </c>
      <c r="S560" s="1"/>
      <c r="T560" s="224">
        <v>199.55300127713923</v>
      </c>
      <c r="U560" s="224">
        <v>119.73180076628353</v>
      </c>
      <c r="V560" s="224">
        <v>99.77650063856962</v>
      </c>
      <c r="W560" s="224">
        <v>79.8212005108557</v>
      </c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3.5" customHeight="1">
      <c r="A561" s="423" t="s">
        <v>84</v>
      </c>
      <c r="B561" s="423" t="s">
        <v>1886</v>
      </c>
      <c r="C561" s="585" t="s">
        <v>3686</v>
      </c>
      <c r="D561" s="582" t="s">
        <v>3687</v>
      </c>
      <c r="E561" s="134"/>
      <c r="F561" s="134" t="s">
        <v>3134</v>
      </c>
      <c r="G561" s="479" t="s">
        <v>3798</v>
      </c>
      <c r="H561" s="583"/>
      <c r="I561" s="581" t="s">
        <v>3800</v>
      </c>
      <c r="J561" s="134"/>
      <c r="K561" s="585" t="s">
        <v>147</v>
      </c>
      <c r="L561" s="361"/>
      <c r="M561" s="582" t="s">
        <v>3081</v>
      </c>
      <c r="N561" s="361"/>
      <c r="O561" s="361"/>
      <c r="P561" s="361">
        <v>9.403208E9</v>
      </c>
      <c r="Q561" s="132">
        <v>68.41817186644774</v>
      </c>
      <c r="R561" s="592" t="s">
        <v>10</v>
      </c>
      <c r="S561" s="1"/>
      <c r="T561" s="224">
        <v>228.06057288815913</v>
      </c>
      <c r="U561" s="224">
        <v>136.83634373289547</v>
      </c>
      <c r="V561" s="224">
        <v>114.03028644407956</v>
      </c>
      <c r="W561" s="224">
        <v>91.22422915526366</v>
      </c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3.5" customHeight="1">
      <c r="A562" s="423" t="s">
        <v>84</v>
      </c>
      <c r="B562" s="423" t="s">
        <v>1886</v>
      </c>
      <c r="C562" s="585" t="s">
        <v>3686</v>
      </c>
      <c r="D562" s="582" t="s">
        <v>3687</v>
      </c>
      <c r="E562" s="134"/>
      <c r="F562" s="134" t="s">
        <v>3120</v>
      </c>
      <c r="G562" s="479" t="s">
        <v>3801</v>
      </c>
      <c r="H562" s="583"/>
      <c r="I562" s="581" t="s">
        <v>3803</v>
      </c>
      <c r="J562" s="134"/>
      <c r="K562" s="585" t="s">
        <v>147</v>
      </c>
      <c r="L562" s="361"/>
      <c r="M562" s="582" t="s">
        <v>3081</v>
      </c>
      <c r="N562" s="361"/>
      <c r="O562" s="361"/>
      <c r="P562" s="361">
        <v>9.403208E9</v>
      </c>
      <c r="Q562" s="132">
        <v>59.86590038314177</v>
      </c>
      <c r="R562" s="592" t="s">
        <v>10</v>
      </c>
      <c r="S562" s="1"/>
      <c r="T562" s="224">
        <v>199.55300127713923</v>
      </c>
      <c r="U562" s="224">
        <v>119.73180076628353</v>
      </c>
      <c r="V562" s="224">
        <v>99.77650063856962</v>
      </c>
      <c r="W562" s="224">
        <v>79.8212005108557</v>
      </c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3.5" customHeight="1">
      <c r="A563" s="423" t="s">
        <v>84</v>
      </c>
      <c r="B563" s="423" t="s">
        <v>1886</v>
      </c>
      <c r="C563" s="585" t="s">
        <v>3686</v>
      </c>
      <c r="D563" s="582" t="s">
        <v>3687</v>
      </c>
      <c r="E563" s="134"/>
      <c r="F563" s="134" t="s">
        <v>3159</v>
      </c>
      <c r="G563" s="479" t="s">
        <v>3804</v>
      </c>
      <c r="H563" s="583"/>
      <c r="I563" s="581" t="s">
        <v>3806</v>
      </c>
      <c r="J563" s="134"/>
      <c r="K563" s="585" t="s">
        <v>147</v>
      </c>
      <c r="L563" s="361"/>
      <c r="M563" s="582" t="s">
        <v>3081</v>
      </c>
      <c r="N563" s="361"/>
      <c r="O563" s="361"/>
      <c r="P563" s="361">
        <v>9.403208E9</v>
      </c>
      <c r="Q563" s="132">
        <v>76.97044334975371</v>
      </c>
      <c r="R563" s="592" t="s">
        <v>10</v>
      </c>
      <c r="S563" s="1"/>
      <c r="T563" s="224">
        <v>256.568144499179</v>
      </c>
      <c r="U563" s="224">
        <v>153.94088669950742</v>
      </c>
      <c r="V563" s="224">
        <v>128.2840722495895</v>
      </c>
      <c r="W563" s="224">
        <v>102.62725779967161</v>
      </c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3.5" customHeight="1">
      <c r="A564" s="423" t="s">
        <v>84</v>
      </c>
      <c r="B564" s="423" t="s">
        <v>1886</v>
      </c>
      <c r="C564" s="585" t="s">
        <v>3686</v>
      </c>
      <c r="D564" s="582" t="s">
        <v>3687</v>
      </c>
      <c r="E564" s="134"/>
      <c r="F564" s="134" t="s">
        <v>3240</v>
      </c>
      <c r="G564" s="479" t="s">
        <v>3807</v>
      </c>
      <c r="H564" s="583"/>
      <c r="I564" s="581" t="s">
        <v>3809</v>
      </c>
      <c r="J564" s="134"/>
      <c r="K564" s="585" t="s">
        <v>147</v>
      </c>
      <c r="L564" s="361"/>
      <c r="M564" s="582" t="s">
        <v>3081</v>
      </c>
      <c r="N564" s="361"/>
      <c r="O564" s="361"/>
      <c r="P564" s="361">
        <v>9.403208E9</v>
      </c>
      <c r="Q564" s="132">
        <v>85.52271483305967</v>
      </c>
      <c r="R564" s="592" t="s">
        <v>10</v>
      </c>
      <c r="S564" s="1"/>
      <c r="T564" s="224">
        <v>285.0757161101989</v>
      </c>
      <c r="U564" s="224">
        <v>171.04542966611936</v>
      </c>
      <c r="V564" s="224">
        <v>142.53785805509946</v>
      </c>
      <c r="W564" s="224">
        <v>114.03028644407958</v>
      </c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3.5" customHeight="1">
      <c r="A565" s="423" t="s">
        <v>84</v>
      </c>
      <c r="B565" s="423" t="s">
        <v>1886</v>
      </c>
      <c r="C565" s="585" t="s">
        <v>3686</v>
      </c>
      <c r="D565" s="582" t="s">
        <v>3687</v>
      </c>
      <c r="E565" s="134"/>
      <c r="F565" s="134"/>
      <c r="G565" s="479" t="s">
        <v>3810</v>
      </c>
      <c r="H565" s="583"/>
      <c r="I565" s="581" t="s">
        <v>3813</v>
      </c>
      <c r="J565" s="134"/>
      <c r="K565" s="585" t="s">
        <v>147</v>
      </c>
      <c r="L565" s="361"/>
      <c r="M565" s="582" t="s">
        <v>3081</v>
      </c>
      <c r="N565" s="361"/>
      <c r="O565" s="361"/>
      <c r="P565" s="361">
        <v>9.403208E9</v>
      </c>
      <c r="Q565" s="132">
        <v>31.899972632731256</v>
      </c>
      <c r="R565" s="592" t="s">
        <v>10</v>
      </c>
      <c r="S565" s="1"/>
      <c r="T565" s="224">
        <v>106.33324210910419</v>
      </c>
      <c r="U565" s="224">
        <v>63.79994526546251</v>
      </c>
      <c r="V565" s="224">
        <v>53.166621054552095</v>
      </c>
      <c r="W565" s="224">
        <v>42.53329684364168</v>
      </c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3.5" customHeight="1">
      <c r="A566" s="423" t="s">
        <v>84</v>
      </c>
      <c r="B566" s="423" t="s">
        <v>1886</v>
      </c>
      <c r="C566" s="585" t="s">
        <v>3686</v>
      </c>
      <c r="D566" s="582" t="s">
        <v>3687</v>
      </c>
      <c r="E566" s="134"/>
      <c r="F566" s="134"/>
      <c r="G566" s="479" t="s">
        <v>3815</v>
      </c>
      <c r="H566" s="583"/>
      <c r="I566" s="581" t="s">
        <v>3817</v>
      </c>
      <c r="J566" s="134"/>
      <c r="K566" s="585" t="s">
        <v>147</v>
      </c>
      <c r="L566" s="361"/>
      <c r="M566" s="582" t="s">
        <v>3081</v>
      </c>
      <c r="N566" s="361"/>
      <c r="O566" s="361"/>
      <c r="P566" s="361">
        <v>9.403208E9</v>
      </c>
      <c r="Q566" s="132">
        <v>4.703749315818282</v>
      </c>
      <c r="R566" s="592" t="s">
        <v>10</v>
      </c>
      <c r="S566" s="1"/>
      <c r="T566" s="224">
        <v>15.67916438606094</v>
      </c>
      <c r="U566" s="224">
        <v>9.407498631636564</v>
      </c>
      <c r="V566" s="224">
        <v>7.83958219303047</v>
      </c>
      <c r="W566" s="224">
        <v>6.271665754424376</v>
      </c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3.5" customHeight="1">
      <c r="A567" s="1"/>
      <c r="B567" s="1"/>
      <c r="C567" s="1"/>
      <c r="D567" s="13"/>
      <c r="E567" s="8"/>
      <c r="F567" s="8"/>
      <c r="G567" s="5"/>
      <c r="H567" s="5"/>
      <c r="I567" s="13"/>
      <c r="J567" s="8"/>
      <c r="K567" s="432"/>
      <c r="L567" s="225"/>
      <c r="M567" s="135"/>
      <c r="N567" s="225"/>
      <c r="O567" s="225"/>
      <c r="P567" s="225"/>
      <c r="Q567" s="509"/>
      <c r="R567" s="507"/>
      <c r="S567" s="1"/>
      <c r="T567" s="8"/>
      <c r="U567" s="8"/>
      <c r="V567" s="8"/>
      <c r="W567" s="8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3.5" customHeight="1">
      <c r="A568" s="1"/>
      <c r="B568" s="1"/>
      <c r="C568" s="1"/>
      <c r="D568" s="13"/>
      <c r="E568" s="8"/>
      <c r="F568" s="8"/>
      <c r="G568" s="5"/>
      <c r="H568" s="5"/>
      <c r="I568" s="13"/>
      <c r="J568" s="8"/>
      <c r="K568" s="432"/>
      <c r="L568" s="225"/>
      <c r="M568" s="135"/>
      <c r="N568" s="225"/>
      <c r="O568" s="225"/>
      <c r="P568" s="225"/>
      <c r="Q568" s="509"/>
      <c r="R568" s="507"/>
      <c r="S568" s="1"/>
      <c r="T568" s="8"/>
      <c r="U568" s="8"/>
      <c r="V568" s="8"/>
      <c r="W568" s="8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3.5" customHeight="1">
      <c r="A569" s="1"/>
      <c r="B569" s="1"/>
      <c r="C569" s="1"/>
      <c r="D569" s="13"/>
      <c r="E569" s="8"/>
      <c r="F569" s="8"/>
      <c r="G569" s="5"/>
      <c r="H569" s="5"/>
      <c r="I569" s="13"/>
      <c r="J569" s="8"/>
      <c r="K569" s="432"/>
      <c r="L569" s="225"/>
      <c r="M569" s="135"/>
      <c r="N569" s="225"/>
      <c r="O569" s="225"/>
      <c r="P569" s="225"/>
      <c r="Q569" s="509"/>
      <c r="R569" s="507"/>
      <c r="S569" s="1"/>
      <c r="T569" s="8"/>
      <c r="U569" s="8"/>
      <c r="V569" s="8"/>
      <c r="W569" s="8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3.5" customHeight="1">
      <c r="A570" s="1"/>
      <c r="B570" s="1"/>
      <c r="C570" s="1"/>
      <c r="D570" s="13"/>
      <c r="E570" s="8"/>
      <c r="F570" s="8"/>
      <c r="G570" s="5"/>
      <c r="H570" s="5"/>
      <c r="I570" s="13"/>
      <c r="J570" s="8"/>
      <c r="K570" s="432"/>
      <c r="L570" s="225"/>
      <c r="M570" s="135"/>
      <c r="N570" s="225"/>
      <c r="O570" s="225"/>
      <c r="P570" s="225"/>
      <c r="Q570" s="509"/>
      <c r="R570" s="507"/>
      <c r="S570" s="1"/>
      <c r="T570" s="8"/>
      <c r="U570" s="8"/>
      <c r="V570" s="8"/>
      <c r="W570" s="8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3.5" customHeight="1">
      <c r="A571" s="1"/>
      <c r="B571" s="1"/>
      <c r="C571" s="1"/>
      <c r="D571" s="13"/>
      <c r="E571" s="8"/>
      <c r="F571" s="8"/>
      <c r="G571" s="5"/>
      <c r="H571" s="5"/>
      <c r="I571" s="13"/>
      <c r="J571" s="8"/>
      <c r="K571" s="432"/>
      <c r="L571" s="225"/>
      <c r="M571" s="135"/>
      <c r="N571" s="225"/>
      <c r="O571" s="225"/>
      <c r="P571" s="225"/>
      <c r="Q571" s="509"/>
      <c r="R571" s="507"/>
      <c r="S571" s="1"/>
      <c r="T571" s="8"/>
      <c r="U571" s="8"/>
      <c r="V571" s="8"/>
      <c r="W571" s="8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3.5" customHeight="1">
      <c r="A572" s="1"/>
      <c r="B572" s="1"/>
      <c r="C572" s="1"/>
      <c r="D572" s="13"/>
      <c r="E572" s="8"/>
      <c r="F572" s="8"/>
      <c r="G572" s="5"/>
      <c r="H572" s="5"/>
      <c r="I572" s="13"/>
      <c r="J572" s="8"/>
      <c r="K572" s="432"/>
      <c r="L572" s="225"/>
      <c r="M572" s="135"/>
      <c r="N572" s="225"/>
      <c r="O572" s="225"/>
      <c r="P572" s="225"/>
      <c r="Q572" s="509"/>
      <c r="R572" s="507"/>
      <c r="S572" s="1"/>
      <c r="T572" s="8"/>
      <c r="U572" s="8"/>
      <c r="V572" s="8"/>
      <c r="W572" s="8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3.5" customHeight="1">
      <c r="A573" s="1"/>
      <c r="B573" s="1"/>
      <c r="C573" s="1"/>
      <c r="D573" s="13"/>
      <c r="E573" s="8"/>
      <c r="F573" s="8"/>
      <c r="G573" s="5"/>
      <c r="H573" s="5"/>
      <c r="I573" s="13"/>
      <c r="J573" s="8"/>
      <c r="K573" s="432"/>
      <c r="L573" s="225"/>
      <c r="M573" s="135"/>
      <c r="N573" s="225"/>
      <c r="O573" s="225"/>
      <c r="P573" s="225"/>
      <c r="Q573" s="509"/>
      <c r="R573" s="507"/>
      <c r="S573" s="1"/>
      <c r="T573" s="8"/>
      <c r="U573" s="8"/>
      <c r="V573" s="8"/>
      <c r="W573" s="8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</row>
    <row r="574" ht="13.5" customHeight="1">
      <c r="A574" s="1"/>
      <c r="B574" s="1"/>
      <c r="C574" s="1"/>
      <c r="D574" s="13"/>
      <c r="E574" s="8"/>
      <c r="F574" s="8"/>
      <c r="G574" s="5"/>
      <c r="H574" s="5"/>
      <c r="I574" s="13"/>
      <c r="J574" s="8"/>
      <c r="K574" s="432"/>
      <c r="L574" s="225"/>
      <c r="M574" s="135"/>
      <c r="N574" s="225"/>
      <c r="O574" s="225"/>
      <c r="P574" s="225"/>
      <c r="Q574" s="509"/>
      <c r="R574" s="507"/>
      <c r="S574" s="1"/>
      <c r="T574" s="8"/>
      <c r="U574" s="8"/>
      <c r="V574" s="8"/>
      <c r="W574" s="8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</row>
    <row r="575" ht="13.5" customHeight="1">
      <c r="A575" s="1"/>
      <c r="B575" s="1"/>
      <c r="C575" s="1"/>
      <c r="D575" s="13"/>
      <c r="E575" s="8"/>
      <c r="F575" s="8"/>
      <c r="G575" s="5"/>
      <c r="H575" s="5"/>
      <c r="I575" s="13"/>
      <c r="J575" s="8"/>
      <c r="K575" s="432"/>
      <c r="L575" s="225"/>
      <c r="M575" s="135"/>
      <c r="N575" s="225"/>
      <c r="O575" s="225"/>
      <c r="P575" s="225"/>
      <c r="Q575" s="509"/>
      <c r="R575" s="507"/>
      <c r="S575" s="1"/>
      <c r="T575" s="8"/>
      <c r="U575" s="8"/>
      <c r="V575" s="8"/>
      <c r="W575" s="8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</row>
    <row r="576" ht="13.5" customHeight="1">
      <c r="A576" s="1"/>
      <c r="B576" s="1"/>
      <c r="C576" s="1"/>
      <c r="D576" s="13"/>
      <c r="E576" s="8"/>
      <c r="F576" s="8"/>
      <c r="G576" s="5"/>
      <c r="H576" s="5"/>
      <c r="I576" s="13"/>
      <c r="J576" s="8"/>
      <c r="K576" s="432"/>
      <c r="L576" s="225"/>
      <c r="M576" s="135"/>
      <c r="N576" s="225"/>
      <c r="O576" s="225"/>
      <c r="P576" s="225"/>
      <c r="Q576" s="509"/>
      <c r="R576" s="507"/>
      <c r="S576" s="1"/>
      <c r="T576" s="8"/>
      <c r="U576" s="8"/>
      <c r="V576" s="8"/>
      <c r="W576" s="8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</row>
    <row r="577" ht="13.5" customHeight="1">
      <c r="A577" s="1"/>
      <c r="B577" s="1"/>
      <c r="C577" s="1"/>
      <c r="D577" s="13"/>
      <c r="E577" s="8"/>
      <c r="F577" s="8"/>
      <c r="G577" s="5"/>
      <c r="H577" s="5"/>
      <c r="I577" s="13"/>
      <c r="J577" s="8"/>
      <c r="K577" s="432"/>
      <c r="L577" s="225"/>
      <c r="M577" s="135"/>
      <c r="N577" s="225"/>
      <c r="O577" s="225"/>
      <c r="P577" s="225"/>
      <c r="Q577" s="509"/>
      <c r="R577" s="507"/>
      <c r="S577" s="1"/>
      <c r="T577" s="8"/>
      <c r="U577" s="8"/>
      <c r="V577" s="8"/>
      <c r="W577" s="8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</row>
    <row r="578" ht="13.5" customHeight="1">
      <c r="A578" s="1"/>
      <c r="B578" s="1"/>
      <c r="C578" s="1"/>
      <c r="D578" s="13"/>
      <c r="E578" s="8"/>
      <c r="F578" s="8"/>
      <c r="G578" s="5"/>
      <c r="H578" s="5"/>
      <c r="I578" s="13"/>
      <c r="J578" s="8"/>
      <c r="K578" s="432"/>
      <c r="L578" s="225"/>
      <c r="M578" s="135"/>
      <c r="N578" s="225"/>
      <c r="O578" s="225"/>
      <c r="P578" s="225"/>
      <c r="Q578" s="509"/>
      <c r="R578" s="507"/>
      <c r="S578" s="1"/>
      <c r="T578" s="8"/>
      <c r="U578" s="8"/>
      <c r="V578" s="8"/>
      <c r="W578" s="8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</row>
    <row r="579" ht="13.5" customHeight="1">
      <c r="A579" s="1"/>
      <c r="B579" s="1"/>
      <c r="C579" s="1"/>
      <c r="D579" s="13"/>
      <c r="E579" s="8"/>
      <c r="F579" s="8"/>
      <c r="G579" s="5"/>
      <c r="H579" s="5"/>
      <c r="I579" s="13"/>
      <c r="J579" s="8"/>
      <c r="K579" s="432"/>
      <c r="L579" s="225"/>
      <c r="M579" s="135"/>
      <c r="N579" s="225"/>
      <c r="O579" s="225"/>
      <c r="P579" s="225"/>
      <c r="Q579" s="509"/>
      <c r="R579" s="507"/>
      <c r="S579" s="1"/>
      <c r="T579" s="8"/>
      <c r="U579" s="8"/>
      <c r="V579" s="8"/>
      <c r="W579" s="8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</row>
    <row r="580" ht="13.5" customHeight="1">
      <c r="A580" s="1"/>
      <c r="B580" s="1"/>
      <c r="C580" s="1"/>
      <c r="D580" s="13"/>
      <c r="E580" s="8"/>
      <c r="F580" s="8"/>
      <c r="G580" s="5"/>
      <c r="H580" s="5"/>
      <c r="I580" s="13"/>
      <c r="J580" s="8"/>
      <c r="K580" s="432"/>
      <c r="L580" s="225"/>
      <c r="M580" s="135"/>
      <c r="N580" s="225"/>
      <c r="O580" s="225"/>
      <c r="P580" s="225"/>
      <c r="Q580" s="509"/>
      <c r="R580" s="507"/>
      <c r="S580" s="1"/>
      <c r="T580" s="8"/>
      <c r="U580" s="8"/>
      <c r="V580" s="8"/>
      <c r="W580" s="8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</row>
    <row r="581" ht="13.5" customHeight="1">
      <c r="A581" s="1"/>
      <c r="B581" s="1"/>
      <c r="C581" s="1"/>
      <c r="D581" s="13"/>
      <c r="E581" s="8"/>
      <c r="F581" s="8"/>
      <c r="G581" s="5"/>
      <c r="H581" s="5"/>
      <c r="I581" s="13"/>
      <c r="J581" s="8"/>
      <c r="K581" s="432"/>
      <c r="L581" s="225"/>
      <c r="M581" s="135"/>
      <c r="N581" s="225"/>
      <c r="O581" s="225"/>
      <c r="P581" s="225"/>
      <c r="Q581" s="509"/>
      <c r="R581" s="507"/>
      <c r="S581" s="1"/>
      <c r="T581" s="8"/>
      <c r="U581" s="8"/>
      <c r="V581" s="8"/>
      <c r="W581" s="8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</row>
    <row r="582" ht="13.5" customHeight="1">
      <c r="A582" s="1"/>
      <c r="B582" s="1"/>
      <c r="C582" s="1"/>
      <c r="D582" s="13"/>
      <c r="E582" s="8"/>
      <c r="F582" s="8"/>
      <c r="G582" s="5"/>
      <c r="H582" s="5"/>
      <c r="I582" s="13"/>
      <c r="J582" s="8"/>
      <c r="K582" s="432"/>
      <c r="L582" s="225"/>
      <c r="M582" s="135"/>
      <c r="N582" s="225"/>
      <c r="O582" s="225"/>
      <c r="P582" s="225"/>
      <c r="Q582" s="509"/>
      <c r="R582" s="507"/>
      <c r="S582" s="1"/>
      <c r="T582" s="8"/>
      <c r="U582" s="8"/>
      <c r="V582" s="8"/>
      <c r="W582" s="8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</row>
    <row r="583" ht="13.5" customHeight="1">
      <c r="A583" s="1"/>
      <c r="B583" s="1"/>
      <c r="C583" s="1"/>
      <c r="D583" s="13"/>
      <c r="E583" s="8"/>
      <c r="F583" s="8"/>
      <c r="G583" s="5"/>
      <c r="H583" s="5"/>
      <c r="I583" s="13"/>
      <c r="J583" s="8"/>
      <c r="K583" s="432"/>
      <c r="L583" s="225"/>
      <c r="M583" s="135"/>
      <c r="N583" s="225"/>
      <c r="O583" s="225"/>
      <c r="P583" s="225"/>
      <c r="Q583" s="509"/>
      <c r="R583" s="507"/>
      <c r="S583" s="1"/>
      <c r="T583" s="8"/>
      <c r="U583" s="8"/>
      <c r="V583" s="8"/>
      <c r="W583" s="8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</row>
    <row r="584" ht="13.5" customHeight="1">
      <c r="A584" s="1"/>
      <c r="B584" s="1"/>
      <c r="C584" s="1"/>
      <c r="D584" s="13"/>
      <c r="E584" s="8"/>
      <c r="F584" s="8"/>
      <c r="G584" s="5"/>
      <c r="H584" s="5"/>
      <c r="I584" s="13"/>
      <c r="J584" s="8"/>
      <c r="K584" s="432"/>
      <c r="L584" s="225"/>
      <c r="M584" s="135"/>
      <c r="N584" s="225"/>
      <c r="O584" s="225"/>
      <c r="P584" s="225"/>
      <c r="Q584" s="509"/>
      <c r="R584" s="507"/>
      <c r="S584" s="1"/>
      <c r="T584" s="8"/>
      <c r="U584" s="8"/>
      <c r="V584" s="8"/>
      <c r="W584" s="8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</row>
    <row r="585" ht="13.5" customHeight="1">
      <c r="A585" s="1"/>
      <c r="B585" s="1"/>
      <c r="C585" s="1"/>
      <c r="D585" s="13"/>
      <c r="E585" s="8"/>
      <c r="F585" s="8"/>
      <c r="G585" s="5"/>
      <c r="H585" s="5"/>
      <c r="I585" s="13"/>
      <c r="J585" s="8"/>
      <c r="K585" s="432"/>
      <c r="L585" s="225"/>
      <c r="M585" s="135"/>
      <c r="N585" s="225"/>
      <c r="O585" s="225"/>
      <c r="P585" s="225"/>
      <c r="Q585" s="509"/>
      <c r="R585" s="507"/>
      <c r="S585" s="1"/>
      <c r="T585" s="8"/>
      <c r="U585" s="8"/>
      <c r="V585" s="8"/>
      <c r="W585" s="8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</row>
    <row r="586" ht="13.5" customHeight="1">
      <c r="A586" s="1"/>
      <c r="B586" s="1"/>
      <c r="C586" s="1"/>
      <c r="D586" s="13"/>
      <c r="E586" s="8"/>
      <c r="F586" s="8"/>
      <c r="G586" s="5"/>
      <c r="H586" s="5"/>
      <c r="I586" s="13"/>
      <c r="J586" s="8"/>
      <c r="K586" s="432"/>
      <c r="L586" s="225"/>
      <c r="M586" s="135"/>
      <c r="N586" s="225"/>
      <c r="O586" s="225"/>
      <c r="P586" s="225"/>
      <c r="Q586" s="509"/>
      <c r="R586" s="507"/>
      <c r="S586" s="1"/>
      <c r="T586" s="8"/>
      <c r="U586" s="8"/>
      <c r="V586" s="8"/>
      <c r="W586" s="8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</row>
    <row r="587" ht="13.5" customHeight="1">
      <c r="A587" s="1"/>
      <c r="B587" s="1"/>
      <c r="C587" s="1"/>
      <c r="D587" s="13"/>
      <c r="E587" s="8"/>
      <c r="F587" s="8"/>
      <c r="G587" s="5"/>
      <c r="H587" s="5"/>
      <c r="I587" s="13"/>
      <c r="J587" s="8"/>
      <c r="K587" s="432"/>
      <c r="L587" s="225"/>
      <c r="M587" s="135"/>
      <c r="N587" s="225"/>
      <c r="O587" s="225"/>
      <c r="P587" s="225"/>
      <c r="Q587" s="509"/>
      <c r="R587" s="507"/>
      <c r="S587" s="1"/>
      <c r="T587" s="8"/>
      <c r="U587" s="8"/>
      <c r="V587" s="8"/>
      <c r="W587" s="8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</row>
    <row r="588" ht="13.5" customHeight="1">
      <c r="A588" s="1"/>
      <c r="B588" s="1"/>
      <c r="C588" s="1"/>
      <c r="D588" s="13"/>
      <c r="E588" s="8"/>
      <c r="F588" s="8"/>
      <c r="G588" s="5"/>
      <c r="H588" s="5"/>
      <c r="I588" s="13"/>
      <c r="J588" s="8"/>
      <c r="K588" s="432"/>
      <c r="L588" s="225"/>
      <c r="M588" s="135"/>
      <c r="N588" s="225"/>
      <c r="O588" s="225"/>
      <c r="P588" s="225"/>
      <c r="Q588" s="509"/>
      <c r="R588" s="507"/>
      <c r="S588" s="1"/>
      <c r="T588" s="8"/>
      <c r="U588" s="8"/>
      <c r="V588" s="8"/>
      <c r="W588" s="8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</row>
    <row r="589" ht="13.5" customHeight="1">
      <c r="A589" s="1"/>
      <c r="B589" s="1"/>
      <c r="C589" s="1"/>
      <c r="D589" s="13"/>
      <c r="E589" s="8"/>
      <c r="F589" s="8"/>
      <c r="G589" s="5"/>
      <c r="H589" s="5"/>
      <c r="I589" s="13"/>
      <c r="J589" s="8"/>
      <c r="K589" s="432"/>
      <c r="L589" s="225"/>
      <c r="M589" s="135"/>
      <c r="N589" s="225"/>
      <c r="O589" s="225"/>
      <c r="P589" s="225"/>
      <c r="Q589" s="509"/>
      <c r="R589" s="507"/>
      <c r="S589" s="1"/>
      <c r="T589" s="8"/>
      <c r="U589" s="8"/>
      <c r="V589" s="8"/>
      <c r="W589" s="8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</row>
    <row r="590" ht="13.5" customHeight="1">
      <c r="A590" s="1"/>
      <c r="B590" s="1"/>
      <c r="C590" s="1"/>
      <c r="D590" s="13"/>
      <c r="E590" s="8"/>
      <c r="F590" s="8"/>
      <c r="G590" s="5"/>
      <c r="H590" s="5"/>
      <c r="I590" s="13"/>
      <c r="J590" s="8"/>
      <c r="K590" s="432"/>
      <c r="L590" s="225"/>
      <c r="M590" s="135"/>
      <c r="N590" s="225"/>
      <c r="O590" s="225"/>
      <c r="P590" s="225"/>
      <c r="Q590" s="509"/>
      <c r="R590" s="507"/>
      <c r="S590" s="1"/>
      <c r="T590" s="8"/>
      <c r="U590" s="8"/>
      <c r="V590" s="8"/>
      <c r="W590" s="8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</row>
    <row r="591" ht="13.5" customHeight="1">
      <c r="A591" s="1"/>
      <c r="B591" s="1"/>
      <c r="C591" s="1"/>
      <c r="D591" s="13"/>
      <c r="E591" s="8"/>
      <c r="F591" s="8"/>
      <c r="G591" s="5"/>
      <c r="H591" s="5"/>
      <c r="I591" s="13"/>
      <c r="J591" s="8"/>
      <c r="K591" s="432"/>
      <c r="L591" s="225"/>
      <c r="M591" s="135"/>
      <c r="N591" s="225"/>
      <c r="O591" s="225"/>
      <c r="P591" s="225"/>
      <c r="Q591" s="509"/>
      <c r="R591" s="507"/>
      <c r="S591" s="1"/>
      <c r="T591" s="8"/>
      <c r="U591" s="8"/>
      <c r="V591" s="8"/>
      <c r="W591" s="8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</row>
    <row r="592" ht="13.5" customHeight="1">
      <c r="A592" s="1"/>
      <c r="B592" s="1"/>
      <c r="C592" s="1"/>
      <c r="D592" s="13"/>
      <c r="E592" s="8"/>
      <c r="F592" s="8"/>
      <c r="G592" s="5"/>
      <c r="H592" s="5"/>
      <c r="I592" s="13"/>
      <c r="J592" s="8"/>
      <c r="K592" s="432"/>
      <c r="L592" s="225"/>
      <c r="M592" s="135"/>
      <c r="N592" s="225"/>
      <c r="O592" s="225"/>
      <c r="P592" s="225"/>
      <c r="Q592" s="509"/>
      <c r="R592" s="507"/>
      <c r="S592" s="1"/>
      <c r="T592" s="8"/>
      <c r="U592" s="8"/>
      <c r="V592" s="8"/>
      <c r="W592" s="8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</row>
    <row r="593" ht="13.5" customHeight="1">
      <c r="A593" s="1"/>
      <c r="B593" s="1"/>
      <c r="C593" s="1"/>
      <c r="D593" s="13"/>
      <c r="E593" s="8"/>
      <c r="F593" s="8"/>
      <c r="G593" s="5"/>
      <c r="H593" s="5"/>
      <c r="I593" s="13"/>
      <c r="J593" s="8"/>
      <c r="K593" s="432"/>
      <c r="L593" s="225"/>
      <c r="M593" s="135"/>
      <c r="N593" s="225"/>
      <c r="O593" s="225"/>
      <c r="P593" s="225"/>
      <c r="Q593" s="509"/>
      <c r="R593" s="507"/>
      <c r="S593" s="1"/>
      <c r="T593" s="8"/>
      <c r="U593" s="8"/>
      <c r="V593" s="8"/>
      <c r="W593" s="8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</row>
    <row r="594" ht="13.5" customHeight="1">
      <c r="A594" s="1"/>
      <c r="B594" s="1"/>
      <c r="C594" s="1"/>
      <c r="D594" s="13"/>
      <c r="E594" s="8"/>
      <c r="F594" s="8"/>
      <c r="G594" s="5"/>
      <c r="H594" s="5"/>
      <c r="I594" s="13"/>
      <c r="J594" s="8"/>
      <c r="K594" s="432"/>
      <c r="L594" s="225"/>
      <c r="M594" s="135"/>
      <c r="N594" s="225"/>
      <c r="O594" s="225"/>
      <c r="P594" s="225"/>
      <c r="Q594" s="509"/>
      <c r="R594" s="507"/>
      <c r="S594" s="1"/>
      <c r="T594" s="8"/>
      <c r="U594" s="8"/>
      <c r="V594" s="8"/>
      <c r="W594" s="8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</row>
    <row r="595" ht="13.5" customHeight="1">
      <c r="A595" s="1"/>
      <c r="B595" s="1"/>
      <c r="C595" s="1"/>
      <c r="D595" s="13"/>
      <c r="E595" s="8"/>
      <c r="F595" s="8"/>
      <c r="G595" s="5"/>
      <c r="H595" s="5"/>
      <c r="I595" s="13"/>
      <c r="J595" s="8"/>
      <c r="K595" s="432"/>
      <c r="L595" s="225"/>
      <c r="M595" s="135"/>
      <c r="N595" s="225"/>
      <c r="O595" s="225"/>
      <c r="P595" s="225"/>
      <c r="Q595" s="509"/>
      <c r="R595" s="507"/>
      <c r="S595" s="1"/>
      <c r="T595" s="8"/>
      <c r="U595" s="8"/>
      <c r="V595" s="8"/>
      <c r="W595" s="8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</row>
    <row r="596" ht="13.5" customHeight="1">
      <c r="A596" s="1"/>
      <c r="B596" s="1"/>
      <c r="C596" s="1"/>
      <c r="D596" s="13"/>
      <c r="E596" s="8"/>
      <c r="F596" s="8"/>
      <c r="G596" s="5"/>
      <c r="H596" s="5"/>
      <c r="I596" s="13"/>
      <c r="J596" s="8"/>
      <c r="K596" s="432"/>
      <c r="L596" s="225"/>
      <c r="M596" s="135"/>
      <c r="N596" s="225"/>
      <c r="O596" s="225"/>
      <c r="P596" s="225"/>
      <c r="Q596" s="509"/>
      <c r="R596" s="507"/>
      <c r="S596" s="1"/>
      <c r="T596" s="8"/>
      <c r="U596" s="8"/>
      <c r="V596" s="8"/>
      <c r="W596" s="8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</row>
    <row r="597" ht="13.5" customHeight="1">
      <c r="A597" s="1"/>
      <c r="B597" s="1"/>
      <c r="C597" s="1"/>
      <c r="D597" s="13"/>
      <c r="E597" s="8"/>
      <c r="F597" s="8"/>
      <c r="G597" s="5"/>
      <c r="H597" s="5"/>
      <c r="I597" s="13"/>
      <c r="J597" s="8"/>
      <c r="K597" s="432"/>
      <c r="L597" s="225"/>
      <c r="M597" s="135"/>
      <c r="N597" s="225"/>
      <c r="O597" s="225"/>
      <c r="P597" s="225"/>
      <c r="Q597" s="509"/>
      <c r="R597" s="507"/>
      <c r="S597" s="1"/>
      <c r="T597" s="8"/>
      <c r="U597" s="8"/>
      <c r="V597" s="8"/>
      <c r="W597" s="8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</row>
    <row r="598" ht="13.5" customHeight="1">
      <c r="A598" s="1"/>
      <c r="B598" s="1"/>
      <c r="C598" s="1"/>
      <c r="D598" s="13"/>
      <c r="E598" s="8"/>
      <c r="F598" s="8"/>
      <c r="G598" s="5"/>
      <c r="H598" s="5"/>
      <c r="I598" s="13"/>
      <c r="J598" s="8"/>
      <c r="K598" s="432"/>
      <c r="L598" s="225"/>
      <c r="M598" s="135"/>
      <c r="N598" s="225"/>
      <c r="O598" s="225"/>
      <c r="P598" s="225"/>
      <c r="Q598" s="509"/>
      <c r="R598" s="507"/>
      <c r="S598" s="1"/>
      <c r="T598" s="8"/>
      <c r="U598" s="8"/>
      <c r="V598" s="8"/>
      <c r="W598" s="8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</row>
    <row r="599" ht="13.5" customHeight="1">
      <c r="A599" s="1"/>
      <c r="B599" s="1"/>
      <c r="C599" s="1"/>
      <c r="D599" s="13"/>
      <c r="E599" s="8"/>
      <c r="F599" s="8"/>
      <c r="G599" s="5"/>
      <c r="H599" s="5"/>
      <c r="I599" s="13"/>
      <c r="J599" s="8"/>
      <c r="K599" s="432"/>
      <c r="L599" s="225"/>
      <c r="M599" s="135"/>
      <c r="N599" s="225"/>
      <c r="O599" s="225"/>
      <c r="P599" s="225"/>
      <c r="Q599" s="509"/>
      <c r="R599" s="507"/>
      <c r="S599" s="1"/>
      <c r="T599" s="8"/>
      <c r="U599" s="8"/>
      <c r="V599" s="8"/>
      <c r="W599" s="8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</row>
    <row r="600" ht="13.5" customHeight="1">
      <c r="A600" s="1"/>
      <c r="B600" s="1"/>
      <c r="C600" s="1"/>
      <c r="D600" s="13"/>
      <c r="E600" s="8"/>
      <c r="F600" s="8"/>
      <c r="G600" s="5"/>
      <c r="H600" s="5"/>
      <c r="I600" s="13"/>
      <c r="J600" s="8"/>
      <c r="K600" s="432"/>
      <c r="L600" s="225"/>
      <c r="M600" s="135"/>
      <c r="N600" s="225"/>
      <c r="O600" s="225"/>
      <c r="P600" s="225"/>
      <c r="Q600" s="509"/>
      <c r="R600" s="507"/>
      <c r="S600" s="1"/>
      <c r="T600" s="8"/>
      <c r="U600" s="8"/>
      <c r="V600" s="8"/>
      <c r="W600" s="8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</row>
    <row r="601" ht="13.5" customHeight="1">
      <c r="A601" s="1"/>
      <c r="B601" s="1"/>
      <c r="C601" s="1"/>
      <c r="D601" s="13"/>
      <c r="E601" s="8"/>
      <c r="F601" s="8"/>
      <c r="G601" s="5"/>
      <c r="H601" s="5"/>
      <c r="I601" s="13"/>
      <c r="J601" s="8"/>
      <c r="K601" s="432"/>
      <c r="L601" s="225"/>
      <c r="M601" s="135"/>
      <c r="N601" s="225"/>
      <c r="O601" s="225"/>
      <c r="P601" s="225"/>
      <c r="Q601" s="509"/>
      <c r="R601" s="507"/>
      <c r="S601" s="1"/>
      <c r="T601" s="8"/>
      <c r="U601" s="8"/>
      <c r="V601" s="8"/>
      <c r="W601" s="8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</row>
    <row r="602" ht="13.5" customHeight="1">
      <c r="A602" s="1"/>
      <c r="B602" s="1"/>
      <c r="C602" s="1"/>
      <c r="D602" s="13"/>
      <c r="E602" s="8"/>
      <c r="F602" s="8"/>
      <c r="G602" s="5"/>
      <c r="H602" s="5"/>
      <c r="I602" s="13"/>
      <c r="J602" s="8"/>
      <c r="K602" s="432"/>
      <c r="L602" s="225"/>
      <c r="M602" s="135"/>
      <c r="N602" s="225"/>
      <c r="O602" s="225"/>
      <c r="P602" s="225"/>
      <c r="Q602" s="509"/>
      <c r="R602" s="507"/>
      <c r="S602" s="1"/>
      <c r="T602" s="8"/>
      <c r="U602" s="8"/>
      <c r="V602" s="8"/>
      <c r="W602" s="8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</row>
    <row r="603" ht="13.5" customHeight="1">
      <c r="A603" s="1"/>
      <c r="B603" s="1"/>
      <c r="C603" s="1"/>
      <c r="D603" s="13"/>
      <c r="E603" s="8"/>
      <c r="F603" s="8"/>
      <c r="G603" s="5"/>
      <c r="H603" s="5"/>
      <c r="I603" s="13"/>
      <c r="J603" s="8"/>
      <c r="K603" s="432"/>
      <c r="L603" s="225"/>
      <c r="M603" s="135"/>
      <c r="N603" s="225"/>
      <c r="O603" s="225"/>
      <c r="P603" s="225"/>
      <c r="Q603" s="509"/>
      <c r="R603" s="507"/>
      <c r="S603" s="1"/>
      <c r="T603" s="8"/>
      <c r="U603" s="8"/>
      <c r="V603" s="8"/>
      <c r="W603" s="8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</row>
    <row r="604" ht="13.5" customHeight="1">
      <c r="A604" s="1"/>
      <c r="B604" s="1"/>
      <c r="C604" s="1"/>
      <c r="D604" s="13"/>
      <c r="E604" s="8"/>
      <c r="F604" s="8"/>
      <c r="G604" s="5"/>
      <c r="H604" s="5"/>
      <c r="I604" s="13"/>
      <c r="J604" s="8"/>
      <c r="K604" s="432"/>
      <c r="L604" s="225"/>
      <c r="M604" s="135"/>
      <c r="N604" s="225"/>
      <c r="O604" s="225"/>
      <c r="P604" s="225"/>
      <c r="Q604" s="509"/>
      <c r="R604" s="507"/>
      <c r="S604" s="1"/>
      <c r="T604" s="8"/>
      <c r="U604" s="8"/>
      <c r="V604" s="8"/>
      <c r="W604" s="8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</row>
    <row r="605" ht="13.5" customHeight="1">
      <c r="A605" s="1"/>
      <c r="B605" s="1"/>
      <c r="C605" s="1"/>
      <c r="D605" s="13"/>
      <c r="E605" s="8"/>
      <c r="F605" s="8"/>
      <c r="G605" s="5"/>
      <c r="H605" s="5"/>
      <c r="I605" s="13"/>
      <c r="J605" s="8"/>
      <c r="K605" s="432"/>
      <c r="L605" s="225"/>
      <c r="M605" s="135"/>
      <c r="N605" s="225"/>
      <c r="O605" s="225"/>
      <c r="P605" s="225"/>
      <c r="Q605" s="509"/>
      <c r="R605" s="507"/>
      <c r="S605" s="1"/>
      <c r="T605" s="8"/>
      <c r="U605" s="8"/>
      <c r="V605" s="8"/>
      <c r="W605" s="8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</row>
    <row r="606" ht="13.5" customHeight="1">
      <c r="A606" s="1"/>
      <c r="B606" s="1"/>
      <c r="C606" s="1"/>
      <c r="D606" s="13"/>
      <c r="E606" s="8"/>
      <c r="F606" s="8"/>
      <c r="G606" s="5"/>
      <c r="H606" s="5"/>
      <c r="I606" s="13"/>
      <c r="J606" s="8"/>
      <c r="K606" s="432"/>
      <c r="L606" s="225"/>
      <c r="M606" s="135"/>
      <c r="N606" s="225"/>
      <c r="O606" s="225"/>
      <c r="P606" s="225"/>
      <c r="Q606" s="509"/>
      <c r="R606" s="507"/>
      <c r="S606" s="1"/>
      <c r="T606" s="8"/>
      <c r="U606" s="8"/>
      <c r="V606" s="8"/>
      <c r="W606" s="8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</row>
    <row r="607" ht="13.5" customHeight="1">
      <c r="A607" s="1"/>
      <c r="B607" s="1"/>
      <c r="C607" s="1"/>
      <c r="D607" s="13"/>
      <c r="E607" s="8"/>
      <c r="F607" s="8"/>
      <c r="G607" s="5"/>
      <c r="H607" s="5"/>
      <c r="I607" s="13"/>
      <c r="J607" s="8"/>
      <c r="K607" s="432"/>
      <c r="L607" s="225"/>
      <c r="M607" s="135"/>
      <c r="N607" s="225"/>
      <c r="O607" s="225"/>
      <c r="P607" s="225"/>
      <c r="Q607" s="509"/>
      <c r="R607" s="507"/>
      <c r="S607" s="1"/>
      <c r="T607" s="8"/>
      <c r="U607" s="8"/>
      <c r="V607" s="8"/>
      <c r="W607" s="8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</row>
    <row r="608" ht="13.5" customHeight="1">
      <c r="A608" s="1"/>
      <c r="B608" s="1"/>
      <c r="C608" s="1"/>
      <c r="D608" s="13"/>
      <c r="E608" s="8"/>
      <c r="F608" s="8"/>
      <c r="G608" s="5"/>
      <c r="H608" s="5"/>
      <c r="I608" s="13"/>
      <c r="J608" s="8"/>
      <c r="K608" s="432"/>
      <c r="L608" s="225"/>
      <c r="M608" s="135"/>
      <c r="N608" s="225"/>
      <c r="O608" s="225"/>
      <c r="P608" s="225"/>
      <c r="Q608" s="509"/>
      <c r="R608" s="507"/>
      <c r="S608" s="1"/>
      <c r="T608" s="8"/>
      <c r="U608" s="8"/>
      <c r="V608" s="8"/>
      <c r="W608" s="8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</row>
    <row r="609" ht="13.5" customHeight="1">
      <c r="A609" s="1"/>
      <c r="B609" s="1"/>
      <c r="C609" s="1"/>
      <c r="D609" s="13"/>
      <c r="E609" s="8"/>
      <c r="F609" s="8"/>
      <c r="G609" s="5"/>
      <c r="H609" s="5"/>
      <c r="I609" s="13"/>
      <c r="J609" s="8"/>
      <c r="K609" s="432"/>
      <c r="L609" s="225"/>
      <c r="M609" s="135"/>
      <c r="N609" s="225"/>
      <c r="O609" s="225"/>
      <c r="P609" s="225"/>
      <c r="Q609" s="509"/>
      <c r="R609" s="507"/>
      <c r="S609" s="1"/>
      <c r="T609" s="8"/>
      <c r="U609" s="8"/>
      <c r="V609" s="8"/>
      <c r="W609" s="8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</row>
    <row r="610" ht="13.5" customHeight="1">
      <c r="A610" s="1"/>
      <c r="B610" s="1"/>
      <c r="C610" s="1"/>
      <c r="D610" s="13"/>
      <c r="E610" s="8"/>
      <c r="F610" s="8"/>
      <c r="G610" s="5"/>
      <c r="H610" s="5"/>
      <c r="I610" s="13"/>
      <c r="J610" s="8"/>
      <c r="K610" s="432"/>
      <c r="L610" s="225"/>
      <c r="M610" s="135"/>
      <c r="N610" s="225"/>
      <c r="O610" s="225"/>
      <c r="P610" s="225"/>
      <c r="Q610" s="509"/>
      <c r="R610" s="507"/>
      <c r="S610" s="1"/>
      <c r="T610" s="8"/>
      <c r="U610" s="8"/>
      <c r="V610" s="8"/>
      <c r="W610" s="8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</row>
    <row r="611" ht="13.5" customHeight="1">
      <c r="A611" s="1"/>
      <c r="B611" s="1"/>
      <c r="C611" s="1"/>
      <c r="D611" s="13"/>
      <c r="E611" s="8"/>
      <c r="F611" s="8"/>
      <c r="G611" s="5"/>
      <c r="H611" s="5"/>
      <c r="I611" s="13"/>
      <c r="J611" s="8"/>
      <c r="K611" s="432"/>
      <c r="L611" s="225"/>
      <c r="M611" s="135"/>
      <c r="N611" s="225"/>
      <c r="O611" s="225"/>
      <c r="P611" s="225"/>
      <c r="Q611" s="509"/>
      <c r="R611" s="507"/>
      <c r="S611" s="1"/>
      <c r="T611" s="8"/>
      <c r="U611" s="8"/>
      <c r="V611" s="8"/>
      <c r="W611" s="8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</row>
    <row r="612" ht="13.5" customHeight="1">
      <c r="A612" s="1"/>
      <c r="B612" s="1"/>
      <c r="C612" s="1"/>
      <c r="D612" s="13"/>
      <c r="E612" s="8"/>
      <c r="F612" s="8"/>
      <c r="G612" s="5"/>
      <c r="H612" s="5"/>
      <c r="I612" s="13"/>
      <c r="J612" s="8"/>
      <c r="K612" s="432"/>
      <c r="L612" s="225"/>
      <c r="M612" s="135"/>
      <c r="N612" s="225"/>
      <c r="O612" s="225"/>
      <c r="P612" s="225"/>
      <c r="Q612" s="509"/>
      <c r="R612" s="507"/>
      <c r="S612" s="1"/>
      <c r="T612" s="8"/>
      <c r="U612" s="8"/>
      <c r="V612" s="8"/>
      <c r="W612" s="8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</row>
    <row r="613" ht="13.5" customHeight="1">
      <c r="A613" s="1"/>
      <c r="B613" s="1"/>
      <c r="C613" s="1"/>
      <c r="D613" s="13"/>
      <c r="E613" s="8"/>
      <c r="F613" s="8"/>
      <c r="G613" s="5"/>
      <c r="H613" s="5"/>
      <c r="I613" s="13"/>
      <c r="J613" s="8"/>
      <c r="K613" s="432"/>
      <c r="L613" s="225"/>
      <c r="M613" s="135"/>
      <c r="N613" s="225"/>
      <c r="O613" s="225"/>
      <c r="P613" s="225"/>
      <c r="Q613" s="509"/>
      <c r="R613" s="507"/>
      <c r="S613" s="1"/>
      <c r="T613" s="8"/>
      <c r="U613" s="8"/>
      <c r="V613" s="8"/>
      <c r="W613" s="8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</row>
    <row r="614" ht="13.5" customHeight="1">
      <c r="A614" s="1"/>
      <c r="B614" s="1"/>
      <c r="C614" s="1"/>
      <c r="D614" s="13"/>
      <c r="E614" s="8"/>
      <c r="F614" s="8"/>
      <c r="G614" s="5"/>
      <c r="H614" s="5"/>
      <c r="I614" s="13"/>
      <c r="J614" s="8"/>
      <c r="K614" s="432"/>
      <c r="L614" s="225"/>
      <c r="M614" s="135"/>
      <c r="N614" s="225"/>
      <c r="O614" s="225"/>
      <c r="P614" s="225"/>
      <c r="Q614" s="509"/>
      <c r="R614" s="507"/>
      <c r="S614" s="1"/>
      <c r="T614" s="8"/>
      <c r="U614" s="8"/>
      <c r="V614" s="8"/>
      <c r="W614" s="8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</row>
    <row r="615" ht="13.5" customHeight="1">
      <c r="A615" s="1"/>
      <c r="B615" s="1"/>
      <c r="C615" s="1"/>
      <c r="D615" s="13"/>
      <c r="E615" s="8"/>
      <c r="F615" s="8"/>
      <c r="G615" s="5"/>
      <c r="H615" s="5"/>
      <c r="I615" s="13"/>
      <c r="J615" s="8"/>
      <c r="K615" s="432"/>
      <c r="L615" s="225"/>
      <c r="M615" s="135"/>
      <c r="N615" s="225"/>
      <c r="O615" s="225"/>
      <c r="P615" s="225"/>
      <c r="Q615" s="509"/>
      <c r="R615" s="507"/>
      <c r="S615" s="1"/>
      <c r="T615" s="8"/>
      <c r="U615" s="8"/>
      <c r="V615" s="8"/>
      <c r="W615" s="8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</row>
    <row r="616" ht="13.5" customHeight="1">
      <c r="A616" s="1"/>
      <c r="B616" s="1"/>
      <c r="C616" s="1"/>
      <c r="D616" s="13"/>
      <c r="E616" s="8"/>
      <c r="F616" s="8"/>
      <c r="G616" s="5"/>
      <c r="H616" s="5"/>
      <c r="I616" s="13"/>
      <c r="J616" s="8"/>
      <c r="K616" s="432"/>
      <c r="L616" s="225"/>
      <c r="M616" s="135"/>
      <c r="N616" s="225"/>
      <c r="O616" s="225"/>
      <c r="P616" s="225"/>
      <c r="Q616" s="509"/>
      <c r="R616" s="507"/>
      <c r="S616" s="1"/>
      <c r="T616" s="8"/>
      <c r="U616" s="8"/>
      <c r="V616" s="8"/>
      <c r="W616" s="8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</row>
    <row r="617" ht="13.5" customHeight="1">
      <c r="A617" s="1"/>
      <c r="B617" s="1"/>
      <c r="C617" s="1"/>
      <c r="D617" s="13"/>
      <c r="E617" s="8"/>
      <c r="F617" s="8"/>
      <c r="G617" s="5"/>
      <c r="H617" s="5"/>
      <c r="I617" s="13"/>
      <c r="J617" s="8"/>
      <c r="K617" s="432"/>
      <c r="L617" s="225"/>
      <c r="M617" s="135"/>
      <c r="N617" s="225"/>
      <c r="O617" s="225"/>
      <c r="P617" s="225"/>
      <c r="Q617" s="509"/>
      <c r="R617" s="507"/>
      <c r="S617" s="1"/>
      <c r="T617" s="8"/>
      <c r="U617" s="8"/>
      <c r="V617" s="8"/>
      <c r="W617" s="8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</row>
    <row r="618" ht="13.5" customHeight="1">
      <c r="A618" s="1"/>
      <c r="B618" s="1"/>
      <c r="C618" s="1"/>
      <c r="D618" s="13"/>
      <c r="E618" s="8"/>
      <c r="F618" s="8"/>
      <c r="G618" s="5"/>
      <c r="H618" s="5"/>
      <c r="I618" s="13"/>
      <c r="J618" s="8"/>
      <c r="K618" s="432"/>
      <c r="L618" s="225"/>
      <c r="M618" s="135"/>
      <c r="N618" s="225"/>
      <c r="O618" s="225"/>
      <c r="P618" s="225"/>
      <c r="Q618" s="509"/>
      <c r="R618" s="507"/>
      <c r="S618" s="1"/>
      <c r="T618" s="8"/>
      <c r="U618" s="8"/>
      <c r="V618" s="8"/>
      <c r="W618" s="8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</row>
    <row r="619" ht="13.5" customHeight="1">
      <c r="A619" s="1"/>
      <c r="B619" s="1"/>
      <c r="C619" s="1"/>
      <c r="D619" s="13"/>
      <c r="E619" s="8"/>
      <c r="F619" s="8"/>
      <c r="G619" s="5"/>
      <c r="H619" s="5"/>
      <c r="I619" s="13"/>
      <c r="J619" s="8"/>
      <c r="K619" s="432"/>
      <c r="L619" s="225"/>
      <c r="M619" s="135"/>
      <c r="N619" s="225"/>
      <c r="O619" s="225"/>
      <c r="P619" s="225"/>
      <c r="Q619" s="509"/>
      <c r="R619" s="507"/>
      <c r="S619" s="1"/>
      <c r="T619" s="8"/>
      <c r="U619" s="8"/>
      <c r="V619" s="8"/>
      <c r="W619" s="8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</row>
    <row r="620" ht="13.5" customHeight="1">
      <c r="A620" s="1"/>
      <c r="B620" s="1"/>
      <c r="C620" s="1"/>
      <c r="D620" s="13"/>
      <c r="E620" s="8"/>
      <c r="F620" s="8"/>
      <c r="G620" s="5"/>
      <c r="H620" s="5"/>
      <c r="I620" s="13"/>
      <c r="J620" s="8"/>
      <c r="K620" s="432"/>
      <c r="L620" s="225"/>
      <c r="M620" s="135"/>
      <c r="N620" s="225"/>
      <c r="O620" s="225"/>
      <c r="P620" s="225"/>
      <c r="Q620" s="509"/>
      <c r="R620" s="507"/>
      <c r="S620" s="1"/>
      <c r="T620" s="8"/>
      <c r="U620" s="8"/>
      <c r="V620" s="8"/>
      <c r="W620" s="8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</row>
    <row r="621" ht="13.5" customHeight="1">
      <c r="A621" s="1"/>
      <c r="B621" s="1"/>
      <c r="C621" s="1"/>
      <c r="D621" s="13"/>
      <c r="E621" s="8"/>
      <c r="F621" s="8"/>
      <c r="G621" s="5"/>
      <c r="H621" s="5"/>
      <c r="I621" s="13"/>
      <c r="J621" s="8"/>
      <c r="K621" s="432"/>
      <c r="L621" s="225"/>
      <c r="M621" s="135"/>
      <c r="N621" s="225"/>
      <c r="O621" s="225"/>
      <c r="P621" s="225"/>
      <c r="Q621" s="509"/>
      <c r="R621" s="507"/>
      <c r="S621" s="1"/>
      <c r="T621" s="8"/>
      <c r="U621" s="8"/>
      <c r="V621" s="8"/>
      <c r="W621" s="8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</row>
    <row r="622" ht="13.5" customHeight="1">
      <c r="A622" s="1"/>
      <c r="B622" s="1"/>
      <c r="C622" s="1"/>
      <c r="D622" s="13"/>
      <c r="E622" s="8"/>
      <c r="F622" s="8"/>
      <c r="G622" s="5"/>
      <c r="H622" s="5"/>
      <c r="I622" s="13"/>
      <c r="J622" s="8"/>
      <c r="K622" s="432"/>
      <c r="L622" s="225"/>
      <c r="M622" s="135"/>
      <c r="N622" s="225"/>
      <c r="O622" s="225"/>
      <c r="P622" s="225"/>
      <c r="Q622" s="509"/>
      <c r="R622" s="507"/>
      <c r="S622" s="1"/>
      <c r="T622" s="8"/>
      <c r="U622" s="8"/>
      <c r="V622" s="8"/>
      <c r="W622" s="8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</row>
    <row r="623" ht="13.5" customHeight="1">
      <c r="A623" s="1"/>
      <c r="B623" s="1"/>
      <c r="C623" s="1"/>
      <c r="D623" s="13"/>
      <c r="E623" s="8"/>
      <c r="F623" s="8"/>
      <c r="G623" s="5"/>
      <c r="H623" s="5"/>
      <c r="I623" s="13"/>
      <c r="J623" s="8"/>
      <c r="K623" s="432"/>
      <c r="L623" s="225"/>
      <c r="M623" s="135"/>
      <c r="N623" s="225"/>
      <c r="O623" s="225"/>
      <c r="P623" s="225"/>
      <c r="Q623" s="509"/>
      <c r="R623" s="507"/>
      <c r="S623" s="1"/>
      <c r="T623" s="8"/>
      <c r="U623" s="8"/>
      <c r="V623" s="8"/>
      <c r="W623" s="8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</row>
    <row r="624" ht="13.5" customHeight="1">
      <c r="A624" s="1"/>
      <c r="B624" s="1"/>
      <c r="C624" s="1"/>
      <c r="D624" s="13"/>
      <c r="E624" s="8"/>
      <c r="F624" s="8"/>
      <c r="G624" s="5"/>
      <c r="H624" s="5"/>
      <c r="I624" s="13"/>
      <c r="J624" s="8"/>
      <c r="K624" s="432"/>
      <c r="L624" s="225"/>
      <c r="M624" s="135"/>
      <c r="N624" s="225"/>
      <c r="O624" s="225"/>
      <c r="P624" s="225"/>
      <c r="Q624" s="509"/>
      <c r="R624" s="507"/>
      <c r="S624" s="1"/>
      <c r="T624" s="8"/>
      <c r="U624" s="8"/>
      <c r="V624" s="8"/>
      <c r="W624" s="8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</row>
    <row r="625" ht="13.5" customHeight="1">
      <c r="A625" s="1"/>
      <c r="B625" s="1"/>
      <c r="C625" s="1"/>
      <c r="D625" s="13"/>
      <c r="E625" s="8"/>
      <c r="F625" s="8"/>
      <c r="G625" s="5"/>
      <c r="H625" s="5"/>
      <c r="I625" s="13"/>
      <c r="J625" s="8"/>
      <c r="K625" s="432"/>
      <c r="L625" s="225"/>
      <c r="M625" s="135"/>
      <c r="N625" s="225"/>
      <c r="O625" s="225"/>
      <c r="P625" s="225"/>
      <c r="Q625" s="509"/>
      <c r="R625" s="507"/>
      <c r="S625" s="1"/>
      <c r="T625" s="8"/>
      <c r="U625" s="8"/>
      <c r="V625" s="8"/>
      <c r="W625" s="8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</row>
    <row r="626" ht="13.5" customHeight="1">
      <c r="A626" s="1"/>
      <c r="B626" s="1"/>
      <c r="C626" s="1"/>
      <c r="D626" s="13"/>
      <c r="E626" s="8"/>
      <c r="F626" s="8"/>
      <c r="G626" s="5"/>
      <c r="H626" s="5"/>
      <c r="I626" s="13"/>
      <c r="J626" s="8"/>
      <c r="K626" s="432"/>
      <c r="L626" s="225"/>
      <c r="M626" s="135"/>
      <c r="N626" s="225"/>
      <c r="O626" s="225"/>
      <c r="P626" s="225"/>
      <c r="Q626" s="509"/>
      <c r="R626" s="507"/>
      <c r="S626" s="1"/>
      <c r="T626" s="8"/>
      <c r="U626" s="8"/>
      <c r="V626" s="8"/>
      <c r="W626" s="8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</row>
    <row r="627" ht="13.5" customHeight="1">
      <c r="A627" s="1"/>
      <c r="B627" s="1"/>
      <c r="C627" s="1"/>
      <c r="D627" s="13"/>
      <c r="E627" s="8"/>
      <c r="F627" s="8"/>
      <c r="G627" s="5"/>
      <c r="H627" s="5"/>
      <c r="I627" s="13"/>
      <c r="J627" s="8"/>
      <c r="K627" s="432"/>
      <c r="L627" s="225"/>
      <c r="M627" s="135"/>
      <c r="N627" s="225"/>
      <c r="O627" s="225"/>
      <c r="P627" s="225"/>
      <c r="Q627" s="509"/>
      <c r="R627" s="507"/>
      <c r="S627" s="1"/>
      <c r="T627" s="8"/>
      <c r="U627" s="8"/>
      <c r="V627" s="8"/>
      <c r="W627" s="8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</row>
    <row r="628" ht="13.5" customHeight="1">
      <c r="A628" s="1"/>
      <c r="B628" s="1"/>
      <c r="C628" s="1"/>
      <c r="D628" s="13"/>
      <c r="E628" s="8"/>
      <c r="F628" s="8"/>
      <c r="G628" s="5"/>
      <c r="H628" s="5"/>
      <c r="I628" s="13"/>
      <c r="J628" s="8"/>
      <c r="K628" s="432"/>
      <c r="L628" s="225"/>
      <c r="M628" s="135"/>
      <c r="N628" s="225"/>
      <c r="O628" s="225"/>
      <c r="P628" s="225"/>
      <c r="Q628" s="509"/>
      <c r="R628" s="507"/>
      <c r="S628" s="1"/>
      <c r="T628" s="8"/>
      <c r="U628" s="8"/>
      <c r="V628" s="8"/>
      <c r="W628" s="8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</row>
    <row r="629" ht="13.5" customHeight="1">
      <c r="A629" s="1"/>
      <c r="B629" s="1"/>
      <c r="C629" s="1"/>
      <c r="D629" s="13"/>
      <c r="E629" s="8"/>
      <c r="F629" s="8"/>
      <c r="G629" s="5"/>
      <c r="H629" s="5"/>
      <c r="I629" s="13"/>
      <c r="J629" s="8"/>
      <c r="K629" s="432"/>
      <c r="L629" s="225"/>
      <c r="M629" s="135"/>
      <c r="N629" s="225"/>
      <c r="O629" s="225"/>
      <c r="P629" s="225"/>
      <c r="Q629" s="509"/>
      <c r="R629" s="507"/>
      <c r="S629" s="1"/>
      <c r="T629" s="8"/>
      <c r="U629" s="8"/>
      <c r="V629" s="8"/>
      <c r="W629" s="8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</row>
    <row r="630" ht="13.5" customHeight="1">
      <c r="A630" s="1"/>
      <c r="B630" s="1"/>
      <c r="C630" s="1"/>
      <c r="D630" s="13"/>
      <c r="E630" s="8"/>
      <c r="F630" s="8"/>
      <c r="G630" s="5"/>
      <c r="H630" s="5"/>
      <c r="I630" s="13"/>
      <c r="J630" s="8"/>
      <c r="K630" s="432"/>
      <c r="L630" s="225"/>
      <c r="M630" s="135"/>
      <c r="N630" s="225"/>
      <c r="O630" s="225"/>
      <c r="P630" s="225"/>
      <c r="Q630" s="509"/>
      <c r="R630" s="507"/>
      <c r="S630" s="1"/>
      <c r="T630" s="8"/>
      <c r="U630" s="8"/>
      <c r="V630" s="8"/>
      <c r="W630" s="8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</row>
    <row r="631" ht="13.5" customHeight="1">
      <c r="A631" s="1"/>
      <c r="B631" s="1"/>
      <c r="C631" s="1"/>
      <c r="D631" s="13"/>
      <c r="E631" s="8"/>
      <c r="F631" s="8"/>
      <c r="G631" s="5"/>
      <c r="H631" s="5"/>
      <c r="I631" s="13"/>
      <c r="J631" s="8"/>
      <c r="K631" s="432"/>
      <c r="L631" s="225"/>
      <c r="M631" s="135"/>
      <c r="N631" s="225"/>
      <c r="O631" s="225"/>
      <c r="P631" s="225"/>
      <c r="Q631" s="509"/>
      <c r="R631" s="507"/>
      <c r="S631" s="1"/>
      <c r="T631" s="8"/>
      <c r="U631" s="8"/>
      <c r="V631" s="8"/>
      <c r="W631" s="8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</row>
    <row r="632" ht="13.5" customHeight="1">
      <c r="A632" s="1"/>
      <c r="B632" s="1"/>
      <c r="C632" s="1"/>
      <c r="D632" s="13"/>
      <c r="E632" s="8"/>
      <c r="F632" s="8"/>
      <c r="G632" s="5"/>
      <c r="H632" s="5"/>
      <c r="I632" s="13"/>
      <c r="J632" s="8"/>
      <c r="K632" s="432"/>
      <c r="L632" s="225"/>
      <c r="M632" s="135"/>
      <c r="N632" s="225"/>
      <c r="O632" s="225"/>
      <c r="P632" s="225"/>
      <c r="Q632" s="509"/>
      <c r="R632" s="507"/>
      <c r="S632" s="1"/>
      <c r="T632" s="8"/>
      <c r="U632" s="8"/>
      <c r="V632" s="8"/>
      <c r="W632" s="8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</row>
    <row r="633" ht="13.5" customHeight="1">
      <c r="A633" s="1"/>
      <c r="B633" s="1"/>
      <c r="C633" s="1"/>
      <c r="D633" s="13"/>
      <c r="E633" s="8"/>
      <c r="F633" s="8"/>
      <c r="G633" s="5"/>
      <c r="H633" s="5"/>
      <c r="I633" s="13"/>
      <c r="J633" s="8"/>
      <c r="K633" s="432"/>
      <c r="L633" s="225"/>
      <c r="M633" s="135"/>
      <c r="N633" s="225"/>
      <c r="O633" s="225"/>
      <c r="P633" s="225"/>
      <c r="Q633" s="509"/>
      <c r="R633" s="507"/>
      <c r="S633" s="1"/>
      <c r="T633" s="8"/>
      <c r="U633" s="8"/>
      <c r="V633" s="8"/>
      <c r="W633" s="8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</row>
    <row r="634" ht="13.5" customHeight="1">
      <c r="A634" s="1"/>
      <c r="B634" s="1"/>
      <c r="C634" s="1"/>
      <c r="D634" s="13"/>
      <c r="E634" s="8"/>
      <c r="F634" s="8"/>
      <c r="G634" s="5"/>
      <c r="H634" s="5"/>
      <c r="I634" s="13"/>
      <c r="J634" s="8"/>
      <c r="K634" s="432"/>
      <c r="L634" s="225"/>
      <c r="M634" s="135"/>
      <c r="N634" s="225"/>
      <c r="O634" s="225"/>
      <c r="P634" s="225"/>
      <c r="Q634" s="509"/>
      <c r="R634" s="507"/>
      <c r="S634" s="1"/>
      <c r="T634" s="8"/>
      <c r="U634" s="8"/>
      <c r="V634" s="8"/>
      <c r="W634" s="8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</row>
    <row r="635" ht="13.5" customHeight="1">
      <c r="A635" s="1"/>
      <c r="B635" s="1"/>
      <c r="C635" s="1"/>
      <c r="D635" s="13"/>
      <c r="E635" s="8"/>
      <c r="F635" s="8"/>
      <c r="G635" s="5"/>
      <c r="H635" s="5"/>
      <c r="I635" s="13"/>
      <c r="J635" s="8"/>
      <c r="K635" s="432"/>
      <c r="L635" s="225"/>
      <c r="M635" s="135"/>
      <c r="N635" s="225"/>
      <c r="O635" s="225"/>
      <c r="P635" s="225"/>
      <c r="Q635" s="509"/>
      <c r="R635" s="507"/>
      <c r="S635" s="1"/>
      <c r="T635" s="8"/>
      <c r="U635" s="8"/>
      <c r="V635" s="8"/>
      <c r="W635" s="8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</row>
    <row r="636" ht="13.5" customHeight="1">
      <c r="A636" s="1"/>
      <c r="B636" s="1"/>
      <c r="C636" s="1"/>
      <c r="D636" s="13"/>
      <c r="E636" s="8"/>
      <c r="F636" s="8"/>
      <c r="G636" s="5"/>
      <c r="H636" s="5"/>
      <c r="I636" s="13"/>
      <c r="J636" s="8"/>
      <c r="K636" s="432"/>
      <c r="L636" s="225"/>
      <c r="M636" s="135"/>
      <c r="N636" s="225"/>
      <c r="O636" s="225"/>
      <c r="P636" s="225"/>
      <c r="Q636" s="509"/>
      <c r="R636" s="507"/>
      <c r="S636" s="1"/>
      <c r="T636" s="8"/>
      <c r="U636" s="8"/>
      <c r="V636" s="8"/>
      <c r="W636" s="8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</row>
    <row r="637" ht="13.5" customHeight="1">
      <c r="A637" s="1"/>
      <c r="B637" s="1"/>
      <c r="C637" s="1"/>
      <c r="D637" s="13"/>
      <c r="E637" s="8"/>
      <c r="F637" s="8"/>
      <c r="G637" s="5"/>
      <c r="H637" s="5"/>
      <c r="I637" s="13"/>
      <c r="J637" s="8"/>
      <c r="K637" s="432"/>
      <c r="L637" s="225"/>
      <c r="M637" s="135"/>
      <c r="N637" s="225"/>
      <c r="O637" s="225"/>
      <c r="P637" s="225"/>
      <c r="Q637" s="509"/>
      <c r="R637" s="507"/>
      <c r="S637" s="1"/>
      <c r="T637" s="8"/>
      <c r="U637" s="8"/>
      <c r="V637" s="8"/>
      <c r="W637" s="8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</row>
    <row r="638" ht="13.5" customHeight="1">
      <c r="A638" s="1"/>
      <c r="B638" s="1"/>
      <c r="C638" s="1"/>
      <c r="D638" s="13"/>
      <c r="E638" s="8"/>
      <c r="F638" s="8"/>
      <c r="G638" s="5"/>
      <c r="H638" s="5"/>
      <c r="I638" s="13"/>
      <c r="J638" s="8"/>
      <c r="K638" s="432"/>
      <c r="L638" s="225"/>
      <c r="M638" s="135"/>
      <c r="N638" s="225"/>
      <c r="O638" s="225"/>
      <c r="P638" s="225"/>
      <c r="Q638" s="509"/>
      <c r="R638" s="507"/>
      <c r="S638" s="1"/>
      <c r="T638" s="8"/>
      <c r="U638" s="8"/>
      <c r="V638" s="8"/>
      <c r="W638" s="8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</row>
    <row r="639" ht="13.5" customHeight="1">
      <c r="A639" s="1"/>
      <c r="B639" s="1"/>
      <c r="C639" s="1"/>
      <c r="D639" s="13"/>
      <c r="E639" s="8"/>
      <c r="F639" s="8"/>
      <c r="G639" s="5"/>
      <c r="H639" s="5"/>
      <c r="I639" s="13"/>
      <c r="J639" s="8"/>
      <c r="K639" s="432"/>
      <c r="L639" s="225"/>
      <c r="M639" s="135"/>
      <c r="N639" s="225"/>
      <c r="O639" s="225"/>
      <c r="P639" s="225"/>
      <c r="Q639" s="509"/>
      <c r="R639" s="507"/>
      <c r="S639" s="1"/>
      <c r="T639" s="8"/>
      <c r="U639" s="8"/>
      <c r="V639" s="8"/>
      <c r="W639" s="8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</row>
    <row r="640" ht="13.5" customHeight="1">
      <c r="A640" s="1"/>
      <c r="B640" s="1"/>
      <c r="C640" s="1"/>
      <c r="D640" s="13"/>
      <c r="E640" s="8"/>
      <c r="F640" s="8"/>
      <c r="G640" s="5"/>
      <c r="H640" s="5"/>
      <c r="I640" s="13"/>
      <c r="J640" s="8"/>
      <c r="K640" s="432"/>
      <c r="L640" s="225"/>
      <c r="M640" s="135"/>
      <c r="N640" s="225"/>
      <c r="O640" s="225"/>
      <c r="P640" s="225"/>
      <c r="Q640" s="509"/>
      <c r="R640" s="507"/>
      <c r="S640" s="1"/>
      <c r="T640" s="8"/>
      <c r="U640" s="8"/>
      <c r="V640" s="8"/>
      <c r="W640" s="8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</row>
    <row r="641" ht="13.5" customHeight="1">
      <c r="A641" s="1"/>
      <c r="B641" s="1"/>
      <c r="C641" s="1"/>
      <c r="D641" s="13"/>
      <c r="E641" s="8"/>
      <c r="F641" s="8"/>
      <c r="G641" s="5"/>
      <c r="H641" s="5"/>
      <c r="I641" s="13"/>
      <c r="J641" s="8"/>
      <c r="K641" s="432"/>
      <c r="L641" s="225"/>
      <c r="M641" s="135"/>
      <c r="N641" s="225"/>
      <c r="O641" s="225"/>
      <c r="P641" s="225"/>
      <c r="Q641" s="509"/>
      <c r="R641" s="507"/>
      <c r="S641" s="1"/>
      <c r="T641" s="8"/>
      <c r="U641" s="8"/>
      <c r="V641" s="8"/>
      <c r="W641" s="8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</row>
    <row r="642" ht="13.5" customHeight="1">
      <c r="A642" s="1"/>
      <c r="B642" s="1"/>
      <c r="C642" s="1"/>
      <c r="D642" s="13"/>
      <c r="E642" s="8"/>
      <c r="F642" s="8"/>
      <c r="G642" s="5"/>
      <c r="H642" s="5"/>
      <c r="I642" s="13"/>
      <c r="J642" s="8"/>
      <c r="K642" s="432"/>
      <c r="L642" s="225"/>
      <c r="M642" s="135"/>
      <c r="N642" s="225"/>
      <c r="O642" s="225"/>
      <c r="P642" s="225"/>
      <c r="Q642" s="509"/>
      <c r="R642" s="507"/>
      <c r="S642" s="1"/>
      <c r="T642" s="8"/>
      <c r="U642" s="8"/>
      <c r="V642" s="8"/>
      <c r="W642" s="8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</row>
    <row r="643" ht="13.5" customHeight="1">
      <c r="A643" s="1"/>
      <c r="B643" s="1"/>
      <c r="C643" s="1"/>
      <c r="D643" s="13"/>
      <c r="E643" s="8"/>
      <c r="F643" s="8"/>
      <c r="G643" s="5"/>
      <c r="H643" s="5"/>
      <c r="I643" s="13"/>
      <c r="J643" s="8"/>
      <c r="K643" s="432"/>
      <c r="L643" s="225"/>
      <c r="M643" s="135"/>
      <c r="N643" s="225"/>
      <c r="O643" s="225"/>
      <c r="P643" s="225"/>
      <c r="Q643" s="509"/>
      <c r="R643" s="507"/>
      <c r="S643" s="1"/>
      <c r="T643" s="8"/>
      <c r="U643" s="8"/>
      <c r="V643" s="8"/>
      <c r="W643" s="8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</row>
    <row r="644" ht="13.5" customHeight="1">
      <c r="A644" s="1"/>
      <c r="B644" s="1"/>
      <c r="C644" s="1"/>
      <c r="D644" s="13"/>
      <c r="E644" s="8"/>
      <c r="F644" s="8"/>
      <c r="G644" s="5"/>
      <c r="H644" s="5"/>
      <c r="I644" s="13"/>
      <c r="J644" s="8"/>
      <c r="K644" s="432"/>
      <c r="L644" s="225"/>
      <c r="M644" s="135"/>
      <c r="N644" s="225"/>
      <c r="O644" s="225"/>
      <c r="P644" s="225"/>
      <c r="Q644" s="509"/>
      <c r="R644" s="507"/>
      <c r="S644" s="1"/>
      <c r="T644" s="8"/>
      <c r="U644" s="8"/>
      <c r="V644" s="8"/>
      <c r="W644" s="8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</row>
    <row r="645" ht="13.5" customHeight="1">
      <c r="A645" s="1"/>
      <c r="B645" s="1"/>
      <c r="C645" s="1"/>
      <c r="D645" s="13"/>
      <c r="E645" s="8"/>
      <c r="F645" s="8"/>
      <c r="G645" s="5"/>
      <c r="H645" s="5"/>
      <c r="I645" s="13"/>
      <c r="J645" s="8"/>
      <c r="K645" s="432"/>
      <c r="L645" s="225"/>
      <c r="M645" s="135"/>
      <c r="N645" s="225"/>
      <c r="O645" s="225"/>
      <c r="P645" s="225"/>
      <c r="Q645" s="509"/>
      <c r="R645" s="507"/>
      <c r="S645" s="1"/>
      <c r="T645" s="8"/>
      <c r="U645" s="8"/>
      <c r="V645" s="8"/>
      <c r="W645" s="8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</row>
    <row r="646" ht="13.5" customHeight="1">
      <c r="A646" s="1"/>
      <c r="B646" s="1"/>
      <c r="C646" s="1"/>
      <c r="D646" s="13"/>
      <c r="E646" s="8"/>
      <c r="F646" s="8"/>
      <c r="G646" s="5"/>
      <c r="H646" s="5"/>
      <c r="I646" s="13"/>
      <c r="J646" s="8"/>
      <c r="K646" s="432"/>
      <c r="L646" s="225"/>
      <c r="M646" s="135"/>
      <c r="N646" s="225"/>
      <c r="O646" s="225"/>
      <c r="P646" s="225"/>
      <c r="Q646" s="509"/>
      <c r="R646" s="507"/>
      <c r="S646" s="1"/>
      <c r="T646" s="8"/>
      <c r="U646" s="8"/>
      <c r="V646" s="8"/>
      <c r="W646" s="8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</row>
    <row r="647" ht="13.5" customHeight="1">
      <c r="A647" s="1"/>
      <c r="B647" s="1"/>
      <c r="C647" s="1"/>
      <c r="D647" s="13"/>
      <c r="E647" s="8"/>
      <c r="F647" s="8"/>
      <c r="G647" s="5"/>
      <c r="H647" s="5"/>
      <c r="I647" s="13"/>
      <c r="J647" s="8"/>
      <c r="K647" s="432"/>
      <c r="L647" s="225"/>
      <c r="M647" s="135"/>
      <c r="N647" s="225"/>
      <c r="O647" s="225"/>
      <c r="P647" s="225"/>
      <c r="Q647" s="509"/>
      <c r="R647" s="507"/>
      <c r="S647" s="1"/>
      <c r="T647" s="8"/>
      <c r="U647" s="8"/>
      <c r="V647" s="8"/>
      <c r="W647" s="8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</row>
    <row r="648" ht="13.5" customHeight="1">
      <c r="A648" s="1"/>
      <c r="B648" s="1"/>
      <c r="C648" s="1"/>
      <c r="D648" s="13"/>
      <c r="E648" s="8"/>
      <c r="F648" s="8"/>
      <c r="G648" s="5"/>
      <c r="H648" s="5"/>
      <c r="I648" s="13"/>
      <c r="J648" s="8"/>
      <c r="K648" s="432"/>
      <c r="L648" s="225"/>
      <c r="M648" s="135"/>
      <c r="N648" s="225"/>
      <c r="O648" s="225"/>
      <c r="P648" s="225"/>
      <c r="Q648" s="509"/>
      <c r="R648" s="507"/>
      <c r="S648" s="1"/>
      <c r="T648" s="8"/>
      <c r="U648" s="8"/>
      <c r="V648" s="8"/>
      <c r="W648" s="8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</row>
    <row r="649" ht="13.5" customHeight="1">
      <c r="A649" s="1"/>
      <c r="B649" s="1"/>
      <c r="C649" s="1"/>
      <c r="D649" s="13"/>
      <c r="E649" s="8"/>
      <c r="F649" s="8"/>
      <c r="G649" s="5"/>
      <c r="H649" s="5"/>
      <c r="I649" s="13"/>
      <c r="J649" s="8"/>
      <c r="K649" s="13"/>
      <c r="L649" s="8"/>
      <c r="M649" s="1"/>
      <c r="N649" s="8"/>
      <c r="O649" s="8"/>
      <c r="P649" s="9"/>
      <c r="Q649" s="8"/>
      <c r="R649" s="8"/>
      <c r="S649" s="1"/>
      <c r="T649" s="8"/>
      <c r="U649" s="8"/>
      <c r="V649" s="8"/>
      <c r="W649" s="8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</row>
    <row r="650" ht="13.5" customHeight="1">
      <c r="A650" s="1"/>
      <c r="B650" s="1"/>
      <c r="C650" s="1"/>
      <c r="D650" s="13"/>
      <c r="E650" s="8"/>
      <c r="F650" s="8"/>
      <c r="G650" s="5"/>
      <c r="H650" s="5"/>
      <c r="I650" s="13"/>
      <c r="J650" s="8"/>
      <c r="K650" s="13"/>
      <c r="L650" s="8"/>
      <c r="M650" s="1"/>
      <c r="N650" s="8"/>
      <c r="O650" s="8"/>
      <c r="P650" s="9"/>
      <c r="Q650" s="8"/>
      <c r="R650" s="8"/>
      <c r="S650" s="1"/>
      <c r="T650" s="8"/>
      <c r="U650" s="8"/>
      <c r="V650" s="8"/>
      <c r="W650" s="8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</row>
  </sheetData>
  <autoFilter ref="$A$10:$W$566"/>
  <mergeCells count="2">
    <mergeCell ref="N377:N390"/>
    <mergeCell ref="O377:O390"/>
  </mergeCells>
  <printOptions/>
  <pageMargins bottom="0.7480314960629921" footer="0.0" header="0.0" left="0.7086614173228347" right="0.7086614173228347" top="0.7480314960629921"/>
  <pageSetup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0"/>
    <col customWidth="1" min="3" max="3" width="18.29"/>
    <col customWidth="1" min="4" max="4" width="25.86"/>
    <col customWidth="1" min="5" max="5" width="40.86"/>
    <col customWidth="1" min="6" max="7" width="11.0"/>
    <col customWidth="1" min="8" max="8" width="27.43"/>
    <col customWidth="1" min="9" max="9" width="11.14"/>
    <col customWidth="1" min="10" max="10" width="141.14"/>
    <col customWidth="1" min="11" max="11" width="8.29"/>
    <col customWidth="1" min="12" max="12" width="8.0"/>
    <col customWidth="1" min="13" max="13" width="32.29"/>
    <col customWidth="1" min="14" max="14" width="19.71"/>
    <col customWidth="1" min="15" max="15" width="13.86"/>
    <col customWidth="1" min="16" max="16" width="18.29"/>
    <col customWidth="1" min="17" max="26" width="11.0"/>
  </cols>
  <sheetData>
    <row r="1" ht="14.25" customHeight="1">
      <c r="A1" s="78" t="s">
        <v>24</v>
      </c>
      <c r="B1" s="79" t="s">
        <v>25</v>
      </c>
      <c r="C1" s="78" t="s">
        <v>27</v>
      </c>
      <c r="D1" s="80" t="s">
        <v>28</v>
      </c>
      <c r="E1" s="80" t="s">
        <v>29</v>
      </c>
      <c r="F1" s="81" t="s">
        <v>30</v>
      </c>
      <c r="G1" s="81" t="s">
        <v>31</v>
      </c>
      <c r="H1" s="80" t="s">
        <v>33</v>
      </c>
      <c r="I1" s="80" t="s">
        <v>34</v>
      </c>
      <c r="J1" s="80" t="s">
        <v>36</v>
      </c>
      <c r="K1" s="81" t="s">
        <v>37</v>
      </c>
      <c r="L1" s="80" t="s">
        <v>38</v>
      </c>
      <c r="M1" s="83" t="s">
        <v>40</v>
      </c>
      <c r="N1" s="81" t="s">
        <v>41</v>
      </c>
      <c r="O1" s="82" t="s">
        <v>42</v>
      </c>
      <c r="P1" s="86" t="s">
        <v>52</v>
      </c>
    </row>
    <row r="2" ht="14.25" hidden="1" customHeight="1">
      <c r="A2" s="103" t="s">
        <v>84</v>
      </c>
      <c r="B2" s="103" t="s">
        <v>120</v>
      </c>
      <c r="C2" s="103" t="s">
        <v>86</v>
      </c>
      <c r="D2" s="104" t="s">
        <v>87</v>
      </c>
      <c r="E2" s="105" t="s">
        <v>121</v>
      </c>
      <c r="F2" s="106" t="s">
        <v>107</v>
      </c>
      <c r="G2" s="106">
        <v>23.0</v>
      </c>
      <c r="H2" s="108" t="s">
        <v>164</v>
      </c>
      <c r="I2" s="108" t="s">
        <v>3992</v>
      </c>
      <c r="J2" s="105" t="s">
        <v>166</v>
      </c>
      <c r="K2" s="106" t="s">
        <v>106</v>
      </c>
      <c r="L2" s="109" t="s">
        <v>95</v>
      </c>
      <c r="M2" s="103" t="s">
        <v>96</v>
      </c>
      <c r="N2" s="110" t="s">
        <v>97</v>
      </c>
      <c r="O2" s="110">
        <v>9.0</v>
      </c>
      <c r="P2" s="116">
        <v>394.2959205917247</v>
      </c>
    </row>
    <row r="3" ht="14.25" hidden="1" customHeight="1">
      <c r="A3" s="103" t="s">
        <v>84</v>
      </c>
      <c r="B3" s="103" t="s">
        <v>120</v>
      </c>
      <c r="C3" s="103" t="s">
        <v>86</v>
      </c>
      <c r="D3" s="104" t="s">
        <v>87</v>
      </c>
      <c r="E3" s="105" t="s">
        <v>121</v>
      </c>
      <c r="F3" s="106" t="s">
        <v>107</v>
      </c>
      <c r="G3" s="106">
        <v>23.0</v>
      </c>
      <c r="H3" s="108" t="s">
        <v>169</v>
      </c>
      <c r="I3" s="108" t="s">
        <v>3993</v>
      </c>
      <c r="J3" s="105" t="s">
        <v>171</v>
      </c>
      <c r="K3" s="106" t="s">
        <v>106</v>
      </c>
      <c r="L3" s="109" t="s">
        <v>95</v>
      </c>
      <c r="M3" s="103" t="s">
        <v>96</v>
      </c>
      <c r="N3" s="110" t="s">
        <v>97</v>
      </c>
      <c r="O3" s="110">
        <v>4.0</v>
      </c>
      <c r="P3" s="116">
        <v>813.8099274417511</v>
      </c>
    </row>
    <row r="4" ht="14.25" hidden="1" customHeight="1">
      <c r="A4" s="103" t="s">
        <v>179</v>
      </c>
      <c r="B4" s="103" t="s">
        <v>120</v>
      </c>
      <c r="C4" s="103" t="s">
        <v>86</v>
      </c>
      <c r="D4" s="104" t="s">
        <v>87</v>
      </c>
      <c r="E4" s="105" t="s">
        <v>121</v>
      </c>
      <c r="F4" s="106" t="s">
        <v>107</v>
      </c>
      <c r="G4" s="106">
        <v>24.0</v>
      </c>
      <c r="H4" s="108" t="s">
        <v>181</v>
      </c>
      <c r="I4" s="108" t="s">
        <v>778</v>
      </c>
      <c r="J4" s="105" t="s">
        <v>183</v>
      </c>
      <c r="K4" s="106" t="s">
        <v>106</v>
      </c>
      <c r="L4" s="109" t="s">
        <v>95</v>
      </c>
      <c r="M4" s="103" t="s">
        <v>184</v>
      </c>
      <c r="N4" s="110" t="s">
        <v>97</v>
      </c>
      <c r="O4" s="110">
        <v>9.0</v>
      </c>
      <c r="P4" s="116">
        <v>352.26321822106894</v>
      </c>
    </row>
    <row r="5" ht="14.25" hidden="1" customHeight="1">
      <c r="A5" s="103" t="s">
        <v>179</v>
      </c>
      <c r="B5" s="103" t="s">
        <v>120</v>
      </c>
      <c r="C5" s="103" t="s">
        <v>86</v>
      </c>
      <c r="D5" s="104" t="s">
        <v>87</v>
      </c>
      <c r="E5" s="105" t="s">
        <v>121</v>
      </c>
      <c r="F5" s="106" t="s">
        <v>107</v>
      </c>
      <c r="G5" s="106">
        <v>24.0</v>
      </c>
      <c r="H5" s="108" t="s">
        <v>187</v>
      </c>
      <c r="I5" s="108" t="s">
        <v>778</v>
      </c>
      <c r="J5" s="105" t="s">
        <v>189</v>
      </c>
      <c r="K5" s="106" t="s">
        <v>106</v>
      </c>
      <c r="L5" s="109" t="s">
        <v>95</v>
      </c>
      <c r="M5" s="103" t="s">
        <v>96</v>
      </c>
      <c r="N5" s="110" t="s">
        <v>97</v>
      </c>
      <c r="O5" s="110">
        <v>9.0</v>
      </c>
      <c r="P5" s="116">
        <v>352.26321822106894</v>
      </c>
    </row>
    <row r="6" ht="14.25" hidden="1" customHeight="1">
      <c r="A6" s="103" t="s">
        <v>179</v>
      </c>
      <c r="B6" s="103" t="s">
        <v>120</v>
      </c>
      <c r="C6" s="103" t="s">
        <v>86</v>
      </c>
      <c r="D6" s="104" t="s">
        <v>87</v>
      </c>
      <c r="E6" s="105" t="s">
        <v>121</v>
      </c>
      <c r="F6" s="106" t="s">
        <v>107</v>
      </c>
      <c r="G6" s="106">
        <v>24.0</v>
      </c>
      <c r="H6" s="108" t="s">
        <v>191</v>
      </c>
      <c r="I6" s="108" t="s">
        <v>778</v>
      </c>
      <c r="J6" s="105" t="s">
        <v>193</v>
      </c>
      <c r="K6" s="106" t="s">
        <v>106</v>
      </c>
      <c r="L6" s="109" t="s">
        <v>95</v>
      </c>
      <c r="M6" s="103" t="s">
        <v>177</v>
      </c>
      <c r="N6" s="110" t="s">
        <v>97</v>
      </c>
      <c r="O6" s="110">
        <v>6.8625</v>
      </c>
      <c r="P6" s="116">
        <v>360.0464387196765</v>
      </c>
    </row>
    <row r="7" ht="14.25" hidden="1" customHeight="1">
      <c r="A7" s="103" t="s">
        <v>84</v>
      </c>
      <c r="B7" s="103" t="s">
        <v>120</v>
      </c>
      <c r="C7" s="103" t="s">
        <v>86</v>
      </c>
      <c r="D7" s="104" t="s">
        <v>87</v>
      </c>
      <c r="E7" s="105" t="s">
        <v>207</v>
      </c>
      <c r="F7" s="106" t="s">
        <v>246</v>
      </c>
      <c r="G7" s="106">
        <v>23.0</v>
      </c>
      <c r="H7" s="108" t="s">
        <v>248</v>
      </c>
      <c r="I7" s="108" t="s">
        <v>3995</v>
      </c>
      <c r="J7" s="105" t="s">
        <v>250</v>
      </c>
      <c r="K7" s="106" t="s">
        <v>106</v>
      </c>
      <c r="L7" s="109" t="s">
        <v>95</v>
      </c>
      <c r="M7" s="103" t="s">
        <v>96</v>
      </c>
      <c r="N7" s="110" t="s">
        <v>97</v>
      </c>
      <c r="O7" s="110">
        <v>9.0</v>
      </c>
      <c r="P7" s="116">
        <v>397.14685528241637</v>
      </c>
    </row>
    <row r="8" ht="14.25" hidden="1" customHeight="1">
      <c r="A8" s="103" t="s">
        <v>84</v>
      </c>
      <c r="B8" s="103" t="s">
        <v>120</v>
      </c>
      <c r="C8" s="103" t="s">
        <v>86</v>
      </c>
      <c r="D8" s="104" t="s">
        <v>87</v>
      </c>
      <c r="E8" s="105" t="s">
        <v>207</v>
      </c>
      <c r="F8" s="106" t="s">
        <v>246</v>
      </c>
      <c r="G8" s="106">
        <v>23.0</v>
      </c>
      <c r="H8" s="108" t="s">
        <v>253</v>
      </c>
      <c r="I8" s="108" t="s">
        <v>3996</v>
      </c>
      <c r="J8" s="105" t="s">
        <v>255</v>
      </c>
      <c r="K8" s="106" t="s">
        <v>106</v>
      </c>
      <c r="L8" s="109" t="s">
        <v>95</v>
      </c>
      <c r="M8" s="103" t="s">
        <v>96</v>
      </c>
      <c r="N8" s="110" t="s">
        <v>97</v>
      </c>
      <c r="O8" s="110">
        <v>4.0</v>
      </c>
      <c r="P8" s="116">
        <v>817.6596806487896</v>
      </c>
    </row>
    <row r="9" ht="14.25" hidden="1" customHeight="1">
      <c r="A9" s="103" t="s">
        <v>84</v>
      </c>
      <c r="B9" s="103" t="s">
        <v>120</v>
      </c>
      <c r="C9" s="103" t="s">
        <v>86</v>
      </c>
      <c r="D9" s="104" t="s">
        <v>87</v>
      </c>
      <c r="E9" s="105" t="s">
        <v>207</v>
      </c>
      <c r="F9" s="106" t="s">
        <v>107</v>
      </c>
      <c r="G9" s="106">
        <v>23.0</v>
      </c>
      <c r="H9" s="108" t="s">
        <v>290</v>
      </c>
      <c r="I9" s="108" t="s">
        <v>3997</v>
      </c>
      <c r="J9" s="105" t="s">
        <v>292</v>
      </c>
      <c r="K9" s="106" t="s">
        <v>106</v>
      </c>
      <c r="L9" s="109" t="s">
        <v>95</v>
      </c>
      <c r="M9" s="103" t="s">
        <v>96</v>
      </c>
      <c r="N9" s="110" t="s">
        <v>97</v>
      </c>
      <c r="O9" s="110">
        <v>9.0</v>
      </c>
      <c r="P9" s="116">
        <v>401.6656084785705</v>
      </c>
    </row>
    <row r="10" ht="14.25" hidden="1" customHeight="1">
      <c r="A10" s="103" t="s">
        <v>84</v>
      </c>
      <c r="B10" s="103" t="s">
        <v>120</v>
      </c>
      <c r="C10" s="103" t="s">
        <v>86</v>
      </c>
      <c r="D10" s="104" t="s">
        <v>87</v>
      </c>
      <c r="E10" s="105" t="s">
        <v>207</v>
      </c>
      <c r="F10" s="106" t="s">
        <v>107</v>
      </c>
      <c r="G10" s="106">
        <v>23.0</v>
      </c>
      <c r="H10" s="108" t="s">
        <v>294</v>
      </c>
      <c r="I10" s="108" t="s">
        <v>778</v>
      </c>
      <c r="J10" s="105" t="s">
        <v>296</v>
      </c>
      <c r="K10" s="106" t="s">
        <v>162</v>
      </c>
      <c r="L10" s="109" t="s">
        <v>95</v>
      </c>
      <c r="M10" s="103" t="s">
        <v>96</v>
      </c>
      <c r="N10" s="110" t="s">
        <v>97</v>
      </c>
      <c r="O10" s="110">
        <v>9.0</v>
      </c>
      <c r="P10" s="116">
        <v>420.0875526108106</v>
      </c>
    </row>
    <row r="11" ht="14.25" hidden="1" customHeight="1">
      <c r="A11" s="103" t="s">
        <v>84</v>
      </c>
      <c r="B11" s="103" t="s">
        <v>120</v>
      </c>
      <c r="C11" s="103" t="s">
        <v>86</v>
      </c>
      <c r="D11" s="104" t="s">
        <v>87</v>
      </c>
      <c r="E11" s="105" t="s">
        <v>207</v>
      </c>
      <c r="F11" s="106" t="s">
        <v>299</v>
      </c>
      <c r="G11" s="106">
        <v>23.0</v>
      </c>
      <c r="H11" s="108" t="s">
        <v>301</v>
      </c>
      <c r="I11" s="108" t="s">
        <v>3998</v>
      </c>
      <c r="J11" s="105" t="s">
        <v>303</v>
      </c>
      <c r="K11" s="106" t="s">
        <v>106</v>
      </c>
      <c r="L11" s="109" t="s">
        <v>95</v>
      </c>
      <c r="M11" s="103" t="s">
        <v>96</v>
      </c>
      <c r="N11" s="110" t="s">
        <v>97</v>
      </c>
      <c r="O11" s="110">
        <v>9.0</v>
      </c>
      <c r="P11" s="116">
        <v>401.04322104569155</v>
      </c>
    </row>
    <row r="12" ht="14.25" hidden="1" customHeight="1">
      <c r="A12" s="103" t="s">
        <v>84</v>
      </c>
      <c r="B12" s="103" t="s">
        <v>120</v>
      </c>
      <c r="C12" s="103" t="s">
        <v>86</v>
      </c>
      <c r="D12" s="104" t="s">
        <v>87</v>
      </c>
      <c r="E12" s="105" t="s">
        <v>207</v>
      </c>
      <c r="F12" s="106" t="s">
        <v>299</v>
      </c>
      <c r="G12" s="106">
        <v>23.0</v>
      </c>
      <c r="H12" s="108" t="s">
        <v>306</v>
      </c>
      <c r="I12" s="108" t="s">
        <v>3999</v>
      </c>
      <c r="J12" s="105" t="s">
        <v>308</v>
      </c>
      <c r="K12" s="106" t="s">
        <v>106</v>
      </c>
      <c r="L12" s="109" t="s">
        <v>95</v>
      </c>
      <c r="M12" s="103" t="s">
        <v>96</v>
      </c>
      <c r="N12" s="110" t="s">
        <v>97</v>
      </c>
      <c r="O12" s="110">
        <v>4.0</v>
      </c>
      <c r="P12" s="116">
        <v>842.0057544984032</v>
      </c>
    </row>
    <row r="13" ht="14.25" hidden="1" customHeight="1">
      <c r="A13" s="103" t="s">
        <v>84</v>
      </c>
      <c r="B13" s="103" t="s">
        <v>120</v>
      </c>
      <c r="C13" s="103" t="s">
        <v>86</v>
      </c>
      <c r="D13" s="104" t="s">
        <v>87</v>
      </c>
      <c r="E13" s="105" t="s">
        <v>207</v>
      </c>
      <c r="F13" s="106" t="s">
        <v>299</v>
      </c>
      <c r="G13" s="106">
        <v>23.0</v>
      </c>
      <c r="H13" s="108" t="s">
        <v>311</v>
      </c>
      <c r="I13" s="108" t="s">
        <v>4000</v>
      </c>
      <c r="J13" s="105" t="s">
        <v>313</v>
      </c>
      <c r="K13" s="106" t="s">
        <v>106</v>
      </c>
      <c r="L13" s="109" t="s">
        <v>95</v>
      </c>
      <c r="M13" s="103" t="s">
        <v>96</v>
      </c>
      <c r="N13" s="110" t="s">
        <v>97</v>
      </c>
      <c r="O13" s="110">
        <v>9.0</v>
      </c>
      <c r="P13" s="116">
        <v>401.04322104569155</v>
      </c>
    </row>
    <row r="14" ht="14.25" hidden="1" customHeight="1">
      <c r="A14" s="103" t="s">
        <v>84</v>
      </c>
      <c r="B14" s="103" t="s">
        <v>120</v>
      </c>
      <c r="C14" s="103" t="s">
        <v>86</v>
      </c>
      <c r="D14" s="104" t="s">
        <v>87</v>
      </c>
      <c r="E14" s="105" t="s">
        <v>207</v>
      </c>
      <c r="F14" s="106" t="s">
        <v>299</v>
      </c>
      <c r="G14" s="106">
        <v>23.0</v>
      </c>
      <c r="H14" s="108" t="s">
        <v>315</v>
      </c>
      <c r="I14" s="108" t="s">
        <v>4001</v>
      </c>
      <c r="J14" s="105" t="s">
        <v>317</v>
      </c>
      <c r="K14" s="106" t="s">
        <v>106</v>
      </c>
      <c r="L14" s="109" t="s">
        <v>95</v>
      </c>
      <c r="M14" s="103" t="s">
        <v>96</v>
      </c>
      <c r="N14" s="110" t="s">
        <v>97</v>
      </c>
      <c r="O14" s="110">
        <v>4.0</v>
      </c>
      <c r="P14" s="116">
        <v>842.0057544984032</v>
      </c>
    </row>
    <row r="15" ht="14.25" hidden="1" customHeight="1">
      <c r="A15" s="103" t="s">
        <v>84</v>
      </c>
      <c r="B15" s="103" t="s">
        <v>120</v>
      </c>
      <c r="C15" s="103" t="s">
        <v>86</v>
      </c>
      <c r="D15" s="104" t="s">
        <v>87</v>
      </c>
      <c r="E15" s="105" t="s">
        <v>207</v>
      </c>
      <c r="F15" s="106" t="s">
        <v>299</v>
      </c>
      <c r="G15" s="106">
        <v>23.0</v>
      </c>
      <c r="H15" s="108" t="s">
        <v>319</v>
      </c>
      <c r="I15" s="108" t="s">
        <v>4002</v>
      </c>
      <c r="J15" s="105" t="s">
        <v>321</v>
      </c>
      <c r="K15" s="106" t="s">
        <v>106</v>
      </c>
      <c r="L15" s="109" t="s">
        <v>95</v>
      </c>
      <c r="M15" s="103" t="s">
        <v>132</v>
      </c>
      <c r="N15" s="110" t="s">
        <v>97</v>
      </c>
      <c r="O15" s="110">
        <v>5.49</v>
      </c>
      <c r="P15" s="116">
        <v>431.939704367068</v>
      </c>
    </row>
    <row r="16" ht="14.25" hidden="1" customHeight="1">
      <c r="A16" s="103" t="s">
        <v>84</v>
      </c>
      <c r="B16" s="103" t="s">
        <v>120</v>
      </c>
      <c r="C16" s="103" t="s">
        <v>86</v>
      </c>
      <c r="D16" s="104" t="s">
        <v>87</v>
      </c>
      <c r="E16" s="105" t="s">
        <v>207</v>
      </c>
      <c r="F16" s="106" t="s">
        <v>299</v>
      </c>
      <c r="G16" s="106">
        <v>23.0</v>
      </c>
      <c r="H16" s="108" t="s">
        <v>324</v>
      </c>
      <c r="I16" s="108" t="s">
        <v>4003</v>
      </c>
      <c r="J16" s="105" t="s">
        <v>326</v>
      </c>
      <c r="K16" s="106" t="s">
        <v>162</v>
      </c>
      <c r="L16" s="109" t="s">
        <v>95</v>
      </c>
      <c r="M16" s="103" t="s">
        <v>96</v>
      </c>
      <c r="N16" s="110" t="s">
        <v>97</v>
      </c>
      <c r="O16" s="110">
        <v>9.0</v>
      </c>
      <c r="P16" s="116">
        <v>430.93589690499863</v>
      </c>
    </row>
    <row r="17" ht="14.25" hidden="1" customHeight="1">
      <c r="A17" s="103" t="s">
        <v>84</v>
      </c>
      <c r="B17" s="103" t="s">
        <v>120</v>
      </c>
      <c r="C17" s="103" t="s">
        <v>86</v>
      </c>
      <c r="D17" s="104" t="s">
        <v>87</v>
      </c>
      <c r="E17" s="105" t="s">
        <v>207</v>
      </c>
      <c r="F17" s="106" t="s">
        <v>299</v>
      </c>
      <c r="G17" s="106">
        <v>23.0</v>
      </c>
      <c r="H17" s="108" t="s">
        <v>329</v>
      </c>
      <c r="I17" s="108" t="s">
        <v>4004</v>
      </c>
      <c r="J17" s="105" t="s">
        <v>331</v>
      </c>
      <c r="K17" s="106" t="s">
        <v>162</v>
      </c>
      <c r="L17" s="109" t="s">
        <v>95</v>
      </c>
      <c r="M17" s="103" t="s">
        <v>96</v>
      </c>
      <c r="N17" s="110" t="s">
        <v>97</v>
      </c>
      <c r="O17" s="110">
        <v>9.0</v>
      </c>
      <c r="P17" s="116">
        <v>878.8782021102915</v>
      </c>
    </row>
    <row r="18" ht="14.25" hidden="1" customHeight="1">
      <c r="A18" s="103" t="s">
        <v>84</v>
      </c>
      <c r="B18" s="103" t="s">
        <v>120</v>
      </c>
      <c r="C18" s="103" t="s">
        <v>86</v>
      </c>
      <c r="D18" s="104" t="s">
        <v>87</v>
      </c>
      <c r="E18" s="105" t="s">
        <v>207</v>
      </c>
      <c r="F18" s="106" t="s">
        <v>299</v>
      </c>
      <c r="G18" s="106">
        <v>23.0</v>
      </c>
      <c r="H18" s="108" t="s">
        <v>333</v>
      </c>
      <c r="I18" s="108" t="s">
        <v>4374</v>
      </c>
      <c r="J18" s="105" t="s">
        <v>335</v>
      </c>
      <c r="K18" s="106" t="s">
        <v>162</v>
      </c>
      <c r="L18" s="109" t="s">
        <v>95</v>
      </c>
      <c r="M18" s="103" t="s">
        <v>132</v>
      </c>
      <c r="N18" s="110" t="s">
        <v>97</v>
      </c>
      <c r="O18" s="110">
        <v>9.0</v>
      </c>
      <c r="P18" s="116">
        <v>15.056387754318264</v>
      </c>
    </row>
    <row r="19" ht="14.25" hidden="1" customHeight="1">
      <c r="A19" s="105" t="s">
        <v>84</v>
      </c>
      <c r="B19" s="103" t="s">
        <v>120</v>
      </c>
      <c r="C19" s="105" t="s">
        <v>86</v>
      </c>
      <c r="D19" s="105" t="s">
        <v>87</v>
      </c>
      <c r="E19" s="105" t="s">
        <v>207</v>
      </c>
      <c r="F19" s="106" t="s">
        <v>351</v>
      </c>
      <c r="G19" s="106">
        <v>23.0</v>
      </c>
      <c r="H19" s="108" t="s">
        <v>362</v>
      </c>
      <c r="I19" s="108" t="s">
        <v>4005</v>
      </c>
      <c r="J19" s="105" t="s">
        <v>364</v>
      </c>
      <c r="K19" s="106" t="s">
        <v>162</v>
      </c>
      <c r="L19" s="109" t="s">
        <v>95</v>
      </c>
      <c r="M19" s="103" t="s">
        <v>96</v>
      </c>
      <c r="N19" s="110" t="s">
        <v>97</v>
      </c>
      <c r="O19" s="110">
        <v>9.0</v>
      </c>
      <c r="P19" s="116">
        <v>503.4040199880528</v>
      </c>
    </row>
    <row r="20" ht="14.25" hidden="1" customHeight="1">
      <c r="A20" s="105" t="s">
        <v>84</v>
      </c>
      <c r="B20" s="103" t="s">
        <v>120</v>
      </c>
      <c r="C20" s="105" t="s">
        <v>86</v>
      </c>
      <c r="D20" s="105" t="s">
        <v>87</v>
      </c>
      <c r="E20" s="105" t="s">
        <v>207</v>
      </c>
      <c r="F20" s="106" t="s">
        <v>351</v>
      </c>
      <c r="G20" s="106">
        <v>23.0</v>
      </c>
      <c r="H20" s="108" t="s">
        <v>366</v>
      </c>
      <c r="I20" s="108" t="s">
        <v>4006</v>
      </c>
      <c r="J20" s="105" t="s">
        <v>368</v>
      </c>
      <c r="K20" s="106" t="s">
        <v>162</v>
      </c>
      <c r="L20" s="109" t="s">
        <v>95</v>
      </c>
      <c r="M20" s="103" t="s">
        <v>96</v>
      </c>
      <c r="N20" s="110" t="s">
        <v>97</v>
      </c>
      <c r="O20" s="110">
        <v>9.0</v>
      </c>
      <c r="P20" s="116">
        <v>1036.9522045463932</v>
      </c>
    </row>
    <row r="21" ht="14.25" hidden="1" customHeight="1">
      <c r="A21" s="105" t="s">
        <v>84</v>
      </c>
      <c r="B21" s="103" t="s">
        <v>120</v>
      </c>
      <c r="C21" s="105" t="s">
        <v>86</v>
      </c>
      <c r="D21" s="105" t="s">
        <v>87</v>
      </c>
      <c r="E21" s="105" t="s">
        <v>207</v>
      </c>
      <c r="F21" s="106" t="s">
        <v>351</v>
      </c>
      <c r="G21" s="106">
        <v>23.0</v>
      </c>
      <c r="H21" s="108" t="s">
        <v>372</v>
      </c>
      <c r="I21" s="108" t="s">
        <v>778</v>
      </c>
      <c r="J21" s="105" t="s">
        <v>374</v>
      </c>
      <c r="K21" s="106" t="s">
        <v>162</v>
      </c>
      <c r="L21" s="109" t="s">
        <v>95</v>
      </c>
      <c r="M21" s="103" t="s">
        <v>96</v>
      </c>
      <c r="N21" s="110" t="s">
        <v>97</v>
      </c>
      <c r="O21" s="110">
        <v>9.0</v>
      </c>
      <c r="P21" s="116">
        <v>563.0667773019524</v>
      </c>
    </row>
    <row r="22" ht="14.25" hidden="1" customHeight="1">
      <c r="A22" s="105" t="s">
        <v>84</v>
      </c>
      <c r="B22" s="103" t="s">
        <v>120</v>
      </c>
      <c r="C22" s="105" t="s">
        <v>86</v>
      </c>
      <c r="D22" s="105" t="s">
        <v>87</v>
      </c>
      <c r="E22" s="105" t="s">
        <v>207</v>
      </c>
      <c r="F22" s="106" t="s">
        <v>351</v>
      </c>
      <c r="G22" s="106">
        <v>23.0</v>
      </c>
      <c r="H22" s="108" t="s">
        <v>376</v>
      </c>
      <c r="I22" s="108" t="s">
        <v>778</v>
      </c>
      <c r="J22" s="105" t="s">
        <v>378</v>
      </c>
      <c r="K22" s="106" t="s">
        <v>201</v>
      </c>
      <c r="L22" s="109" t="s">
        <v>95</v>
      </c>
      <c r="M22" s="103" t="s">
        <v>96</v>
      </c>
      <c r="N22" s="110" t="s">
        <v>379</v>
      </c>
      <c r="O22" s="110">
        <v>6.0</v>
      </c>
      <c r="P22" s="116">
        <v>1939.4966211702497</v>
      </c>
    </row>
    <row r="23" ht="14.25" hidden="1" customHeight="1">
      <c r="A23" s="105" t="s">
        <v>84</v>
      </c>
      <c r="B23" s="103" t="s">
        <v>120</v>
      </c>
      <c r="C23" s="105" t="s">
        <v>86</v>
      </c>
      <c r="D23" s="105" t="s">
        <v>87</v>
      </c>
      <c r="E23" s="105" t="s">
        <v>207</v>
      </c>
      <c r="F23" s="106" t="s">
        <v>351</v>
      </c>
      <c r="G23" s="106">
        <v>23.0</v>
      </c>
      <c r="H23" s="108" t="s">
        <v>382</v>
      </c>
      <c r="I23" s="108" t="s">
        <v>778</v>
      </c>
      <c r="J23" s="105" t="s">
        <v>384</v>
      </c>
      <c r="K23" s="106" t="s">
        <v>201</v>
      </c>
      <c r="L23" s="109" t="s">
        <v>95</v>
      </c>
      <c r="M23" s="103" t="s">
        <v>96</v>
      </c>
      <c r="N23" s="110" t="s">
        <v>379</v>
      </c>
      <c r="O23" s="110">
        <v>9.0</v>
      </c>
      <c r="P23" s="116">
        <v>1674.0191080264494</v>
      </c>
    </row>
    <row r="24" ht="14.25" hidden="1" customHeight="1">
      <c r="A24" s="103" t="s">
        <v>84</v>
      </c>
      <c r="B24" s="103" t="s">
        <v>120</v>
      </c>
      <c r="C24" s="103" t="s">
        <v>86</v>
      </c>
      <c r="D24" s="104" t="s">
        <v>87</v>
      </c>
      <c r="E24" s="105" t="s">
        <v>386</v>
      </c>
      <c r="F24" s="106" t="s">
        <v>351</v>
      </c>
      <c r="G24" s="106">
        <v>23.0</v>
      </c>
      <c r="H24" s="108" t="s">
        <v>398</v>
      </c>
      <c r="I24" s="108" t="s">
        <v>4008</v>
      </c>
      <c r="J24" s="105" t="s">
        <v>400</v>
      </c>
      <c r="K24" s="106" t="s">
        <v>162</v>
      </c>
      <c r="L24" s="109" t="s">
        <v>95</v>
      </c>
      <c r="M24" s="103" t="s">
        <v>96</v>
      </c>
      <c r="N24" s="110" t="s">
        <v>97</v>
      </c>
      <c r="O24" s="110">
        <v>6.0</v>
      </c>
      <c r="P24" s="116">
        <v>510.45472577376245</v>
      </c>
    </row>
    <row r="25" ht="14.25" hidden="1" customHeight="1">
      <c r="A25" s="103" t="s">
        <v>84</v>
      </c>
      <c r="B25" s="103" t="s">
        <v>120</v>
      </c>
      <c r="C25" s="103" t="s">
        <v>86</v>
      </c>
      <c r="D25" s="104" t="s">
        <v>87</v>
      </c>
      <c r="E25" s="105" t="s">
        <v>386</v>
      </c>
      <c r="F25" s="106" t="s">
        <v>351</v>
      </c>
      <c r="G25" s="106">
        <v>23.0</v>
      </c>
      <c r="H25" s="108" t="s">
        <v>403</v>
      </c>
      <c r="I25" s="108" t="s">
        <v>4009</v>
      </c>
      <c r="J25" s="105" t="s">
        <v>405</v>
      </c>
      <c r="K25" s="106" t="s">
        <v>162</v>
      </c>
      <c r="L25" s="109" t="s">
        <v>95</v>
      </c>
      <c r="M25" s="103" t="s">
        <v>96</v>
      </c>
      <c r="N25" s="110" t="s">
        <v>97</v>
      </c>
      <c r="O25" s="110">
        <v>4.0</v>
      </c>
      <c r="P25" s="116">
        <v>1054.8783370297024</v>
      </c>
    </row>
    <row r="26" ht="14.25" hidden="1" customHeight="1">
      <c r="A26" s="103" t="s">
        <v>84</v>
      </c>
      <c r="B26" s="103" t="s">
        <v>120</v>
      </c>
      <c r="C26" s="103" t="s">
        <v>86</v>
      </c>
      <c r="D26" s="104" t="s">
        <v>87</v>
      </c>
      <c r="E26" s="105" t="s">
        <v>386</v>
      </c>
      <c r="F26" s="106" t="s">
        <v>351</v>
      </c>
      <c r="G26" s="106">
        <v>26.0</v>
      </c>
      <c r="H26" s="108" t="s">
        <v>422</v>
      </c>
      <c r="I26" s="108" t="s">
        <v>778</v>
      </c>
      <c r="J26" s="105" t="s">
        <v>424</v>
      </c>
      <c r="K26" s="106" t="s">
        <v>106</v>
      </c>
      <c r="L26" s="109" t="s">
        <v>95</v>
      </c>
      <c r="M26" s="103" t="s">
        <v>96</v>
      </c>
      <c r="N26" s="110" t="s">
        <v>97</v>
      </c>
      <c r="O26" s="110">
        <v>4.0</v>
      </c>
      <c r="P26" s="116">
        <v>433.96656121782274</v>
      </c>
    </row>
    <row r="27" ht="14.25" hidden="1" customHeight="1">
      <c r="A27" s="103" t="s">
        <v>84</v>
      </c>
      <c r="B27" s="103" t="s">
        <v>120</v>
      </c>
      <c r="C27" s="103" t="s">
        <v>86</v>
      </c>
      <c r="D27" s="104" t="s">
        <v>87</v>
      </c>
      <c r="E27" s="105" t="s">
        <v>426</v>
      </c>
      <c r="F27" s="106" t="s">
        <v>351</v>
      </c>
      <c r="G27" s="106">
        <v>23.0</v>
      </c>
      <c r="H27" s="108" t="s">
        <v>428</v>
      </c>
      <c r="I27" s="108" t="s">
        <v>429</v>
      </c>
      <c r="J27" s="105" t="s">
        <v>431</v>
      </c>
      <c r="K27" s="106" t="s">
        <v>201</v>
      </c>
      <c r="L27" s="109" t="s">
        <v>95</v>
      </c>
      <c r="M27" s="103" t="s">
        <v>96</v>
      </c>
      <c r="N27" s="110" t="s">
        <v>97</v>
      </c>
      <c r="O27" s="110">
        <v>9.0</v>
      </c>
      <c r="P27" s="116">
        <v>676.467626058452</v>
      </c>
    </row>
    <row r="28" ht="14.25" hidden="1" customHeight="1">
      <c r="A28" s="103" t="s">
        <v>84</v>
      </c>
      <c r="B28" s="103" t="s">
        <v>120</v>
      </c>
      <c r="C28" s="103" t="s">
        <v>86</v>
      </c>
      <c r="D28" s="104" t="s">
        <v>87</v>
      </c>
      <c r="E28" s="105" t="s">
        <v>426</v>
      </c>
      <c r="F28" s="106" t="s">
        <v>351</v>
      </c>
      <c r="G28" s="106">
        <v>22.0</v>
      </c>
      <c r="H28" s="108" t="s">
        <v>435</v>
      </c>
      <c r="I28" s="108" t="s">
        <v>778</v>
      </c>
      <c r="J28" s="105" t="s">
        <v>437</v>
      </c>
      <c r="K28" s="106" t="s">
        <v>201</v>
      </c>
      <c r="L28" s="109" t="s">
        <v>95</v>
      </c>
      <c r="M28" s="103" t="s">
        <v>96</v>
      </c>
      <c r="N28" s="110" t="s">
        <v>97</v>
      </c>
      <c r="O28" s="110">
        <v>9.0</v>
      </c>
      <c r="P28" s="116">
        <v>736.3106501698204</v>
      </c>
    </row>
    <row r="29" ht="14.25" hidden="1" customHeight="1">
      <c r="A29" s="103" t="s">
        <v>84</v>
      </c>
      <c r="B29" s="103" t="s">
        <v>120</v>
      </c>
      <c r="C29" s="103" t="s">
        <v>86</v>
      </c>
      <c r="D29" s="104" t="s">
        <v>87</v>
      </c>
      <c r="E29" s="105" t="s">
        <v>426</v>
      </c>
      <c r="F29" s="106" t="s">
        <v>351</v>
      </c>
      <c r="G29" s="106">
        <v>23.0</v>
      </c>
      <c r="H29" s="108" t="s">
        <v>440</v>
      </c>
      <c r="I29" s="108" t="s">
        <v>4375</v>
      </c>
      <c r="J29" s="105" t="s">
        <v>442</v>
      </c>
      <c r="K29" s="106" t="s">
        <v>162</v>
      </c>
      <c r="L29" s="109" t="s">
        <v>95</v>
      </c>
      <c r="M29" s="103" t="s">
        <v>96</v>
      </c>
      <c r="N29" s="110" t="s">
        <v>97</v>
      </c>
      <c r="O29" s="110">
        <v>4.0</v>
      </c>
      <c r="P29" s="116">
        <v>682.441961401099</v>
      </c>
    </row>
    <row r="30" ht="14.25" hidden="1" customHeight="1">
      <c r="A30" s="103" t="s">
        <v>84</v>
      </c>
      <c r="B30" s="103" t="s">
        <v>120</v>
      </c>
      <c r="C30" s="103" t="s">
        <v>86</v>
      </c>
      <c r="D30" s="104" t="s">
        <v>87</v>
      </c>
      <c r="E30" s="105" t="s">
        <v>447</v>
      </c>
      <c r="F30" s="106" t="s">
        <v>351</v>
      </c>
      <c r="G30" s="106">
        <v>22.0</v>
      </c>
      <c r="H30" s="108" t="s">
        <v>449</v>
      </c>
      <c r="I30" s="108" t="s">
        <v>4012</v>
      </c>
      <c r="J30" s="105" t="s">
        <v>451</v>
      </c>
      <c r="K30" s="106" t="s">
        <v>201</v>
      </c>
      <c r="L30" s="109" t="s">
        <v>95</v>
      </c>
      <c r="M30" s="103" t="s">
        <v>96</v>
      </c>
      <c r="N30" s="110" t="s">
        <v>97</v>
      </c>
      <c r="O30" s="110">
        <v>6.0</v>
      </c>
      <c r="P30" s="116">
        <v>863.6458355864355</v>
      </c>
    </row>
    <row r="31" ht="14.25" hidden="1" customHeight="1">
      <c r="A31" s="103" t="s">
        <v>84</v>
      </c>
      <c r="B31" s="103" t="s">
        <v>120</v>
      </c>
      <c r="C31" s="103" t="s">
        <v>86</v>
      </c>
      <c r="D31" s="104" t="s">
        <v>87</v>
      </c>
      <c r="E31" s="105" t="s">
        <v>447</v>
      </c>
      <c r="F31" s="106" t="s">
        <v>351</v>
      </c>
      <c r="G31" s="106">
        <v>22.0</v>
      </c>
      <c r="H31" s="108" t="s">
        <v>454</v>
      </c>
      <c r="I31" s="108" t="s">
        <v>778</v>
      </c>
      <c r="J31" s="105" t="s">
        <v>456</v>
      </c>
      <c r="K31" s="106" t="s">
        <v>162</v>
      </c>
      <c r="L31" s="109" t="s">
        <v>95</v>
      </c>
      <c r="M31" s="103" t="s">
        <v>96</v>
      </c>
      <c r="N31" s="110" t="s">
        <v>97</v>
      </c>
      <c r="O31" s="110">
        <v>6.0</v>
      </c>
      <c r="P31" s="116">
        <v>839.1289126869874</v>
      </c>
    </row>
    <row r="32" ht="14.25" hidden="1" customHeight="1">
      <c r="A32" s="103" t="s">
        <v>179</v>
      </c>
      <c r="B32" s="103" t="s">
        <v>120</v>
      </c>
      <c r="C32" s="103" t="s">
        <v>86</v>
      </c>
      <c r="D32" s="104" t="s">
        <v>87</v>
      </c>
      <c r="E32" s="105" t="s">
        <v>467</v>
      </c>
      <c r="F32" s="106" t="s">
        <v>299</v>
      </c>
      <c r="G32" s="106" t="s">
        <v>468</v>
      </c>
      <c r="H32" s="108" t="s">
        <v>470</v>
      </c>
      <c r="I32" s="108" t="s">
        <v>4015</v>
      </c>
      <c r="J32" s="105" t="s">
        <v>472</v>
      </c>
      <c r="K32" s="106" t="s">
        <v>106</v>
      </c>
      <c r="L32" s="109" t="s">
        <v>95</v>
      </c>
      <c r="M32" s="103" t="s">
        <v>96</v>
      </c>
      <c r="N32" s="110" t="s">
        <v>473</v>
      </c>
      <c r="O32" s="110">
        <v>8.0</v>
      </c>
      <c r="P32" s="116">
        <v>538.9572339100088</v>
      </c>
    </row>
    <row r="33" ht="14.25" hidden="1" customHeight="1">
      <c r="A33" s="103" t="s">
        <v>179</v>
      </c>
      <c r="B33" s="103" t="s">
        <v>120</v>
      </c>
      <c r="C33" s="103" t="s">
        <v>86</v>
      </c>
      <c r="D33" s="104" t="s">
        <v>87</v>
      </c>
      <c r="E33" s="105" t="s">
        <v>467</v>
      </c>
      <c r="F33" s="106" t="s">
        <v>299</v>
      </c>
      <c r="G33" s="106" t="s">
        <v>468</v>
      </c>
      <c r="H33" s="108" t="s">
        <v>477</v>
      </c>
      <c r="I33" s="108" t="s">
        <v>4016</v>
      </c>
      <c r="J33" s="105" t="s">
        <v>479</v>
      </c>
      <c r="K33" s="106" t="s">
        <v>106</v>
      </c>
      <c r="L33" s="109" t="s">
        <v>95</v>
      </c>
      <c r="M33" s="103" t="s">
        <v>480</v>
      </c>
      <c r="N33" s="110" t="s">
        <v>473</v>
      </c>
      <c r="O33" s="110">
        <v>8.0</v>
      </c>
      <c r="P33" s="116">
        <v>538.9572339100088</v>
      </c>
    </row>
    <row r="34" ht="14.25" hidden="1" customHeight="1">
      <c r="A34" s="103" t="s">
        <v>179</v>
      </c>
      <c r="B34" s="103" t="s">
        <v>120</v>
      </c>
      <c r="C34" s="103" t="s">
        <v>86</v>
      </c>
      <c r="D34" s="104" t="s">
        <v>87</v>
      </c>
      <c r="E34" s="105" t="s">
        <v>467</v>
      </c>
      <c r="F34" s="106" t="s">
        <v>299</v>
      </c>
      <c r="G34" s="106" t="s">
        <v>468</v>
      </c>
      <c r="H34" s="108" t="s">
        <v>487</v>
      </c>
      <c r="I34" s="108" t="s">
        <v>488</v>
      </c>
      <c r="J34" s="105" t="s">
        <v>479</v>
      </c>
      <c r="K34" s="106" t="s">
        <v>162</v>
      </c>
      <c r="L34" s="109" t="s">
        <v>95</v>
      </c>
      <c r="M34" s="103" t="s">
        <v>96</v>
      </c>
      <c r="N34" s="110" t="s">
        <v>473</v>
      </c>
      <c r="O34" s="110">
        <v>8.0</v>
      </c>
      <c r="P34" s="116">
        <v>562.0593252066554</v>
      </c>
    </row>
    <row r="35" ht="14.25" hidden="1" customHeight="1">
      <c r="A35" s="103" t="s">
        <v>179</v>
      </c>
      <c r="B35" s="103" t="s">
        <v>120</v>
      </c>
      <c r="C35" s="103" t="s">
        <v>86</v>
      </c>
      <c r="D35" s="104" t="s">
        <v>87</v>
      </c>
      <c r="E35" s="105" t="s">
        <v>467</v>
      </c>
      <c r="F35" s="106" t="s">
        <v>299</v>
      </c>
      <c r="G35" s="106" t="s">
        <v>468</v>
      </c>
      <c r="H35" s="108" t="s">
        <v>492</v>
      </c>
      <c r="I35" s="108" t="s">
        <v>493</v>
      </c>
      <c r="J35" s="105" t="s">
        <v>495</v>
      </c>
      <c r="K35" s="106" t="s">
        <v>162</v>
      </c>
      <c r="L35" s="109" t="s">
        <v>95</v>
      </c>
      <c r="M35" s="103" t="s">
        <v>480</v>
      </c>
      <c r="N35" s="110" t="s">
        <v>473</v>
      </c>
      <c r="O35" s="110">
        <v>8.0</v>
      </c>
      <c r="P35" s="116">
        <v>562.0593252066554</v>
      </c>
    </row>
    <row r="36" ht="14.25" hidden="1" customHeight="1">
      <c r="A36" s="103" t="s">
        <v>84</v>
      </c>
      <c r="B36" s="103" t="s">
        <v>120</v>
      </c>
      <c r="C36" s="103" t="s">
        <v>86</v>
      </c>
      <c r="D36" s="104" t="s">
        <v>501</v>
      </c>
      <c r="E36" s="104" t="s">
        <v>502</v>
      </c>
      <c r="F36" s="110"/>
      <c r="G36" s="110"/>
      <c r="H36" s="211" t="s">
        <v>503</v>
      </c>
      <c r="I36" s="211" t="s">
        <v>4017</v>
      </c>
      <c r="J36" s="104" t="s">
        <v>505</v>
      </c>
      <c r="K36" s="110"/>
      <c r="L36" s="104" t="s">
        <v>95</v>
      </c>
      <c r="M36" s="103" t="s">
        <v>506</v>
      </c>
      <c r="N36" s="110" t="s">
        <v>507</v>
      </c>
      <c r="O36" s="110">
        <v>8640.0</v>
      </c>
      <c r="P36" s="212">
        <v>0.4607937892299555</v>
      </c>
    </row>
    <row r="37" ht="14.25" hidden="1" customHeight="1">
      <c r="A37" s="103" t="s">
        <v>84</v>
      </c>
      <c r="B37" s="103" t="s">
        <v>120</v>
      </c>
      <c r="C37" s="103" t="s">
        <v>86</v>
      </c>
      <c r="D37" s="104" t="s">
        <v>501</v>
      </c>
      <c r="E37" s="104" t="s">
        <v>502</v>
      </c>
      <c r="F37" s="110"/>
      <c r="G37" s="110"/>
      <c r="H37" s="211" t="s">
        <v>511</v>
      </c>
      <c r="I37" s="211" t="s">
        <v>4018</v>
      </c>
      <c r="J37" s="104" t="s">
        <v>513</v>
      </c>
      <c r="K37" s="110"/>
      <c r="L37" s="104" t="s">
        <v>95</v>
      </c>
      <c r="M37" s="103" t="s">
        <v>514</v>
      </c>
      <c r="N37" s="110" t="s">
        <v>507</v>
      </c>
      <c r="O37" s="110">
        <v>8640.0</v>
      </c>
      <c r="P37" s="212">
        <v>0.4963889006890014</v>
      </c>
    </row>
    <row r="38" ht="14.25" hidden="1" customHeight="1">
      <c r="A38" s="103" t="s">
        <v>84</v>
      </c>
      <c r="B38" s="103" t="s">
        <v>120</v>
      </c>
      <c r="C38" s="103" t="s">
        <v>86</v>
      </c>
      <c r="D38" s="104" t="s">
        <v>501</v>
      </c>
      <c r="E38" s="104" t="s">
        <v>502</v>
      </c>
      <c r="F38" s="110"/>
      <c r="G38" s="110"/>
      <c r="H38" s="211" t="s">
        <v>516</v>
      </c>
      <c r="I38" s="211" t="s">
        <v>4019</v>
      </c>
      <c r="J38" s="104" t="s">
        <v>518</v>
      </c>
      <c r="K38" s="110"/>
      <c r="L38" s="104" t="s">
        <v>95</v>
      </c>
      <c r="M38" s="103" t="s">
        <v>506</v>
      </c>
      <c r="N38" s="110" t="s">
        <v>507</v>
      </c>
      <c r="O38" s="110">
        <v>11520.0</v>
      </c>
      <c r="P38" s="212">
        <v>0.41445411843952695</v>
      </c>
    </row>
    <row r="39" ht="14.25" hidden="1" customHeight="1">
      <c r="A39" s="103" t="s">
        <v>84</v>
      </c>
      <c r="B39" s="103" t="s">
        <v>120</v>
      </c>
      <c r="C39" s="103" t="s">
        <v>86</v>
      </c>
      <c r="D39" s="104" t="s">
        <v>501</v>
      </c>
      <c r="E39" s="104" t="s">
        <v>502</v>
      </c>
      <c r="F39" s="110"/>
      <c r="G39" s="110"/>
      <c r="H39" s="211" t="s">
        <v>520</v>
      </c>
      <c r="I39" s="211" t="s">
        <v>4020</v>
      </c>
      <c r="J39" s="104" t="s">
        <v>522</v>
      </c>
      <c r="K39" s="110"/>
      <c r="L39" s="104" t="s">
        <v>95</v>
      </c>
      <c r="M39" s="103" t="s">
        <v>514</v>
      </c>
      <c r="N39" s="110" t="s">
        <v>507</v>
      </c>
      <c r="O39" s="110">
        <v>11520.0</v>
      </c>
      <c r="P39" s="212">
        <v>0.43883377246538147</v>
      </c>
    </row>
    <row r="40" ht="14.25" hidden="1" customHeight="1">
      <c r="A40" s="103" t="s">
        <v>84</v>
      </c>
      <c r="B40" s="103" t="s">
        <v>120</v>
      </c>
      <c r="C40" s="103" t="s">
        <v>86</v>
      </c>
      <c r="D40" s="103" t="s">
        <v>501</v>
      </c>
      <c r="E40" s="104" t="s">
        <v>502</v>
      </c>
      <c r="F40" s="110"/>
      <c r="G40" s="110"/>
      <c r="H40" s="211" t="s">
        <v>524</v>
      </c>
      <c r="I40" s="211" t="s">
        <v>4021</v>
      </c>
      <c r="J40" s="104" t="s">
        <v>526</v>
      </c>
      <c r="K40" s="110"/>
      <c r="L40" s="104" t="s">
        <v>95</v>
      </c>
      <c r="M40" s="103" t="s">
        <v>514</v>
      </c>
      <c r="N40" s="110" t="s">
        <v>507</v>
      </c>
      <c r="O40" s="110">
        <v>11520.0</v>
      </c>
      <c r="P40" s="212">
        <v>0.5691077134062504</v>
      </c>
    </row>
    <row r="41" ht="14.25" hidden="1" customHeight="1">
      <c r="A41" s="103" t="s">
        <v>84</v>
      </c>
      <c r="B41" s="103" t="s">
        <v>120</v>
      </c>
      <c r="C41" s="103" t="s">
        <v>86</v>
      </c>
      <c r="D41" s="103" t="s">
        <v>501</v>
      </c>
      <c r="E41" s="104" t="s">
        <v>502</v>
      </c>
      <c r="F41" s="110"/>
      <c r="G41" s="110"/>
      <c r="H41" s="211" t="s">
        <v>528</v>
      </c>
      <c r="I41" s="211" t="s">
        <v>4022</v>
      </c>
      <c r="J41" s="104" t="s">
        <v>530</v>
      </c>
      <c r="K41" s="110"/>
      <c r="L41" s="104" t="s">
        <v>95</v>
      </c>
      <c r="M41" s="103" t="s">
        <v>514</v>
      </c>
      <c r="N41" s="110" t="s">
        <v>507</v>
      </c>
      <c r="O41" s="110">
        <v>11520.0</v>
      </c>
      <c r="P41" s="212">
        <v>0.6007248085954866</v>
      </c>
    </row>
    <row r="42" ht="14.25" customHeight="1">
      <c r="A42" s="105" t="s">
        <v>84</v>
      </c>
      <c r="B42" s="103" t="s">
        <v>120</v>
      </c>
      <c r="C42" s="105" t="s">
        <v>86</v>
      </c>
      <c r="D42" s="105" t="s">
        <v>566</v>
      </c>
      <c r="E42" s="105" t="s">
        <v>567</v>
      </c>
      <c r="F42" s="106" t="s">
        <v>577</v>
      </c>
      <c r="G42" s="110"/>
      <c r="H42" s="220" t="s">
        <v>578</v>
      </c>
      <c r="I42" s="220" t="s">
        <v>778</v>
      </c>
      <c r="J42" s="105" t="s">
        <v>580</v>
      </c>
      <c r="K42" s="110"/>
      <c r="L42" s="104" t="s">
        <v>95</v>
      </c>
      <c r="M42" s="103" t="s">
        <v>572</v>
      </c>
      <c r="N42" s="110" t="s">
        <v>573</v>
      </c>
      <c r="O42" s="110">
        <v>8064.0</v>
      </c>
      <c r="P42" s="212">
        <v>1.5562012703910373</v>
      </c>
    </row>
    <row r="43" ht="14.25" customHeight="1">
      <c r="A43" s="105" t="s">
        <v>84</v>
      </c>
      <c r="B43" s="103" t="s">
        <v>120</v>
      </c>
      <c r="C43" s="105" t="s">
        <v>86</v>
      </c>
      <c r="D43" s="105" t="s">
        <v>566</v>
      </c>
      <c r="E43" s="105" t="s">
        <v>567</v>
      </c>
      <c r="F43" s="106" t="s">
        <v>581</v>
      </c>
      <c r="G43" s="110"/>
      <c r="H43" s="220" t="s">
        <v>582</v>
      </c>
      <c r="I43" s="220" t="s">
        <v>778</v>
      </c>
      <c r="J43" s="105" t="s">
        <v>584</v>
      </c>
      <c r="K43" s="110"/>
      <c r="L43" s="104" t="s">
        <v>95</v>
      </c>
      <c r="M43" s="103" t="s">
        <v>572</v>
      </c>
      <c r="N43" s="110" t="s">
        <v>573</v>
      </c>
      <c r="O43" s="110">
        <v>8064.0</v>
      </c>
      <c r="P43" s="212">
        <v>0.7993880354734647</v>
      </c>
    </row>
    <row r="44" ht="14.25" customHeight="1">
      <c r="A44" s="105" t="s">
        <v>84</v>
      </c>
      <c r="B44" s="103" t="s">
        <v>120</v>
      </c>
      <c r="C44" s="105" t="s">
        <v>86</v>
      </c>
      <c r="D44" s="105" t="s">
        <v>566</v>
      </c>
      <c r="E44" s="105" t="s">
        <v>567</v>
      </c>
      <c r="F44" s="106" t="s">
        <v>577</v>
      </c>
      <c r="G44" s="110"/>
      <c r="H44" s="220" t="s">
        <v>585</v>
      </c>
      <c r="I44" s="220" t="s">
        <v>778</v>
      </c>
      <c r="J44" s="105" t="s">
        <v>587</v>
      </c>
      <c r="K44" s="110"/>
      <c r="L44" s="104" t="s">
        <v>95</v>
      </c>
      <c r="M44" s="103" t="s">
        <v>572</v>
      </c>
      <c r="N44" s="110" t="s">
        <v>573</v>
      </c>
      <c r="O44" s="110">
        <v>8064.0</v>
      </c>
      <c r="P44" s="212">
        <v>1.5804721556859722</v>
      </c>
    </row>
    <row r="45" ht="14.25" customHeight="1">
      <c r="A45" s="105" t="s">
        <v>84</v>
      </c>
      <c r="B45" s="103" t="s">
        <v>120</v>
      </c>
      <c r="C45" s="105" t="s">
        <v>86</v>
      </c>
      <c r="D45" s="105" t="s">
        <v>566</v>
      </c>
      <c r="E45" s="105" t="s">
        <v>567</v>
      </c>
      <c r="F45" s="106" t="s">
        <v>577</v>
      </c>
      <c r="G45" s="110"/>
      <c r="H45" s="220" t="s">
        <v>589</v>
      </c>
      <c r="I45" s="220" t="s">
        <v>778</v>
      </c>
      <c r="J45" s="105" t="s">
        <v>591</v>
      </c>
      <c r="K45" s="110"/>
      <c r="L45" s="104" t="s">
        <v>95</v>
      </c>
      <c r="M45" s="103" t="s">
        <v>572</v>
      </c>
      <c r="N45" s="110" t="s">
        <v>573</v>
      </c>
      <c r="O45" s="110">
        <v>8064.0</v>
      </c>
      <c r="P45" s="212">
        <v>1.4099493248524808</v>
      </c>
    </row>
    <row r="46" ht="14.25" customHeight="1">
      <c r="A46" s="105" t="s">
        <v>84</v>
      </c>
      <c r="B46" s="103" t="s">
        <v>120</v>
      </c>
      <c r="C46" s="105" t="s">
        <v>86</v>
      </c>
      <c r="D46" s="105" t="s">
        <v>566</v>
      </c>
      <c r="E46" s="105" t="s">
        <v>598</v>
      </c>
      <c r="F46" s="106" t="s">
        <v>577</v>
      </c>
      <c r="G46" s="110"/>
      <c r="H46" s="220" t="s">
        <v>599</v>
      </c>
      <c r="I46" s="220" t="s">
        <v>778</v>
      </c>
      <c r="J46" s="105" t="s">
        <v>601</v>
      </c>
      <c r="K46" s="110"/>
      <c r="L46" s="104" t="s">
        <v>95</v>
      </c>
      <c r="M46" s="103" t="s">
        <v>572</v>
      </c>
      <c r="N46" s="110" t="s">
        <v>602</v>
      </c>
      <c r="O46" s="110">
        <v>8064.0</v>
      </c>
      <c r="P46" s="212">
        <v>3.0506157616158562</v>
      </c>
    </row>
    <row r="47" ht="14.25" customHeight="1">
      <c r="A47" s="103" t="s">
        <v>84</v>
      </c>
      <c r="B47" s="103" t="s">
        <v>120</v>
      </c>
      <c r="C47" s="103" t="s">
        <v>86</v>
      </c>
      <c r="D47" s="104" t="s">
        <v>566</v>
      </c>
      <c r="E47" s="105" t="s">
        <v>619</v>
      </c>
      <c r="F47" s="106" t="s">
        <v>577</v>
      </c>
      <c r="G47" s="110"/>
      <c r="H47" s="220" t="s">
        <v>638</v>
      </c>
      <c r="I47" s="220" t="s">
        <v>4025</v>
      </c>
      <c r="J47" s="105" t="s">
        <v>640</v>
      </c>
      <c r="K47" s="110"/>
      <c r="L47" s="104" t="s">
        <v>95</v>
      </c>
      <c r="M47" s="103" t="s">
        <v>641</v>
      </c>
      <c r="N47" s="110" t="s">
        <v>573</v>
      </c>
      <c r="O47" s="110">
        <v>6912.0</v>
      </c>
      <c r="P47" s="212">
        <v>1.4030174480005617</v>
      </c>
    </row>
    <row r="48" ht="14.25" customHeight="1">
      <c r="A48" s="103" t="s">
        <v>84</v>
      </c>
      <c r="B48" s="103" t="s">
        <v>120</v>
      </c>
      <c r="C48" s="103" t="s">
        <v>86</v>
      </c>
      <c r="D48" s="104" t="s">
        <v>566</v>
      </c>
      <c r="E48" s="105" t="s">
        <v>619</v>
      </c>
      <c r="F48" s="106" t="s">
        <v>577</v>
      </c>
      <c r="G48" s="110"/>
      <c r="H48" s="220" t="s">
        <v>647</v>
      </c>
      <c r="I48" s="220" t="s">
        <v>4026</v>
      </c>
      <c r="J48" s="105" t="s">
        <v>649</v>
      </c>
      <c r="K48" s="110"/>
      <c r="L48" s="104" t="s">
        <v>95</v>
      </c>
      <c r="M48" s="103" t="s">
        <v>614</v>
      </c>
      <c r="N48" s="110" t="s">
        <v>573</v>
      </c>
      <c r="O48" s="110">
        <v>10368.0</v>
      </c>
      <c r="P48" s="212">
        <v>1.3552063986907472</v>
      </c>
    </row>
    <row r="49" ht="14.25" customHeight="1">
      <c r="A49" s="103" t="s">
        <v>84</v>
      </c>
      <c r="B49" s="103" t="s">
        <v>120</v>
      </c>
      <c r="C49" s="103" t="s">
        <v>86</v>
      </c>
      <c r="D49" s="104" t="s">
        <v>566</v>
      </c>
      <c r="E49" s="105" t="s">
        <v>659</v>
      </c>
      <c r="F49" s="106" t="s">
        <v>577</v>
      </c>
      <c r="G49" s="110"/>
      <c r="H49" s="220" t="s">
        <v>672</v>
      </c>
      <c r="I49" s="220" t="s">
        <v>4027</v>
      </c>
      <c r="J49" s="105" t="s">
        <v>674</v>
      </c>
      <c r="K49" s="110"/>
      <c r="L49" s="104" t="s">
        <v>95</v>
      </c>
      <c r="M49" s="103" t="s">
        <v>641</v>
      </c>
      <c r="N49" s="110" t="s">
        <v>573</v>
      </c>
      <c r="O49" s="110">
        <v>6912.0</v>
      </c>
      <c r="P49" s="212">
        <v>1.5268605854213693</v>
      </c>
    </row>
    <row r="50" ht="14.25" customHeight="1">
      <c r="A50" s="103" t="s">
        <v>84</v>
      </c>
      <c r="B50" s="103" t="s">
        <v>120</v>
      </c>
      <c r="C50" s="103" t="s">
        <v>86</v>
      </c>
      <c r="D50" s="104" t="s">
        <v>566</v>
      </c>
      <c r="E50" s="105" t="s">
        <v>659</v>
      </c>
      <c r="F50" s="106" t="s">
        <v>577</v>
      </c>
      <c r="G50" s="110"/>
      <c r="H50" s="220" t="s">
        <v>680</v>
      </c>
      <c r="I50" s="220" t="s">
        <v>4028</v>
      </c>
      <c r="J50" s="105" t="s">
        <v>682</v>
      </c>
      <c r="K50" s="110"/>
      <c r="L50" s="104" t="s">
        <v>95</v>
      </c>
      <c r="M50" s="103" t="s">
        <v>609</v>
      </c>
      <c r="N50" s="110" t="s">
        <v>573</v>
      </c>
      <c r="O50" s="110">
        <v>10368.0</v>
      </c>
      <c r="P50" s="212">
        <v>1.4827847743388842</v>
      </c>
    </row>
    <row r="51" ht="14.25" customHeight="1">
      <c r="A51" s="103" t="s">
        <v>84</v>
      </c>
      <c r="B51" s="103" t="s">
        <v>120</v>
      </c>
      <c r="C51" s="103" t="s">
        <v>86</v>
      </c>
      <c r="D51" s="104" t="s">
        <v>566</v>
      </c>
      <c r="E51" s="105" t="s">
        <v>659</v>
      </c>
      <c r="F51" s="106" t="s">
        <v>577</v>
      </c>
      <c r="G51" s="110"/>
      <c r="H51" s="220" t="s">
        <v>692</v>
      </c>
      <c r="I51" s="220" t="s">
        <v>4029</v>
      </c>
      <c r="J51" s="105" t="s">
        <v>694</v>
      </c>
      <c r="K51" s="110" t="s">
        <v>667</v>
      </c>
      <c r="L51" s="104" t="s">
        <v>95</v>
      </c>
      <c r="M51" s="103" t="s">
        <v>614</v>
      </c>
      <c r="N51" s="110" t="s">
        <v>573</v>
      </c>
      <c r="O51" s="110">
        <v>10368.0</v>
      </c>
      <c r="P51" s="212">
        <v>1.7432949720578346</v>
      </c>
    </row>
    <row r="52" ht="14.25" customHeight="1">
      <c r="A52" s="103" t="s">
        <v>84</v>
      </c>
      <c r="B52" s="103" t="s">
        <v>120</v>
      </c>
      <c r="C52" s="103" t="s">
        <v>86</v>
      </c>
      <c r="D52" s="104" t="s">
        <v>566</v>
      </c>
      <c r="E52" s="105" t="s">
        <v>705</v>
      </c>
      <c r="F52" s="106" t="s">
        <v>577</v>
      </c>
      <c r="G52" s="110"/>
      <c r="H52" s="220" t="s">
        <v>706</v>
      </c>
      <c r="I52" s="220" t="s">
        <v>4030</v>
      </c>
      <c r="J52" s="105" t="s">
        <v>708</v>
      </c>
      <c r="K52" s="110"/>
      <c r="L52" s="104" t="s">
        <v>95</v>
      </c>
      <c r="M52" s="103" t="s">
        <v>614</v>
      </c>
      <c r="N52" s="110" t="s">
        <v>602</v>
      </c>
      <c r="O52" s="110">
        <v>10368.0</v>
      </c>
      <c r="P52" s="212">
        <v>3.230082173277147</v>
      </c>
    </row>
    <row r="53" ht="14.25" customHeight="1">
      <c r="A53" s="105" t="s">
        <v>84</v>
      </c>
      <c r="B53" s="103" t="s">
        <v>120</v>
      </c>
      <c r="C53" s="105" t="s">
        <v>86</v>
      </c>
      <c r="D53" s="105" t="s">
        <v>566</v>
      </c>
      <c r="E53" s="105" t="s">
        <v>709</v>
      </c>
      <c r="F53" s="106"/>
      <c r="G53" s="110"/>
      <c r="H53" s="220" t="s">
        <v>710</v>
      </c>
      <c r="I53" s="220" t="s">
        <v>4032</v>
      </c>
      <c r="J53" s="105" t="s">
        <v>712</v>
      </c>
      <c r="K53" s="110"/>
      <c r="L53" s="104" t="s">
        <v>95</v>
      </c>
      <c r="M53" s="103" t="s">
        <v>713</v>
      </c>
      <c r="N53" s="110" t="s">
        <v>714</v>
      </c>
      <c r="O53" s="110">
        <v>86400.0</v>
      </c>
      <c r="P53" s="212">
        <v>0.0487918037584798</v>
      </c>
    </row>
    <row r="54" ht="14.25" customHeight="1">
      <c r="A54" s="105" t="s">
        <v>84</v>
      </c>
      <c r="B54" s="103" t="s">
        <v>120</v>
      </c>
      <c r="C54" s="105" t="s">
        <v>86</v>
      </c>
      <c r="D54" s="105" t="s">
        <v>566</v>
      </c>
      <c r="E54" s="105" t="s">
        <v>709</v>
      </c>
      <c r="F54" s="106"/>
      <c r="G54" s="110"/>
      <c r="H54" s="220" t="s">
        <v>716</v>
      </c>
      <c r="I54" s="220" t="s">
        <v>4033</v>
      </c>
      <c r="J54" s="105" t="s">
        <v>718</v>
      </c>
      <c r="K54" s="110"/>
      <c r="L54" s="104" t="s">
        <v>95</v>
      </c>
      <c r="M54" s="103" t="s">
        <v>713</v>
      </c>
      <c r="N54" s="110" t="s">
        <v>714</v>
      </c>
      <c r="O54" s="110">
        <v>86400.0</v>
      </c>
      <c r="P54" s="212">
        <v>0.0487918037584798</v>
      </c>
    </row>
    <row r="55" ht="14.25" customHeight="1">
      <c r="A55" s="105" t="s">
        <v>84</v>
      </c>
      <c r="B55" s="103" t="s">
        <v>120</v>
      </c>
      <c r="C55" s="105" t="s">
        <v>86</v>
      </c>
      <c r="D55" s="105" t="s">
        <v>566</v>
      </c>
      <c r="E55" s="105" t="s">
        <v>709</v>
      </c>
      <c r="F55" s="106"/>
      <c r="G55" s="110"/>
      <c r="H55" s="220" t="s">
        <v>720</v>
      </c>
      <c r="I55" s="220" t="s">
        <v>4034</v>
      </c>
      <c r="J55" s="105" t="s">
        <v>722</v>
      </c>
      <c r="K55" s="110"/>
      <c r="L55" s="104" t="s">
        <v>95</v>
      </c>
      <c r="M55" s="103" t="s">
        <v>713</v>
      </c>
      <c r="N55" s="110" t="s">
        <v>714</v>
      </c>
      <c r="O55" s="110">
        <v>86400.0</v>
      </c>
      <c r="P55" s="212">
        <v>0.0487918037584798</v>
      </c>
    </row>
    <row r="56" ht="14.25" customHeight="1">
      <c r="A56" s="105" t="s">
        <v>84</v>
      </c>
      <c r="B56" s="103" t="s">
        <v>120</v>
      </c>
      <c r="C56" s="105" t="s">
        <v>86</v>
      </c>
      <c r="D56" s="105" t="s">
        <v>566</v>
      </c>
      <c r="E56" s="105" t="s">
        <v>709</v>
      </c>
      <c r="F56" s="106"/>
      <c r="G56" s="110"/>
      <c r="H56" s="220" t="s">
        <v>724</v>
      </c>
      <c r="I56" s="220" t="s">
        <v>4035</v>
      </c>
      <c r="J56" s="105" t="s">
        <v>726</v>
      </c>
      <c r="K56" s="110"/>
      <c r="L56" s="104" t="s">
        <v>95</v>
      </c>
      <c r="M56" s="103" t="s">
        <v>713</v>
      </c>
      <c r="N56" s="110" t="s">
        <v>714</v>
      </c>
      <c r="O56" s="110">
        <v>86400.0</v>
      </c>
      <c r="P56" s="212">
        <v>0.0487918037584798</v>
      </c>
    </row>
    <row r="57" ht="14.25" hidden="1" customHeight="1">
      <c r="A57" s="103" t="s">
        <v>84</v>
      </c>
      <c r="B57" s="103" t="s">
        <v>120</v>
      </c>
      <c r="C57" s="103" t="s">
        <v>86</v>
      </c>
      <c r="D57" s="104" t="s">
        <v>788</v>
      </c>
      <c r="E57" s="105" t="s">
        <v>840</v>
      </c>
      <c r="F57" s="106" t="s">
        <v>577</v>
      </c>
      <c r="G57" s="110">
        <v>26.0</v>
      </c>
      <c r="H57" s="220" t="s">
        <v>841</v>
      </c>
      <c r="I57" s="220" t="s">
        <v>4036</v>
      </c>
      <c r="J57" s="105" t="s">
        <v>843</v>
      </c>
      <c r="K57" s="110"/>
      <c r="L57" s="104" t="s">
        <v>95</v>
      </c>
      <c r="M57" s="103" t="s">
        <v>794</v>
      </c>
      <c r="N57" s="110" t="s">
        <v>795</v>
      </c>
      <c r="O57" s="110">
        <v>4800.0</v>
      </c>
      <c r="P57" s="239">
        <v>0.5121013644166742</v>
      </c>
    </row>
    <row r="58" ht="14.25" hidden="1" customHeight="1">
      <c r="A58" s="103" t="s">
        <v>84</v>
      </c>
      <c r="B58" s="103" t="s">
        <v>120</v>
      </c>
      <c r="C58" s="103" t="s">
        <v>86</v>
      </c>
      <c r="D58" s="104" t="s">
        <v>788</v>
      </c>
      <c r="E58" s="105" t="s">
        <v>840</v>
      </c>
      <c r="F58" s="106" t="s">
        <v>577</v>
      </c>
      <c r="G58" s="110">
        <v>26.0</v>
      </c>
      <c r="H58" s="220" t="s">
        <v>845</v>
      </c>
      <c r="I58" s="220" t="s">
        <v>4037</v>
      </c>
      <c r="J58" s="105" t="s">
        <v>847</v>
      </c>
      <c r="K58" s="110"/>
      <c r="L58" s="104" t="s">
        <v>95</v>
      </c>
      <c r="M58" s="103" t="s">
        <v>794</v>
      </c>
      <c r="N58" s="110" t="s">
        <v>795</v>
      </c>
      <c r="O58" s="110">
        <v>4800.0</v>
      </c>
      <c r="P58" s="239">
        <v>0.5703921454798315</v>
      </c>
    </row>
    <row r="59" ht="14.25" hidden="1" customHeight="1">
      <c r="A59" s="103" t="s">
        <v>84</v>
      </c>
      <c r="B59" s="103" t="s">
        <v>120</v>
      </c>
      <c r="C59" s="103" t="s">
        <v>86</v>
      </c>
      <c r="D59" s="104" t="s">
        <v>788</v>
      </c>
      <c r="E59" s="105" t="s">
        <v>840</v>
      </c>
      <c r="F59" s="106" t="s">
        <v>577</v>
      </c>
      <c r="G59" s="110">
        <v>26.0</v>
      </c>
      <c r="H59" s="220" t="s">
        <v>849</v>
      </c>
      <c r="I59" s="220" t="s">
        <v>4038</v>
      </c>
      <c r="J59" s="105" t="s">
        <v>851</v>
      </c>
      <c r="K59" s="110"/>
      <c r="L59" s="104" t="s">
        <v>95</v>
      </c>
      <c r="M59" s="103" t="s">
        <v>794</v>
      </c>
      <c r="N59" s="110" t="s">
        <v>795</v>
      </c>
      <c r="O59" s="110">
        <v>3200.0</v>
      </c>
      <c r="P59" s="239">
        <v>0.7407910677586315</v>
      </c>
    </row>
    <row r="60" ht="14.25" hidden="1" customHeight="1">
      <c r="A60" s="103" t="s">
        <v>84</v>
      </c>
      <c r="B60" s="103" t="s">
        <v>120</v>
      </c>
      <c r="C60" s="103" t="s">
        <v>86</v>
      </c>
      <c r="D60" s="104" t="s">
        <v>788</v>
      </c>
      <c r="E60" s="105" t="s">
        <v>840</v>
      </c>
      <c r="F60" s="106" t="s">
        <v>577</v>
      </c>
      <c r="G60" s="110">
        <v>26.0</v>
      </c>
      <c r="H60" s="220" t="s">
        <v>853</v>
      </c>
      <c r="I60" s="220" t="s">
        <v>4039</v>
      </c>
      <c r="J60" s="105" t="s">
        <v>855</v>
      </c>
      <c r="K60" s="110"/>
      <c r="L60" s="104" t="s">
        <v>95</v>
      </c>
      <c r="M60" s="103" t="s">
        <v>794</v>
      </c>
      <c r="N60" s="110" t="s">
        <v>795</v>
      </c>
      <c r="O60" s="110">
        <v>2240.0</v>
      </c>
      <c r="P60" s="239">
        <v>1.060844772658363</v>
      </c>
    </row>
    <row r="61" ht="14.25" hidden="1" customHeight="1">
      <c r="A61" s="103" t="s">
        <v>84</v>
      </c>
      <c r="B61" s="103" t="s">
        <v>120</v>
      </c>
      <c r="C61" s="103" t="s">
        <v>86</v>
      </c>
      <c r="D61" s="104" t="s">
        <v>788</v>
      </c>
      <c r="E61" s="105" t="s">
        <v>840</v>
      </c>
      <c r="F61" s="106" t="s">
        <v>577</v>
      </c>
      <c r="G61" s="110">
        <v>26.0</v>
      </c>
      <c r="H61" s="220" t="s">
        <v>857</v>
      </c>
      <c r="I61" s="220" t="s">
        <v>4040</v>
      </c>
      <c r="J61" s="105" t="s">
        <v>859</v>
      </c>
      <c r="K61" s="110"/>
      <c r="L61" s="104" t="s">
        <v>95</v>
      </c>
      <c r="M61" s="103" t="s">
        <v>794</v>
      </c>
      <c r="N61" s="110" t="s">
        <v>795</v>
      </c>
      <c r="O61" s="110">
        <v>1600.0</v>
      </c>
      <c r="P61" s="239">
        <v>1.392678780997808</v>
      </c>
    </row>
    <row r="62" ht="14.25" hidden="1" customHeight="1">
      <c r="A62" s="103" t="s">
        <v>84</v>
      </c>
      <c r="B62" s="103" t="s">
        <v>120</v>
      </c>
      <c r="C62" s="103" t="s">
        <v>86</v>
      </c>
      <c r="D62" s="104" t="s">
        <v>788</v>
      </c>
      <c r="E62" s="105" t="s">
        <v>840</v>
      </c>
      <c r="F62" s="106" t="s">
        <v>577</v>
      </c>
      <c r="G62" s="110">
        <v>26.0</v>
      </c>
      <c r="H62" s="220" t="s">
        <v>861</v>
      </c>
      <c r="I62" s="220" t="s">
        <v>4041</v>
      </c>
      <c r="J62" s="105" t="s">
        <v>863</v>
      </c>
      <c r="K62" s="110"/>
      <c r="L62" s="104" t="s">
        <v>95</v>
      </c>
      <c r="M62" s="103" t="s">
        <v>794</v>
      </c>
      <c r="N62" s="110" t="s">
        <v>795</v>
      </c>
      <c r="O62" s="110">
        <v>960.0</v>
      </c>
      <c r="P62" s="239">
        <v>2.0779226006285256</v>
      </c>
    </row>
    <row r="63" ht="14.25" hidden="1" customHeight="1">
      <c r="A63" s="103" t="s">
        <v>84</v>
      </c>
      <c r="B63" s="103" t="s">
        <v>120</v>
      </c>
      <c r="C63" s="103" t="s">
        <v>86</v>
      </c>
      <c r="D63" s="104" t="s">
        <v>788</v>
      </c>
      <c r="E63" s="105" t="s">
        <v>840</v>
      </c>
      <c r="F63" s="106" t="s">
        <v>577</v>
      </c>
      <c r="G63" s="110">
        <v>26.0</v>
      </c>
      <c r="H63" s="220" t="s">
        <v>865</v>
      </c>
      <c r="I63" s="220" t="s">
        <v>4042</v>
      </c>
      <c r="J63" s="105" t="s">
        <v>867</v>
      </c>
      <c r="K63" s="110"/>
      <c r="L63" s="104" t="s">
        <v>95</v>
      </c>
      <c r="M63" s="103" t="s">
        <v>794</v>
      </c>
      <c r="N63" s="110" t="s">
        <v>795</v>
      </c>
      <c r="O63" s="110">
        <v>640.0</v>
      </c>
      <c r="P63" s="239">
        <v>3.638685525439445</v>
      </c>
    </row>
    <row r="64" ht="14.25" hidden="1" customHeight="1">
      <c r="A64" s="103" t="s">
        <v>84</v>
      </c>
      <c r="B64" s="103" t="s">
        <v>120</v>
      </c>
      <c r="C64" s="103" t="s">
        <v>86</v>
      </c>
      <c r="D64" s="104" t="s">
        <v>788</v>
      </c>
      <c r="E64" s="105" t="s">
        <v>840</v>
      </c>
      <c r="F64" s="106" t="s">
        <v>577</v>
      </c>
      <c r="G64" s="110">
        <v>26.0</v>
      </c>
      <c r="H64" s="220" t="s">
        <v>869</v>
      </c>
      <c r="I64" s="220" t="s">
        <v>4043</v>
      </c>
      <c r="J64" s="105" t="s">
        <v>871</v>
      </c>
      <c r="K64" s="110"/>
      <c r="L64" s="104" t="s">
        <v>95</v>
      </c>
      <c r="M64" s="103" t="s">
        <v>794</v>
      </c>
      <c r="N64" s="110" t="s">
        <v>795</v>
      </c>
      <c r="O64" s="110">
        <v>4800.0</v>
      </c>
      <c r="P64" s="239">
        <v>0.5275436099599307</v>
      </c>
    </row>
    <row r="65" ht="14.25" hidden="1" customHeight="1">
      <c r="A65" s="103" t="s">
        <v>84</v>
      </c>
      <c r="B65" s="103" t="s">
        <v>120</v>
      </c>
      <c r="C65" s="103" t="s">
        <v>86</v>
      </c>
      <c r="D65" s="104" t="s">
        <v>788</v>
      </c>
      <c r="E65" s="105" t="s">
        <v>840</v>
      </c>
      <c r="F65" s="106" t="s">
        <v>577</v>
      </c>
      <c r="G65" s="110">
        <v>26.0</v>
      </c>
      <c r="H65" s="220" t="s">
        <v>872</v>
      </c>
      <c r="I65" s="220" t="s">
        <v>4044</v>
      </c>
      <c r="J65" s="105" t="s">
        <v>874</v>
      </c>
      <c r="K65" s="110"/>
      <c r="L65" s="104" t="s">
        <v>95</v>
      </c>
      <c r="M65" s="103" t="s">
        <v>794</v>
      </c>
      <c r="N65" s="110" t="s">
        <v>795</v>
      </c>
      <c r="O65" s="110">
        <v>4800.0</v>
      </c>
      <c r="P65" s="239">
        <v>0.5887970954296765</v>
      </c>
    </row>
    <row r="66" ht="14.25" hidden="1" customHeight="1">
      <c r="A66" s="103" t="s">
        <v>84</v>
      </c>
      <c r="B66" s="103" t="s">
        <v>120</v>
      </c>
      <c r="C66" s="103" t="s">
        <v>86</v>
      </c>
      <c r="D66" s="104" t="s">
        <v>788</v>
      </c>
      <c r="E66" s="105" t="s">
        <v>840</v>
      </c>
      <c r="F66" s="106" t="s">
        <v>577</v>
      </c>
      <c r="G66" s="110">
        <v>26.0</v>
      </c>
      <c r="H66" s="220" t="s">
        <v>875</v>
      </c>
      <c r="I66" s="220" t="s">
        <v>4045</v>
      </c>
      <c r="J66" s="105" t="s">
        <v>877</v>
      </c>
      <c r="K66" s="110"/>
      <c r="L66" s="104" t="s">
        <v>95</v>
      </c>
      <c r="M66" s="103" t="s">
        <v>794</v>
      </c>
      <c r="N66" s="110" t="s">
        <v>795</v>
      </c>
      <c r="O66" s="110">
        <v>3200.0</v>
      </c>
      <c r="P66" s="239">
        <v>0.7671556736590001</v>
      </c>
    </row>
    <row r="67" ht="14.25" hidden="1" customHeight="1">
      <c r="A67" s="103" t="s">
        <v>84</v>
      </c>
      <c r="B67" s="103" t="s">
        <v>120</v>
      </c>
      <c r="C67" s="103" t="s">
        <v>86</v>
      </c>
      <c r="D67" s="104" t="s">
        <v>788</v>
      </c>
      <c r="E67" s="105" t="s">
        <v>840</v>
      </c>
      <c r="F67" s="106" t="s">
        <v>577</v>
      </c>
      <c r="G67" s="110">
        <v>26.0</v>
      </c>
      <c r="H67" s="220" t="s">
        <v>878</v>
      </c>
      <c r="I67" s="220" t="s">
        <v>4046</v>
      </c>
      <c r="J67" s="105" t="s">
        <v>880</v>
      </c>
      <c r="K67" s="110"/>
      <c r="L67" s="104" t="s">
        <v>95</v>
      </c>
      <c r="M67" s="103" t="s">
        <v>794</v>
      </c>
      <c r="N67" s="110" t="s">
        <v>795</v>
      </c>
      <c r="O67" s="110">
        <v>2240.0</v>
      </c>
      <c r="P67" s="239">
        <v>1.1025954220881116</v>
      </c>
    </row>
    <row r="68" ht="14.25" hidden="1" customHeight="1">
      <c r="A68" s="103" t="s">
        <v>84</v>
      </c>
      <c r="B68" s="103" t="s">
        <v>120</v>
      </c>
      <c r="C68" s="103" t="s">
        <v>86</v>
      </c>
      <c r="D68" s="104" t="s">
        <v>788</v>
      </c>
      <c r="E68" s="105" t="s">
        <v>840</v>
      </c>
      <c r="F68" s="106" t="s">
        <v>577</v>
      </c>
      <c r="G68" s="110">
        <v>26.0</v>
      </c>
      <c r="H68" s="220" t="s">
        <v>881</v>
      </c>
      <c r="I68" s="220" t="s">
        <v>4047</v>
      </c>
      <c r="J68" s="105" t="s">
        <v>883</v>
      </c>
      <c r="K68" s="110"/>
      <c r="L68" s="104" t="s">
        <v>95</v>
      </c>
      <c r="M68" s="103" t="s">
        <v>794</v>
      </c>
      <c r="N68" s="110" t="s">
        <v>795</v>
      </c>
      <c r="O68" s="110">
        <v>1600.0</v>
      </c>
      <c r="P68" s="239">
        <v>1.4502810013814167</v>
      </c>
    </row>
    <row r="69" ht="14.25" hidden="1" customHeight="1">
      <c r="A69" s="103" t="s">
        <v>84</v>
      </c>
      <c r="B69" s="103" t="s">
        <v>120</v>
      </c>
      <c r="C69" s="103" t="s">
        <v>86</v>
      </c>
      <c r="D69" s="104" t="s">
        <v>788</v>
      </c>
      <c r="E69" s="105" t="s">
        <v>840</v>
      </c>
      <c r="F69" s="106" t="s">
        <v>577</v>
      </c>
      <c r="G69" s="110">
        <v>26.0</v>
      </c>
      <c r="H69" s="220" t="s">
        <v>884</v>
      </c>
      <c r="I69" s="220" t="s">
        <v>4048</v>
      </c>
      <c r="J69" s="105" t="s">
        <v>886</v>
      </c>
      <c r="K69" s="110"/>
      <c r="L69" s="104" t="s">
        <v>95</v>
      </c>
      <c r="M69" s="103" t="s">
        <v>794</v>
      </c>
      <c r="N69" s="110" t="s">
        <v>795</v>
      </c>
      <c r="O69" s="110">
        <v>960.0</v>
      </c>
      <c r="P69" s="239">
        <v>2.167782610810647</v>
      </c>
    </row>
    <row r="70" ht="14.25" hidden="1" customHeight="1">
      <c r="A70" s="103" t="s">
        <v>84</v>
      </c>
      <c r="B70" s="103" t="s">
        <v>120</v>
      </c>
      <c r="C70" s="103" t="s">
        <v>86</v>
      </c>
      <c r="D70" s="104" t="s">
        <v>788</v>
      </c>
      <c r="E70" s="105" t="s">
        <v>840</v>
      </c>
      <c r="F70" s="106" t="s">
        <v>577</v>
      </c>
      <c r="G70" s="110">
        <v>26.0</v>
      </c>
      <c r="H70" s="220" t="s">
        <v>887</v>
      </c>
      <c r="I70" s="220" t="s">
        <v>4049</v>
      </c>
      <c r="J70" s="105" t="s">
        <v>889</v>
      </c>
      <c r="K70" s="110"/>
      <c r="L70" s="104" t="s">
        <v>95</v>
      </c>
      <c r="M70" s="103" t="s">
        <v>794</v>
      </c>
      <c r="N70" s="110" t="s">
        <v>795</v>
      </c>
      <c r="O70" s="110">
        <v>640.0</v>
      </c>
      <c r="P70" s="239">
        <v>3.8047855688740535</v>
      </c>
    </row>
    <row r="71" ht="14.25" hidden="1" customHeight="1">
      <c r="A71" s="103" t="s">
        <v>84</v>
      </c>
      <c r="B71" s="103" t="s">
        <v>120</v>
      </c>
      <c r="C71" s="103" t="s">
        <v>86</v>
      </c>
      <c r="D71" s="104" t="s">
        <v>788</v>
      </c>
      <c r="E71" s="105" t="s">
        <v>973</v>
      </c>
      <c r="F71" s="106" t="s">
        <v>577</v>
      </c>
      <c r="G71" s="110">
        <v>26.0</v>
      </c>
      <c r="H71" s="220" t="s">
        <v>1003</v>
      </c>
      <c r="I71" s="220" t="s">
        <v>4050</v>
      </c>
      <c r="J71" s="105" t="s">
        <v>977</v>
      </c>
      <c r="K71" s="110"/>
      <c r="L71" s="104" t="s">
        <v>95</v>
      </c>
      <c r="M71" s="103" t="s">
        <v>794</v>
      </c>
      <c r="N71" s="251" t="s">
        <v>795</v>
      </c>
      <c r="O71" s="250">
        <v>3200.0</v>
      </c>
      <c r="P71" s="256">
        <v>0.5447965591896003</v>
      </c>
    </row>
    <row r="72" ht="14.25" hidden="1" customHeight="1">
      <c r="A72" s="103" t="s">
        <v>84</v>
      </c>
      <c r="B72" s="103" t="s">
        <v>120</v>
      </c>
      <c r="C72" s="103" t="s">
        <v>86</v>
      </c>
      <c r="D72" s="104" t="s">
        <v>788</v>
      </c>
      <c r="E72" s="105" t="s">
        <v>973</v>
      </c>
      <c r="F72" s="106" t="s">
        <v>577</v>
      </c>
      <c r="G72" s="110">
        <v>26.0</v>
      </c>
      <c r="H72" s="220" t="s">
        <v>1005</v>
      </c>
      <c r="I72" s="220" t="s">
        <v>4051</v>
      </c>
      <c r="J72" s="105" t="s">
        <v>982</v>
      </c>
      <c r="K72" s="110"/>
      <c r="L72" s="104" t="s">
        <v>95</v>
      </c>
      <c r="M72" s="103" t="s">
        <v>794</v>
      </c>
      <c r="N72" s="251" t="s">
        <v>795</v>
      </c>
      <c r="O72" s="250">
        <v>2560.0</v>
      </c>
      <c r="P72" s="256">
        <v>0.6317454399769135</v>
      </c>
    </row>
    <row r="73" ht="14.25" hidden="1" customHeight="1">
      <c r="A73" s="103" t="s">
        <v>84</v>
      </c>
      <c r="B73" s="103" t="s">
        <v>120</v>
      </c>
      <c r="C73" s="103" t="s">
        <v>86</v>
      </c>
      <c r="D73" s="104" t="s">
        <v>788</v>
      </c>
      <c r="E73" s="105" t="s">
        <v>973</v>
      </c>
      <c r="F73" s="106" t="s">
        <v>577</v>
      </c>
      <c r="G73" s="110">
        <v>26.0</v>
      </c>
      <c r="H73" s="220" t="s">
        <v>1006</v>
      </c>
      <c r="I73" s="220" t="s">
        <v>4052</v>
      </c>
      <c r="J73" s="105" t="s">
        <v>986</v>
      </c>
      <c r="K73" s="110"/>
      <c r="L73" s="104" t="s">
        <v>95</v>
      </c>
      <c r="M73" s="103" t="s">
        <v>794</v>
      </c>
      <c r="N73" s="251" t="s">
        <v>795</v>
      </c>
      <c r="O73" s="250">
        <v>1600.0</v>
      </c>
      <c r="P73" s="256">
        <v>0.8079161163815616</v>
      </c>
    </row>
    <row r="74" ht="14.25" hidden="1" customHeight="1">
      <c r="A74" s="103" t="s">
        <v>84</v>
      </c>
      <c r="B74" s="103" t="s">
        <v>120</v>
      </c>
      <c r="C74" s="103" t="s">
        <v>86</v>
      </c>
      <c r="D74" s="104" t="s">
        <v>788</v>
      </c>
      <c r="E74" s="105" t="s">
        <v>973</v>
      </c>
      <c r="F74" s="106" t="s">
        <v>577</v>
      </c>
      <c r="G74" s="110">
        <v>26.0</v>
      </c>
      <c r="H74" s="220" t="s">
        <v>1007</v>
      </c>
      <c r="I74" s="220" t="s">
        <v>4053</v>
      </c>
      <c r="J74" s="105" t="s">
        <v>990</v>
      </c>
      <c r="K74" s="110"/>
      <c r="L74" s="104" t="s">
        <v>95</v>
      </c>
      <c r="M74" s="103" t="s">
        <v>794</v>
      </c>
      <c r="N74" s="251" t="s">
        <v>795</v>
      </c>
      <c r="O74" s="250">
        <v>1280.0</v>
      </c>
      <c r="P74" s="256">
        <v>1.1532039915577748</v>
      </c>
    </row>
    <row r="75" ht="14.25" hidden="1" customHeight="1">
      <c r="A75" s="103" t="s">
        <v>84</v>
      </c>
      <c r="B75" s="103" t="s">
        <v>120</v>
      </c>
      <c r="C75" s="103" t="s">
        <v>86</v>
      </c>
      <c r="D75" s="104" t="s">
        <v>788</v>
      </c>
      <c r="E75" s="105" t="s">
        <v>973</v>
      </c>
      <c r="F75" s="106" t="s">
        <v>577</v>
      </c>
      <c r="G75" s="110">
        <v>26.0</v>
      </c>
      <c r="H75" s="220" t="s">
        <v>1008</v>
      </c>
      <c r="I75" s="220" t="s">
        <v>4054</v>
      </c>
      <c r="J75" s="105" t="s">
        <v>994</v>
      </c>
      <c r="K75" s="110"/>
      <c r="L75" s="104" t="s">
        <v>95</v>
      </c>
      <c r="M75" s="103" t="s">
        <v>794</v>
      </c>
      <c r="N75" s="251" t="s">
        <v>795</v>
      </c>
      <c r="O75" s="250">
        <v>960.0</v>
      </c>
      <c r="P75" s="256">
        <v>1.5134090049245736</v>
      </c>
    </row>
    <row r="76" ht="14.25" hidden="1" customHeight="1">
      <c r="A76" s="103" t="s">
        <v>84</v>
      </c>
      <c r="B76" s="103" t="s">
        <v>120</v>
      </c>
      <c r="C76" s="103" t="s">
        <v>86</v>
      </c>
      <c r="D76" s="104" t="s">
        <v>788</v>
      </c>
      <c r="E76" s="105" t="s">
        <v>973</v>
      </c>
      <c r="F76" s="106" t="s">
        <v>577</v>
      </c>
      <c r="G76" s="110">
        <v>26.0</v>
      </c>
      <c r="H76" s="220" t="s">
        <v>1009</v>
      </c>
      <c r="I76" s="220" t="s">
        <v>4055</v>
      </c>
      <c r="J76" s="105" t="s">
        <v>998</v>
      </c>
      <c r="K76" s="110"/>
      <c r="L76" s="104" t="s">
        <v>95</v>
      </c>
      <c r="M76" s="103" t="s">
        <v>794</v>
      </c>
      <c r="N76" s="251" t="s">
        <v>795</v>
      </c>
      <c r="O76" s="250">
        <v>640.0</v>
      </c>
      <c r="P76" s="256">
        <v>2.287369683272237</v>
      </c>
    </row>
    <row r="77" ht="14.25" hidden="1" customHeight="1">
      <c r="A77" s="103" t="s">
        <v>84</v>
      </c>
      <c r="B77" s="103" t="s">
        <v>120</v>
      </c>
      <c r="C77" s="103" t="s">
        <v>86</v>
      </c>
      <c r="D77" s="104" t="s">
        <v>788</v>
      </c>
      <c r="E77" s="105" t="s">
        <v>973</v>
      </c>
      <c r="F77" s="106" t="s">
        <v>577</v>
      </c>
      <c r="G77" s="110">
        <v>26.0</v>
      </c>
      <c r="H77" s="220" t="s">
        <v>1010</v>
      </c>
      <c r="I77" s="220" t="s">
        <v>4056</v>
      </c>
      <c r="J77" s="104" t="s">
        <v>1002</v>
      </c>
      <c r="K77" s="110"/>
      <c r="L77" s="103" t="s">
        <v>95</v>
      </c>
      <c r="M77" s="103" t="s">
        <v>794</v>
      </c>
      <c r="N77" s="110" t="s">
        <v>795</v>
      </c>
      <c r="O77" s="250">
        <v>220.0</v>
      </c>
      <c r="P77" s="256">
        <v>4.422078764884788</v>
      </c>
    </row>
    <row r="78" ht="14.25" hidden="1" customHeight="1">
      <c r="A78" s="103" t="s">
        <v>84</v>
      </c>
      <c r="B78" s="103" t="s">
        <v>120</v>
      </c>
      <c r="C78" s="103" t="s">
        <v>86</v>
      </c>
      <c r="D78" s="104" t="s">
        <v>788</v>
      </c>
      <c r="E78" s="105" t="s">
        <v>973</v>
      </c>
      <c r="F78" s="106" t="s">
        <v>577</v>
      </c>
      <c r="G78" s="110">
        <v>26.0</v>
      </c>
      <c r="H78" s="220" t="s">
        <v>1012</v>
      </c>
      <c r="I78" s="220" t="s">
        <v>4057</v>
      </c>
      <c r="J78" s="105" t="s">
        <v>1014</v>
      </c>
      <c r="K78" s="110"/>
      <c r="L78" s="104" t="s">
        <v>95</v>
      </c>
      <c r="M78" s="103" t="s">
        <v>1015</v>
      </c>
      <c r="N78" s="110" t="s">
        <v>795</v>
      </c>
      <c r="O78" s="250">
        <v>256.0</v>
      </c>
      <c r="P78" s="256">
        <v>6.4133255551837</v>
      </c>
    </row>
    <row r="79" ht="14.25" hidden="1" customHeight="1">
      <c r="A79" s="103" t="s">
        <v>84</v>
      </c>
      <c r="B79" s="103" t="s">
        <v>120</v>
      </c>
      <c r="C79" s="103" t="s">
        <v>86</v>
      </c>
      <c r="D79" s="104" t="s">
        <v>788</v>
      </c>
      <c r="E79" s="105" t="s">
        <v>973</v>
      </c>
      <c r="F79" s="106" t="s">
        <v>577</v>
      </c>
      <c r="G79" s="110">
        <v>26.0</v>
      </c>
      <c r="H79" s="220" t="s">
        <v>1017</v>
      </c>
      <c r="I79" s="220" t="s">
        <v>4058</v>
      </c>
      <c r="J79" s="105" t="s">
        <v>1019</v>
      </c>
      <c r="K79" s="110"/>
      <c r="L79" s="104" t="s">
        <v>95</v>
      </c>
      <c r="M79" s="103" t="s">
        <v>1015</v>
      </c>
      <c r="N79" s="110" t="s">
        <v>795</v>
      </c>
      <c r="O79" s="250">
        <v>256.0</v>
      </c>
      <c r="P79" s="256">
        <v>8.374636735874903</v>
      </c>
    </row>
    <row r="80" ht="14.25" hidden="1" customHeight="1">
      <c r="A80" s="103" t="s">
        <v>84</v>
      </c>
      <c r="B80" s="103" t="s">
        <v>120</v>
      </c>
      <c r="C80" s="103" t="s">
        <v>86</v>
      </c>
      <c r="D80" s="104" t="s">
        <v>788</v>
      </c>
      <c r="E80" s="105" t="s">
        <v>973</v>
      </c>
      <c r="F80" s="106" t="s">
        <v>577</v>
      </c>
      <c r="G80" s="110">
        <v>26.0</v>
      </c>
      <c r="H80" s="220" t="s">
        <v>1021</v>
      </c>
      <c r="I80" s="220" t="s">
        <v>778</v>
      </c>
      <c r="J80" s="105" t="s">
        <v>1023</v>
      </c>
      <c r="K80" s="110"/>
      <c r="L80" s="104" t="s">
        <v>95</v>
      </c>
      <c r="M80" s="103" t="s">
        <v>1015</v>
      </c>
      <c r="N80" s="110" t="s">
        <v>795</v>
      </c>
      <c r="O80" s="264">
        <v>192.0</v>
      </c>
      <c r="P80" s="256">
        <v>10.466787975945168</v>
      </c>
    </row>
    <row r="81" ht="14.25" hidden="1" customHeight="1">
      <c r="A81" s="103" t="s">
        <v>84</v>
      </c>
      <c r="B81" s="103" t="s">
        <v>120</v>
      </c>
      <c r="C81" s="103" t="s">
        <v>86</v>
      </c>
      <c r="D81" s="104" t="s">
        <v>788</v>
      </c>
      <c r="E81" s="105" t="s">
        <v>973</v>
      </c>
      <c r="F81" s="106" t="s">
        <v>577</v>
      </c>
      <c r="G81" s="110">
        <v>26.0</v>
      </c>
      <c r="H81" s="220" t="s">
        <v>1024</v>
      </c>
      <c r="I81" s="220" t="s">
        <v>778</v>
      </c>
      <c r="J81" s="105" t="s">
        <v>1026</v>
      </c>
      <c r="K81" s="110"/>
      <c r="L81" s="104" t="s">
        <v>95</v>
      </c>
      <c r="M81" s="103" t="s">
        <v>1015</v>
      </c>
      <c r="N81" s="110" t="s">
        <v>795</v>
      </c>
      <c r="O81" s="264">
        <v>192.0</v>
      </c>
      <c r="P81" s="256">
        <v>12.361468889010458</v>
      </c>
    </row>
    <row r="82" ht="14.25" hidden="1" customHeight="1">
      <c r="A82" s="103" t="s">
        <v>84</v>
      </c>
      <c r="B82" s="103" t="s">
        <v>120</v>
      </c>
      <c r="C82" s="103" t="s">
        <v>86</v>
      </c>
      <c r="D82" s="104" t="s">
        <v>788</v>
      </c>
      <c r="E82" s="105" t="s">
        <v>973</v>
      </c>
      <c r="F82" s="106" t="s">
        <v>577</v>
      </c>
      <c r="G82" s="110">
        <v>26.0</v>
      </c>
      <c r="H82" s="220" t="s">
        <v>1027</v>
      </c>
      <c r="I82" s="220" t="s">
        <v>778</v>
      </c>
      <c r="J82" s="105" t="s">
        <v>1029</v>
      </c>
      <c r="K82" s="110"/>
      <c r="L82" s="104" t="s">
        <v>95</v>
      </c>
      <c r="M82" s="103" t="s">
        <v>1015</v>
      </c>
      <c r="N82" s="110" t="s">
        <v>795</v>
      </c>
      <c r="O82" s="264">
        <v>128.0</v>
      </c>
      <c r="P82" s="256">
        <v>14.774554000015021</v>
      </c>
    </row>
    <row r="83" ht="14.25" hidden="1" customHeight="1">
      <c r="A83" s="103" t="s">
        <v>84</v>
      </c>
      <c r="B83" s="103" t="s">
        <v>120</v>
      </c>
      <c r="C83" s="103" t="s">
        <v>86</v>
      </c>
      <c r="D83" s="104" t="s">
        <v>788</v>
      </c>
      <c r="E83" s="105" t="s">
        <v>973</v>
      </c>
      <c r="F83" s="106" t="s">
        <v>577</v>
      </c>
      <c r="G83" s="110">
        <v>26.0</v>
      </c>
      <c r="H83" s="220" t="s">
        <v>1030</v>
      </c>
      <c r="I83" s="220" t="s">
        <v>778</v>
      </c>
      <c r="J83" s="105" t="s">
        <v>1032</v>
      </c>
      <c r="K83" s="110"/>
      <c r="L83" s="104" t="s">
        <v>95</v>
      </c>
      <c r="M83" s="103" t="s">
        <v>1015</v>
      </c>
      <c r="N83" s="110" t="s">
        <v>795</v>
      </c>
      <c r="O83" s="264">
        <v>128.0</v>
      </c>
      <c r="P83" s="256">
        <v>19.89652117866387</v>
      </c>
    </row>
    <row r="84" ht="14.25" hidden="1" customHeight="1">
      <c r="A84" s="103" t="s">
        <v>84</v>
      </c>
      <c r="B84" s="103" t="s">
        <v>120</v>
      </c>
      <c r="C84" s="103" t="s">
        <v>86</v>
      </c>
      <c r="D84" s="104" t="s">
        <v>788</v>
      </c>
      <c r="E84" s="105" t="s">
        <v>973</v>
      </c>
      <c r="F84" s="106" t="s">
        <v>577</v>
      </c>
      <c r="G84" s="110">
        <v>26.0</v>
      </c>
      <c r="H84" s="220" t="s">
        <v>1033</v>
      </c>
      <c r="I84" s="220" t="s">
        <v>778</v>
      </c>
      <c r="J84" s="105" t="s">
        <v>1035</v>
      </c>
      <c r="K84" s="110"/>
      <c r="L84" s="104" t="s">
        <v>95</v>
      </c>
      <c r="M84" s="103" t="s">
        <v>1015</v>
      </c>
      <c r="N84" s="110" t="s">
        <v>795</v>
      </c>
      <c r="O84" s="264">
        <v>64.0</v>
      </c>
      <c r="P84" s="256">
        <v>28.365602843916417</v>
      </c>
    </row>
    <row r="85" ht="14.25" hidden="1" customHeight="1">
      <c r="A85" s="103" t="s">
        <v>84</v>
      </c>
      <c r="B85" s="103" t="s">
        <v>120</v>
      </c>
      <c r="C85" s="103" t="s">
        <v>86</v>
      </c>
      <c r="D85" s="104" t="s">
        <v>788</v>
      </c>
      <c r="E85" s="105" t="s">
        <v>1135</v>
      </c>
      <c r="F85" s="106" t="s">
        <v>577</v>
      </c>
      <c r="G85" s="110">
        <v>26.0</v>
      </c>
      <c r="H85" s="220" t="s">
        <v>1136</v>
      </c>
      <c r="I85" s="220" t="s">
        <v>4059</v>
      </c>
      <c r="J85" s="105" t="s">
        <v>1138</v>
      </c>
      <c r="K85" s="110"/>
      <c r="L85" s="104" t="s">
        <v>95</v>
      </c>
      <c r="M85" s="103" t="s">
        <v>794</v>
      </c>
      <c r="N85" s="110" t="s">
        <v>795</v>
      </c>
      <c r="O85" s="110">
        <v>4800.0</v>
      </c>
      <c r="P85" s="239">
        <v>0.0</v>
      </c>
    </row>
    <row r="86" ht="14.25" hidden="1" customHeight="1">
      <c r="A86" s="103" t="s">
        <v>84</v>
      </c>
      <c r="B86" s="103" t="s">
        <v>120</v>
      </c>
      <c r="C86" s="103" t="s">
        <v>86</v>
      </c>
      <c r="D86" s="104" t="s">
        <v>788</v>
      </c>
      <c r="E86" s="105" t="s">
        <v>1135</v>
      </c>
      <c r="F86" s="106" t="s">
        <v>577</v>
      </c>
      <c r="G86" s="110">
        <v>26.0</v>
      </c>
      <c r="H86" s="220" t="s">
        <v>1140</v>
      </c>
      <c r="I86" s="220" t="s">
        <v>4060</v>
      </c>
      <c r="J86" s="105" t="s">
        <v>1142</v>
      </c>
      <c r="K86" s="110"/>
      <c r="L86" s="104" t="s">
        <v>95</v>
      </c>
      <c r="M86" s="103" t="s">
        <v>794</v>
      </c>
      <c r="N86" s="110" t="s">
        <v>795</v>
      </c>
      <c r="O86" s="110">
        <v>4800.0</v>
      </c>
      <c r="P86" s="239">
        <v>4.048471554019977</v>
      </c>
    </row>
    <row r="87" ht="14.25" hidden="1" customHeight="1">
      <c r="A87" s="103" t="s">
        <v>84</v>
      </c>
      <c r="B87" s="103" t="s">
        <v>120</v>
      </c>
      <c r="C87" s="103" t="s">
        <v>86</v>
      </c>
      <c r="D87" s="104" t="s">
        <v>788</v>
      </c>
      <c r="E87" s="105" t="s">
        <v>1135</v>
      </c>
      <c r="F87" s="106" t="s">
        <v>577</v>
      </c>
      <c r="G87" s="110">
        <v>26.0</v>
      </c>
      <c r="H87" s="220" t="s">
        <v>1146</v>
      </c>
      <c r="I87" s="220" t="s">
        <v>4061</v>
      </c>
      <c r="J87" s="105" t="s">
        <v>1148</v>
      </c>
      <c r="K87" s="110"/>
      <c r="L87" s="104" t="s">
        <v>95</v>
      </c>
      <c r="M87" s="103" t="s">
        <v>794</v>
      </c>
      <c r="N87" s="110" t="s">
        <v>795</v>
      </c>
      <c r="O87" s="110">
        <v>3200.0</v>
      </c>
      <c r="P87" s="239">
        <v>4.616380477488203</v>
      </c>
    </row>
    <row r="88" ht="14.25" hidden="1" customHeight="1">
      <c r="A88" s="103" t="s">
        <v>84</v>
      </c>
      <c r="B88" s="103" t="s">
        <v>120</v>
      </c>
      <c r="C88" s="103" t="s">
        <v>86</v>
      </c>
      <c r="D88" s="104" t="s">
        <v>788</v>
      </c>
      <c r="E88" s="105" t="s">
        <v>1135</v>
      </c>
      <c r="F88" s="106" t="s">
        <v>577</v>
      </c>
      <c r="G88" s="110">
        <v>26.0</v>
      </c>
      <c r="H88" s="220" t="s">
        <v>1149</v>
      </c>
      <c r="I88" s="220" t="s">
        <v>4062</v>
      </c>
      <c r="J88" s="105" t="s">
        <v>1151</v>
      </c>
      <c r="K88" s="110"/>
      <c r="L88" s="104" t="s">
        <v>95</v>
      </c>
      <c r="M88" s="103" t="s">
        <v>794</v>
      </c>
      <c r="N88" s="110" t="s">
        <v>795</v>
      </c>
      <c r="O88" s="110">
        <v>2240.0</v>
      </c>
      <c r="P88" s="239">
        <v>5.741835544215079</v>
      </c>
    </row>
    <row r="89" ht="14.25" hidden="1" customHeight="1">
      <c r="A89" s="103" t="s">
        <v>84</v>
      </c>
      <c r="B89" s="103" t="s">
        <v>120</v>
      </c>
      <c r="C89" s="103" t="s">
        <v>86</v>
      </c>
      <c r="D89" s="104" t="s">
        <v>788</v>
      </c>
      <c r="E89" s="105" t="s">
        <v>1135</v>
      </c>
      <c r="F89" s="106" t="s">
        <v>577</v>
      </c>
      <c r="G89" s="110">
        <v>26.0</v>
      </c>
      <c r="H89" s="220" t="s">
        <v>1152</v>
      </c>
      <c r="I89" s="220" t="s">
        <v>4063</v>
      </c>
      <c r="J89" s="105" t="s">
        <v>1154</v>
      </c>
      <c r="K89" s="110"/>
      <c r="L89" s="104" t="s">
        <v>95</v>
      </c>
      <c r="M89" s="103" t="s">
        <v>794</v>
      </c>
      <c r="N89" s="110" t="s">
        <v>795</v>
      </c>
      <c r="O89" s="110">
        <v>1600.0</v>
      </c>
      <c r="P89" s="239">
        <v>6.918884625087197</v>
      </c>
    </row>
    <row r="90" ht="14.25" hidden="1" customHeight="1">
      <c r="A90" s="103" t="s">
        <v>84</v>
      </c>
      <c r="B90" s="103" t="s">
        <v>120</v>
      </c>
      <c r="C90" s="103" t="s">
        <v>86</v>
      </c>
      <c r="D90" s="104" t="s">
        <v>788</v>
      </c>
      <c r="E90" s="105" t="s">
        <v>1135</v>
      </c>
      <c r="F90" s="106" t="s">
        <v>577</v>
      </c>
      <c r="G90" s="110">
        <v>26.0</v>
      </c>
      <c r="H90" s="220" t="s">
        <v>1155</v>
      </c>
      <c r="I90" s="220" t="s">
        <v>4064</v>
      </c>
      <c r="J90" s="105" t="s">
        <v>1157</v>
      </c>
      <c r="K90" s="110"/>
      <c r="L90" s="104" t="s">
        <v>95</v>
      </c>
      <c r="M90" s="103" t="s">
        <v>794</v>
      </c>
      <c r="N90" s="110" t="s">
        <v>795</v>
      </c>
      <c r="O90" s="110">
        <v>960.0</v>
      </c>
      <c r="P90" s="239">
        <v>8.866691363878344</v>
      </c>
    </row>
    <row r="91" ht="14.25" hidden="1" customHeight="1">
      <c r="A91" s="103" t="s">
        <v>84</v>
      </c>
      <c r="B91" s="103" t="s">
        <v>120</v>
      </c>
      <c r="C91" s="103" t="s">
        <v>86</v>
      </c>
      <c r="D91" s="103" t="s">
        <v>1158</v>
      </c>
      <c r="E91" s="104" t="s">
        <v>1158</v>
      </c>
      <c r="F91" s="106" t="s">
        <v>1159</v>
      </c>
      <c r="G91" s="110"/>
      <c r="H91" s="220" t="s">
        <v>1173</v>
      </c>
      <c r="I91" s="220" t="s">
        <v>4065</v>
      </c>
      <c r="J91" s="282" t="s">
        <v>4376</v>
      </c>
      <c r="K91" s="110"/>
      <c r="L91" s="104" t="s">
        <v>95</v>
      </c>
      <c r="M91" s="103" t="s">
        <v>554</v>
      </c>
      <c r="N91" s="110" t="s">
        <v>1176</v>
      </c>
      <c r="O91" s="110">
        <v>240.0</v>
      </c>
      <c r="P91" s="212">
        <v>6.094148079413767</v>
      </c>
    </row>
    <row r="92" ht="14.25" hidden="1" customHeight="1">
      <c r="A92" s="103" t="s">
        <v>84</v>
      </c>
      <c r="B92" s="103" t="s">
        <v>120</v>
      </c>
      <c r="C92" s="103" t="s">
        <v>86</v>
      </c>
      <c r="D92" s="103" t="s">
        <v>1158</v>
      </c>
      <c r="E92" s="104" t="s">
        <v>1158</v>
      </c>
      <c r="F92" s="106" t="s">
        <v>1159</v>
      </c>
      <c r="G92" s="110"/>
      <c r="H92" s="220" t="s">
        <v>1179</v>
      </c>
      <c r="I92" s="220" t="s">
        <v>4066</v>
      </c>
      <c r="J92" s="105" t="s">
        <v>1181</v>
      </c>
      <c r="K92" s="110"/>
      <c r="L92" s="104" t="s">
        <v>95</v>
      </c>
      <c r="M92" s="103" t="s">
        <v>554</v>
      </c>
      <c r="N92" s="110" t="s">
        <v>1176</v>
      </c>
      <c r="O92" s="110">
        <v>320.0</v>
      </c>
      <c r="P92" s="212">
        <v>12.537455363064417</v>
      </c>
    </row>
    <row r="93" ht="14.25" hidden="1" customHeight="1">
      <c r="A93" s="103" t="s">
        <v>84</v>
      </c>
      <c r="B93" s="103" t="s">
        <v>120</v>
      </c>
      <c r="C93" s="103" t="s">
        <v>86</v>
      </c>
      <c r="D93" s="103" t="s">
        <v>1158</v>
      </c>
      <c r="E93" s="104" t="s">
        <v>1158</v>
      </c>
      <c r="F93" s="106" t="s">
        <v>1159</v>
      </c>
      <c r="G93" s="110"/>
      <c r="H93" s="220" t="s">
        <v>1189</v>
      </c>
      <c r="I93" s="220" t="s">
        <v>4067</v>
      </c>
      <c r="J93" s="105" t="s">
        <v>1167</v>
      </c>
      <c r="K93" s="110"/>
      <c r="L93" s="104" t="s">
        <v>95</v>
      </c>
      <c r="M93" s="103" t="s">
        <v>554</v>
      </c>
      <c r="N93" s="110" t="s">
        <v>1176</v>
      </c>
      <c r="O93" s="110">
        <v>240.0</v>
      </c>
      <c r="P93" s="212">
        <v>6.375874320666103</v>
      </c>
    </row>
    <row r="94" ht="14.25" hidden="1" customHeight="1">
      <c r="A94" s="103" t="s">
        <v>84</v>
      </c>
      <c r="B94" s="103" t="s">
        <v>120</v>
      </c>
      <c r="C94" s="103" t="s">
        <v>86</v>
      </c>
      <c r="D94" s="103" t="s">
        <v>1158</v>
      </c>
      <c r="E94" s="104" t="s">
        <v>1158</v>
      </c>
      <c r="F94" s="106" t="s">
        <v>1159</v>
      </c>
      <c r="G94" s="110"/>
      <c r="H94" s="220" t="s">
        <v>1196</v>
      </c>
      <c r="I94" s="220" t="s">
        <v>4068</v>
      </c>
      <c r="J94" s="105" t="s">
        <v>1198</v>
      </c>
      <c r="K94" s="110"/>
      <c r="L94" s="104" t="s">
        <v>95</v>
      </c>
      <c r="M94" s="103" t="s">
        <v>554</v>
      </c>
      <c r="N94" s="110" t="s">
        <v>1176</v>
      </c>
      <c r="O94" s="110">
        <v>240.0</v>
      </c>
      <c r="P94" s="212">
        <v>9.056817584196402</v>
      </c>
    </row>
    <row r="95" ht="14.25" hidden="1" customHeight="1">
      <c r="A95" s="105" t="s">
        <v>84</v>
      </c>
      <c r="B95" s="103" t="s">
        <v>120</v>
      </c>
      <c r="C95" s="105" t="s">
        <v>86</v>
      </c>
      <c r="D95" s="105" t="s">
        <v>1158</v>
      </c>
      <c r="E95" s="105" t="s">
        <v>1158</v>
      </c>
      <c r="F95" s="106" t="s">
        <v>581</v>
      </c>
      <c r="G95" s="110"/>
      <c r="H95" s="220" t="s">
        <v>1208</v>
      </c>
      <c r="I95" s="220" t="s">
        <v>4069</v>
      </c>
      <c r="J95" s="105" t="s">
        <v>1206</v>
      </c>
      <c r="K95" s="110"/>
      <c r="L95" s="104" t="s">
        <v>95</v>
      </c>
      <c r="M95" s="103" t="s">
        <v>554</v>
      </c>
      <c r="N95" s="110" t="s">
        <v>1176</v>
      </c>
      <c r="O95" s="110">
        <v>120.0</v>
      </c>
      <c r="P95" s="212">
        <v>25.373348248571332</v>
      </c>
    </row>
    <row r="96" ht="14.25" hidden="1" customHeight="1">
      <c r="A96" s="103" t="s">
        <v>84</v>
      </c>
      <c r="B96" s="103" t="s">
        <v>120</v>
      </c>
      <c r="C96" s="103" t="s">
        <v>1266</v>
      </c>
      <c r="D96" s="103" t="s">
        <v>1267</v>
      </c>
      <c r="E96" s="104" t="s">
        <v>1267</v>
      </c>
      <c r="F96" s="110" t="s">
        <v>1268</v>
      </c>
      <c r="G96" s="110"/>
      <c r="H96" s="220" t="s">
        <v>1269</v>
      </c>
      <c r="I96" s="220" t="s">
        <v>4072</v>
      </c>
      <c r="J96" s="103" t="s">
        <v>1271</v>
      </c>
      <c r="K96" s="110"/>
      <c r="L96" s="104" t="s">
        <v>95</v>
      </c>
      <c r="M96" s="104" t="s">
        <v>1272</v>
      </c>
      <c r="N96" s="110" t="s">
        <v>555</v>
      </c>
      <c r="O96" s="110">
        <v>51840.0</v>
      </c>
      <c r="P96" s="212">
        <v>0.38071275708736313</v>
      </c>
    </row>
    <row r="97" ht="14.25" hidden="1" customHeight="1">
      <c r="A97" s="103" t="s">
        <v>84</v>
      </c>
      <c r="B97" s="103" t="s">
        <v>120</v>
      </c>
      <c r="C97" s="103" t="s">
        <v>1266</v>
      </c>
      <c r="D97" s="103" t="s">
        <v>1267</v>
      </c>
      <c r="E97" s="104" t="s">
        <v>1267</v>
      </c>
      <c r="F97" s="110" t="s">
        <v>1268</v>
      </c>
      <c r="G97" s="110"/>
      <c r="H97" s="220" t="s">
        <v>1276</v>
      </c>
      <c r="I97" s="220" t="s">
        <v>4073</v>
      </c>
      <c r="J97" s="103" t="s">
        <v>1278</v>
      </c>
      <c r="K97" s="110"/>
      <c r="L97" s="104" t="s">
        <v>95</v>
      </c>
      <c r="M97" s="104" t="s">
        <v>1272</v>
      </c>
      <c r="N97" s="110" t="s">
        <v>555</v>
      </c>
      <c r="O97" s="110">
        <v>51840.0</v>
      </c>
      <c r="P97" s="212">
        <v>0.38071275708736313</v>
      </c>
    </row>
    <row r="98" ht="14.25" hidden="1" customHeight="1">
      <c r="A98" s="103" t="s">
        <v>84</v>
      </c>
      <c r="B98" s="103" t="s">
        <v>120</v>
      </c>
      <c r="C98" s="103" t="s">
        <v>1266</v>
      </c>
      <c r="D98" s="103" t="s">
        <v>1267</v>
      </c>
      <c r="E98" s="104" t="s">
        <v>1267</v>
      </c>
      <c r="F98" s="110" t="s">
        <v>1280</v>
      </c>
      <c r="G98" s="110"/>
      <c r="H98" s="220" t="s">
        <v>1281</v>
      </c>
      <c r="I98" s="220" t="s">
        <v>778</v>
      </c>
      <c r="J98" s="103" t="s">
        <v>1283</v>
      </c>
      <c r="K98" s="110"/>
      <c r="L98" s="104" t="s">
        <v>95</v>
      </c>
      <c r="M98" s="104" t="s">
        <v>1272</v>
      </c>
      <c r="N98" s="110" t="s">
        <v>555</v>
      </c>
      <c r="O98" s="110">
        <v>51840.0</v>
      </c>
      <c r="P98" s="212">
        <v>0.38071275708736313</v>
      </c>
    </row>
    <row r="99" ht="14.25" hidden="1" customHeight="1">
      <c r="A99" s="103" t="s">
        <v>84</v>
      </c>
      <c r="B99" s="103" t="s">
        <v>120</v>
      </c>
      <c r="C99" s="103" t="s">
        <v>1266</v>
      </c>
      <c r="D99" s="103" t="s">
        <v>1267</v>
      </c>
      <c r="E99" s="104" t="s">
        <v>1267</v>
      </c>
      <c r="F99" s="110" t="s">
        <v>1280</v>
      </c>
      <c r="G99" s="110"/>
      <c r="H99" s="220" t="s">
        <v>1284</v>
      </c>
      <c r="I99" s="220" t="s">
        <v>778</v>
      </c>
      <c r="J99" s="103" t="s">
        <v>1286</v>
      </c>
      <c r="K99" s="110"/>
      <c r="L99" s="104" t="s">
        <v>95</v>
      </c>
      <c r="M99" s="104" t="s">
        <v>1287</v>
      </c>
      <c r="N99" s="110" t="s">
        <v>555</v>
      </c>
      <c r="O99" s="110">
        <v>25920.0</v>
      </c>
      <c r="P99" s="212">
        <v>0.7614255141747263</v>
      </c>
    </row>
    <row r="100" ht="14.25" hidden="1" customHeight="1">
      <c r="A100" s="103" t="s">
        <v>84</v>
      </c>
      <c r="B100" s="103" t="s">
        <v>120</v>
      </c>
      <c r="C100" s="103" t="s">
        <v>1266</v>
      </c>
      <c r="D100" s="103" t="s">
        <v>1267</v>
      </c>
      <c r="E100" s="104" t="s">
        <v>1267</v>
      </c>
      <c r="F100" s="110" t="s">
        <v>1288</v>
      </c>
      <c r="G100" s="110"/>
      <c r="H100" s="220" t="s">
        <v>1289</v>
      </c>
      <c r="I100" s="220" t="s">
        <v>4074</v>
      </c>
      <c r="J100" s="103" t="s">
        <v>1291</v>
      </c>
      <c r="K100" s="110"/>
      <c r="L100" s="104" t="s">
        <v>95</v>
      </c>
      <c r="M100" s="104" t="s">
        <v>1287</v>
      </c>
      <c r="N100" s="110" t="s">
        <v>555</v>
      </c>
      <c r="O100" s="110">
        <v>25920.0</v>
      </c>
      <c r="P100" s="212">
        <v>0.2891334714455205</v>
      </c>
    </row>
    <row r="101" ht="14.25" hidden="1" customHeight="1">
      <c r="A101" s="103" t="s">
        <v>84</v>
      </c>
      <c r="B101" s="103" t="s">
        <v>120</v>
      </c>
      <c r="C101" s="103" t="s">
        <v>1266</v>
      </c>
      <c r="D101" s="103" t="s">
        <v>1267</v>
      </c>
      <c r="E101" s="104" t="s">
        <v>1267</v>
      </c>
      <c r="F101" s="110" t="s">
        <v>1288</v>
      </c>
      <c r="G101" s="110"/>
      <c r="H101" s="220" t="s">
        <v>1293</v>
      </c>
      <c r="I101" s="220" t="s">
        <v>4075</v>
      </c>
      <c r="J101" s="103" t="s">
        <v>1295</v>
      </c>
      <c r="K101" s="110"/>
      <c r="L101" s="104" t="s">
        <v>95</v>
      </c>
      <c r="M101" s="104" t="s">
        <v>1287</v>
      </c>
      <c r="N101" s="110" t="s">
        <v>555</v>
      </c>
      <c r="O101" s="110">
        <v>25920.0</v>
      </c>
      <c r="P101" s="212">
        <v>0.2891334714455205</v>
      </c>
    </row>
    <row r="102" ht="14.25" hidden="1" customHeight="1">
      <c r="A102" s="103" t="s">
        <v>84</v>
      </c>
      <c r="B102" s="103" t="s">
        <v>120</v>
      </c>
      <c r="C102" s="103" t="s">
        <v>1266</v>
      </c>
      <c r="D102" s="103" t="s">
        <v>1267</v>
      </c>
      <c r="E102" s="104" t="s">
        <v>1267</v>
      </c>
      <c r="F102" s="110" t="s">
        <v>1297</v>
      </c>
      <c r="G102" s="110"/>
      <c r="H102" s="220" t="s">
        <v>1298</v>
      </c>
      <c r="I102" s="220" t="s">
        <v>778</v>
      </c>
      <c r="J102" s="103" t="s">
        <v>1300</v>
      </c>
      <c r="K102" s="110"/>
      <c r="L102" s="104" t="s">
        <v>95</v>
      </c>
      <c r="M102" s="104" t="s">
        <v>1287</v>
      </c>
      <c r="N102" s="110" t="s">
        <v>555</v>
      </c>
      <c r="O102" s="110">
        <v>25920.0</v>
      </c>
      <c r="P102" s="212">
        <v>0.2891334714455205</v>
      </c>
    </row>
    <row r="103" ht="14.25" hidden="1" customHeight="1">
      <c r="A103" s="103" t="s">
        <v>84</v>
      </c>
      <c r="B103" s="103" t="s">
        <v>120</v>
      </c>
      <c r="C103" s="103" t="s">
        <v>1266</v>
      </c>
      <c r="D103" s="103" t="s">
        <v>1267</v>
      </c>
      <c r="E103" s="104" t="s">
        <v>1267</v>
      </c>
      <c r="F103" s="110" t="s">
        <v>1288</v>
      </c>
      <c r="G103" s="110"/>
      <c r="H103" s="220" t="s">
        <v>1301</v>
      </c>
      <c r="I103" s="220" t="s">
        <v>778</v>
      </c>
      <c r="J103" s="103" t="s">
        <v>1303</v>
      </c>
      <c r="K103" s="110"/>
      <c r="L103" s="104" t="s">
        <v>95</v>
      </c>
      <c r="M103" s="104" t="s">
        <v>1287</v>
      </c>
      <c r="N103" s="110" t="s">
        <v>555</v>
      </c>
      <c r="O103" s="110">
        <v>25920.0</v>
      </c>
      <c r="P103" s="212">
        <v>0.26</v>
      </c>
    </row>
    <row r="104" ht="14.25" hidden="1" customHeight="1">
      <c r="A104" s="103" t="s">
        <v>84</v>
      </c>
      <c r="B104" s="103" t="s">
        <v>120</v>
      </c>
      <c r="C104" s="103" t="s">
        <v>1266</v>
      </c>
      <c r="D104" s="103" t="s">
        <v>1267</v>
      </c>
      <c r="E104" s="104" t="s">
        <v>1267</v>
      </c>
      <c r="F104" s="110" t="s">
        <v>1288</v>
      </c>
      <c r="G104" s="110"/>
      <c r="H104" s="220" t="s">
        <v>1304</v>
      </c>
      <c r="I104" s="220" t="s">
        <v>778</v>
      </c>
      <c r="J104" s="103" t="s">
        <v>1303</v>
      </c>
      <c r="K104" s="110"/>
      <c r="L104" s="104" t="s">
        <v>95</v>
      </c>
      <c r="M104" s="104" t="s">
        <v>1287</v>
      </c>
      <c r="N104" s="110" t="s">
        <v>555</v>
      </c>
      <c r="O104" s="110">
        <v>25920.0</v>
      </c>
      <c r="P104" s="212">
        <v>0.26</v>
      </c>
    </row>
    <row r="105" ht="14.25" hidden="1" customHeight="1">
      <c r="A105" s="103" t="s">
        <v>84</v>
      </c>
      <c r="B105" s="103" t="s">
        <v>120</v>
      </c>
      <c r="C105" s="103" t="s">
        <v>1266</v>
      </c>
      <c r="D105" s="103" t="s">
        <v>1306</v>
      </c>
      <c r="E105" s="104" t="s">
        <v>1307</v>
      </c>
      <c r="F105" s="110"/>
      <c r="G105" s="110"/>
      <c r="H105" s="108" t="s">
        <v>1308</v>
      </c>
      <c r="I105" s="108" t="s">
        <v>4076</v>
      </c>
      <c r="J105" s="103" t="s">
        <v>1310</v>
      </c>
      <c r="K105" s="110"/>
      <c r="L105" s="104" t="s">
        <v>95</v>
      </c>
      <c r="M105" s="104" t="s">
        <v>554</v>
      </c>
      <c r="N105" s="110" t="s">
        <v>1176</v>
      </c>
      <c r="O105" s="110">
        <v>1800.0</v>
      </c>
      <c r="P105" s="212">
        <v>1.0748353875282157</v>
      </c>
    </row>
    <row r="106" ht="14.25" hidden="1" customHeight="1">
      <c r="A106" s="103" t="s">
        <v>84</v>
      </c>
      <c r="B106" s="103" t="s">
        <v>120</v>
      </c>
      <c r="C106" s="103" t="s">
        <v>1266</v>
      </c>
      <c r="D106" s="103" t="s">
        <v>1306</v>
      </c>
      <c r="E106" s="104" t="s">
        <v>1307</v>
      </c>
      <c r="F106" s="110"/>
      <c r="G106" s="110"/>
      <c r="H106" s="108" t="s">
        <v>1313</v>
      </c>
      <c r="I106" s="108" t="s">
        <v>4077</v>
      </c>
      <c r="J106" s="103" t="s">
        <v>1315</v>
      </c>
      <c r="K106" s="110"/>
      <c r="L106" s="104" t="s">
        <v>95</v>
      </c>
      <c r="M106" s="104" t="s">
        <v>554</v>
      </c>
      <c r="N106" s="110" t="s">
        <v>1176</v>
      </c>
      <c r="O106" s="110">
        <v>90000.0</v>
      </c>
      <c r="P106" s="299">
        <v>0.0281304515876668</v>
      </c>
    </row>
    <row r="107" ht="14.25" hidden="1" customHeight="1">
      <c r="A107" s="103" t="s">
        <v>84</v>
      </c>
      <c r="B107" s="103" t="s">
        <v>120</v>
      </c>
      <c r="C107" s="103" t="s">
        <v>1266</v>
      </c>
      <c r="D107" s="103" t="s">
        <v>1317</v>
      </c>
      <c r="E107" s="104" t="s">
        <v>1318</v>
      </c>
      <c r="F107" s="110" t="s">
        <v>1319</v>
      </c>
      <c r="G107" s="110"/>
      <c r="H107" s="220" t="s">
        <v>1320</v>
      </c>
      <c r="I107" s="220" t="s">
        <v>4078</v>
      </c>
      <c r="J107" s="103" t="s">
        <v>1322</v>
      </c>
      <c r="K107" s="110"/>
      <c r="L107" s="104" t="s">
        <v>95</v>
      </c>
      <c r="M107" s="104" t="s">
        <v>1323</v>
      </c>
      <c r="N107" s="110" t="s">
        <v>1324</v>
      </c>
      <c r="O107" s="110">
        <v>2160.0</v>
      </c>
      <c r="P107" s="212">
        <v>1.8940354028016155</v>
      </c>
    </row>
    <row r="108" ht="14.25" hidden="1" customHeight="1">
      <c r="A108" s="103" t="s">
        <v>84</v>
      </c>
      <c r="B108" s="103" t="s">
        <v>120</v>
      </c>
      <c r="C108" s="103" t="s">
        <v>1266</v>
      </c>
      <c r="D108" s="103" t="s">
        <v>1317</v>
      </c>
      <c r="E108" s="104" t="s">
        <v>1318</v>
      </c>
      <c r="F108" s="110" t="s">
        <v>1319</v>
      </c>
      <c r="G108" s="110"/>
      <c r="H108" s="220" t="s">
        <v>1325</v>
      </c>
      <c r="I108" s="220" t="s">
        <v>4079</v>
      </c>
      <c r="J108" s="103" t="s">
        <v>1327</v>
      </c>
      <c r="K108" s="110"/>
      <c r="L108" s="104" t="s">
        <v>95</v>
      </c>
      <c r="M108" s="104" t="s">
        <v>1323</v>
      </c>
      <c r="N108" s="110" t="s">
        <v>1324</v>
      </c>
      <c r="O108" s="110">
        <v>1920.0</v>
      </c>
      <c r="P108" s="212">
        <v>2.085922084092543</v>
      </c>
    </row>
    <row r="109" ht="14.25" hidden="1" customHeight="1">
      <c r="A109" s="103" t="s">
        <v>84</v>
      </c>
      <c r="B109" s="103" t="s">
        <v>120</v>
      </c>
      <c r="C109" s="103" t="s">
        <v>1266</v>
      </c>
      <c r="D109" s="103" t="s">
        <v>1317</v>
      </c>
      <c r="E109" s="104" t="s">
        <v>1318</v>
      </c>
      <c r="F109" s="110" t="s">
        <v>1319</v>
      </c>
      <c r="G109" s="110"/>
      <c r="H109" s="220" t="s">
        <v>1328</v>
      </c>
      <c r="I109" s="220" t="s">
        <v>4080</v>
      </c>
      <c r="J109" s="103" t="s">
        <v>1330</v>
      </c>
      <c r="K109" s="110"/>
      <c r="L109" s="104" t="s">
        <v>95</v>
      </c>
      <c r="M109" s="104" t="s">
        <v>1323</v>
      </c>
      <c r="N109" s="110" t="s">
        <v>1324</v>
      </c>
      <c r="O109" s="110">
        <v>1920.0</v>
      </c>
      <c r="P109" s="212">
        <v>2.267282228500558</v>
      </c>
    </row>
    <row r="110" ht="14.25" hidden="1" customHeight="1">
      <c r="A110" s="103" t="s">
        <v>84</v>
      </c>
      <c r="B110" s="103" t="s">
        <v>120</v>
      </c>
      <c r="C110" s="103" t="s">
        <v>1266</v>
      </c>
      <c r="D110" s="103" t="s">
        <v>1317</v>
      </c>
      <c r="E110" s="104" t="s">
        <v>1318</v>
      </c>
      <c r="F110" s="110" t="s">
        <v>1319</v>
      </c>
      <c r="G110" s="110"/>
      <c r="H110" s="220" t="s">
        <v>1331</v>
      </c>
      <c r="I110" s="220" t="s">
        <v>4081</v>
      </c>
      <c r="J110" s="103" t="s">
        <v>1333</v>
      </c>
      <c r="K110" s="110"/>
      <c r="L110" s="104" t="s">
        <v>95</v>
      </c>
      <c r="M110" s="104" t="s">
        <v>1323</v>
      </c>
      <c r="N110" s="110" t="s">
        <v>1324</v>
      </c>
      <c r="O110" s="110">
        <v>1440.0</v>
      </c>
      <c r="P110" s="212">
        <v>2.646468782597991</v>
      </c>
    </row>
    <row r="111" ht="14.25" hidden="1" customHeight="1">
      <c r="A111" s="103" t="s">
        <v>84</v>
      </c>
      <c r="B111" s="103" t="s">
        <v>120</v>
      </c>
      <c r="C111" s="103" t="s">
        <v>1266</v>
      </c>
      <c r="D111" s="103" t="s">
        <v>1317</v>
      </c>
      <c r="E111" s="104" t="s">
        <v>1318</v>
      </c>
      <c r="F111" s="110" t="s">
        <v>1319</v>
      </c>
      <c r="G111" s="110"/>
      <c r="H111" s="220" t="s">
        <v>1334</v>
      </c>
      <c r="I111" s="220" t="s">
        <v>778</v>
      </c>
      <c r="J111" s="103" t="s">
        <v>1336</v>
      </c>
      <c r="K111" s="110"/>
      <c r="L111" s="104" t="s">
        <v>95</v>
      </c>
      <c r="M111" s="104" t="s">
        <v>1323</v>
      </c>
      <c r="N111" s="110" t="s">
        <v>1324</v>
      </c>
      <c r="O111" s="110">
        <v>720.0</v>
      </c>
      <c r="P111" s="212">
        <v>3.9251798094522017</v>
      </c>
    </row>
    <row r="112" ht="14.25" hidden="1" customHeight="1">
      <c r="A112" s="103" t="s">
        <v>84</v>
      </c>
      <c r="B112" s="103" t="s">
        <v>120</v>
      </c>
      <c r="C112" s="103" t="s">
        <v>1266</v>
      </c>
      <c r="D112" s="103" t="s">
        <v>1317</v>
      </c>
      <c r="E112" s="104" t="s">
        <v>1318</v>
      </c>
      <c r="F112" s="110" t="s">
        <v>1319</v>
      </c>
      <c r="G112" s="110"/>
      <c r="H112" s="220" t="s">
        <v>1337</v>
      </c>
      <c r="I112" s="220" t="s">
        <v>778</v>
      </c>
      <c r="J112" s="103" t="s">
        <v>1339</v>
      </c>
      <c r="K112" s="110"/>
      <c r="L112" s="104" t="s">
        <v>95</v>
      </c>
      <c r="M112" s="104" t="s">
        <v>1323</v>
      </c>
      <c r="N112" s="110" t="s">
        <v>1324</v>
      </c>
      <c r="O112" s="110">
        <v>480.0</v>
      </c>
      <c r="P112" s="212">
        <v>5.08676240970957</v>
      </c>
    </row>
    <row r="113" ht="14.25" hidden="1" customHeight="1">
      <c r="A113" s="103" t="s">
        <v>84</v>
      </c>
      <c r="B113" s="103" t="s">
        <v>120</v>
      </c>
      <c r="C113" s="103" t="s">
        <v>1266</v>
      </c>
      <c r="D113" s="103" t="s">
        <v>1317</v>
      </c>
      <c r="E113" s="104" t="s">
        <v>1340</v>
      </c>
      <c r="F113" s="110" t="s">
        <v>1319</v>
      </c>
      <c r="G113" s="110"/>
      <c r="H113" s="220" t="s">
        <v>1341</v>
      </c>
      <c r="I113" s="220" t="s">
        <v>4082</v>
      </c>
      <c r="J113" s="103" t="s">
        <v>1343</v>
      </c>
      <c r="K113" s="110"/>
      <c r="L113" s="104" t="s">
        <v>95</v>
      </c>
      <c r="M113" s="104" t="s">
        <v>1323</v>
      </c>
      <c r="N113" s="110" t="s">
        <v>1324</v>
      </c>
      <c r="O113" s="110">
        <v>2160.0</v>
      </c>
      <c r="P113" s="212">
        <v>1.8940354028016155</v>
      </c>
    </row>
    <row r="114" ht="14.25" hidden="1" customHeight="1">
      <c r="A114" s="103" t="s">
        <v>84</v>
      </c>
      <c r="B114" s="103" t="s">
        <v>120</v>
      </c>
      <c r="C114" s="103" t="s">
        <v>1266</v>
      </c>
      <c r="D114" s="103" t="s">
        <v>1317</v>
      </c>
      <c r="E114" s="104" t="s">
        <v>1340</v>
      </c>
      <c r="F114" s="110" t="s">
        <v>1319</v>
      </c>
      <c r="G114" s="110"/>
      <c r="H114" s="220" t="s">
        <v>1345</v>
      </c>
      <c r="I114" s="220" t="s">
        <v>4083</v>
      </c>
      <c r="J114" s="103" t="s">
        <v>1347</v>
      </c>
      <c r="K114" s="110"/>
      <c r="L114" s="104" t="s">
        <v>95</v>
      </c>
      <c r="M114" s="104" t="s">
        <v>1323</v>
      </c>
      <c r="N114" s="110" t="s">
        <v>1324</v>
      </c>
      <c r="O114" s="110">
        <v>1920.0</v>
      </c>
      <c r="P114" s="212">
        <v>2.085922084092543</v>
      </c>
    </row>
    <row r="115" ht="14.25" hidden="1" customHeight="1">
      <c r="A115" s="103" t="s">
        <v>84</v>
      </c>
      <c r="B115" s="103" t="s">
        <v>120</v>
      </c>
      <c r="C115" s="103" t="s">
        <v>1266</v>
      </c>
      <c r="D115" s="103" t="s">
        <v>1317</v>
      </c>
      <c r="E115" s="104" t="s">
        <v>1340</v>
      </c>
      <c r="F115" s="110" t="s">
        <v>1319</v>
      </c>
      <c r="G115" s="110"/>
      <c r="H115" s="220" t="s">
        <v>1348</v>
      </c>
      <c r="I115" s="220" t="s">
        <v>4084</v>
      </c>
      <c r="J115" s="103" t="s">
        <v>1350</v>
      </c>
      <c r="K115" s="110"/>
      <c r="L115" s="104" t="s">
        <v>95</v>
      </c>
      <c r="M115" s="104" t="s">
        <v>1323</v>
      </c>
      <c r="N115" s="110" t="s">
        <v>1324</v>
      </c>
      <c r="O115" s="110">
        <v>1920.0</v>
      </c>
      <c r="P115" s="212">
        <v>2.267282228500558</v>
      </c>
    </row>
    <row r="116" ht="14.25" hidden="1" customHeight="1">
      <c r="A116" s="103" t="s">
        <v>84</v>
      </c>
      <c r="B116" s="103" t="s">
        <v>120</v>
      </c>
      <c r="C116" s="103" t="s">
        <v>1266</v>
      </c>
      <c r="D116" s="103" t="s">
        <v>1317</v>
      </c>
      <c r="E116" s="104" t="s">
        <v>1340</v>
      </c>
      <c r="F116" s="110" t="s">
        <v>1319</v>
      </c>
      <c r="G116" s="110"/>
      <c r="H116" s="220" t="s">
        <v>1352</v>
      </c>
      <c r="I116" s="220" t="s">
        <v>4085</v>
      </c>
      <c r="J116" s="103" t="s">
        <v>1354</v>
      </c>
      <c r="K116" s="110"/>
      <c r="L116" s="104" t="s">
        <v>95</v>
      </c>
      <c r="M116" s="104" t="s">
        <v>1323</v>
      </c>
      <c r="N116" s="110" t="s">
        <v>1324</v>
      </c>
      <c r="O116" s="110">
        <v>1440.0</v>
      </c>
      <c r="P116" s="212">
        <v>2.646468782597991</v>
      </c>
    </row>
    <row r="117" ht="14.25" hidden="1" customHeight="1">
      <c r="A117" s="103" t="s">
        <v>84</v>
      </c>
      <c r="B117" s="103" t="s">
        <v>120</v>
      </c>
      <c r="C117" s="103" t="s">
        <v>1266</v>
      </c>
      <c r="D117" s="103" t="s">
        <v>1317</v>
      </c>
      <c r="E117" s="104" t="s">
        <v>1340</v>
      </c>
      <c r="F117" s="110" t="s">
        <v>1319</v>
      </c>
      <c r="G117" s="110"/>
      <c r="H117" s="220" t="s">
        <v>1355</v>
      </c>
      <c r="I117" s="220" t="s">
        <v>1356</v>
      </c>
      <c r="J117" s="103" t="s">
        <v>1358</v>
      </c>
      <c r="K117" s="110"/>
      <c r="L117" s="104" t="s">
        <v>95</v>
      </c>
      <c r="M117" s="104" t="s">
        <v>1323</v>
      </c>
      <c r="N117" s="110" t="s">
        <v>1324</v>
      </c>
      <c r="O117" s="110">
        <v>720.0</v>
      </c>
      <c r="P117" s="212">
        <v>3.9251798094522017</v>
      </c>
    </row>
    <row r="118" ht="14.25" hidden="1" customHeight="1">
      <c r="A118" s="103" t="s">
        <v>84</v>
      </c>
      <c r="B118" s="103" t="s">
        <v>120</v>
      </c>
      <c r="C118" s="103" t="s">
        <v>1266</v>
      </c>
      <c r="D118" s="103" t="s">
        <v>1317</v>
      </c>
      <c r="E118" s="104" t="s">
        <v>1340</v>
      </c>
      <c r="F118" s="110" t="s">
        <v>1319</v>
      </c>
      <c r="G118" s="110"/>
      <c r="H118" s="220" t="s">
        <v>1359</v>
      </c>
      <c r="I118" s="220" t="s">
        <v>1360</v>
      </c>
      <c r="J118" s="103" t="s">
        <v>1362</v>
      </c>
      <c r="K118" s="110"/>
      <c r="L118" s="104" t="s">
        <v>95</v>
      </c>
      <c r="M118" s="104" t="s">
        <v>1323</v>
      </c>
      <c r="N118" s="110" t="s">
        <v>1324</v>
      </c>
      <c r="O118" s="110">
        <v>480.0</v>
      </c>
      <c r="P118" s="212">
        <v>5.08676240970957</v>
      </c>
    </row>
    <row r="119" ht="14.25" hidden="1" customHeight="1">
      <c r="A119" s="103" t="s">
        <v>84</v>
      </c>
      <c r="B119" s="103" t="s">
        <v>120</v>
      </c>
      <c r="C119" s="103" t="s">
        <v>1266</v>
      </c>
      <c r="D119" s="103" t="s">
        <v>1317</v>
      </c>
      <c r="E119" s="104" t="s">
        <v>1340</v>
      </c>
      <c r="F119" s="110" t="s">
        <v>1319</v>
      </c>
      <c r="G119" s="110"/>
      <c r="H119" s="220" t="s">
        <v>1363</v>
      </c>
      <c r="I119" s="220" t="s">
        <v>1364</v>
      </c>
      <c r="J119" s="103" t="s">
        <v>1366</v>
      </c>
      <c r="K119" s="110"/>
      <c r="L119" s="104" t="s">
        <v>95</v>
      </c>
      <c r="M119" s="104" t="s">
        <v>1323</v>
      </c>
      <c r="N119" s="110" t="s">
        <v>1324</v>
      </c>
      <c r="O119" s="110"/>
      <c r="P119" s="212"/>
    </row>
    <row r="120" ht="14.25" hidden="1" customHeight="1">
      <c r="A120" s="103" t="s">
        <v>84</v>
      </c>
      <c r="B120" s="103" t="s">
        <v>120</v>
      </c>
      <c r="C120" s="103" t="s">
        <v>1266</v>
      </c>
      <c r="D120" s="103" t="s">
        <v>1317</v>
      </c>
      <c r="E120" s="104" t="s">
        <v>1367</v>
      </c>
      <c r="F120" s="110" t="s">
        <v>1319</v>
      </c>
      <c r="G120" s="110"/>
      <c r="H120" s="220" t="s">
        <v>1368</v>
      </c>
      <c r="I120" s="220" t="s">
        <v>4086</v>
      </c>
      <c r="J120" s="103" t="s">
        <v>1370</v>
      </c>
      <c r="K120" s="110"/>
      <c r="L120" s="104" t="s">
        <v>95</v>
      </c>
      <c r="M120" s="104" t="s">
        <v>1323</v>
      </c>
      <c r="N120" s="110" t="s">
        <v>1324</v>
      </c>
      <c r="O120" s="110">
        <v>2160.0</v>
      </c>
      <c r="P120" s="212">
        <v>1.8940354028016155</v>
      </c>
    </row>
    <row r="121" ht="14.25" hidden="1" customHeight="1">
      <c r="A121" s="103" t="s">
        <v>84</v>
      </c>
      <c r="B121" s="103" t="s">
        <v>120</v>
      </c>
      <c r="C121" s="103" t="s">
        <v>1266</v>
      </c>
      <c r="D121" s="103" t="s">
        <v>1317</v>
      </c>
      <c r="E121" s="104" t="s">
        <v>1367</v>
      </c>
      <c r="F121" s="110" t="s">
        <v>1319</v>
      </c>
      <c r="G121" s="110"/>
      <c r="H121" s="220" t="s">
        <v>1372</v>
      </c>
      <c r="I121" s="220" t="s">
        <v>4087</v>
      </c>
      <c r="J121" s="103" t="s">
        <v>1374</v>
      </c>
      <c r="K121" s="110"/>
      <c r="L121" s="104" t="s">
        <v>95</v>
      </c>
      <c r="M121" s="104" t="s">
        <v>1323</v>
      </c>
      <c r="N121" s="110" t="s">
        <v>1324</v>
      </c>
      <c r="O121" s="110">
        <v>1920.0</v>
      </c>
      <c r="P121" s="212">
        <v>2.085922084092543</v>
      </c>
    </row>
    <row r="122" ht="14.25" hidden="1" customHeight="1">
      <c r="A122" s="103" t="s">
        <v>84</v>
      </c>
      <c r="B122" s="103" t="s">
        <v>120</v>
      </c>
      <c r="C122" s="103" t="s">
        <v>1266</v>
      </c>
      <c r="D122" s="103" t="s">
        <v>1317</v>
      </c>
      <c r="E122" s="104" t="s">
        <v>1367</v>
      </c>
      <c r="F122" s="110" t="s">
        <v>1319</v>
      </c>
      <c r="G122" s="110"/>
      <c r="H122" s="220" t="s">
        <v>1375</v>
      </c>
      <c r="I122" s="220" t="s">
        <v>4088</v>
      </c>
      <c r="J122" s="103" t="s">
        <v>1377</v>
      </c>
      <c r="K122" s="110"/>
      <c r="L122" s="104" t="s">
        <v>95</v>
      </c>
      <c r="M122" s="104" t="s">
        <v>1323</v>
      </c>
      <c r="N122" s="110" t="s">
        <v>1324</v>
      </c>
      <c r="O122" s="110">
        <v>1920.0</v>
      </c>
      <c r="P122" s="212">
        <v>2.267282228500558</v>
      </c>
    </row>
    <row r="123" ht="14.25" hidden="1" customHeight="1">
      <c r="A123" s="103" t="s">
        <v>84</v>
      </c>
      <c r="B123" s="103" t="s">
        <v>120</v>
      </c>
      <c r="C123" s="103" t="s">
        <v>1266</v>
      </c>
      <c r="D123" s="103" t="s">
        <v>1317</v>
      </c>
      <c r="E123" s="104" t="s">
        <v>1367</v>
      </c>
      <c r="F123" s="110" t="s">
        <v>1319</v>
      </c>
      <c r="G123" s="110"/>
      <c r="H123" s="220" t="s">
        <v>1379</v>
      </c>
      <c r="I123" s="220" t="s">
        <v>4089</v>
      </c>
      <c r="J123" s="103" t="s">
        <v>1381</v>
      </c>
      <c r="K123" s="110"/>
      <c r="L123" s="104" t="s">
        <v>95</v>
      </c>
      <c r="M123" s="104" t="s">
        <v>1323</v>
      </c>
      <c r="N123" s="110" t="s">
        <v>1324</v>
      </c>
      <c r="O123" s="110">
        <v>1440.0</v>
      </c>
      <c r="P123" s="212">
        <v>2.646468782597991</v>
      </c>
    </row>
    <row r="124" ht="14.25" hidden="1" customHeight="1">
      <c r="A124" s="103" t="s">
        <v>84</v>
      </c>
      <c r="B124" s="103" t="s">
        <v>120</v>
      </c>
      <c r="C124" s="103" t="s">
        <v>1266</v>
      </c>
      <c r="D124" s="103" t="s">
        <v>1317</v>
      </c>
      <c r="E124" s="104" t="s">
        <v>1367</v>
      </c>
      <c r="F124" s="110" t="s">
        <v>1319</v>
      </c>
      <c r="G124" s="110"/>
      <c r="H124" s="220" t="s">
        <v>1383</v>
      </c>
      <c r="I124" s="220" t="s">
        <v>1384</v>
      </c>
      <c r="J124" s="103" t="s">
        <v>1386</v>
      </c>
      <c r="K124" s="110"/>
      <c r="L124" s="104" t="s">
        <v>95</v>
      </c>
      <c r="M124" s="104" t="s">
        <v>1323</v>
      </c>
      <c r="N124" s="110" t="s">
        <v>1324</v>
      </c>
      <c r="O124" s="110">
        <v>720.0</v>
      </c>
      <c r="P124" s="212">
        <v>3.9251798094522017</v>
      </c>
    </row>
    <row r="125" ht="14.25" hidden="1" customHeight="1">
      <c r="A125" s="103" t="s">
        <v>84</v>
      </c>
      <c r="B125" s="103" t="s">
        <v>120</v>
      </c>
      <c r="C125" s="103" t="s">
        <v>1266</v>
      </c>
      <c r="D125" s="103" t="s">
        <v>1317</v>
      </c>
      <c r="E125" s="104" t="s">
        <v>1367</v>
      </c>
      <c r="F125" s="110" t="s">
        <v>1319</v>
      </c>
      <c r="G125" s="110"/>
      <c r="H125" s="220" t="s">
        <v>1387</v>
      </c>
      <c r="I125" s="220" t="s">
        <v>1388</v>
      </c>
      <c r="J125" s="103" t="s">
        <v>1390</v>
      </c>
      <c r="K125" s="110"/>
      <c r="L125" s="104" t="s">
        <v>95</v>
      </c>
      <c r="M125" s="104" t="s">
        <v>1323</v>
      </c>
      <c r="N125" s="110" t="s">
        <v>1324</v>
      </c>
      <c r="O125" s="110">
        <v>480.0</v>
      </c>
      <c r="P125" s="212">
        <v>5.08676240970957</v>
      </c>
    </row>
    <row r="126" ht="14.25" hidden="1" customHeight="1">
      <c r="A126" s="103" t="s">
        <v>84</v>
      </c>
      <c r="B126" s="103" t="s">
        <v>120</v>
      </c>
      <c r="C126" s="103" t="s">
        <v>1266</v>
      </c>
      <c r="D126" s="103" t="s">
        <v>1317</v>
      </c>
      <c r="E126" s="104" t="s">
        <v>1367</v>
      </c>
      <c r="F126" s="110" t="s">
        <v>1319</v>
      </c>
      <c r="G126" s="110"/>
      <c r="H126" s="220" t="s">
        <v>1391</v>
      </c>
      <c r="I126" s="220" t="s">
        <v>1392</v>
      </c>
      <c r="J126" s="103" t="s">
        <v>1394</v>
      </c>
      <c r="K126" s="110"/>
      <c r="L126" s="104" t="s">
        <v>95</v>
      </c>
      <c r="M126" s="104" t="s">
        <v>1323</v>
      </c>
      <c r="N126" s="110" t="s">
        <v>1324</v>
      </c>
      <c r="O126" s="110"/>
      <c r="P126" s="212"/>
    </row>
    <row r="127" ht="14.25" hidden="1" customHeight="1">
      <c r="A127" s="103" t="s">
        <v>84</v>
      </c>
      <c r="B127" s="103" t="s">
        <v>120</v>
      </c>
      <c r="C127" s="103" t="s">
        <v>1266</v>
      </c>
      <c r="D127" s="103" t="s">
        <v>1317</v>
      </c>
      <c r="E127" s="104" t="s">
        <v>1318</v>
      </c>
      <c r="F127" s="110" t="s">
        <v>1395</v>
      </c>
      <c r="G127" s="110"/>
      <c r="H127" s="220" t="s">
        <v>1396</v>
      </c>
      <c r="I127" s="220" t="s">
        <v>4090</v>
      </c>
      <c r="J127" s="103" t="s">
        <v>1398</v>
      </c>
      <c r="K127" s="110"/>
      <c r="L127" s="104" t="s">
        <v>95</v>
      </c>
      <c r="M127" s="104" t="s">
        <v>1323</v>
      </c>
      <c r="N127" s="110" t="s">
        <v>1324</v>
      </c>
      <c r="O127" s="110">
        <v>2160.0</v>
      </c>
      <c r="P127" s="212">
        <v>2.0243880065948763</v>
      </c>
    </row>
    <row r="128" ht="14.25" hidden="1" customHeight="1">
      <c r="A128" s="103" t="s">
        <v>84</v>
      </c>
      <c r="B128" s="103" t="s">
        <v>120</v>
      </c>
      <c r="C128" s="103" t="s">
        <v>1266</v>
      </c>
      <c r="D128" s="103" t="s">
        <v>1317</v>
      </c>
      <c r="E128" s="104" t="s">
        <v>1318</v>
      </c>
      <c r="F128" s="110" t="s">
        <v>1395</v>
      </c>
      <c r="G128" s="110"/>
      <c r="H128" s="220" t="s">
        <v>1399</v>
      </c>
      <c r="I128" s="220" t="s">
        <v>4091</v>
      </c>
      <c r="J128" s="103" t="s">
        <v>1401</v>
      </c>
      <c r="K128" s="110"/>
      <c r="L128" s="104" t="s">
        <v>95</v>
      </c>
      <c r="M128" s="104" t="s">
        <v>1323</v>
      </c>
      <c r="N128" s="110" t="s">
        <v>1324</v>
      </c>
      <c r="O128" s="110">
        <v>1920.0</v>
      </c>
      <c r="P128" s="212">
        <v>2.3334031144826466</v>
      </c>
    </row>
    <row r="129" ht="14.25" hidden="1" customHeight="1">
      <c r="A129" s="103" t="s">
        <v>84</v>
      </c>
      <c r="B129" s="103" t="s">
        <v>120</v>
      </c>
      <c r="C129" s="103" t="s">
        <v>1266</v>
      </c>
      <c r="D129" s="103" t="s">
        <v>1317</v>
      </c>
      <c r="E129" s="104" t="s">
        <v>1318</v>
      </c>
      <c r="F129" s="110" t="s">
        <v>1395</v>
      </c>
      <c r="G129" s="110"/>
      <c r="H129" s="220" t="s">
        <v>1402</v>
      </c>
      <c r="I129" s="220" t="s">
        <v>4092</v>
      </c>
      <c r="J129" s="103" t="s">
        <v>1404</v>
      </c>
      <c r="K129" s="110"/>
      <c r="L129" s="104" t="s">
        <v>95</v>
      </c>
      <c r="M129" s="104" t="s">
        <v>1323</v>
      </c>
      <c r="N129" s="110" t="s">
        <v>1324</v>
      </c>
      <c r="O129" s="110">
        <v>1920.0</v>
      </c>
      <c r="P129" s="212">
        <v>2.6451158626839226</v>
      </c>
    </row>
    <row r="130" ht="14.25" hidden="1" customHeight="1">
      <c r="A130" s="103" t="s">
        <v>84</v>
      </c>
      <c r="B130" s="103" t="s">
        <v>120</v>
      </c>
      <c r="C130" s="103" t="s">
        <v>1266</v>
      </c>
      <c r="D130" s="103" t="s">
        <v>1317</v>
      </c>
      <c r="E130" s="104" t="s">
        <v>1318</v>
      </c>
      <c r="F130" s="110" t="s">
        <v>1395</v>
      </c>
      <c r="G130" s="110"/>
      <c r="H130" s="220" t="s">
        <v>1405</v>
      </c>
      <c r="I130" s="220" t="s">
        <v>4093</v>
      </c>
      <c r="J130" s="103" t="s">
        <v>1407</v>
      </c>
      <c r="K130" s="110"/>
      <c r="L130" s="104" t="s">
        <v>95</v>
      </c>
      <c r="M130" s="104" t="s">
        <v>1323</v>
      </c>
      <c r="N130" s="110" t="s">
        <v>1324</v>
      </c>
      <c r="O130" s="110">
        <v>1440.0</v>
      </c>
      <c r="P130" s="212">
        <v>3.285007624367877</v>
      </c>
    </row>
    <row r="131" ht="14.25" hidden="1" customHeight="1">
      <c r="A131" s="103" t="s">
        <v>84</v>
      </c>
      <c r="B131" s="103" t="s">
        <v>120</v>
      </c>
      <c r="C131" s="103" t="s">
        <v>1266</v>
      </c>
      <c r="D131" s="103" t="s">
        <v>1317</v>
      </c>
      <c r="E131" s="104" t="s">
        <v>1318</v>
      </c>
      <c r="F131" s="110" t="s">
        <v>1395</v>
      </c>
      <c r="G131" s="110"/>
      <c r="H131" s="220" t="s">
        <v>1408</v>
      </c>
      <c r="I131" s="220" t="s">
        <v>778</v>
      </c>
      <c r="J131" s="103" t="s">
        <v>1410</v>
      </c>
      <c r="K131" s="110"/>
      <c r="L131" s="104" t="s">
        <v>95</v>
      </c>
      <c r="M131" s="104" t="s">
        <v>1323</v>
      </c>
      <c r="N131" s="110" t="s">
        <v>1324</v>
      </c>
      <c r="O131" s="110">
        <v>720.0</v>
      </c>
      <c r="P131" s="212">
        <v>5.020897348583959</v>
      </c>
    </row>
    <row r="132" ht="14.25" hidden="1" customHeight="1">
      <c r="A132" s="103" t="s">
        <v>84</v>
      </c>
      <c r="B132" s="103" t="s">
        <v>120</v>
      </c>
      <c r="C132" s="103" t="s">
        <v>1266</v>
      </c>
      <c r="D132" s="103" t="s">
        <v>1317</v>
      </c>
      <c r="E132" s="104" t="s">
        <v>1318</v>
      </c>
      <c r="F132" s="110" t="s">
        <v>1395</v>
      </c>
      <c r="G132" s="110"/>
      <c r="H132" s="220" t="s">
        <v>1411</v>
      </c>
      <c r="I132" s="220" t="s">
        <v>778</v>
      </c>
      <c r="J132" s="103" t="s">
        <v>1413</v>
      </c>
      <c r="K132" s="110"/>
      <c r="L132" s="104" t="s">
        <v>95</v>
      </c>
      <c r="M132" s="104" t="s">
        <v>1323</v>
      </c>
      <c r="N132" s="110" t="s">
        <v>1324</v>
      </c>
      <c r="O132" s="110">
        <v>480.0</v>
      </c>
      <c r="P132" s="212">
        <v>6.7303387184072045</v>
      </c>
    </row>
    <row r="133" ht="14.25" hidden="1" customHeight="1">
      <c r="A133" s="103" t="s">
        <v>84</v>
      </c>
      <c r="B133" s="103" t="s">
        <v>120</v>
      </c>
      <c r="C133" s="103" t="s">
        <v>1266</v>
      </c>
      <c r="D133" s="103" t="s">
        <v>1317</v>
      </c>
      <c r="E133" s="104" t="s">
        <v>1340</v>
      </c>
      <c r="F133" s="110" t="s">
        <v>1395</v>
      </c>
      <c r="G133" s="110"/>
      <c r="H133" s="220" t="s">
        <v>1414</v>
      </c>
      <c r="I133" s="220" t="s">
        <v>4094</v>
      </c>
      <c r="J133" s="103" t="s">
        <v>1416</v>
      </c>
      <c r="K133" s="110"/>
      <c r="L133" s="104" t="s">
        <v>95</v>
      </c>
      <c r="M133" s="104" t="s">
        <v>1323</v>
      </c>
      <c r="N133" s="110" t="s">
        <v>1324</v>
      </c>
      <c r="O133" s="110">
        <v>2160.0</v>
      </c>
      <c r="P133" s="212">
        <v>2.0243880065948763</v>
      </c>
    </row>
    <row r="134" ht="14.25" hidden="1" customHeight="1">
      <c r="A134" s="103" t="s">
        <v>84</v>
      </c>
      <c r="B134" s="103" t="s">
        <v>120</v>
      </c>
      <c r="C134" s="103" t="s">
        <v>1266</v>
      </c>
      <c r="D134" s="103" t="s">
        <v>1317</v>
      </c>
      <c r="E134" s="104" t="s">
        <v>1340</v>
      </c>
      <c r="F134" s="110" t="s">
        <v>1395</v>
      </c>
      <c r="G134" s="110"/>
      <c r="H134" s="220" t="s">
        <v>1417</v>
      </c>
      <c r="I134" s="220" t="s">
        <v>4095</v>
      </c>
      <c r="J134" s="103" t="s">
        <v>1419</v>
      </c>
      <c r="K134" s="110"/>
      <c r="L134" s="104" t="s">
        <v>95</v>
      </c>
      <c r="M134" s="104" t="s">
        <v>1323</v>
      </c>
      <c r="N134" s="110" t="s">
        <v>1324</v>
      </c>
      <c r="O134" s="110">
        <v>1920.0</v>
      </c>
      <c r="P134" s="212">
        <v>2.3334031144826466</v>
      </c>
    </row>
    <row r="135" ht="14.25" hidden="1" customHeight="1">
      <c r="A135" s="103" t="s">
        <v>84</v>
      </c>
      <c r="B135" s="103" t="s">
        <v>120</v>
      </c>
      <c r="C135" s="103" t="s">
        <v>1266</v>
      </c>
      <c r="D135" s="103" t="s">
        <v>1317</v>
      </c>
      <c r="E135" s="104" t="s">
        <v>1340</v>
      </c>
      <c r="F135" s="110" t="s">
        <v>1395</v>
      </c>
      <c r="G135" s="110"/>
      <c r="H135" s="220" t="s">
        <v>1420</v>
      </c>
      <c r="I135" s="220" t="s">
        <v>4096</v>
      </c>
      <c r="J135" s="103" t="s">
        <v>1422</v>
      </c>
      <c r="K135" s="110"/>
      <c r="L135" s="104" t="s">
        <v>95</v>
      </c>
      <c r="M135" s="104" t="s">
        <v>1323</v>
      </c>
      <c r="N135" s="110" t="s">
        <v>1324</v>
      </c>
      <c r="O135" s="110">
        <v>1920.0</v>
      </c>
      <c r="P135" s="212">
        <v>2.6451158626839226</v>
      </c>
    </row>
    <row r="136" ht="14.25" hidden="1" customHeight="1">
      <c r="A136" s="103" t="s">
        <v>84</v>
      </c>
      <c r="B136" s="103" t="s">
        <v>120</v>
      </c>
      <c r="C136" s="103" t="s">
        <v>1266</v>
      </c>
      <c r="D136" s="103" t="s">
        <v>1317</v>
      </c>
      <c r="E136" s="104" t="s">
        <v>1340</v>
      </c>
      <c r="F136" s="110" t="s">
        <v>1395</v>
      </c>
      <c r="G136" s="110"/>
      <c r="H136" s="220" t="s">
        <v>1423</v>
      </c>
      <c r="I136" s="220" t="s">
        <v>4097</v>
      </c>
      <c r="J136" s="103" t="s">
        <v>1425</v>
      </c>
      <c r="K136" s="110"/>
      <c r="L136" s="104" t="s">
        <v>95</v>
      </c>
      <c r="M136" s="104" t="s">
        <v>1323</v>
      </c>
      <c r="N136" s="110" t="s">
        <v>1324</v>
      </c>
      <c r="O136" s="110">
        <v>1440.0</v>
      </c>
      <c r="P136" s="212">
        <v>3.285007624367877</v>
      </c>
    </row>
    <row r="137" ht="14.25" hidden="1" customHeight="1">
      <c r="A137" s="103" t="s">
        <v>84</v>
      </c>
      <c r="B137" s="103" t="s">
        <v>120</v>
      </c>
      <c r="C137" s="103" t="s">
        <v>1266</v>
      </c>
      <c r="D137" s="103" t="s">
        <v>1317</v>
      </c>
      <c r="E137" s="104" t="s">
        <v>1340</v>
      </c>
      <c r="F137" s="110" t="s">
        <v>1395</v>
      </c>
      <c r="G137" s="110"/>
      <c r="H137" s="220" t="s">
        <v>1426</v>
      </c>
      <c r="I137" s="220" t="s">
        <v>1427</v>
      </c>
      <c r="J137" s="103" t="s">
        <v>1429</v>
      </c>
      <c r="K137" s="110"/>
      <c r="L137" s="104" t="s">
        <v>95</v>
      </c>
      <c r="M137" s="104" t="s">
        <v>1323</v>
      </c>
      <c r="N137" s="110" t="s">
        <v>1324</v>
      </c>
      <c r="O137" s="110">
        <v>720.0</v>
      </c>
      <c r="P137" s="212">
        <v>5.020897348583959</v>
      </c>
    </row>
    <row r="138" ht="14.25" hidden="1" customHeight="1">
      <c r="A138" s="103" t="s">
        <v>84</v>
      </c>
      <c r="B138" s="103" t="s">
        <v>120</v>
      </c>
      <c r="C138" s="103" t="s">
        <v>1266</v>
      </c>
      <c r="D138" s="103" t="s">
        <v>1317</v>
      </c>
      <c r="E138" s="104" t="s">
        <v>1340</v>
      </c>
      <c r="F138" s="110" t="s">
        <v>1395</v>
      </c>
      <c r="G138" s="110"/>
      <c r="H138" s="220" t="s">
        <v>1430</v>
      </c>
      <c r="I138" s="220" t="s">
        <v>1431</v>
      </c>
      <c r="J138" s="103" t="s">
        <v>1433</v>
      </c>
      <c r="K138" s="110"/>
      <c r="L138" s="104" t="s">
        <v>95</v>
      </c>
      <c r="M138" s="104" t="s">
        <v>1323</v>
      </c>
      <c r="N138" s="110" t="s">
        <v>1324</v>
      </c>
      <c r="O138" s="110">
        <v>480.0</v>
      </c>
      <c r="P138" s="212">
        <v>6.7303387184072045</v>
      </c>
    </row>
    <row r="139" ht="14.25" hidden="1" customHeight="1">
      <c r="A139" s="103" t="s">
        <v>84</v>
      </c>
      <c r="B139" s="103" t="s">
        <v>120</v>
      </c>
      <c r="C139" s="103" t="s">
        <v>1266</v>
      </c>
      <c r="D139" s="103" t="s">
        <v>1317</v>
      </c>
      <c r="E139" s="104" t="s">
        <v>1340</v>
      </c>
      <c r="F139" s="110" t="s">
        <v>1395</v>
      </c>
      <c r="G139" s="110"/>
      <c r="H139" s="220" t="s">
        <v>1434</v>
      </c>
      <c r="I139" s="220" t="s">
        <v>1435</v>
      </c>
      <c r="J139" s="103" t="s">
        <v>1437</v>
      </c>
      <c r="K139" s="110"/>
      <c r="L139" s="104" t="s">
        <v>95</v>
      </c>
      <c r="M139" s="104" t="s">
        <v>1323</v>
      </c>
      <c r="N139" s="110" t="s">
        <v>1324</v>
      </c>
      <c r="O139" s="110"/>
      <c r="P139" s="212"/>
    </row>
    <row r="140" ht="14.25" hidden="1" customHeight="1">
      <c r="A140" s="103" t="s">
        <v>84</v>
      </c>
      <c r="B140" s="103" t="s">
        <v>120</v>
      </c>
      <c r="C140" s="103" t="s">
        <v>1266</v>
      </c>
      <c r="D140" s="103" t="s">
        <v>1317</v>
      </c>
      <c r="E140" s="104" t="s">
        <v>1367</v>
      </c>
      <c r="F140" s="110" t="s">
        <v>1395</v>
      </c>
      <c r="G140" s="110"/>
      <c r="H140" s="220" t="s">
        <v>1438</v>
      </c>
      <c r="I140" s="220" t="s">
        <v>4098</v>
      </c>
      <c r="J140" s="103" t="s">
        <v>1440</v>
      </c>
      <c r="K140" s="110"/>
      <c r="L140" s="104" t="s">
        <v>95</v>
      </c>
      <c r="M140" s="104" t="s">
        <v>1323</v>
      </c>
      <c r="N140" s="110" t="s">
        <v>1324</v>
      </c>
      <c r="O140" s="110">
        <v>2160.0</v>
      </c>
      <c r="P140" s="212">
        <v>2.0243880065948763</v>
      </c>
    </row>
    <row r="141" ht="14.25" hidden="1" customHeight="1">
      <c r="A141" s="103" t="s">
        <v>84</v>
      </c>
      <c r="B141" s="103" t="s">
        <v>120</v>
      </c>
      <c r="C141" s="103" t="s">
        <v>1266</v>
      </c>
      <c r="D141" s="103" t="s">
        <v>1317</v>
      </c>
      <c r="E141" s="104" t="s">
        <v>1367</v>
      </c>
      <c r="F141" s="110" t="s">
        <v>1395</v>
      </c>
      <c r="G141" s="110"/>
      <c r="H141" s="220" t="s">
        <v>1442</v>
      </c>
      <c r="I141" s="220" t="s">
        <v>4099</v>
      </c>
      <c r="J141" s="103" t="s">
        <v>1444</v>
      </c>
      <c r="K141" s="110"/>
      <c r="L141" s="104" t="s">
        <v>95</v>
      </c>
      <c r="M141" s="104" t="s">
        <v>1323</v>
      </c>
      <c r="N141" s="110" t="s">
        <v>1324</v>
      </c>
      <c r="O141" s="110">
        <v>1920.0</v>
      </c>
      <c r="P141" s="212">
        <v>2.3334031144826466</v>
      </c>
    </row>
    <row r="142" ht="14.25" hidden="1" customHeight="1">
      <c r="A142" s="103" t="s">
        <v>84</v>
      </c>
      <c r="B142" s="103" t="s">
        <v>120</v>
      </c>
      <c r="C142" s="103" t="s">
        <v>1266</v>
      </c>
      <c r="D142" s="103" t="s">
        <v>1317</v>
      </c>
      <c r="E142" s="104" t="s">
        <v>1367</v>
      </c>
      <c r="F142" s="110" t="s">
        <v>1395</v>
      </c>
      <c r="G142" s="110"/>
      <c r="H142" s="220" t="s">
        <v>1446</v>
      </c>
      <c r="I142" s="220" t="s">
        <v>4100</v>
      </c>
      <c r="J142" s="103" t="s">
        <v>1448</v>
      </c>
      <c r="K142" s="110"/>
      <c r="L142" s="104" t="s">
        <v>95</v>
      </c>
      <c r="M142" s="104" t="s">
        <v>1323</v>
      </c>
      <c r="N142" s="110" t="s">
        <v>1324</v>
      </c>
      <c r="O142" s="110">
        <v>1920.0</v>
      </c>
      <c r="P142" s="212">
        <v>2.6451158626839226</v>
      </c>
    </row>
    <row r="143" ht="14.25" hidden="1" customHeight="1">
      <c r="A143" s="103" t="s">
        <v>84</v>
      </c>
      <c r="B143" s="103" t="s">
        <v>120</v>
      </c>
      <c r="C143" s="103" t="s">
        <v>1266</v>
      </c>
      <c r="D143" s="103" t="s">
        <v>1317</v>
      </c>
      <c r="E143" s="104" t="s">
        <v>1367</v>
      </c>
      <c r="F143" s="110" t="s">
        <v>1395</v>
      </c>
      <c r="G143" s="110"/>
      <c r="H143" s="220" t="s">
        <v>1450</v>
      </c>
      <c r="I143" s="220" t="s">
        <v>4101</v>
      </c>
      <c r="J143" s="103" t="s">
        <v>1452</v>
      </c>
      <c r="K143" s="110"/>
      <c r="L143" s="104" t="s">
        <v>95</v>
      </c>
      <c r="M143" s="104" t="s">
        <v>1323</v>
      </c>
      <c r="N143" s="110" t="s">
        <v>1324</v>
      </c>
      <c r="O143" s="110">
        <v>1440.0</v>
      </c>
      <c r="P143" s="212">
        <v>3.285007624367877</v>
      </c>
    </row>
    <row r="144" ht="14.25" hidden="1" customHeight="1">
      <c r="A144" s="103" t="s">
        <v>84</v>
      </c>
      <c r="B144" s="103" t="s">
        <v>120</v>
      </c>
      <c r="C144" s="103" t="s">
        <v>1266</v>
      </c>
      <c r="D144" s="103" t="s">
        <v>1317</v>
      </c>
      <c r="E144" s="104" t="s">
        <v>1367</v>
      </c>
      <c r="F144" s="110" t="s">
        <v>1395</v>
      </c>
      <c r="G144" s="110"/>
      <c r="H144" s="220" t="s">
        <v>1454</v>
      </c>
      <c r="I144" s="220" t="s">
        <v>1455</v>
      </c>
      <c r="J144" s="103" t="s">
        <v>1457</v>
      </c>
      <c r="K144" s="110"/>
      <c r="L144" s="104" t="s">
        <v>95</v>
      </c>
      <c r="M144" s="104" t="s">
        <v>1323</v>
      </c>
      <c r="N144" s="110" t="s">
        <v>1324</v>
      </c>
      <c r="O144" s="110">
        <v>720.0</v>
      </c>
      <c r="P144" s="212">
        <v>5.020897348583959</v>
      </c>
    </row>
    <row r="145" ht="14.25" hidden="1" customHeight="1">
      <c r="A145" s="103" t="s">
        <v>84</v>
      </c>
      <c r="B145" s="103" t="s">
        <v>120</v>
      </c>
      <c r="C145" s="103" t="s">
        <v>1266</v>
      </c>
      <c r="D145" s="103" t="s">
        <v>1317</v>
      </c>
      <c r="E145" s="104" t="s">
        <v>1367</v>
      </c>
      <c r="F145" s="110" t="s">
        <v>1395</v>
      </c>
      <c r="G145" s="110"/>
      <c r="H145" s="220" t="s">
        <v>1458</v>
      </c>
      <c r="I145" s="220" t="s">
        <v>1459</v>
      </c>
      <c r="J145" s="103" t="s">
        <v>1461</v>
      </c>
      <c r="K145" s="110"/>
      <c r="L145" s="104" t="s">
        <v>95</v>
      </c>
      <c r="M145" s="104" t="s">
        <v>1323</v>
      </c>
      <c r="N145" s="110" t="s">
        <v>1324</v>
      </c>
      <c r="O145" s="110">
        <v>480.0</v>
      </c>
      <c r="P145" s="212">
        <v>6.7303387184072045</v>
      </c>
    </row>
    <row r="146" ht="14.25" hidden="1" customHeight="1">
      <c r="A146" s="103" t="s">
        <v>84</v>
      </c>
      <c r="B146" s="103" t="s">
        <v>120</v>
      </c>
      <c r="C146" s="103" t="s">
        <v>1266</v>
      </c>
      <c r="D146" s="103" t="s">
        <v>1317</v>
      </c>
      <c r="E146" s="104" t="s">
        <v>1367</v>
      </c>
      <c r="F146" s="110" t="s">
        <v>1395</v>
      </c>
      <c r="G146" s="110"/>
      <c r="H146" s="220" t="s">
        <v>1462</v>
      </c>
      <c r="I146" s="220" t="s">
        <v>1435</v>
      </c>
      <c r="J146" s="103" t="s">
        <v>1464</v>
      </c>
      <c r="K146" s="110"/>
      <c r="L146" s="104" t="s">
        <v>95</v>
      </c>
      <c r="M146" s="104" t="s">
        <v>1323</v>
      </c>
      <c r="N146" s="110" t="s">
        <v>1324</v>
      </c>
      <c r="O146" s="110"/>
      <c r="P146" s="212"/>
    </row>
    <row r="147" ht="14.25" hidden="1" customHeight="1">
      <c r="A147" s="103" t="s">
        <v>84</v>
      </c>
      <c r="B147" s="103" t="s">
        <v>120</v>
      </c>
      <c r="C147" s="103" t="s">
        <v>1266</v>
      </c>
      <c r="D147" s="103" t="s">
        <v>1317</v>
      </c>
      <c r="E147" s="104" t="s">
        <v>1318</v>
      </c>
      <c r="F147" s="110" t="s">
        <v>1465</v>
      </c>
      <c r="G147" s="110"/>
      <c r="H147" s="220" t="s">
        <v>1466</v>
      </c>
      <c r="I147" s="220" t="s">
        <v>4102</v>
      </c>
      <c r="J147" s="103" t="s">
        <v>1468</v>
      </c>
      <c r="K147" s="110"/>
      <c r="L147" s="104" t="s">
        <v>95</v>
      </c>
      <c r="M147" s="104" t="s">
        <v>1323</v>
      </c>
      <c r="N147" s="110" t="s">
        <v>1324</v>
      </c>
      <c r="O147" s="110">
        <v>2160.0</v>
      </c>
      <c r="P147" s="212">
        <v>2.0640605381841297</v>
      </c>
    </row>
    <row r="148" ht="14.25" hidden="1" customHeight="1">
      <c r="A148" s="103" t="s">
        <v>84</v>
      </c>
      <c r="B148" s="103" t="s">
        <v>120</v>
      </c>
      <c r="C148" s="103" t="s">
        <v>1266</v>
      </c>
      <c r="D148" s="103" t="s">
        <v>1317</v>
      </c>
      <c r="E148" s="104" t="s">
        <v>1318</v>
      </c>
      <c r="F148" s="110" t="s">
        <v>1465</v>
      </c>
      <c r="G148" s="110"/>
      <c r="H148" s="220" t="s">
        <v>1469</v>
      </c>
      <c r="I148" s="220" t="s">
        <v>4103</v>
      </c>
      <c r="J148" s="103" t="s">
        <v>1471</v>
      </c>
      <c r="K148" s="110"/>
      <c r="L148" s="104" t="s">
        <v>95</v>
      </c>
      <c r="M148" s="104" t="s">
        <v>1323</v>
      </c>
      <c r="N148" s="110" t="s">
        <v>1324</v>
      </c>
      <c r="O148" s="110">
        <v>1920.0</v>
      </c>
      <c r="P148" s="212">
        <v>2.607332499265586</v>
      </c>
    </row>
    <row r="149" ht="14.25" hidden="1" customHeight="1">
      <c r="A149" s="103" t="s">
        <v>84</v>
      </c>
      <c r="B149" s="103" t="s">
        <v>120</v>
      </c>
      <c r="C149" s="103" t="s">
        <v>1266</v>
      </c>
      <c r="D149" s="103" t="s">
        <v>1317</v>
      </c>
      <c r="E149" s="104" t="s">
        <v>1318</v>
      </c>
      <c r="F149" s="110" t="s">
        <v>1465</v>
      </c>
      <c r="G149" s="110"/>
      <c r="H149" s="220" t="s">
        <v>1472</v>
      </c>
      <c r="I149" s="220" t="s">
        <v>4104</v>
      </c>
      <c r="J149" s="103" t="s">
        <v>1474</v>
      </c>
      <c r="K149" s="110"/>
      <c r="L149" s="104" t="s">
        <v>95</v>
      </c>
      <c r="M149" s="104" t="s">
        <v>1323</v>
      </c>
      <c r="N149" s="110" t="s">
        <v>1324</v>
      </c>
      <c r="O149" s="110">
        <v>1920.0</v>
      </c>
      <c r="P149" s="212">
        <v>3.1419670916350473</v>
      </c>
    </row>
    <row r="150" ht="14.25" hidden="1" customHeight="1">
      <c r="A150" s="103" t="s">
        <v>84</v>
      </c>
      <c r="B150" s="103" t="s">
        <v>120</v>
      </c>
      <c r="C150" s="103" t="s">
        <v>1266</v>
      </c>
      <c r="D150" s="103" t="s">
        <v>1317</v>
      </c>
      <c r="E150" s="104" t="s">
        <v>1318</v>
      </c>
      <c r="F150" s="110" t="s">
        <v>1465</v>
      </c>
      <c r="G150" s="110"/>
      <c r="H150" s="220" t="s">
        <v>1475</v>
      </c>
      <c r="I150" s="220" t="s">
        <v>4105</v>
      </c>
      <c r="J150" s="103" t="s">
        <v>1477</v>
      </c>
      <c r="K150" s="110"/>
      <c r="L150" s="104" t="s">
        <v>95</v>
      </c>
      <c r="M150" s="104" t="s">
        <v>1323</v>
      </c>
      <c r="N150" s="110" t="s">
        <v>1324</v>
      </c>
      <c r="O150" s="110">
        <v>1440.0</v>
      </c>
      <c r="P150" s="212">
        <v>4.235259214339039</v>
      </c>
    </row>
    <row r="151" ht="14.25" hidden="1" customHeight="1">
      <c r="A151" s="103" t="s">
        <v>84</v>
      </c>
      <c r="B151" s="103" t="s">
        <v>120</v>
      </c>
      <c r="C151" s="103" t="s">
        <v>1266</v>
      </c>
      <c r="D151" s="103" t="s">
        <v>1317</v>
      </c>
      <c r="E151" s="104" t="s">
        <v>1318</v>
      </c>
      <c r="F151" s="110" t="s">
        <v>1465</v>
      </c>
      <c r="G151" s="110"/>
      <c r="H151" s="220" t="s">
        <v>1478</v>
      </c>
      <c r="I151" s="220" t="s">
        <v>778</v>
      </c>
      <c r="J151" s="103" t="s">
        <v>1480</v>
      </c>
      <c r="K151" s="110"/>
      <c r="L151" s="104" t="s">
        <v>95</v>
      </c>
      <c r="M151" s="104" t="s">
        <v>1323</v>
      </c>
      <c r="N151" s="110" t="s">
        <v>1324</v>
      </c>
      <c r="O151" s="110">
        <v>720.0</v>
      </c>
      <c r="P151" s="212">
        <v>7.306790835393316</v>
      </c>
    </row>
    <row r="152" ht="14.25" hidden="1" customHeight="1">
      <c r="A152" s="103" t="s">
        <v>84</v>
      </c>
      <c r="B152" s="103" t="s">
        <v>120</v>
      </c>
      <c r="C152" s="103" t="s">
        <v>1266</v>
      </c>
      <c r="D152" s="103" t="s">
        <v>1317</v>
      </c>
      <c r="E152" s="104" t="s">
        <v>1318</v>
      </c>
      <c r="F152" s="110" t="s">
        <v>1465</v>
      </c>
      <c r="G152" s="110"/>
      <c r="H152" s="220" t="s">
        <v>1481</v>
      </c>
      <c r="I152" s="220" t="s">
        <v>778</v>
      </c>
      <c r="J152" s="103" t="s">
        <v>1483</v>
      </c>
      <c r="K152" s="110"/>
      <c r="L152" s="104" t="s">
        <v>95</v>
      </c>
      <c r="M152" s="104" t="s">
        <v>1323</v>
      </c>
      <c r="N152" s="110" t="s">
        <v>1324</v>
      </c>
      <c r="O152" s="110">
        <v>480.0</v>
      </c>
      <c r="P152" s="212">
        <v>10.159178948621241</v>
      </c>
    </row>
    <row r="153" ht="14.25" hidden="1" customHeight="1">
      <c r="A153" s="103" t="s">
        <v>84</v>
      </c>
      <c r="B153" s="103" t="s">
        <v>120</v>
      </c>
      <c r="C153" s="103" t="s">
        <v>1266</v>
      </c>
      <c r="D153" s="103" t="s">
        <v>1317</v>
      </c>
      <c r="E153" s="104" t="s">
        <v>1340</v>
      </c>
      <c r="F153" s="110" t="s">
        <v>1465</v>
      </c>
      <c r="G153" s="110"/>
      <c r="H153" s="220" t="s">
        <v>1484</v>
      </c>
      <c r="I153" s="220" t="s">
        <v>4106</v>
      </c>
      <c r="J153" s="103" t="s">
        <v>1486</v>
      </c>
      <c r="K153" s="110"/>
      <c r="L153" s="104" t="s">
        <v>95</v>
      </c>
      <c r="M153" s="104" t="s">
        <v>1323</v>
      </c>
      <c r="N153" s="110" t="s">
        <v>1324</v>
      </c>
      <c r="O153" s="110">
        <v>2160.0</v>
      </c>
      <c r="P153" s="212">
        <v>2.0640605381841297</v>
      </c>
    </row>
    <row r="154" ht="14.25" hidden="1" customHeight="1">
      <c r="A154" s="103" t="s">
        <v>84</v>
      </c>
      <c r="B154" s="103" t="s">
        <v>120</v>
      </c>
      <c r="C154" s="103" t="s">
        <v>1266</v>
      </c>
      <c r="D154" s="103" t="s">
        <v>1317</v>
      </c>
      <c r="E154" s="104" t="s">
        <v>1340</v>
      </c>
      <c r="F154" s="110" t="s">
        <v>1465</v>
      </c>
      <c r="G154" s="110"/>
      <c r="H154" s="220" t="s">
        <v>1487</v>
      </c>
      <c r="I154" s="220" t="s">
        <v>4107</v>
      </c>
      <c r="J154" s="103" t="s">
        <v>1489</v>
      </c>
      <c r="K154" s="110"/>
      <c r="L154" s="104" t="s">
        <v>95</v>
      </c>
      <c r="M154" s="104" t="s">
        <v>1323</v>
      </c>
      <c r="N154" s="110" t="s">
        <v>1324</v>
      </c>
      <c r="O154" s="110">
        <v>1920.0</v>
      </c>
      <c r="P154" s="212">
        <v>2.607332499265586</v>
      </c>
    </row>
    <row r="155" ht="14.25" hidden="1" customHeight="1">
      <c r="A155" s="103" t="s">
        <v>84</v>
      </c>
      <c r="B155" s="103" t="s">
        <v>120</v>
      </c>
      <c r="C155" s="103" t="s">
        <v>1266</v>
      </c>
      <c r="D155" s="103" t="s">
        <v>1317</v>
      </c>
      <c r="E155" s="104" t="s">
        <v>1340</v>
      </c>
      <c r="F155" s="110" t="s">
        <v>1465</v>
      </c>
      <c r="G155" s="110"/>
      <c r="H155" s="220" t="s">
        <v>1490</v>
      </c>
      <c r="I155" s="220" t="s">
        <v>4108</v>
      </c>
      <c r="J155" s="103" t="s">
        <v>1492</v>
      </c>
      <c r="K155" s="110"/>
      <c r="L155" s="104" t="s">
        <v>95</v>
      </c>
      <c r="M155" s="104" t="s">
        <v>1323</v>
      </c>
      <c r="N155" s="110" t="s">
        <v>1324</v>
      </c>
      <c r="O155" s="110">
        <v>1920.0</v>
      </c>
      <c r="P155" s="212">
        <v>3.1419670916350473</v>
      </c>
    </row>
    <row r="156" ht="14.25" hidden="1" customHeight="1">
      <c r="A156" s="103" t="s">
        <v>84</v>
      </c>
      <c r="B156" s="103" t="s">
        <v>120</v>
      </c>
      <c r="C156" s="103" t="s">
        <v>1266</v>
      </c>
      <c r="D156" s="103" t="s">
        <v>1317</v>
      </c>
      <c r="E156" s="104" t="s">
        <v>1340</v>
      </c>
      <c r="F156" s="110" t="s">
        <v>1465</v>
      </c>
      <c r="G156" s="110"/>
      <c r="H156" s="220" t="s">
        <v>1493</v>
      </c>
      <c r="I156" s="220" t="s">
        <v>4109</v>
      </c>
      <c r="J156" s="103" t="s">
        <v>1495</v>
      </c>
      <c r="K156" s="110"/>
      <c r="L156" s="104" t="s">
        <v>95</v>
      </c>
      <c r="M156" s="104" t="s">
        <v>1323</v>
      </c>
      <c r="N156" s="110" t="s">
        <v>1324</v>
      </c>
      <c r="O156" s="110">
        <v>1440.0</v>
      </c>
      <c r="P156" s="212">
        <v>4.235259214339039</v>
      </c>
    </row>
    <row r="157" ht="14.25" hidden="1" customHeight="1">
      <c r="A157" s="103" t="s">
        <v>84</v>
      </c>
      <c r="B157" s="103" t="s">
        <v>120</v>
      </c>
      <c r="C157" s="103" t="s">
        <v>1266</v>
      </c>
      <c r="D157" s="103" t="s">
        <v>1317</v>
      </c>
      <c r="E157" s="104" t="s">
        <v>1340</v>
      </c>
      <c r="F157" s="110" t="s">
        <v>1465</v>
      </c>
      <c r="G157" s="110"/>
      <c r="H157" s="220" t="s">
        <v>1496</v>
      </c>
      <c r="I157" s="220" t="s">
        <v>778</v>
      </c>
      <c r="J157" s="103" t="s">
        <v>1498</v>
      </c>
      <c r="K157" s="110"/>
      <c r="L157" s="104" t="s">
        <v>95</v>
      </c>
      <c r="M157" s="104" t="s">
        <v>1323</v>
      </c>
      <c r="N157" s="110" t="s">
        <v>1324</v>
      </c>
      <c r="O157" s="110">
        <v>720.0</v>
      </c>
      <c r="P157" s="212">
        <v>7.306790835393316</v>
      </c>
    </row>
    <row r="158" ht="14.25" hidden="1" customHeight="1">
      <c r="A158" s="103" t="s">
        <v>84</v>
      </c>
      <c r="B158" s="103" t="s">
        <v>120</v>
      </c>
      <c r="C158" s="103" t="s">
        <v>1266</v>
      </c>
      <c r="D158" s="103" t="s">
        <v>1317</v>
      </c>
      <c r="E158" s="104" t="s">
        <v>1340</v>
      </c>
      <c r="F158" s="110" t="s">
        <v>1465</v>
      </c>
      <c r="G158" s="110"/>
      <c r="H158" s="220" t="s">
        <v>1499</v>
      </c>
      <c r="I158" s="220" t="s">
        <v>778</v>
      </c>
      <c r="J158" s="103" t="s">
        <v>1501</v>
      </c>
      <c r="K158" s="110"/>
      <c r="L158" s="104" t="s">
        <v>95</v>
      </c>
      <c r="M158" s="104" t="s">
        <v>1323</v>
      </c>
      <c r="N158" s="110" t="s">
        <v>1324</v>
      </c>
      <c r="O158" s="110">
        <v>480.0</v>
      </c>
      <c r="P158" s="212">
        <v>10.159178948621241</v>
      </c>
    </row>
    <row r="159" ht="14.25" hidden="1" customHeight="1">
      <c r="A159" s="103" t="s">
        <v>84</v>
      </c>
      <c r="B159" s="103" t="s">
        <v>120</v>
      </c>
      <c r="C159" s="103" t="s">
        <v>1266</v>
      </c>
      <c r="D159" s="103" t="s">
        <v>1317</v>
      </c>
      <c r="E159" s="104" t="s">
        <v>1367</v>
      </c>
      <c r="F159" s="110" t="s">
        <v>1465</v>
      </c>
      <c r="G159" s="110"/>
      <c r="H159" s="220" t="s">
        <v>1502</v>
      </c>
      <c r="I159" s="220" t="s">
        <v>4110</v>
      </c>
      <c r="J159" s="103" t="s">
        <v>1504</v>
      </c>
      <c r="K159" s="110"/>
      <c r="L159" s="104" t="s">
        <v>95</v>
      </c>
      <c r="M159" s="104" t="s">
        <v>1323</v>
      </c>
      <c r="N159" s="110" t="s">
        <v>1324</v>
      </c>
      <c r="O159" s="110">
        <v>2160.0</v>
      </c>
      <c r="P159" s="212">
        <v>2.0640605381841297</v>
      </c>
    </row>
    <row r="160" ht="14.25" hidden="1" customHeight="1">
      <c r="A160" s="103" t="s">
        <v>84</v>
      </c>
      <c r="B160" s="103" t="s">
        <v>120</v>
      </c>
      <c r="C160" s="103" t="s">
        <v>1266</v>
      </c>
      <c r="D160" s="103" t="s">
        <v>1317</v>
      </c>
      <c r="E160" s="104" t="s">
        <v>1367</v>
      </c>
      <c r="F160" s="110" t="s">
        <v>1465</v>
      </c>
      <c r="G160" s="110"/>
      <c r="H160" s="220" t="s">
        <v>1505</v>
      </c>
      <c r="I160" s="220" t="s">
        <v>4111</v>
      </c>
      <c r="J160" s="103" t="s">
        <v>1507</v>
      </c>
      <c r="K160" s="110"/>
      <c r="L160" s="104" t="s">
        <v>95</v>
      </c>
      <c r="M160" s="104" t="s">
        <v>1323</v>
      </c>
      <c r="N160" s="110" t="s">
        <v>1324</v>
      </c>
      <c r="O160" s="110">
        <v>1920.0</v>
      </c>
      <c r="P160" s="212">
        <v>2.607332499265586</v>
      </c>
    </row>
    <row r="161" ht="14.25" hidden="1" customHeight="1">
      <c r="A161" s="103" t="s">
        <v>84</v>
      </c>
      <c r="B161" s="103" t="s">
        <v>120</v>
      </c>
      <c r="C161" s="103" t="s">
        <v>1266</v>
      </c>
      <c r="D161" s="103" t="s">
        <v>1317</v>
      </c>
      <c r="E161" s="104" t="s">
        <v>1367</v>
      </c>
      <c r="F161" s="110" t="s">
        <v>1465</v>
      </c>
      <c r="G161" s="110"/>
      <c r="H161" s="220" t="s">
        <v>1508</v>
      </c>
      <c r="I161" s="220" t="s">
        <v>4112</v>
      </c>
      <c r="J161" s="103" t="s">
        <v>1510</v>
      </c>
      <c r="K161" s="110"/>
      <c r="L161" s="104" t="s">
        <v>95</v>
      </c>
      <c r="M161" s="104" t="s">
        <v>1323</v>
      </c>
      <c r="N161" s="110" t="s">
        <v>1324</v>
      </c>
      <c r="O161" s="110">
        <v>1920.0</v>
      </c>
      <c r="P161" s="212">
        <v>3.1419670916350473</v>
      </c>
    </row>
    <row r="162" ht="14.25" hidden="1" customHeight="1">
      <c r="A162" s="103" t="s">
        <v>84</v>
      </c>
      <c r="B162" s="103" t="s">
        <v>120</v>
      </c>
      <c r="C162" s="103" t="s">
        <v>1266</v>
      </c>
      <c r="D162" s="103" t="s">
        <v>1317</v>
      </c>
      <c r="E162" s="104" t="s">
        <v>1367</v>
      </c>
      <c r="F162" s="110" t="s">
        <v>1465</v>
      </c>
      <c r="G162" s="110"/>
      <c r="H162" s="220" t="s">
        <v>1511</v>
      </c>
      <c r="I162" s="220" t="s">
        <v>4113</v>
      </c>
      <c r="J162" s="103" t="s">
        <v>1513</v>
      </c>
      <c r="K162" s="110"/>
      <c r="L162" s="104" t="s">
        <v>95</v>
      </c>
      <c r="M162" s="104" t="s">
        <v>1323</v>
      </c>
      <c r="N162" s="110" t="s">
        <v>1324</v>
      </c>
      <c r="O162" s="110">
        <v>1440.0</v>
      </c>
      <c r="P162" s="212">
        <v>4.235259214339039</v>
      </c>
    </row>
    <row r="163" ht="14.25" hidden="1" customHeight="1">
      <c r="A163" s="103" t="s">
        <v>84</v>
      </c>
      <c r="B163" s="103" t="s">
        <v>120</v>
      </c>
      <c r="C163" s="103" t="s">
        <v>1266</v>
      </c>
      <c r="D163" s="103" t="s">
        <v>1317</v>
      </c>
      <c r="E163" s="104" t="s">
        <v>1367</v>
      </c>
      <c r="F163" s="110" t="s">
        <v>1465</v>
      </c>
      <c r="G163" s="110"/>
      <c r="H163" s="220" t="s">
        <v>1514</v>
      </c>
      <c r="I163" s="220" t="s">
        <v>778</v>
      </c>
      <c r="J163" s="103" t="s">
        <v>1516</v>
      </c>
      <c r="K163" s="110"/>
      <c r="L163" s="104" t="s">
        <v>95</v>
      </c>
      <c r="M163" s="104" t="s">
        <v>1323</v>
      </c>
      <c r="N163" s="110" t="s">
        <v>1324</v>
      </c>
      <c r="O163" s="110">
        <v>720.0</v>
      </c>
      <c r="P163" s="212">
        <v>7.306790835393316</v>
      </c>
    </row>
    <row r="164" ht="14.25" hidden="1" customHeight="1">
      <c r="A164" s="103" t="s">
        <v>84</v>
      </c>
      <c r="B164" s="103" t="s">
        <v>120</v>
      </c>
      <c r="C164" s="103" t="s">
        <v>1266</v>
      </c>
      <c r="D164" s="103" t="s">
        <v>1317</v>
      </c>
      <c r="E164" s="104" t="s">
        <v>1367</v>
      </c>
      <c r="F164" s="110" t="s">
        <v>1465</v>
      </c>
      <c r="G164" s="110"/>
      <c r="H164" s="220" t="s">
        <v>1517</v>
      </c>
      <c r="I164" s="220" t="s">
        <v>778</v>
      </c>
      <c r="J164" s="103" t="s">
        <v>1519</v>
      </c>
      <c r="K164" s="110"/>
      <c r="L164" s="104" t="s">
        <v>95</v>
      </c>
      <c r="M164" s="104" t="s">
        <v>1323</v>
      </c>
      <c r="N164" s="110" t="s">
        <v>1324</v>
      </c>
      <c r="O164" s="110">
        <v>480.0</v>
      </c>
      <c r="P164" s="212">
        <v>10.159178948621241</v>
      </c>
    </row>
    <row r="165" ht="14.25" hidden="1" customHeight="1">
      <c r="A165" s="103" t="s">
        <v>84</v>
      </c>
      <c r="B165" s="103" t="s">
        <v>120</v>
      </c>
      <c r="C165" s="103" t="s">
        <v>1266</v>
      </c>
      <c r="D165" s="103" t="s">
        <v>1317</v>
      </c>
      <c r="E165" s="104" t="s">
        <v>1318</v>
      </c>
      <c r="F165" s="110" t="s">
        <v>1520</v>
      </c>
      <c r="G165" s="110"/>
      <c r="H165" s="220" t="s">
        <v>1521</v>
      </c>
      <c r="I165" s="220" t="s">
        <v>4114</v>
      </c>
      <c r="J165" s="103" t="s">
        <v>1523</v>
      </c>
      <c r="K165" s="110"/>
      <c r="L165" s="104" t="s">
        <v>95</v>
      </c>
      <c r="M165" s="104" t="s">
        <v>1323</v>
      </c>
      <c r="N165" s="110" t="s">
        <v>1324</v>
      </c>
      <c r="O165" s="110">
        <v>2160.0</v>
      </c>
      <c r="P165" s="212">
        <v>3.84931685055095</v>
      </c>
    </row>
    <row r="166" ht="14.25" hidden="1" customHeight="1">
      <c r="A166" s="103" t="s">
        <v>84</v>
      </c>
      <c r="B166" s="103" t="s">
        <v>120</v>
      </c>
      <c r="C166" s="103" t="s">
        <v>1266</v>
      </c>
      <c r="D166" s="103" t="s">
        <v>1317</v>
      </c>
      <c r="E166" s="104" t="s">
        <v>1318</v>
      </c>
      <c r="F166" s="110" t="s">
        <v>1520</v>
      </c>
      <c r="G166" s="110"/>
      <c r="H166" s="220" t="s">
        <v>1524</v>
      </c>
      <c r="I166" s="220" t="s">
        <v>4115</v>
      </c>
      <c r="J166" s="103" t="s">
        <v>1526</v>
      </c>
      <c r="K166" s="110"/>
      <c r="L166" s="104" t="s">
        <v>95</v>
      </c>
      <c r="M166" s="104" t="s">
        <v>1323</v>
      </c>
      <c r="N166" s="110" t="s">
        <v>1324</v>
      </c>
      <c r="O166" s="110">
        <v>1920.0</v>
      </c>
      <c r="P166" s="212">
        <v>4.000122618821594</v>
      </c>
    </row>
    <row r="167" ht="14.25" hidden="1" customHeight="1">
      <c r="A167" s="103" t="s">
        <v>84</v>
      </c>
      <c r="B167" s="103" t="s">
        <v>120</v>
      </c>
      <c r="C167" s="103" t="s">
        <v>1266</v>
      </c>
      <c r="D167" s="103" t="s">
        <v>1317</v>
      </c>
      <c r="E167" s="104" t="s">
        <v>1318</v>
      </c>
      <c r="F167" s="110" t="s">
        <v>1520</v>
      </c>
      <c r="G167" s="110"/>
      <c r="H167" s="220" t="s">
        <v>1527</v>
      </c>
      <c r="I167" s="220" t="s">
        <v>4116</v>
      </c>
      <c r="J167" s="103" t="s">
        <v>1529</v>
      </c>
      <c r="K167" s="110"/>
      <c r="L167" s="104" t="s">
        <v>95</v>
      </c>
      <c r="M167" s="104" t="s">
        <v>1323</v>
      </c>
      <c r="N167" s="110" t="s">
        <v>1324</v>
      </c>
      <c r="O167" s="110">
        <v>1920.0</v>
      </c>
      <c r="P167" s="212">
        <v>4.139354313018164</v>
      </c>
    </row>
    <row r="168" ht="14.25" hidden="1" customHeight="1">
      <c r="A168" s="103" t="s">
        <v>84</v>
      </c>
      <c r="B168" s="103" t="s">
        <v>120</v>
      </c>
      <c r="C168" s="103" t="s">
        <v>1266</v>
      </c>
      <c r="D168" s="103" t="s">
        <v>1317</v>
      </c>
      <c r="E168" s="104" t="s">
        <v>1318</v>
      </c>
      <c r="F168" s="110" t="s">
        <v>1520</v>
      </c>
      <c r="G168" s="110"/>
      <c r="H168" s="220" t="s">
        <v>1530</v>
      </c>
      <c r="I168" s="220" t="s">
        <v>4117</v>
      </c>
      <c r="J168" s="103" t="s">
        <v>1532</v>
      </c>
      <c r="K168" s="110"/>
      <c r="L168" s="104" t="s">
        <v>95</v>
      </c>
      <c r="M168" s="104" t="s">
        <v>1323</v>
      </c>
      <c r="N168" s="110" t="s">
        <v>1324</v>
      </c>
      <c r="O168" s="110">
        <v>1440.0</v>
      </c>
      <c r="P168" s="212">
        <v>4.437351011539355</v>
      </c>
    </row>
    <row r="169" ht="14.25" hidden="1" customHeight="1">
      <c r="A169" s="103" t="s">
        <v>84</v>
      </c>
      <c r="B169" s="103" t="s">
        <v>120</v>
      </c>
      <c r="C169" s="103" t="s">
        <v>1266</v>
      </c>
      <c r="D169" s="103" t="s">
        <v>1317</v>
      </c>
      <c r="E169" s="104" t="s">
        <v>1318</v>
      </c>
      <c r="F169" s="110" t="s">
        <v>1520</v>
      </c>
      <c r="G169" s="110"/>
      <c r="H169" s="220" t="s">
        <v>1533</v>
      </c>
      <c r="I169" s="220" t="s">
        <v>778</v>
      </c>
      <c r="J169" s="103" t="s">
        <v>1535</v>
      </c>
      <c r="K169" s="110"/>
      <c r="L169" s="104" t="s">
        <v>95</v>
      </c>
      <c r="M169" s="104" t="s">
        <v>1323</v>
      </c>
      <c r="N169" s="110" t="s">
        <v>1324</v>
      </c>
      <c r="O169" s="110">
        <v>720.0</v>
      </c>
      <c r="P169" s="212">
        <v>5.143292618610636</v>
      </c>
    </row>
    <row r="170" ht="14.25" hidden="1" customHeight="1">
      <c r="A170" s="103" t="s">
        <v>84</v>
      </c>
      <c r="B170" s="103" t="s">
        <v>120</v>
      </c>
      <c r="C170" s="103" t="s">
        <v>1266</v>
      </c>
      <c r="D170" s="103" t="s">
        <v>1317</v>
      </c>
      <c r="E170" s="104" t="s">
        <v>1318</v>
      </c>
      <c r="F170" s="110" t="s">
        <v>1520</v>
      </c>
      <c r="G170" s="110"/>
      <c r="H170" s="220" t="s">
        <v>1536</v>
      </c>
      <c r="I170" s="220" t="s">
        <v>778</v>
      </c>
      <c r="J170" s="103" t="s">
        <v>1538</v>
      </c>
      <c r="K170" s="110"/>
      <c r="L170" s="104" t="s">
        <v>95</v>
      </c>
      <c r="M170" s="104" t="s">
        <v>1323</v>
      </c>
      <c r="N170" s="110" t="s">
        <v>1324</v>
      </c>
      <c r="O170" s="110">
        <v>480.0</v>
      </c>
      <c r="P170" s="212">
        <v>6.003654831972661</v>
      </c>
    </row>
    <row r="171" ht="14.25" hidden="1" customHeight="1">
      <c r="A171" s="103" t="s">
        <v>84</v>
      </c>
      <c r="B171" s="103" t="s">
        <v>120</v>
      </c>
      <c r="C171" s="103" t="s">
        <v>1266</v>
      </c>
      <c r="D171" s="103" t="s">
        <v>1317</v>
      </c>
      <c r="E171" s="104" t="s">
        <v>1340</v>
      </c>
      <c r="F171" s="110" t="s">
        <v>1520</v>
      </c>
      <c r="G171" s="110"/>
      <c r="H171" s="220" t="s">
        <v>1539</v>
      </c>
      <c r="I171" s="220" t="s">
        <v>4118</v>
      </c>
      <c r="J171" s="103" t="s">
        <v>1541</v>
      </c>
      <c r="K171" s="110"/>
      <c r="L171" s="104" t="s">
        <v>95</v>
      </c>
      <c r="M171" s="104" t="s">
        <v>1323</v>
      </c>
      <c r="N171" s="110" t="s">
        <v>1324</v>
      </c>
      <c r="O171" s="110">
        <v>2160.0</v>
      </c>
      <c r="P171" s="212">
        <v>3.84931685055095</v>
      </c>
    </row>
    <row r="172" ht="14.25" hidden="1" customHeight="1">
      <c r="A172" s="103" t="s">
        <v>84</v>
      </c>
      <c r="B172" s="103" t="s">
        <v>120</v>
      </c>
      <c r="C172" s="103" t="s">
        <v>1266</v>
      </c>
      <c r="D172" s="103" t="s">
        <v>1317</v>
      </c>
      <c r="E172" s="104" t="s">
        <v>1340</v>
      </c>
      <c r="F172" s="110" t="s">
        <v>1520</v>
      </c>
      <c r="G172" s="110"/>
      <c r="H172" s="220" t="s">
        <v>1543</v>
      </c>
      <c r="I172" s="220" t="s">
        <v>4119</v>
      </c>
      <c r="J172" s="103" t="s">
        <v>1545</v>
      </c>
      <c r="K172" s="110"/>
      <c r="L172" s="104" t="s">
        <v>95</v>
      </c>
      <c r="M172" s="104" t="s">
        <v>1323</v>
      </c>
      <c r="N172" s="110" t="s">
        <v>1324</v>
      </c>
      <c r="O172" s="110">
        <v>1920.0</v>
      </c>
      <c r="P172" s="212">
        <v>4.000122618821594</v>
      </c>
    </row>
    <row r="173" ht="14.25" hidden="1" customHeight="1">
      <c r="A173" s="103" t="s">
        <v>84</v>
      </c>
      <c r="B173" s="103" t="s">
        <v>120</v>
      </c>
      <c r="C173" s="103" t="s">
        <v>1266</v>
      </c>
      <c r="D173" s="103" t="s">
        <v>1317</v>
      </c>
      <c r="E173" s="104" t="s">
        <v>1340</v>
      </c>
      <c r="F173" s="110" t="s">
        <v>1520</v>
      </c>
      <c r="G173" s="110"/>
      <c r="H173" s="220" t="s">
        <v>1546</v>
      </c>
      <c r="I173" s="220" t="s">
        <v>4120</v>
      </c>
      <c r="J173" s="103" t="s">
        <v>1548</v>
      </c>
      <c r="K173" s="110"/>
      <c r="L173" s="104" t="s">
        <v>95</v>
      </c>
      <c r="M173" s="104" t="s">
        <v>1323</v>
      </c>
      <c r="N173" s="110" t="s">
        <v>1324</v>
      </c>
      <c r="O173" s="110">
        <v>1920.0</v>
      </c>
      <c r="P173" s="212">
        <v>4.139354313018164</v>
      </c>
    </row>
    <row r="174" ht="14.25" hidden="1" customHeight="1">
      <c r="A174" s="103" t="s">
        <v>84</v>
      </c>
      <c r="B174" s="103" t="s">
        <v>120</v>
      </c>
      <c r="C174" s="103" t="s">
        <v>1266</v>
      </c>
      <c r="D174" s="103" t="s">
        <v>1317</v>
      </c>
      <c r="E174" s="104" t="s">
        <v>1340</v>
      </c>
      <c r="F174" s="110" t="s">
        <v>1520</v>
      </c>
      <c r="G174" s="110"/>
      <c r="H174" s="220" t="s">
        <v>1549</v>
      </c>
      <c r="I174" s="220" t="s">
        <v>4121</v>
      </c>
      <c r="J174" s="103" t="s">
        <v>1551</v>
      </c>
      <c r="K174" s="110"/>
      <c r="L174" s="104" t="s">
        <v>95</v>
      </c>
      <c r="M174" s="104" t="s">
        <v>1323</v>
      </c>
      <c r="N174" s="110" t="s">
        <v>1324</v>
      </c>
      <c r="O174" s="110">
        <v>1440.0</v>
      </c>
      <c r="P174" s="212">
        <v>4.437351011539355</v>
      </c>
    </row>
    <row r="175" ht="14.25" hidden="1" customHeight="1">
      <c r="A175" s="103" t="s">
        <v>84</v>
      </c>
      <c r="B175" s="103" t="s">
        <v>120</v>
      </c>
      <c r="C175" s="103" t="s">
        <v>1266</v>
      </c>
      <c r="D175" s="103" t="s">
        <v>1317</v>
      </c>
      <c r="E175" s="104" t="s">
        <v>1340</v>
      </c>
      <c r="F175" s="110" t="s">
        <v>1520</v>
      </c>
      <c r="G175" s="110"/>
      <c r="H175" s="220" t="s">
        <v>1552</v>
      </c>
      <c r="I175" s="220" t="s">
        <v>1553</v>
      </c>
      <c r="J175" s="103" t="s">
        <v>1555</v>
      </c>
      <c r="K175" s="110"/>
      <c r="L175" s="104" t="s">
        <v>95</v>
      </c>
      <c r="M175" s="104" t="s">
        <v>1323</v>
      </c>
      <c r="N175" s="110" t="s">
        <v>1324</v>
      </c>
      <c r="O175" s="110">
        <v>720.0</v>
      </c>
      <c r="P175" s="212">
        <v>5.143292618610636</v>
      </c>
    </row>
    <row r="176" ht="14.25" hidden="1" customHeight="1">
      <c r="A176" s="103" t="s">
        <v>84</v>
      </c>
      <c r="B176" s="103" t="s">
        <v>120</v>
      </c>
      <c r="C176" s="103" t="s">
        <v>1266</v>
      </c>
      <c r="D176" s="103" t="s">
        <v>1317</v>
      </c>
      <c r="E176" s="104" t="s">
        <v>1340</v>
      </c>
      <c r="F176" s="110" t="s">
        <v>1520</v>
      </c>
      <c r="G176" s="110"/>
      <c r="H176" s="220" t="s">
        <v>1556</v>
      </c>
      <c r="I176" s="220" t="s">
        <v>1557</v>
      </c>
      <c r="J176" s="103" t="s">
        <v>1559</v>
      </c>
      <c r="K176" s="110"/>
      <c r="L176" s="104" t="s">
        <v>95</v>
      </c>
      <c r="M176" s="104" t="s">
        <v>1323</v>
      </c>
      <c r="N176" s="110" t="s">
        <v>1324</v>
      </c>
      <c r="O176" s="110">
        <v>480.0</v>
      </c>
      <c r="P176" s="212">
        <v>6.003654831972661</v>
      </c>
    </row>
    <row r="177" ht="14.25" hidden="1" customHeight="1">
      <c r="A177" s="103" t="s">
        <v>84</v>
      </c>
      <c r="B177" s="103" t="s">
        <v>120</v>
      </c>
      <c r="C177" s="103" t="s">
        <v>1266</v>
      </c>
      <c r="D177" s="103" t="s">
        <v>1317</v>
      </c>
      <c r="E177" s="104" t="s">
        <v>1340</v>
      </c>
      <c r="F177" s="110" t="s">
        <v>1520</v>
      </c>
      <c r="G177" s="110"/>
      <c r="H177" s="220" t="s">
        <v>1560</v>
      </c>
      <c r="I177" s="220" t="s">
        <v>1561</v>
      </c>
      <c r="J177" s="103" t="s">
        <v>1563</v>
      </c>
      <c r="K177" s="110"/>
      <c r="L177" s="104" t="s">
        <v>95</v>
      </c>
      <c r="M177" s="104" t="s">
        <v>1323</v>
      </c>
      <c r="N177" s="110" t="s">
        <v>1324</v>
      </c>
      <c r="O177" s="110"/>
      <c r="P177" s="212"/>
    </row>
    <row r="178" ht="14.25" hidden="1" customHeight="1">
      <c r="A178" s="103" t="s">
        <v>84</v>
      </c>
      <c r="B178" s="103" t="s">
        <v>120</v>
      </c>
      <c r="C178" s="103" t="s">
        <v>1266</v>
      </c>
      <c r="D178" s="103" t="s">
        <v>1317</v>
      </c>
      <c r="E178" s="104" t="s">
        <v>1367</v>
      </c>
      <c r="F178" s="110" t="s">
        <v>1520</v>
      </c>
      <c r="G178" s="110"/>
      <c r="H178" s="220" t="s">
        <v>1564</v>
      </c>
      <c r="I178" s="220" t="s">
        <v>4122</v>
      </c>
      <c r="J178" s="103" t="s">
        <v>1566</v>
      </c>
      <c r="K178" s="110"/>
      <c r="L178" s="104" t="s">
        <v>95</v>
      </c>
      <c r="M178" s="104" t="s">
        <v>1323</v>
      </c>
      <c r="N178" s="110" t="s">
        <v>1324</v>
      </c>
      <c r="O178" s="110">
        <v>2160.0</v>
      </c>
      <c r="P178" s="212">
        <v>3.84931685055095</v>
      </c>
    </row>
    <row r="179" ht="14.25" hidden="1" customHeight="1">
      <c r="A179" s="103" t="s">
        <v>84</v>
      </c>
      <c r="B179" s="103" t="s">
        <v>120</v>
      </c>
      <c r="C179" s="103" t="s">
        <v>1266</v>
      </c>
      <c r="D179" s="103" t="s">
        <v>1317</v>
      </c>
      <c r="E179" s="104" t="s">
        <v>1367</v>
      </c>
      <c r="F179" s="110" t="s">
        <v>1520</v>
      </c>
      <c r="G179" s="110"/>
      <c r="H179" s="220" t="s">
        <v>1568</v>
      </c>
      <c r="I179" s="220" t="s">
        <v>4123</v>
      </c>
      <c r="J179" s="103" t="s">
        <v>1570</v>
      </c>
      <c r="K179" s="110"/>
      <c r="L179" s="104" t="s">
        <v>95</v>
      </c>
      <c r="M179" s="104" t="s">
        <v>1323</v>
      </c>
      <c r="N179" s="110" t="s">
        <v>1324</v>
      </c>
      <c r="O179" s="110">
        <v>1920.0</v>
      </c>
      <c r="P179" s="212">
        <v>4.000122618821594</v>
      </c>
    </row>
    <row r="180" ht="14.25" hidden="1" customHeight="1">
      <c r="A180" s="103" t="s">
        <v>84</v>
      </c>
      <c r="B180" s="103" t="s">
        <v>120</v>
      </c>
      <c r="C180" s="103" t="s">
        <v>1266</v>
      </c>
      <c r="D180" s="103" t="s">
        <v>1317</v>
      </c>
      <c r="E180" s="104" t="s">
        <v>1367</v>
      </c>
      <c r="F180" s="110" t="s">
        <v>1520</v>
      </c>
      <c r="G180" s="110"/>
      <c r="H180" s="220" t="s">
        <v>1571</v>
      </c>
      <c r="I180" s="220" t="s">
        <v>4124</v>
      </c>
      <c r="J180" s="103" t="s">
        <v>1573</v>
      </c>
      <c r="K180" s="110"/>
      <c r="L180" s="104" t="s">
        <v>95</v>
      </c>
      <c r="M180" s="104" t="s">
        <v>1323</v>
      </c>
      <c r="N180" s="110" t="s">
        <v>1324</v>
      </c>
      <c r="O180" s="110">
        <v>1920.0</v>
      </c>
      <c r="P180" s="212">
        <v>4.139354313018164</v>
      </c>
    </row>
    <row r="181" ht="14.25" hidden="1" customHeight="1">
      <c r="A181" s="103" t="s">
        <v>84</v>
      </c>
      <c r="B181" s="103" t="s">
        <v>120</v>
      </c>
      <c r="C181" s="103" t="s">
        <v>1266</v>
      </c>
      <c r="D181" s="103" t="s">
        <v>1317</v>
      </c>
      <c r="E181" s="104" t="s">
        <v>1367</v>
      </c>
      <c r="F181" s="110" t="s">
        <v>1520</v>
      </c>
      <c r="G181" s="110"/>
      <c r="H181" s="220" t="s">
        <v>1575</v>
      </c>
      <c r="I181" s="220" t="s">
        <v>4125</v>
      </c>
      <c r="J181" s="103" t="s">
        <v>1577</v>
      </c>
      <c r="K181" s="110"/>
      <c r="L181" s="104" t="s">
        <v>95</v>
      </c>
      <c r="M181" s="104" t="s">
        <v>1323</v>
      </c>
      <c r="N181" s="110" t="s">
        <v>1324</v>
      </c>
      <c r="O181" s="110">
        <v>1440.0</v>
      </c>
      <c r="P181" s="212">
        <v>4.437351011539355</v>
      </c>
    </row>
    <row r="182" ht="14.25" hidden="1" customHeight="1">
      <c r="A182" s="103" t="s">
        <v>84</v>
      </c>
      <c r="B182" s="103" t="s">
        <v>120</v>
      </c>
      <c r="C182" s="103" t="s">
        <v>1266</v>
      </c>
      <c r="D182" s="103" t="s">
        <v>1317</v>
      </c>
      <c r="E182" s="104" t="s">
        <v>1367</v>
      </c>
      <c r="F182" s="110" t="s">
        <v>1520</v>
      </c>
      <c r="G182" s="110"/>
      <c r="H182" s="220" t="s">
        <v>1579</v>
      </c>
      <c r="I182" s="220" t="s">
        <v>1580</v>
      </c>
      <c r="J182" s="103" t="s">
        <v>1582</v>
      </c>
      <c r="K182" s="110"/>
      <c r="L182" s="104" t="s">
        <v>95</v>
      </c>
      <c r="M182" s="104" t="s">
        <v>1323</v>
      </c>
      <c r="N182" s="110" t="s">
        <v>1324</v>
      </c>
      <c r="O182" s="110">
        <v>720.0</v>
      </c>
      <c r="P182" s="212">
        <v>5.143292618610636</v>
      </c>
    </row>
    <row r="183" ht="14.25" hidden="1" customHeight="1">
      <c r="A183" s="103" t="s">
        <v>84</v>
      </c>
      <c r="B183" s="103" t="s">
        <v>120</v>
      </c>
      <c r="C183" s="103" t="s">
        <v>1266</v>
      </c>
      <c r="D183" s="103" t="s">
        <v>1317</v>
      </c>
      <c r="E183" s="104" t="s">
        <v>1367</v>
      </c>
      <c r="F183" s="110" t="s">
        <v>1520</v>
      </c>
      <c r="G183" s="110"/>
      <c r="H183" s="220" t="s">
        <v>1583</v>
      </c>
      <c r="I183" s="220" t="s">
        <v>1584</v>
      </c>
      <c r="J183" s="103" t="s">
        <v>1586</v>
      </c>
      <c r="K183" s="110"/>
      <c r="L183" s="104" t="s">
        <v>95</v>
      </c>
      <c r="M183" s="104" t="s">
        <v>1323</v>
      </c>
      <c r="N183" s="110" t="s">
        <v>1324</v>
      </c>
      <c r="O183" s="110">
        <v>480.0</v>
      </c>
      <c r="P183" s="212">
        <v>6.003654831972661</v>
      </c>
    </row>
    <row r="184" ht="14.25" hidden="1" customHeight="1">
      <c r="A184" s="103" t="s">
        <v>84</v>
      </c>
      <c r="B184" s="103" t="s">
        <v>120</v>
      </c>
      <c r="C184" s="103" t="s">
        <v>1266</v>
      </c>
      <c r="D184" s="103" t="s">
        <v>1317</v>
      </c>
      <c r="E184" s="104" t="s">
        <v>1367</v>
      </c>
      <c r="F184" s="110" t="s">
        <v>1520</v>
      </c>
      <c r="G184" s="110"/>
      <c r="H184" s="220" t="s">
        <v>1587</v>
      </c>
      <c r="I184" s="220" t="s">
        <v>1561</v>
      </c>
      <c r="J184" s="103" t="s">
        <v>1589</v>
      </c>
      <c r="K184" s="110"/>
      <c r="L184" s="104" t="s">
        <v>95</v>
      </c>
      <c r="M184" s="104" t="s">
        <v>1323</v>
      </c>
      <c r="N184" s="110" t="s">
        <v>1324</v>
      </c>
      <c r="O184" s="110"/>
      <c r="P184" s="212"/>
    </row>
    <row r="185" ht="14.25" hidden="1" customHeight="1">
      <c r="A185" s="103" t="s">
        <v>84</v>
      </c>
      <c r="B185" s="103" t="s">
        <v>120</v>
      </c>
      <c r="C185" s="103" t="s">
        <v>1266</v>
      </c>
      <c r="D185" s="103" t="s">
        <v>1317</v>
      </c>
      <c r="E185" s="104" t="s">
        <v>1367</v>
      </c>
      <c r="F185" s="110" t="s">
        <v>1520</v>
      </c>
      <c r="G185" s="110"/>
      <c r="H185" s="220" t="s">
        <v>1564</v>
      </c>
      <c r="I185" s="220" t="s">
        <v>4122</v>
      </c>
      <c r="J185" s="103" t="s">
        <v>1566</v>
      </c>
      <c r="K185" s="110"/>
      <c r="L185" s="104" t="s">
        <v>95</v>
      </c>
      <c r="M185" s="104" t="s">
        <v>1323</v>
      </c>
      <c r="N185" s="110" t="s">
        <v>1324</v>
      </c>
      <c r="O185" s="110">
        <v>2160.0</v>
      </c>
      <c r="P185" s="212">
        <v>3.84931685055095</v>
      </c>
    </row>
    <row r="186" ht="14.25" hidden="1" customHeight="1">
      <c r="A186" s="103" t="s">
        <v>84</v>
      </c>
      <c r="B186" s="103" t="s">
        <v>120</v>
      </c>
      <c r="C186" s="103" t="s">
        <v>1266</v>
      </c>
      <c r="D186" s="103" t="s">
        <v>1317</v>
      </c>
      <c r="E186" s="104" t="s">
        <v>1367</v>
      </c>
      <c r="F186" s="110" t="s">
        <v>1520</v>
      </c>
      <c r="G186" s="110"/>
      <c r="H186" s="220" t="s">
        <v>1568</v>
      </c>
      <c r="I186" s="220" t="s">
        <v>4123</v>
      </c>
      <c r="J186" s="103" t="s">
        <v>1570</v>
      </c>
      <c r="K186" s="110"/>
      <c r="L186" s="104" t="s">
        <v>95</v>
      </c>
      <c r="M186" s="104" t="s">
        <v>1323</v>
      </c>
      <c r="N186" s="110" t="s">
        <v>1324</v>
      </c>
      <c r="O186" s="110">
        <v>1920.0</v>
      </c>
      <c r="P186" s="212">
        <v>4.000122618821594</v>
      </c>
    </row>
    <row r="187" ht="14.25" hidden="1" customHeight="1">
      <c r="A187" s="103" t="s">
        <v>84</v>
      </c>
      <c r="B187" s="103" t="s">
        <v>120</v>
      </c>
      <c r="C187" s="103" t="s">
        <v>1266</v>
      </c>
      <c r="D187" s="103" t="s">
        <v>1317</v>
      </c>
      <c r="E187" s="104" t="s">
        <v>1367</v>
      </c>
      <c r="F187" s="110" t="s">
        <v>1520</v>
      </c>
      <c r="G187" s="110"/>
      <c r="H187" s="220" t="s">
        <v>1571</v>
      </c>
      <c r="I187" s="220" t="s">
        <v>4124</v>
      </c>
      <c r="J187" s="103" t="s">
        <v>1573</v>
      </c>
      <c r="K187" s="110"/>
      <c r="L187" s="104" t="s">
        <v>95</v>
      </c>
      <c r="M187" s="104" t="s">
        <v>1323</v>
      </c>
      <c r="N187" s="110" t="s">
        <v>1324</v>
      </c>
      <c r="O187" s="110">
        <v>1920.0</v>
      </c>
      <c r="P187" s="212">
        <v>4.139354313018164</v>
      </c>
    </row>
    <row r="188" ht="14.25" hidden="1" customHeight="1">
      <c r="A188" s="103" t="s">
        <v>84</v>
      </c>
      <c r="B188" s="103" t="s">
        <v>120</v>
      </c>
      <c r="C188" s="103" t="s">
        <v>1266</v>
      </c>
      <c r="D188" s="103" t="s">
        <v>1317</v>
      </c>
      <c r="E188" s="104" t="s">
        <v>1367</v>
      </c>
      <c r="F188" s="110" t="s">
        <v>1520</v>
      </c>
      <c r="G188" s="110"/>
      <c r="H188" s="220" t="s">
        <v>1575</v>
      </c>
      <c r="I188" s="220" t="s">
        <v>4125</v>
      </c>
      <c r="J188" s="103" t="s">
        <v>1577</v>
      </c>
      <c r="K188" s="110"/>
      <c r="L188" s="104" t="s">
        <v>95</v>
      </c>
      <c r="M188" s="104" t="s">
        <v>1323</v>
      </c>
      <c r="N188" s="110" t="s">
        <v>1324</v>
      </c>
      <c r="O188" s="110">
        <v>1440.0</v>
      </c>
      <c r="P188" s="212">
        <v>4.437351011539355</v>
      </c>
    </row>
    <row r="189" ht="14.25" hidden="1" customHeight="1">
      <c r="A189" s="103" t="s">
        <v>84</v>
      </c>
      <c r="B189" s="103" t="s">
        <v>120</v>
      </c>
      <c r="C189" s="103" t="s">
        <v>1266</v>
      </c>
      <c r="D189" s="103" t="s">
        <v>1317</v>
      </c>
      <c r="E189" s="104" t="s">
        <v>1367</v>
      </c>
      <c r="F189" s="110" t="s">
        <v>1520</v>
      </c>
      <c r="G189" s="110"/>
      <c r="H189" s="220" t="s">
        <v>1587</v>
      </c>
      <c r="I189" s="220" t="s">
        <v>1590</v>
      </c>
      <c r="J189" s="103" t="s">
        <v>1589</v>
      </c>
      <c r="K189" s="110"/>
      <c r="L189" s="104" t="s">
        <v>95</v>
      </c>
      <c r="M189" s="104" t="s">
        <v>1323</v>
      </c>
      <c r="N189" s="110" t="s">
        <v>1324</v>
      </c>
      <c r="O189" s="110"/>
      <c r="P189" s="212"/>
    </row>
    <row r="190" ht="14.25" hidden="1" customHeight="1">
      <c r="A190" s="103" t="s">
        <v>84</v>
      </c>
      <c r="B190" s="103" t="s">
        <v>120</v>
      </c>
      <c r="C190" s="103" t="s">
        <v>1266</v>
      </c>
      <c r="D190" s="103" t="s">
        <v>1317</v>
      </c>
      <c r="E190" s="104" t="s">
        <v>1318</v>
      </c>
      <c r="F190" s="110" t="s">
        <v>1591</v>
      </c>
      <c r="G190" s="110"/>
      <c r="H190" s="220" t="s">
        <v>1592</v>
      </c>
      <c r="I190" s="220" t="s">
        <v>778</v>
      </c>
      <c r="J190" s="103" t="s">
        <v>1523</v>
      </c>
      <c r="K190" s="110"/>
      <c r="L190" s="104" t="s">
        <v>95</v>
      </c>
      <c r="M190" s="104" t="s">
        <v>1323</v>
      </c>
      <c r="N190" s="110" t="s">
        <v>1324</v>
      </c>
      <c r="O190" s="110">
        <v>2160.0</v>
      </c>
      <c r="P190" s="212">
        <v>3.8619742772960928</v>
      </c>
    </row>
    <row r="191" ht="14.25" hidden="1" customHeight="1">
      <c r="A191" s="103" t="s">
        <v>84</v>
      </c>
      <c r="B191" s="103" t="s">
        <v>120</v>
      </c>
      <c r="C191" s="103" t="s">
        <v>1266</v>
      </c>
      <c r="D191" s="103" t="s">
        <v>1317</v>
      </c>
      <c r="E191" s="104" t="s">
        <v>1318</v>
      </c>
      <c r="F191" s="110" t="s">
        <v>1591</v>
      </c>
      <c r="G191" s="110"/>
      <c r="H191" s="220" t="s">
        <v>1593</v>
      </c>
      <c r="I191" s="220" t="s">
        <v>778</v>
      </c>
      <c r="J191" s="103" t="s">
        <v>1526</v>
      </c>
      <c r="K191" s="110"/>
      <c r="L191" s="104" t="s">
        <v>95</v>
      </c>
      <c r="M191" s="104" t="s">
        <v>1323</v>
      </c>
      <c r="N191" s="110" t="s">
        <v>1324</v>
      </c>
      <c r="O191" s="110">
        <v>1920.0</v>
      </c>
      <c r="P191" s="212">
        <v>4.025437472311879</v>
      </c>
    </row>
    <row r="192" ht="14.25" hidden="1" customHeight="1">
      <c r="A192" s="103" t="s">
        <v>84</v>
      </c>
      <c r="B192" s="103" t="s">
        <v>120</v>
      </c>
      <c r="C192" s="103" t="s">
        <v>1266</v>
      </c>
      <c r="D192" s="103" t="s">
        <v>1317</v>
      </c>
      <c r="E192" s="104" t="s">
        <v>1318</v>
      </c>
      <c r="F192" s="110" t="s">
        <v>1591</v>
      </c>
      <c r="G192" s="110"/>
      <c r="H192" s="220" t="s">
        <v>1594</v>
      </c>
      <c r="I192" s="220" t="s">
        <v>778</v>
      </c>
      <c r="J192" s="103" t="s">
        <v>1529</v>
      </c>
      <c r="K192" s="110"/>
      <c r="L192" s="104" t="s">
        <v>95</v>
      </c>
      <c r="M192" s="104" t="s">
        <v>1323</v>
      </c>
      <c r="N192" s="110" t="s">
        <v>1324</v>
      </c>
      <c r="O192" s="110">
        <v>1920.0</v>
      </c>
      <c r="P192" s="212">
        <v>4.177326593253592</v>
      </c>
    </row>
    <row r="193" ht="14.25" hidden="1" customHeight="1">
      <c r="A193" s="103" t="s">
        <v>84</v>
      </c>
      <c r="B193" s="103" t="s">
        <v>120</v>
      </c>
      <c r="C193" s="103" t="s">
        <v>1266</v>
      </c>
      <c r="D193" s="103" t="s">
        <v>1317</v>
      </c>
      <c r="E193" s="104" t="s">
        <v>1318</v>
      </c>
      <c r="F193" s="110" t="s">
        <v>1591</v>
      </c>
      <c r="G193" s="110"/>
      <c r="H193" s="220" t="s">
        <v>1595</v>
      </c>
      <c r="I193" s="220" t="s">
        <v>778</v>
      </c>
      <c r="J193" s="103" t="s">
        <v>1532</v>
      </c>
      <c r="K193" s="110"/>
      <c r="L193" s="104" t="s">
        <v>95</v>
      </c>
      <c r="M193" s="104" t="s">
        <v>1323</v>
      </c>
      <c r="N193" s="110" t="s">
        <v>1324</v>
      </c>
      <c r="O193" s="110">
        <v>1440.0</v>
      </c>
      <c r="P193" s="212">
        <v>4.500638145265069</v>
      </c>
    </row>
    <row r="194" ht="14.25" hidden="1" customHeight="1">
      <c r="A194" s="103" t="s">
        <v>84</v>
      </c>
      <c r="B194" s="103" t="s">
        <v>120</v>
      </c>
      <c r="C194" s="103" t="s">
        <v>1266</v>
      </c>
      <c r="D194" s="103" t="s">
        <v>1317</v>
      </c>
      <c r="E194" s="104" t="s">
        <v>1318</v>
      </c>
      <c r="F194" s="110" t="s">
        <v>1591</v>
      </c>
      <c r="G194" s="110"/>
      <c r="H194" s="220" t="s">
        <v>1596</v>
      </c>
      <c r="I194" s="220" t="s">
        <v>778</v>
      </c>
      <c r="J194" s="103" t="s">
        <v>1535</v>
      </c>
      <c r="K194" s="110"/>
      <c r="L194" s="104" t="s">
        <v>95</v>
      </c>
      <c r="M194" s="104" t="s">
        <v>1323</v>
      </c>
      <c r="N194" s="110" t="s">
        <v>1324</v>
      </c>
      <c r="O194" s="110">
        <v>720.0</v>
      </c>
      <c r="P194" s="212">
        <v>5.269866886062063</v>
      </c>
    </row>
    <row r="195" ht="14.25" hidden="1" customHeight="1">
      <c r="A195" s="103" t="s">
        <v>84</v>
      </c>
      <c r="B195" s="103" t="s">
        <v>120</v>
      </c>
      <c r="C195" s="103" t="s">
        <v>1266</v>
      </c>
      <c r="D195" s="103" t="s">
        <v>1317</v>
      </c>
      <c r="E195" s="104" t="s">
        <v>1318</v>
      </c>
      <c r="F195" s="110" t="s">
        <v>1591</v>
      </c>
      <c r="G195" s="110"/>
      <c r="H195" s="220" t="s">
        <v>1597</v>
      </c>
      <c r="I195" s="220" t="s">
        <v>778</v>
      </c>
      <c r="J195" s="103" t="s">
        <v>1538</v>
      </c>
      <c r="K195" s="110"/>
      <c r="L195" s="104" t="s">
        <v>95</v>
      </c>
      <c r="M195" s="104" t="s">
        <v>1323</v>
      </c>
      <c r="N195" s="110" t="s">
        <v>1324</v>
      </c>
      <c r="O195" s="110">
        <v>480.0</v>
      </c>
      <c r="P195" s="212">
        <v>6.1935162331498015</v>
      </c>
    </row>
    <row r="196" ht="14.25" hidden="1" customHeight="1">
      <c r="A196" s="103" t="s">
        <v>84</v>
      </c>
      <c r="B196" s="103" t="s">
        <v>120</v>
      </c>
      <c r="C196" s="103" t="s">
        <v>1266</v>
      </c>
      <c r="D196" s="103" t="s">
        <v>1317</v>
      </c>
      <c r="E196" s="104" t="s">
        <v>1340</v>
      </c>
      <c r="F196" s="110" t="s">
        <v>1591</v>
      </c>
      <c r="G196" s="110"/>
      <c r="H196" s="220" t="s">
        <v>1598</v>
      </c>
      <c r="I196" s="220" t="s">
        <v>778</v>
      </c>
      <c r="J196" s="103" t="s">
        <v>1541</v>
      </c>
      <c r="K196" s="110"/>
      <c r="L196" s="104" t="s">
        <v>95</v>
      </c>
      <c r="M196" s="104" t="s">
        <v>1323</v>
      </c>
      <c r="N196" s="110" t="s">
        <v>1324</v>
      </c>
      <c r="O196" s="110">
        <v>2160.0</v>
      </c>
      <c r="P196" s="212">
        <v>3.8619742772960928</v>
      </c>
    </row>
    <row r="197" ht="14.25" hidden="1" customHeight="1">
      <c r="A197" s="103" t="s">
        <v>84</v>
      </c>
      <c r="B197" s="103" t="s">
        <v>120</v>
      </c>
      <c r="C197" s="103" t="s">
        <v>1266</v>
      </c>
      <c r="D197" s="103" t="s">
        <v>1317</v>
      </c>
      <c r="E197" s="104" t="s">
        <v>1340</v>
      </c>
      <c r="F197" s="110" t="s">
        <v>1591</v>
      </c>
      <c r="G197" s="110"/>
      <c r="H197" s="220" t="s">
        <v>1599</v>
      </c>
      <c r="I197" s="220" t="s">
        <v>778</v>
      </c>
      <c r="J197" s="103" t="s">
        <v>1545</v>
      </c>
      <c r="K197" s="110"/>
      <c r="L197" s="104" t="s">
        <v>95</v>
      </c>
      <c r="M197" s="104" t="s">
        <v>1323</v>
      </c>
      <c r="N197" s="110" t="s">
        <v>1324</v>
      </c>
      <c r="O197" s="110">
        <v>1920.0</v>
      </c>
      <c r="P197" s="212">
        <v>4.025437472311879</v>
      </c>
    </row>
    <row r="198" ht="14.25" hidden="1" customHeight="1">
      <c r="A198" s="103" t="s">
        <v>84</v>
      </c>
      <c r="B198" s="103" t="s">
        <v>120</v>
      </c>
      <c r="C198" s="103" t="s">
        <v>1266</v>
      </c>
      <c r="D198" s="103" t="s">
        <v>1317</v>
      </c>
      <c r="E198" s="104" t="s">
        <v>1340</v>
      </c>
      <c r="F198" s="110" t="s">
        <v>1591</v>
      </c>
      <c r="G198" s="110"/>
      <c r="H198" s="220" t="s">
        <v>1600</v>
      </c>
      <c r="I198" s="220" t="s">
        <v>778</v>
      </c>
      <c r="J198" s="103" t="s">
        <v>1548</v>
      </c>
      <c r="K198" s="110"/>
      <c r="L198" s="104" t="s">
        <v>95</v>
      </c>
      <c r="M198" s="104" t="s">
        <v>1323</v>
      </c>
      <c r="N198" s="110" t="s">
        <v>1324</v>
      </c>
      <c r="O198" s="110">
        <v>1920.0</v>
      </c>
      <c r="P198" s="212">
        <v>4.177326593253592</v>
      </c>
    </row>
    <row r="199" ht="14.25" hidden="1" customHeight="1">
      <c r="A199" s="103" t="s">
        <v>84</v>
      </c>
      <c r="B199" s="103" t="s">
        <v>120</v>
      </c>
      <c r="C199" s="103" t="s">
        <v>1266</v>
      </c>
      <c r="D199" s="103" t="s">
        <v>1317</v>
      </c>
      <c r="E199" s="104" t="s">
        <v>1340</v>
      </c>
      <c r="F199" s="110" t="s">
        <v>1591</v>
      </c>
      <c r="G199" s="110"/>
      <c r="H199" s="220" t="s">
        <v>1601</v>
      </c>
      <c r="I199" s="220" t="s">
        <v>778</v>
      </c>
      <c r="J199" s="103" t="s">
        <v>1551</v>
      </c>
      <c r="K199" s="110"/>
      <c r="L199" s="104" t="s">
        <v>95</v>
      </c>
      <c r="M199" s="104" t="s">
        <v>1323</v>
      </c>
      <c r="N199" s="110" t="s">
        <v>1324</v>
      </c>
      <c r="O199" s="110">
        <v>1440.0</v>
      </c>
      <c r="P199" s="212">
        <v>4.500638145265069</v>
      </c>
    </row>
    <row r="200" ht="14.25" hidden="1" customHeight="1">
      <c r="A200" s="103" t="s">
        <v>84</v>
      </c>
      <c r="B200" s="103" t="s">
        <v>120</v>
      </c>
      <c r="C200" s="103" t="s">
        <v>1266</v>
      </c>
      <c r="D200" s="103" t="s">
        <v>1317</v>
      </c>
      <c r="E200" s="104" t="s">
        <v>1340</v>
      </c>
      <c r="F200" s="110" t="s">
        <v>1591</v>
      </c>
      <c r="G200" s="110"/>
      <c r="H200" s="220" t="s">
        <v>1602</v>
      </c>
      <c r="I200" s="220" t="s">
        <v>778</v>
      </c>
      <c r="J200" s="103" t="s">
        <v>1555</v>
      </c>
      <c r="K200" s="110"/>
      <c r="L200" s="104" t="s">
        <v>95</v>
      </c>
      <c r="M200" s="104" t="s">
        <v>1323</v>
      </c>
      <c r="N200" s="110" t="s">
        <v>1324</v>
      </c>
      <c r="O200" s="110">
        <v>720.0</v>
      </c>
      <c r="P200" s="212">
        <v>5.269866886062063</v>
      </c>
    </row>
    <row r="201" ht="14.25" hidden="1" customHeight="1">
      <c r="A201" s="103" t="s">
        <v>84</v>
      </c>
      <c r="B201" s="103" t="s">
        <v>120</v>
      </c>
      <c r="C201" s="103" t="s">
        <v>1266</v>
      </c>
      <c r="D201" s="103" t="s">
        <v>1317</v>
      </c>
      <c r="E201" s="104" t="s">
        <v>1340</v>
      </c>
      <c r="F201" s="110" t="s">
        <v>1591</v>
      </c>
      <c r="G201" s="110"/>
      <c r="H201" s="220" t="s">
        <v>1603</v>
      </c>
      <c r="I201" s="220" t="s">
        <v>778</v>
      </c>
      <c r="J201" s="103" t="s">
        <v>1559</v>
      </c>
      <c r="K201" s="110"/>
      <c r="L201" s="104" t="s">
        <v>95</v>
      </c>
      <c r="M201" s="104" t="s">
        <v>1323</v>
      </c>
      <c r="N201" s="110" t="s">
        <v>1324</v>
      </c>
      <c r="O201" s="110">
        <v>480.0</v>
      </c>
      <c r="P201" s="212">
        <v>6.1935162331498015</v>
      </c>
    </row>
    <row r="202" ht="14.25" hidden="1" customHeight="1">
      <c r="A202" s="103" t="s">
        <v>84</v>
      </c>
      <c r="B202" s="103" t="s">
        <v>120</v>
      </c>
      <c r="C202" s="103" t="s">
        <v>1266</v>
      </c>
      <c r="D202" s="103" t="s">
        <v>1317</v>
      </c>
      <c r="E202" s="104" t="s">
        <v>1367</v>
      </c>
      <c r="F202" s="110" t="s">
        <v>1591</v>
      </c>
      <c r="G202" s="110"/>
      <c r="H202" s="220" t="s">
        <v>1604</v>
      </c>
      <c r="I202" s="220" t="s">
        <v>778</v>
      </c>
      <c r="J202" s="103" t="s">
        <v>1566</v>
      </c>
      <c r="K202" s="110"/>
      <c r="L202" s="104" t="s">
        <v>95</v>
      </c>
      <c r="M202" s="104" t="s">
        <v>1323</v>
      </c>
      <c r="N202" s="110" t="s">
        <v>1324</v>
      </c>
      <c r="O202" s="110">
        <v>2160.0</v>
      </c>
      <c r="P202" s="224">
        <v>3.8619742772960928</v>
      </c>
    </row>
    <row r="203" ht="14.25" hidden="1" customHeight="1">
      <c r="A203" s="103" t="s">
        <v>84</v>
      </c>
      <c r="B203" s="103" t="s">
        <v>120</v>
      </c>
      <c r="C203" s="103" t="s">
        <v>1266</v>
      </c>
      <c r="D203" s="103" t="s">
        <v>1317</v>
      </c>
      <c r="E203" s="104" t="s">
        <v>1367</v>
      </c>
      <c r="F203" s="110" t="s">
        <v>1591</v>
      </c>
      <c r="G203" s="110"/>
      <c r="H203" s="220" t="s">
        <v>1605</v>
      </c>
      <c r="I203" s="220" t="s">
        <v>778</v>
      </c>
      <c r="J203" s="103" t="s">
        <v>1570</v>
      </c>
      <c r="K203" s="110"/>
      <c r="L203" s="104" t="s">
        <v>95</v>
      </c>
      <c r="M203" s="104" t="s">
        <v>1323</v>
      </c>
      <c r="N203" s="110" t="s">
        <v>1324</v>
      </c>
      <c r="O203" s="110">
        <v>1920.0</v>
      </c>
      <c r="P203" s="224">
        <v>4.025437472311879</v>
      </c>
    </row>
    <row r="204" ht="14.25" hidden="1" customHeight="1">
      <c r="A204" s="103" t="s">
        <v>84</v>
      </c>
      <c r="B204" s="103" t="s">
        <v>120</v>
      </c>
      <c r="C204" s="103" t="s">
        <v>1266</v>
      </c>
      <c r="D204" s="103" t="s">
        <v>1317</v>
      </c>
      <c r="E204" s="104" t="s">
        <v>1367</v>
      </c>
      <c r="F204" s="110" t="s">
        <v>1591</v>
      </c>
      <c r="G204" s="110"/>
      <c r="H204" s="220" t="s">
        <v>1606</v>
      </c>
      <c r="I204" s="220" t="s">
        <v>778</v>
      </c>
      <c r="J204" s="103" t="s">
        <v>1573</v>
      </c>
      <c r="K204" s="110"/>
      <c r="L204" s="104" t="s">
        <v>95</v>
      </c>
      <c r="M204" s="104" t="s">
        <v>1323</v>
      </c>
      <c r="N204" s="110" t="s">
        <v>1324</v>
      </c>
      <c r="O204" s="110">
        <v>1920.0</v>
      </c>
      <c r="P204" s="224">
        <v>4.177326593253592</v>
      </c>
    </row>
    <row r="205" ht="14.25" hidden="1" customHeight="1">
      <c r="A205" s="103" t="s">
        <v>84</v>
      </c>
      <c r="B205" s="103" t="s">
        <v>120</v>
      </c>
      <c r="C205" s="103" t="s">
        <v>1266</v>
      </c>
      <c r="D205" s="103" t="s">
        <v>1317</v>
      </c>
      <c r="E205" s="104" t="s">
        <v>1367</v>
      </c>
      <c r="F205" s="110" t="s">
        <v>1591</v>
      </c>
      <c r="G205" s="110"/>
      <c r="H205" s="220" t="s">
        <v>1607</v>
      </c>
      <c r="I205" s="220" t="s">
        <v>778</v>
      </c>
      <c r="J205" s="103" t="s">
        <v>1577</v>
      </c>
      <c r="K205" s="110"/>
      <c r="L205" s="104" t="s">
        <v>95</v>
      </c>
      <c r="M205" s="104" t="s">
        <v>1323</v>
      </c>
      <c r="N205" s="110" t="s">
        <v>1324</v>
      </c>
      <c r="O205" s="110">
        <v>1440.0</v>
      </c>
      <c r="P205" s="224">
        <v>4.500638145265069</v>
      </c>
    </row>
    <row r="206" ht="14.25" hidden="1" customHeight="1">
      <c r="A206" s="103" t="s">
        <v>84</v>
      </c>
      <c r="B206" s="103" t="s">
        <v>120</v>
      </c>
      <c r="C206" s="103" t="s">
        <v>1266</v>
      </c>
      <c r="D206" s="103" t="s">
        <v>1317</v>
      </c>
      <c r="E206" s="104" t="s">
        <v>1367</v>
      </c>
      <c r="F206" s="110" t="s">
        <v>1591</v>
      </c>
      <c r="G206" s="110"/>
      <c r="H206" s="220" t="s">
        <v>1608</v>
      </c>
      <c r="I206" s="220" t="s">
        <v>778</v>
      </c>
      <c r="J206" s="103" t="s">
        <v>1582</v>
      </c>
      <c r="K206" s="110"/>
      <c r="L206" s="104" t="s">
        <v>95</v>
      </c>
      <c r="M206" s="104" t="s">
        <v>1323</v>
      </c>
      <c r="N206" s="110" t="s">
        <v>1324</v>
      </c>
      <c r="O206" s="110">
        <v>720.0</v>
      </c>
      <c r="P206" s="224">
        <v>5.269866886062063</v>
      </c>
    </row>
    <row r="207" ht="14.25" hidden="1" customHeight="1">
      <c r="A207" s="103" t="s">
        <v>84</v>
      </c>
      <c r="B207" s="103" t="s">
        <v>120</v>
      </c>
      <c r="C207" s="103" t="s">
        <v>1266</v>
      </c>
      <c r="D207" s="103" t="s">
        <v>1317</v>
      </c>
      <c r="E207" s="104" t="s">
        <v>1367</v>
      </c>
      <c r="F207" s="110" t="s">
        <v>1591</v>
      </c>
      <c r="G207" s="110"/>
      <c r="H207" s="220" t="s">
        <v>1609</v>
      </c>
      <c r="I207" s="220" t="s">
        <v>778</v>
      </c>
      <c r="J207" s="103" t="s">
        <v>1586</v>
      </c>
      <c r="K207" s="110"/>
      <c r="L207" s="104" t="s">
        <v>95</v>
      </c>
      <c r="M207" s="104" t="s">
        <v>1323</v>
      </c>
      <c r="N207" s="110" t="s">
        <v>1324</v>
      </c>
      <c r="O207" s="110">
        <v>480.0</v>
      </c>
      <c r="P207" s="224">
        <v>6.1935162331498015</v>
      </c>
    </row>
    <row r="208" ht="14.25" hidden="1" customHeight="1">
      <c r="A208" s="103" t="s">
        <v>84</v>
      </c>
      <c r="B208" s="103" t="s">
        <v>120</v>
      </c>
      <c r="C208" s="103" t="s">
        <v>1266</v>
      </c>
      <c r="D208" s="103" t="s">
        <v>1317</v>
      </c>
      <c r="E208" s="104" t="s">
        <v>1367</v>
      </c>
      <c r="F208" s="110" t="s">
        <v>1591</v>
      </c>
      <c r="G208" s="110"/>
      <c r="H208" s="220" t="s">
        <v>1610</v>
      </c>
      <c r="I208" s="220" t="s">
        <v>778</v>
      </c>
      <c r="J208" s="103" t="s">
        <v>1612</v>
      </c>
      <c r="K208" s="110"/>
      <c r="L208" s="104" t="s">
        <v>95</v>
      </c>
      <c r="M208" s="104" t="s">
        <v>1323</v>
      </c>
      <c r="N208" s="110" t="s">
        <v>1324</v>
      </c>
      <c r="O208" s="110">
        <v>2160.0</v>
      </c>
      <c r="P208" s="224">
        <v>5.137842893206478</v>
      </c>
    </row>
    <row r="209" ht="14.25" hidden="1" customHeight="1">
      <c r="A209" s="103" t="s">
        <v>84</v>
      </c>
      <c r="B209" s="103" t="s">
        <v>120</v>
      </c>
      <c r="C209" s="103" t="s">
        <v>1266</v>
      </c>
      <c r="D209" s="103" t="s">
        <v>1317</v>
      </c>
      <c r="E209" s="104" t="s">
        <v>1367</v>
      </c>
      <c r="F209" s="110" t="s">
        <v>1591</v>
      </c>
      <c r="G209" s="110"/>
      <c r="H209" s="220" t="s">
        <v>1614</v>
      </c>
      <c r="I209" s="220" t="s">
        <v>778</v>
      </c>
      <c r="J209" s="103" t="s">
        <v>1616</v>
      </c>
      <c r="K209" s="110"/>
      <c r="L209" s="104" t="s">
        <v>95</v>
      </c>
      <c r="M209" s="104" t="s">
        <v>1323</v>
      </c>
      <c r="N209" s="110" t="s">
        <v>1324</v>
      </c>
      <c r="O209" s="110">
        <v>1920.0</v>
      </c>
      <c r="P209" s="224">
        <v>5.301306088222265</v>
      </c>
    </row>
    <row r="210" ht="14.25" hidden="1" customHeight="1">
      <c r="A210" s="103" t="s">
        <v>84</v>
      </c>
      <c r="B210" s="103" t="s">
        <v>120</v>
      </c>
      <c r="C210" s="103" t="s">
        <v>1266</v>
      </c>
      <c r="D210" s="103" t="s">
        <v>1317</v>
      </c>
      <c r="E210" s="104" t="s">
        <v>1367</v>
      </c>
      <c r="F210" s="110" t="s">
        <v>1591</v>
      </c>
      <c r="G210" s="110"/>
      <c r="H210" s="220" t="s">
        <v>1618</v>
      </c>
      <c r="I210" s="220" t="s">
        <v>778</v>
      </c>
      <c r="J210" s="103" t="s">
        <v>1620</v>
      </c>
      <c r="K210" s="110"/>
      <c r="L210" s="104" t="s">
        <v>95</v>
      </c>
      <c r="M210" s="104" t="s">
        <v>1323</v>
      </c>
      <c r="N210" s="110" t="s">
        <v>1324</v>
      </c>
      <c r="O210" s="110">
        <v>1920.0</v>
      </c>
      <c r="P210" s="224">
        <v>5.453195209163979</v>
      </c>
    </row>
    <row r="211" ht="14.25" hidden="1" customHeight="1">
      <c r="A211" s="103" t="s">
        <v>84</v>
      </c>
      <c r="B211" s="103" t="s">
        <v>120</v>
      </c>
      <c r="C211" s="103" t="s">
        <v>1266</v>
      </c>
      <c r="D211" s="103" t="s">
        <v>1317</v>
      </c>
      <c r="E211" s="104" t="s">
        <v>1367</v>
      </c>
      <c r="F211" s="110" t="s">
        <v>1591</v>
      </c>
      <c r="G211" s="110"/>
      <c r="H211" s="220" t="s">
        <v>1622</v>
      </c>
      <c r="I211" s="220" t="s">
        <v>778</v>
      </c>
      <c r="J211" s="103" t="s">
        <v>1624</v>
      </c>
      <c r="K211" s="110"/>
      <c r="L211" s="104" t="s">
        <v>95</v>
      </c>
      <c r="M211" s="104" t="s">
        <v>1323</v>
      </c>
      <c r="N211" s="110" t="s">
        <v>1324</v>
      </c>
      <c r="O211" s="110">
        <v>1440.0</v>
      </c>
      <c r="P211" s="224">
        <v>5.776506761175454</v>
      </c>
    </row>
    <row r="212" ht="14.25" hidden="1" customHeight="1">
      <c r="A212" s="103" t="s">
        <v>84</v>
      </c>
      <c r="B212" s="103" t="s">
        <v>120</v>
      </c>
      <c r="C212" s="103" t="s">
        <v>1266</v>
      </c>
      <c r="D212" s="103" t="s">
        <v>1317</v>
      </c>
      <c r="E212" s="104" t="s">
        <v>1367</v>
      </c>
      <c r="F212" s="110" t="s">
        <v>1591</v>
      </c>
      <c r="G212" s="110"/>
      <c r="H212" s="220" t="s">
        <v>1626</v>
      </c>
      <c r="I212" s="220" t="s">
        <v>778</v>
      </c>
      <c r="J212" s="103" t="s">
        <v>1628</v>
      </c>
      <c r="K212" s="110"/>
      <c r="L212" s="104" t="s">
        <v>95</v>
      </c>
      <c r="M212" s="104" t="s">
        <v>1323</v>
      </c>
      <c r="N212" s="110" t="s">
        <v>1324</v>
      </c>
      <c r="O212" s="110">
        <v>720.0</v>
      </c>
      <c r="P212" s="224">
        <v>6.545735501972449</v>
      </c>
    </row>
    <row r="213" ht="14.25" hidden="1" customHeight="1">
      <c r="A213" s="103" t="s">
        <v>84</v>
      </c>
      <c r="B213" s="103" t="s">
        <v>120</v>
      </c>
      <c r="C213" s="103" t="s">
        <v>1266</v>
      </c>
      <c r="D213" s="103" t="s">
        <v>1317</v>
      </c>
      <c r="E213" s="104" t="s">
        <v>1367</v>
      </c>
      <c r="F213" s="110" t="s">
        <v>1591</v>
      </c>
      <c r="G213" s="110"/>
      <c r="H213" s="220" t="s">
        <v>1630</v>
      </c>
      <c r="I213" s="220" t="s">
        <v>778</v>
      </c>
      <c r="J213" s="103" t="s">
        <v>1632</v>
      </c>
      <c r="K213" s="110"/>
      <c r="L213" s="104" t="s">
        <v>95</v>
      </c>
      <c r="M213" s="104" t="s">
        <v>1323</v>
      </c>
      <c r="N213" s="110" t="s">
        <v>1324</v>
      </c>
      <c r="O213" s="110">
        <v>480.0</v>
      </c>
      <c r="P213" s="224">
        <v>7.469384849060187</v>
      </c>
    </row>
    <row r="214" ht="14.25" hidden="1" customHeight="1">
      <c r="A214" s="103" t="s">
        <v>84</v>
      </c>
      <c r="B214" s="103" t="s">
        <v>120</v>
      </c>
      <c r="C214" s="103" t="s">
        <v>1266</v>
      </c>
      <c r="D214" s="103" t="s">
        <v>1633</v>
      </c>
      <c r="E214" s="104" t="s">
        <v>1633</v>
      </c>
      <c r="F214" s="110"/>
      <c r="G214" s="110"/>
      <c r="H214" s="220" t="s">
        <v>1634</v>
      </c>
      <c r="I214" s="220" t="s">
        <v>4126</v>
      </c>
      <c r="J214" s="103" t="s">
        <v>1636</v>
      </c>
      <c r="K214" s="110"/>
      <c r="L214" s="104" t="s">
        <v>95</v>
      </c>
      <c r="M214" s="104" t="s">
        <v>554</v>
      </c>
      <c r="N214" s="110" t="s">
        <v>1637</v>
      </c>
      <c r="O214" s="110">
        <v>90.0</v>
      </c>
      <c r="P214" s="212">
        <v>14.795726253490349</v>
      </c>
    </row>
    <row r="215" ht="14.25" hidden="1" customHeight="1">
      <c r="A215" s="103" t="s">
        <v>84</v>
      </c>
      <c r="B215" s="103" t="s">
        <v>120</v>
      </c>
      <c r="C215" s="103" t="s">
        <v>1266</v>
      </c>
      <c r="D215" s="103" t="s">
        <v>1633</v>
      </c>
      <c r="E215" s="104" t="s">
        <v>1633</v>
      </c>
      <c r="F215" s="110"/>
      <c r="G215" s="110"/>
      <c r="H215" s="220" t="s">
        <v>1639</v>
      </c>
      <c r="I215" s="220" t="s">
        <v>4127</v>
      </c>
      <c r="J215" s="103" t="s">
        <v>1641</v>
      </c>
      <c r="K215" s="110"/>
      <c r="L215" s="104" t="s">
        <v>95</v>
      </c>
      <c r="M215" s="104" t="s">
        <v>554</v>
      </c>
      <c r="N215" s="110" t="s">
        <v>1637</v>
      </c>
      <c r="O215" s="110">
        <v>90.0</v>
      </c>
      <c r="P215" s="212">
        <v>13.48653558586612</v>
      </c>
    </row>
    <row r="216" ht="14.25" hidden="1" customHeight="1">
      <c r="A216" s="104" t="s">
        <v>84</v>
      </c>
      <c r="B216" s="104" t="s">
        <v>120</v>
      </c>
      <c r="C216" s="104" t="s">
        <v>1266</v>
      </c>
      <c r="D216" s="104" t="s">
        <v>1633</v>
      </c>
      <c r="E216" s="104" t="s">
        <v>1633</v>
      </c>
      <c r="F216" s="110" t="s">
        <v>1340</v>
      </c>
      <c r="G216" s="110"/>
      <c r="H216" s="220" t="s">
        <v>1647</v>
      </c>
      <c r="I216" s="220"/>
      <c r="J216" s="103" t="s">
        <v>1649</v>
      </c>
      <c r="K216" s="110"/>
      <c r="L216" s="104" t="s">
        <v>95</v>
      </c>
      <c r="M216" s="104" t="s">
        <v>554</v>
      </c>
      <c r="N216" s="110" t="s">
        <v>1637</v>
      </c>
      <c r="O216" s="110">
        <v>90.0</v>
      </c>
      <c r="P216" s="324">
        <v>18.896982400194464</v>
      </c>
    </row>
    <row r="217" ht="14.25" hidden="1" customHeight="1">
      <c r="A217" s="104" t="s">
        <v>84</v>
      </c>
      <c r="B217" s="104" t="s">
        <v>120</v>
      </c>
      <c r="C217" s="104" t="s">
        <v>1266</v>
      </c>
      <c r="D217" s="104" t="s">
        <v>1633</v>
      </c>
      <c r="E217" s="104" t="s">
        <v>1633</v>
      </c>
      <c r="F217" s="110" t="s">
        <v>1340</v>
      </c>
      <c r="G217" s="110"/>
      <c r="H217" s="220" t="s">
        <v>1651</v>
      </c>
      <c r="I217" s="220"/>
      <c r="J217" s="103" t="s">
        <v>1653</v>
      </c>
      <c r="K217" s="110"/>
      <c r="L217" s="104" t="s">
        <v>95</v>
      </c>
      <c r="M217" s="104" t="s">
        <v>554</v>
      </c>
      <c r="N217" s="110" t="s">
        <v>1637</v>
      </c>
      <c r="O217" s="110">
        <v>90.0</v>
      </c>
      <c r="P217" s="324">
        <v>17.741321554999512</v>
      </c>
    </row>
    <row r="218" ht="14.25" hidden="1" customHeight="1">
      <c r="A218" s="104" t="s">
        <v>84</v>
      </c>
      <c r="B218" s="104" t="s">
        <v>120</v>
      </c>
      <c r="C218" s="104" t="s">
        <v>1266</v>
      </c>
      <c r="D218" s="104" t="s">
        <v>1633</v>
      </c>
      <c r="E218" s="104" t="s">
        <v>1633</v>
      </c>
      <c r="F218" s="110" t="s">
        <v>1340</v>
      </c>
      <c r="G218" s="110"/>
      <c r="H218" s="220" t="s">
        <v>1654</v>
      </c>
      <c r="I218" s="220"/>
      <c r="J218" s="103" t="s">
        <v>1656</v>
      </c>
      <c r="K218" s="110"/>
      <c r="L218" s="104" t="s">
        <v>95</v>
      </c>
      <c r="M218" s="104" t="s">
        <v>554</v>
      </c>
      <c r="N218" s="110" t="s">
        <v>1637</v>
      </c>
      <c r="O218" s="110">
        <v>90.0</v>
      </c>
      <c r="P218" s="324">
        <v>17.856887639519005</v>
      </c>
    </row>
    <row r="219" ht="14.25" hidden="1" customHeight="1">
      <c r="A219" s="104" t="s">
        <v>84</v>
      </c>
      <c r="B219" s="104" t="s">
        <v>120</v>
      </c>
      <c r="C219" s="104" t="s">
        <v>1266</v>
      </c>
      <c r="D219" s="104" t="s">
        <v>1633</v>
      </c>
      <c r="E219" s="104" t="s">
        <v>1633</v>
      </c>
      <c r="F219" s="110" t="s">
        <v>1340</v>
      </c>
      <c r="G219" s="110"/>
      <c r="H219" s="220" t="s">
        <v>1657</v>
      </c>
      <c r="I219" s="220"/>
      <c r="J219" s="103" t="s">
        <v>1659</v>
      </c>
      <c r="K219" s="110"/>
      <c r="L219" s="104" t="s">
        <v>95</v>
      </c>
      <c r="M219" s="104" t="s">
        <v>554</v>
      </c>
      <c r="N219" s="110" t="s">
        <v>1637</v>
      </c>
      <c r="O219" s="110">
        <v>90.0</v>
      </c>
      <c r="P219" s="324">
        <v>17.741321554999512</v>
      </c>
    </row>
    <row r="220" ht="14.25" hidden="1" customHeight="1">
      <c r="A220" s="104" t="s">
        <v>84</v>
      </c>
      <c r="B220" s="104" t="s">
        <v>120</v>
      </c>
      <c r="C220" s="104" t="s">
        <v>1266</v>
      </c>
      <c r="D220" s="104" t="s">
        <v>1633</v>
      </c>
      <c r="E220" s="104" t="s">
        <v>1633</v>
      </c>
      <c r="F220" s="110" t="s">
        <v>1340</v>
      </c>
      <c r="G220" s="110"/>
      <c r="H220" s="220" t="s">
        <v>1660</v>
      </c>
      <c r="I220" s="220"/>
      <c r="J220" s="103" t="s">
        <v>1662</v>
      </c>
      <c r="K220" s="110"/>
      <c r="L220" s="104" t="s">
        <v>95</v>
      </c>
      <c r="M220" s="104" t="s">
        <v>554</v>
      </c>
      <c r="N220" s="110" t="s">
        <v>1637</v>
      </c>
      <c r="O220" s="110">
        <v>90.0</v>
      </c>
      <c r="P220" s="324">
        <v>17.16349113240204</v>
      </c>
    </row>
    <row r="221" ht="14.25" hidden="1" customHeight="1">
      <c r="A221" s="104" t="s">
        <v>84</v>
      </c>
      <c r="B221" s="104" t="s">
        <v>120</v>
      </c>
      <c r="C221" s="104" t="s">
        <v>1266</v>
      </c>
      <c r="D221" s="104" t="s">
        <v>1633</v>
      </c>
      <c r="E221" s="104" t="s">
        <v>1633</v>
      </c>
      <c r="F221" s="110" t="s">
        <v>1663</v>
      </c>
      <c r="G221" s="110"/>
      <c r="H221" s="220" t="s">
        <v>1664</v>
      </c>
      <c r="I221" s="220"/>
      <c r="J221" s="103" t="s">
        <v>1666</v>
      </c>
      <c r="K221" s="110"/>
      <c r="L221" s="104" t="s">
        <v>95</v>
      </c>
      <c r="M221" s="104" t="s">
        <v>554</v>
      </c>
      <c r="N221" s="110" t="s">
        <v>1637</v>
      </c>
      <c r="O221" s="110">
        <v>90.0</v>
      </c>
      <c r="P221" s="324">
        <v>17.741321554999512</v>
      </c>
    </row>
    <row r="222" ht="14.25" hidden="1" customHeight="1">
      <c r="A222" s="104" t="s">
        <v>84</v>
      </c>
      <c r="B222" s="104" t="s">
        <v>120</v>
      </c>
      <c r="C222" s="104" t="s">
        <v>1266</v>
      </c>
      <c r="D222" s="104" t="s">
        <v>1633</v>
      </c>
      <c r="E222" s="104" t="s">
        <v>1667</v>
      </c>
      <c r="F222" s="110" t="s">
        <v>1288</v>
      </c>
      <c r="G222" s="110"/>
      <c r="H222" s="220" t="s">
        <v>1668</v>
      </c>
      <c r="I222" s="220"/>
      <c r="J222" s="105" t="s">
        <v>1670</v>
      </c>
      <c r="K222" s="110"/>
      <c r="L222" s="104" t="s">
        <v>95</v>
      </c>
      <c r="M222" s="104" t="s">
        <v>554</v>
      </c>
      <c r="N222" s="110" t="s">
        <v>1637</v>
      </c>
      <c r="O222" s="110">
        <v>90.0</v>
      </c>
      <c r="P222" s="344">
        <v>23.519625780974252</v>
      </c>
    </row>
    <row r="223" ht="14.25" hidden="1" customHeight="1">
      <c r="A223" s="104" t="s">
        <v>84</v>
      </c>
      <c r="B223" s="104" t="s">
        <v>120</v>
      </c>
      <c r="C223" s="104" t="s">
        <v>1266</v>
      </c>
      <c r="D223" s="104" t="s">
        <v>1633</v>
      </c>
      <c r="E223" s="104" t="s">
        <v>1667</v>
      </c>
      <c r="F223" s="110" t="s">
        <v>1288</v>
      </c>
      <c r="G223" s="110"/>
      <c r="H223" s="220" t="s">
        <v>1672</v>
      </c>
      <c r="I223" s="220"/>
      <c r="J223" s="105" t="s">
        <v>1674</v>
      </c>
      <c r="K223" s="110"/>
      <c r="L223" s="104" t="s">
        <v>95</v>
      </c>
      <c r="M223" s="104" t="s">
        <v>554</v>
      </c>
      <c r="N223" s="110" t="s">
        <v>1637</v>
      </c>
      <c r="O223" s="110">
        <v>90.0</v>
      </c>
      <c r="P223" s="344">
        <v>21.208304090584356</v>
      </c>
    </row>
    <row r="224" ht="14.25" hidden="1" customHeight="1">
      <c r="A224" s="104" t="s">
        <v>84</v>
      </c>
      <c r="B224" s="104" t="s">
        <v>120</v>
      </c>
      <c r="C224" s="104" t="s">
        <v>1266</v>
      </c>
      <c r="D224" s="104" t="s">
        <v>1633</v>
      </c>
      <c r="E224" s="104" t="s">
        <v>1667</v>
      </c>
      <c r="F224" s="110" t="s">
        <v>1268</v>
      </c>
      <c r="G224" s="110"/>
      <c r="H224" s="220" t="s">
        <v>1675</v>
      </c>
      <c r="I224" s="220" t="s">
        <v>1676</v>
      </c>
      <c r="J224" s="105" t="s">
        <v>1678</v>
      </c>
      <c r="K224" s="110"/>
      <c r="L224" s="104" t="s">
        <v>95</v>
      </c>
      <c r="M224" s="104" t="s">
        <v>554</v>
      </c>
      <c r="N224" s="110" t="s">
        <v>1637</v>
      </c>
      <c r="O224" s="110">
        <v>90.0</v>
      </c>
      <c r="P224" s="344">
        <v>25.830947471364148</v>
      </c>
    </row>
    <row r="225" ht="14.25" hidden="1" customHeight="1">
      <c r="A225" s="104" t="s">
        <v>84</v>
      </c>
      <c r="B225" s="104" t="s">
        <v>120</v>
      </c>
      <c r="C225" s="104" t="s">
        <v>1266</v>
      </c>
      <c r="D225" s="104" t="s">
        <v>1633</v>
      </c>
      <c r="E225" s="104" t="s">
        <v>1667</v>
      </c>
      <c r="F225" s="110" t="s">
        <v>1268</v>
      </c>
      <c r="G225" s="110"/>
      <c r="H225" s="220" t="s">
        <v>1679</v>
      </c>
      <c r="I225" s="220" t="s">
        <v>1680</v>
      </c>
      <c r="J225" s="105" t="s">
        <v>1682</v>
      </c>
      <c r="K225" s="110"/>
      <c r="L225" s="104" t="s">
        <v>95</v>
      </c>
      <c r="M225" s="104" t="s">
        <v>554</v>
      </c>
      <c r="N225" s="110" t="s">
        <v>1637</v>
      </c>
      <c r="O225" s="110">
        <v>90.0</v>
      </c>
      <c r="P225" s="344">
        <v>21.786134513181832</v>
      </c>
    </row>
    <row r="226" ht="14.25" hidden="1" customHeight="1">
      <c r="A226" s="104" t="s">
        <v>84</v>
      </c>
      <c r="B226" s="104" t="s">
        <v>120</v>
      </c>
      <c r="C226" s="104" t="s">
        <v>1266</v>
      </c>
      <c r="D226" s="104" t="s">
        <v>1633</v>
      </c>
      <c r="E226" s="104" t="s">
        <v>1667</v>
      </c>
      <c r="F226" s="110" t="s">
        <v>1268</v>
      </c>
      <c r="G226" s="110"/>
      <c r="H226" s="220" t="s">
        <v>1683</v>
      </c>
      <c r="I226" s="220" t="s">
        <v>1684</v>
      </c>
      <c r="J226" s="105" t="s">
        <v>1686</v>
      </c>
      <c r="K226" s="110"/>
      <c r="L226" s="104" t="s">
        <v>95</v>
      </c>
      <c r="M226" s="104" t="s">
        <v>554</v>
      </c>
      <c r="N226" s="110" t="s">
        <v>1637</v>
      </c>
      <c r="O226" s="110">
        <v>90.0</v>
      </c>
      <c r="P226" s="344">
        <v>25.94651355588365</v>
      </c>
    </row>
    <row r="227" ht="14.25" hidden="1" customHeight="1">
      <c r="A227" s="104" t="s">
        <v>84</v>
      </c>
      <c r="B227" s="104" t="s">
        <v>120</v>
      </c>
      <c r="C227" s="104" t="s">
        <v>1266</v>
      </c>
      <c r="D227" s="104" t="s">
        <v>1633</v>
      </c>
      <c r="E227" s="104" t="s">
        <v>1667</v>
      </c>
      <c r="F227" s="110" t="s">
        <v>1268</v>
      </c>
      <c r="G227" s="110"/>
      <c r="H227" s="220" t="s">
        <v>1687</v>
      </c>
      <c r="I227" s="220" t="s">
        <v>1688</v>
      </c>
      <c r="J227" s="105" t="s">
        <v>1690</v>
      </c>
      <c r="K227" s="110"/>
      <c r="L227" s="104" t="s">
        <v>95</v>
      </c>
      <c r="M227" s="104" t="s">
        <v>554</v>
      </c>
      <c r="N227" s="110" t="s">
        <v>1637</v>
      </c>
      <c r="O227" s="110">
        <v>90.0</v>
      </c>
      <c r="P227" s="344">
        <v>21.90170059770133</v>
      </c>
    </row>
    <row r="228" ht="14.25" hidden="1" customHeight="1">
      <c r="A228" s="104" t="s">
        <v>84</v>
      </c>
      <c r="B228" s="104" t="s">
        <v>120</v>
      </c>
      <c r="C228" s="104" t="s">
        <v>1266</v>
      </c>
      <c r="D228" s="104" t="s">
        <v>1633</v>
      </c>
      <c r="E228" s="104" t="s">
        <v>1667</v>
      </c>
      <c r="F228" s="110" t="s">
        <v>1288</v>
      </c>
      <c r="G228" s="110"/>
      <c r="H228" s="220" t="s">
        <v>1691</v>
      </c>
      <c r="I228" s="220"/>
      <c r="J228" s="105" t="s">
        <v>1693</v>
      </c>
      <c r="K228" s="110"/>
      <c r="L228" s="104" t="s">
        <v>95</v>
      </c>
      <c r="M228" s="104" t="s">
        <v>554</v>
      </c>
      <c r="N228" s="110" t="s">
        <v>1637</v>
      </c>
      <c r="O228" s="110">
        <v>90.0</v>
      </c>
      <c r="P228" s="344">
        <v>23.519625780974252</v>
      </c>
    </row>
    <row r="229" ht="14.25" hidden="1" customHeight="1">
      <c r="A229" s="104" t="s">
        <v>84</v>
      </c>
      <c r="B229" s="104" t="s">
        <v>120</v>
      </c>
      <c r="C229" s="104" t="s">
        <v>1266</v>
      </c>
      <c r="D229" s="104" t="s">
        <v>1633</v>
      </c>
      <c r="E229" s="104" t="s">
        <v>1667</v>
      </c>
      <c r="F229" s="110" t="s">
        <v>1288</v>
      </c>
      <c r="G229" s="110"/>
      <c r="H229" s="220" t="s">
        <v>1694</v>
      </c>
      <c r="I229" s="220"/>
      <c r="J229" s="105" t="s">
        <v>1696</v>
      </c>
      <c r="K229" s="110"/>
      <c r="L229" s="104" t="s">
        <v>95</v>
      </c>
      <c r="M229" s="104" t="s">
        <v>554</v>
      </c>
      <c r="N229" s="110" t="s">
        <v>1637</v>
      </c>
      <c r="O229" s="110">
        <v>90.0</v>
      </c>
      <c r="P229" s="344">
        <v>21.208304090584356</v>
      </c>
    </row>
    <row r="230" ht="14.25" hidden="1" customHeight="1">
      <c r="A230" s="104" t="s">
        <v>84</v>
      </c>
      <c r="B230" s="104" t="s">
        <v>120</v>
      </c>
      <c r="C230" s="104" t="s">
        <v>1266</v>
      </c>
      <c r="D230" s="104" t="s">
        <v>1633</v>
      </c>
      <c r="E230" s="104" t="s">
        <v>1667</v>
      </c>
      <c r="F230" s="110" t="s">
        <v>1268</v>
      </c>
      <c r="G230" s="110"/>
      <c r="H230" s="220" t="s">
        <v>1697</v>
      </c>
      <c r="I230" s="220" t="s">
        <v>1698</v>
      </c>
      <c r="J230" s="105" t="s">
        <v>1700</v>
      </c>
      <c r="K230" s="110"/>
      <c r="L230" s="104" t="s">
        <v>95</v>
      </c>
      <c r="M230" s="104" t="s">
        <v>554</v>
      </c>
      <c r="N230" s="110" t="s">
        <v>1637</v>
      </c>
      <c r="O230" s="110">
        <v>90.0</v>
      </c>
      <c r="P230" s="344">
        <v>25.830947471364148</v>
      </c>
    </row>
    <row r="231" ht="14.25" hidden="1" customHeight="1">
      <c r="A231" s="104" t="s">
        <v>84</v>
      </c>
      <c r="B231" s="104" t="s">
        <v>120</v>
      </c>
      <c r="C231" s="104" t="s">
        <v>1266</v>
      </c>
      <c r="D231" s="104" t="s">
        <v>1633</v>
      </c>
      <c r="E231" s="104" t="s">
        <v>1667</v>
      </c>
      <c r="F231" s="110" t="s">
        <v>1268</v>
      </c>
      <c r="G231" s="110"/>
      <c r="H231" s="220" t="s">
        <v>1701</v>
      </c>
      <c r="I231" s="220" t="s">
        <v>1702</v>
      </c>
      <c r="J231" s="105" t="s">
        <v>1704</v>
      </c>
      <c r="K231" s="110"/>
      <c r="L231" s="104" t="s">
        <v>95</v>
      </c>
      <c r="M231" s="104" t="s">
        <v>554</v>
      </c>
      <c r="N231" s="110" t="s">
        <v>1637</v>
      </c>
      <c r="O231" s="110">
        <v>90.0</v>
      </c>
      <c r="P231" s="344">
        <v>21.786134513181832</v>
      </c>
    </row>
    <row r="232" ht="14.25" hidden="1" customHeight="1">
      <c r="A232" s="104" t="s">
        <v>84</v>
      </c>
      <c r="B232" s="104" t="s">
        <v>120</v>
      </c>
      <c r="C232" s="104" t="s">
        <v>1266</v>
      </c>
      <c r="D232" s="104" t="s">
        <v>1633</v>
      </c>
      <c r="E232" s="104" t="s">
        <v>1667</v>
      </c>
      <c r="F232" s="110" t="s">
        <v>1268</v>
      </c>
      <c r="G232" s="110"/>
      <c r="H232" s="220" t="s">
        <v>1705</v>
      </c>
      <c r="I232" s="220" t="s">
        <v>1706</v>
      </c>
      <c r="J232" s="105" t="s">
        <v>1708</v>
      </c>
      <c r="K232" s="110"/>
      <c r="L232" s="104" t="s">
        <v>95</v>
      </c>
      <c r="M232" s="104" t="s">
        <v>554</v>
      </c>
      <c r="N232" s="110" t="s">
        <v>1637</v>
      </c>
      <c r="O232" s="110">
        <v>90.0</v>
      </c>
      <c r="P232" s="344">
        <v>25.94651355588365</v>
      </c>
    </row>
    <row r="233" ht="14.25" hidden="1" customHeight="1">
      <c r="A233" s="104" t="s">
        <v>84</v>
      </c>
      <c r="B233" s="104" t="s">
        <v>120</v>
      </c>
      <c r="C233" s="104" t="s">
        <v>1266</v>
      </c>
      <c r="D233" s="104" t="s">
        <v>1633</v>
      </c>
      <c r="E233" s="104" t="s">
        <v>1667</v>
      </c>
      <c r="F233" s="110" t="s">
        <v>1268</v>
      </c>
      <c r="G233" s="110"/>
      <c r="H233" s="220" t="s">
        <v>1709</v>
      </c>
      <c r="I233" s="40" t="s">
        <v>1710</v>
      </c>
      <c r="J233" s="105" t="s">
        <v>1712</v>
      </c>
      <c r="K233" s="110"/>
      <c r="L233" s="104" t="s">
        <v>95</v>
      </c>
      <c r="M233" s="104" t="s">
        <v>554</v>
      </c>
      <c r="N233" s="110" t="s">
        <v>1637</v>
      </c>
      <c r="O233" s="110">
        <v>90.0</v>
      </c>
      <c r="P233" s="344">
        <v>21.90170059770133</v>
      </c>
    </row>
    <row r="234" ht="14.25" hidden="1" customHeight="1">
      <c r="A234" s="103" t="s">
        <v>84</v>
      </c>
      <c r="B234" s="103" t="s">
        <v>120</v>
      </c>
      <c r="C234" s="103" t="s">
        <v>1266</v>
      </c>
      <c r="D234" s="103" t="s">
        <v>1633</v>
      </c>
      <c r="E234" s="104" t="s">
        <v>1667</v>
      </c>
      <c r="F234" s="110" t="s">
        <v>1591</v>
      </c>
      <c r="G234" s="110"/>
      <c r="H234" s="220" t="s">
        <v>1713</v>
      </c>
      <c r="I234" s="220" t="s">
        <v>1714</v>
      </c>
      <c r="J234" s="103" t="s">
        <v>1716</v>
      </c>
      <c r="K234" s="110"/>
      <c r="L234" s="104" t="s">
        <v>95</v>
      </c>
      <c r="M234" s="104" t="s">
        <v>554</v>
      </c>
      <c r="N234" s="110" t="s">
        <v>1637</v>
      </c>
      <c r="O234" s="110">
        <v>90.0</v>
      </c>
      <c r="P234" s="212">
        <v>25.595340866124996</v>
      </c>
    </row>
    <row r="235" ht="14.25" hidden="1" customHeight="1">
      <c r="A235" s="103" t="s">
        <v>84</v>
      </c>
      <c r="B235" s="103" t="s">
        <v>120</v>
      </c>
      <c r="C235" s="103" t="s">
        <v>1266</v>
      </c>
      <c r="D235" s="103" t="s">
        <v>1633</v>
      </c>
      <c r="E235" s="104" t="s">
        <v>1667</v>
      </c>
      <c r="F235" s="110" t="s">
        <v>1591</v>
      </c>
      <c r="G235" s="110"/>
      <c r="H235" s="220" t="s">
        <v>1718</v>
      </c>
      <c r="I235" s="220" t="s">
        <v>1719</v>
      </c>
      <c r="J235" s="103" t="s">
        <v>1721</v>
      </c>
      <c r="K235" s="110"/>
      <c r="L235" s="104" t="s">
        <v>95</v>
      </c>
      <c r="M235" s="104" t="s">
        <v>554</v>
      </c>
      <c r="N235" s="110" t="s">
        <v>1637</v>
      </c>
      <c r="O235" s="110">
        <v>90.0</v>
      </c>
      <c r="P235" s="212">
        <v>31.573278095024826</v>
      </c>
    </row>
    <row r="236" ht="14.25" hidden="1" customHeight="1">
      <c r="A236" s="103" t="s">
        <v>84</v>
      </c>
      <c r="B236" s="103" t="s">
        <v>120</v>
      </c>
      <c r="C236" s="103" t="s">
        <v>1266</v>
      </c>
      <c r="D236" s="103" t="s">
        <v>1633</v>
      </c>
      <c r="E236" s="104" t="s">
        <v>1667</v>
      </c>
      <c r="F236" s="110" t="s">
        <v>1591</v>
      </c>
      <c r="G236" s="110"/>
      <c r="H236" s="220" t="s">
        <v>1722</v>
      </c>
      <c r="I236" s="220" t="s">
        <v>1723</v>
      </c>
      <c r="J236" s="103" t="s">
        <v>1725</v>
      </c>
      <c r="K236" s="110"/>
      <c r="L236" s="104" t="s">
        <v>95</v>
      </c>
      <c r="M236" s="104" t="s">
        <v>554</v>
      </c>
      <c r="N236" s="110" t="s">
        <v>1637</v>
      </c>
      <c r="O236" s="110">
        <v>90.0</v>
      </c>
      <c r="P236" s="212">
        <v>42.42238500554629</v>
      </c>
    </row>
    <row r="237" ht="14.25" hidden="1" customHeight="1">
      <c r="A237" s="103" t="s">
        <v>84</v>
      </c>
      <c r="B237" s="103" t="s">
        <v>120</v>
      </c>
      <c r="C237" s="103" t="s">
        <v>1266</v>
      </c>
      <c r="D237" s="103" t="s">
        <v>1633</v>
      </c>
      <c r="E237" s="104" t="s">
        <v>1667</v>
      </c>
      <c r="F237" s="110" t="s">
        <v>1591</v>
      </c>
      <c r="G237" s="110"/>
      <c r="H237" s="220" t="s">
        <v>1726</v>
      </c>
      <c r="I237" s="220" t="s">
        <v>1727</v>
      </c>
      <c r="J237" s="103" t="s">
        <v>1729</v>
      </c>
      <c r="K237" s="110"/>
      <c r="L237" s="104" t="s">
        <v>95</v>
      </c>
      <c r="M237" s="104" t="s">
        <v>554</v>
      </c>
      <c r="N237" s="110" t="s">
        <v>1637</v>
      </c>
      <c r="O237" s="110">
        <v>90.0</v>
      </c>
      <c r="P237" s="212">
        <v>66.02483166724444</v>
      </c>
    </row>
    <row r="238" ht="14.25" hidden="1" customHeight="1">
      <c r="A238" s="103" t="s">
        <v>84</v>
      </c>
      <c r="B238" s="103" t="s">
        <v>120</v>
      </c>
      <c r="C238" s="103" t="s">
        <v>1266</v>
      </c>
      <c r="D238" s="103" t="s">
        <v>1633</v>
      </c>
      <c r="E238" s="104" t="s">
        <v>1667</v>
      </c>
      <c r="F238" s="110" t="s">
        <v>1319</v>
      </c>
      <c r="G238" s="110"/>
      <c r="H238" s="220" t="s">
        <v>1730</v>
      </c>
      <c r="I238" s="220"/>
      <c r="J238" s="103" t="s">
        <v>1732</v>
      </c>
      <c r="K238" s="110"/>
      <c r="L238" s="104" t="s">
        <v>95</v>
      </c>
      <c r="M238" s="104" t="s">
        <v>554</v>
      </c>
      <c r="N238" s="110" t="s">
        <v>1637</v>
      </c>
      <c r="O238" s="110">
        <v>90.0</v>
      </c>
      <c r="P238" s="344">
        <v>25.772294696197942</v>
      </c>
    </row>
    <row r="239" ht="14.25" hidden="1" customHeight="1">
      <c r="A239" s="103" t="s">
        <v>84</v>
      </c>
      <c r="B239" s="103" t="s">
        <v>120</v>
      </c>
      <c r="C239" s="103" t="s">
        <v>1266</v>
      </c>
      <c r="D239" s="103" t="s">
        <v>1633</v>
      </c>
      <c r="E239" s="104" t="s">
        <v>1667</v>
      </c>
      <c r="F239" s="110" t="s">
        <v>1319</v>
      </c>
      <c r="G239" s="110"/>
      <c r="H239" s="220" t="s">
        <v>1733</v>
      </c>
      <c r="I239" s="220"/>
      <c r="J239" s="103" t="s">
        <v>1735</v>
      </c>
      <c r="K239" s="110"/>
      <c r="L239" s="104" t="s">
        <v>95</v>
      </c>
      <c r="M239" s="104" t="s">
        <v>554</v>
      </c>
      <c r="N239" s="110" t="s">
        <v>1637</v>
      </c>
      <c r="O239" s="110">
        <v>90.0</v>
      </c>
      <c r="P239" s="344">
        <v>30.977956546917888</v>
      </c>
    </row>
    <row r="240" ht="14.25" hidden="1" customHeight="1">
      <c r="A240" s="103" t="s">
        <v>84</v>
      </c>
      <c r="B240" s="103" t="s">
        <v>120</v>
      </c>
      <c r="C240" s="103" t="s">
        <v>1266</v>
      </c>
      <c r="D240" s="103" t="s">
        <v>1633</v>
      </c>
      <c r="E240" s="104" t="s">
        <v>1667</v>
      </c>
      <c r="F240" s="110" t="s">
        <v>1319</v>
      </c>
      <c r="G240" s="110"/>
      <c r="H240" s="220" t="s">
        <v>1736</v>
      </c>
      <c r="I240" s="220"/>
      <c r="J240" s="103" t="s">
        <v>1738</v>
      </c>
      <c r="K240" s="110"/>
      <c r="L240" s="104" t="s">
        <v>95</v>
      </c>
      <c r="M240" s="104" t="s">
        <v>554</v>
      </c>
      <c r="N240" s="110" t="s">
        <v>1637</v>
      </c>
      <c r="O240" s="110">
        <v>90.0</v>
      </c>
      <c r="P240" s="344">
        <v>41.59742346509987</v>
      </c>
    </row>
    <row r="241" ht="14.25" hidden="1" customHeight="1">
      <c r="A241" s="103" t="s">
        <v>84</v>
      </c>
      <c r="B241" s="103" t="s">
        <v>120</v>
      </c>
      <c r="C241" s="103" t="s">
        <v>1266</v>
      </c>
      <c r="D241" s="103" t="s">
        <v>1633</v>
      </c>
      <c r="E241" s="104" t="s">
        <v>1667</v>
      </c>
      <c r="F241" s="110" t="s">
        <v>1319</v>
      </c>
      <c r="G241" s="110"/>
      <c r="H241" s="220" t="s">
        <v>1739</v>
      </c>
      <c r="I241" s="220"/>
      <c r="J241" s="103" t="s">
        <v>1741</v>
      </c>
      <c r="K241" s="110"/>
      <c r="L241" s="104" t="s">
        <v>95</v>
      </c>
      <c r="M241" s="104" t="s">
        <v>554</v>
      </c>
      <c r="N241" s="110" t="s">
        <v>1637</v>
      </c>
      <c r="O241" s="110">
        <v>90.0</v>
      </c>
      <c r="P241" s="344">
        <v>62.85717162313807</v>
      </c>
    </row>
    <row r="242" ht="14.25" hidden="1" customHeight="1">
      <c r="A242" s="103" t="s">
        <v>84</v>
      </c>
      <c r="B242" s="103" t="s">
        <v>120</v>
      </c>
      <c r="C242" s="103" t="s">
        <v>1266</v>
      </c>
      <c r="D242" s="103" t="s">
        <v>1633</v>
      </c>
      <c r="E242" s="104" t="s">
        <v>1667</v>
      </c>
      <c r="F242" s="110" t="s">
        <v>1395</v>
      </c>
      <c r="G242" s="110"/>
      <c r="H242" s="220" t="s">
        <v>1742</v>
      </c>
      <c r="I242" s="220" t="s">
        <v>778</v>
      </c>
      <c r="J242" s="103" t="s">
        <v>1744</v>
      </c>
      <c r="K242" s="110"/>
      <c r="L242" s="104" t="s">
        <v>95</v>
      </c>
      <c r="M242" s="104" t="s">
        <v>554</v>
      </c>
      <c r="N242" s="110" t="s">
        <v>1637</v>
      </c>
      <c r="O242" s="110">
        <v>90.0</v>
      </c>
      <c r="P242" s="212">
        <v>27.61214202335999</v>
      </c>
    </row>
    <row r="243" ht="14.25" hidden="1" customHeight="1">
      <c r="A243" s="103" t="s">
        <v>84</v>
      </c>
      <c r="B243" s="103" t="s">
        <v>120</v>
      </c>
      <c r="C243" s="103" t="s">
        <v>1266</v>
      </c>
      <c r="D243" s="103" t="s">
        <v>1633</v>
      </c>
      <c r="E243" s="104" t="s">
        <v>1667</v>
      </c>
      <c r="F243" s="110" t="s">
        <v>1395</v>
      </c>
      <c r="G243" s="110"/>
      <c r="H243" s="220" t="s">
        <v>1745</v>
      </c>
      <c r="I243" s="220" t="s">
        <v>1746</v>
      </c>
      <c r="J243" s="103" t="s">
        <v>1748</v>
      </c>
      <c r="K243" s="110"/>
      <c r="L243" s="104" t="s">
        <v>95</v>
      </c>
      <c r="M243" s="104" t="s">
        <v>554</v>
      </c>
      <c r="N243" s="110" t="s">
        <v>1637</v>
      </c>
      <c r="O243" s="110">
        <v>90.0</v>
      </c>
      <c r="P243" s="212">
        <v>33.97209677305937</v>
      </c>
    </row>
    <row r="244" ht="14.25" hidden="1" customHeight="1">
      <c r="A244" s="103" t="s">
        <v>84</v>
      </c>
      <c r="B244" s="103" t="s">
        <v>120</v>
      </c>
      <c r="C244" s="103" t="s">
        <v>1266</v>
      </c>
      <c r="D244" s="103" t="s">
        <v>1633</v>
      </c>
      <c r="E244" s="104" t="s">
        <v>1667</v>
      </c>
      <c r="F244" s="110" t="s">
        <v>1395</v>
      </c>
      <c r="G244" s="110"/>
      <c r="H244" s="220" t="s">
        <v>1749</v>
      </c>
      <c r="I244" s="220" t="s">
        <v>1750</v>
      </c>
      <c r="J244" s="103" t="s">
        <v>1752</v>
      </c>
      <c r="K244" s="110"/>
      <c r="L244" s="104" t="s">
        <v>95</v>
      </c>
      <c r="M244" s="104" t="s">
        <v>554</v>
      </c>
      <c r="N244" s="110" t="s">
        <v>1637</v>
      </c>
      <c r="O244" s="110">
        <v>90.0</v>
      </c>
      <c r="P244" s="212">
        <v>47.70212297941524</v>
      </c>
    </row>
    <row r="245" ht="14.25" hidden="1" customHeight="1">
      <c r="A245" s="103" t="s">
        <v>84</v>
      </c>
      <c r="B245" s="103" t="s">
        <v>120</v>
      </c>
      <c r="C245" s="103" t="s">
        <v>1266</v>
      </c>
      <c r="D245" s="103" t="s">
        <v>1633</v>
      </c>
      <c r="E245" s="104" t="s">
        <v>1667</v>
      </c>
      <c r="F245" s="110" t="s">
        <v>1395</v>
      </c>
      <c r="G245" s="110"/>
      <c r="H245" s="220" t="s">
        <v>1753</v>
      </c>
      <c r="I245" s="220" t="s">
        <v>1754</v>
      </c>
      <c r="J245" s="103" t="s">
        <v>1756</v>
      </c>
      <c r="K245" s="110"/>
      <c r="L245" s="104" t="s">
        <v>95</v>
      </c>
      <c r="M245" s="104" t="s">
        <v>554</v>
      </c>
      <c r="N245" s="110" t="s">
        <v>1637</v>
      </c>
      <c r="O245" s="110">
        <v>90.0</v>
      </c>
      <c r="P245" s="212">
        <v>74.0324515683589</v>
      </c>
    </row>
    <row r="246" ht="14.25" hidden="1" customHeight="1">
      <c r="A246" s="103" t="s">
        <v>84</v>
      </c>
      <c r="B246" s="103" t="s">
        <v>120</v>
      </c>
      <c r="C246" s="103" t="s">
        <v>1266</v>
      </c>
      <c r="D246" s="103" t="s">
        <v>1633</v>
      </c>
      <c r="E246" s="104" t="s">
        <v>1757</v>
      </c>
      <c r="F246" s="110" t="s">
        <v>1340</v>
      </c>
      <c r="G246" s="110"/>
      <c r="H246" s="220" t="s">
        <v>1758</v>
      </c>
      <c r="I246" s="220" t="s">
        <v>4128</v>
      </c>
      <c r="J246" s="103" t="s">
        <v>1760</v>
      </c>
      <c r="K246" s="110"/>
      <c r="L246" s="104" t="s">
        <v>95</v>
      </c>
      <c r="M246" s="104" t="s">
        <v>554</v>
      </c>
      <c r="N246" s="110" t="s">
        <v>1176</v>
      </c>
      <c r="O246" s="110">
        <v>540.0</v>
      </c>
      <c r="P246" s="212">
        <v>4.289728597939632</v>
      </c>
    </row>
    <row r="247" ht="14.25" hidden="1" customHeight="1">
      <c r="A247" s="103" t="s">
        <v>84</v>
      </c>
      <c r="B247" s="103" t="s">
        <v>120</v>
      </c>
      <c r="C247" s="103" t="s">
        <v>1266</v>
      </c>
      <c r="D247" s="103" t="s">
        <v>1633</v>
      </c>
      <c r="E247" s="104" t="s">
        <v>1757</v>
      </c>
      <c r="F247" s="110" t="s">
        <v>1340</v>
      </c>
      <c r="G247" s="110"/>
      <c r="H247" s="220" t="s">
        <v>1762</v>
      </c>
      <c r="I247" s="220" t="s">
        <v>4129</v>
      </c>
      <c r="J247" s="103" t="s">
        <v>1764</v>
      </c>
      <c r="K247" s="110"/>
      <c r="L247" s="104" t="s">
        <v>95</v>
      </c>
      <c r="M247" s="104" t="s">
        <v>554</v>
      </c>
      <c r="N247" s="110" t="s">
        <v>1176</v>
      </c>
      <c r="O247" s="110">
        <v>540.0</v>
      </c>
      <c r="P247" s="212">
        <v>3.1914409861940785</v>
      </c>
    </row>
    <row r="248" ht="14.25" hidden="1" customHeight="1">
      <c r="A248" s="103" t="s">
        <v>84</v>
      </c>
      <c r="B248" s="103" t="s">
        <v>120</v>
      </c>
      <c r="C248" s="103" t="s">
        <v>1266</v>
      </c>
      <c r="D248" s="103" t="s">
        <v>1633</v>
      </c>
      <c r="E248" s="104" t="s">
        <v>1757</v>
      </c>
      <c r="F248" s="110" t="s">
        <v>1340</v>
      </c>
      <c r="G248" s="110"/>
      <c r="H248" s="220" t="s">
        <v>1766</v>
      </c>
      <c r="I248" s="220" t="s">
        <v>4130</v>
      </c>
      <c r="J248" s="103" t="s">
        <v>1768</v>
      </c>
      <c r="K248" s="110"/>
      <c r="L248" s="104" t="s">
        <v>95</v>
      </c>
      <c r="M248" s="104" t="s">
        <v>554</v>
      </c>
      <c r="N248" s="110" t="s">
        <v>1176</v>
      </c>
      <c r="O248" s="110">
        <v>540.0</v>
      </c>
      <c r="P248" s="212">
        <v>3.1914409861940785</v>
      </c>
    </row>
    <row r="249" ht="14.25" hidden="1" customHeight="1">
      <c r="A249" s="103" t="s">
        <v>84</v>
      </c>
      <c r="B249" s="103" t="s">
        <v>120</v>
      </c>
      <c r="C249" s="103" t="s">
        <v>1266</v>
      </c>
      <c r="D249" s="103" t="s">
        <v>1633</v>
      </c>
      <c r="E249" s="104" t="s">
        <v>1757</v>
      </c>
      <c r="F249" s="110" t="s">
        <v>1340</v>
      </c>
      <c r="G249" s="110"/>
      <c r="H249" s="220" t="s">
        <v>1770</v>
      </c>
      <c r="I249" s="220" t="s">
        <v>4131</v>
      </c>
      <c r="J249" s="103" t="s">
        <v>1772</v>
      </c>
      <c r="K249" s="110"/>
      <c r="L249" s="104" t="s">
        <v>95</v>
      </c>
      <c r="M249" s="104" t="s">
        <v>554</v>
      </c>
      <c r="N249" s="110" t="s">
        <v>1176</v>
      </c>
      <c r="O249" s="110">
        <v>540.0</v>
      </c>
      <c r="P249" s="212">
        <v>2.6422971803213016</v>
      </c>
    </row>
    <row r="250" ht="14.25" hidden="1" customHeight="1">
      <c r="A250" s="103" t="s">
        <v>84</v>
      </c>
      <c r="B250" s="103" t="s">
        <v>120</v>
      </c>
      <c r="C250" s="103" t="s">
        <v>1266</v>
      </c>
      <c r="D250" s="103" t="s">
        <v>1633</v>
      </c>
      <c r="E250" s="104" t="s">
        <v>1757</v>
      </c>
      <c r="F250" s="110" t="s">
        <v>1663</v>
      </c>
      <c r="G250" s="110"/>
      <c r="H250" s="220" t="s">
        <v>1774</v>
      </c>
      <c r="I250" s="220" t="s">
        <v>4132</v>
      </c>
      <c r="J250" s="103" t="s">
        <v>1776</v>
      </c>
      <c r="K250" s="110"/>
      <c r="L250" s="104" t="s">
        <v>95</v>
      </c>
      <c r="M250" s="104" t="s">
        <v>554</v>
      </c>
      <c r="N250" s="110" t="s">
        <v>1176</v>
      </c>
      <c r="O250" s="110">
        <v>540.0</v>
      </c>
      <c r="P250" s="212">
        <v>3.1914409861940785</v>
      </c>
    </row>
    <row r="251" ht="14.25" hidden="1" customHeight="1">
      <c r="A251" s="103" t="s">
        <v>84</v>
      </c>
      <c r="B251" s="103" t="s">
        <v>120</v>
      </c>
      <c r="C251" s="103" t="s">
        <v>1266</v>
      </c>
      <c r="D251" s="103" t="s">
        <v>1633</v>
      </c>
      <c r="E251" s="104" t="s">
        <v>1757</v>
      </c>
      <c r="F251" s="110" t="s">
        <v>1288</v>
      </c>
      <c r="G251" s="103"/>
      <c r="H251" s="108" t="s">
        <v>1793</v>
      </c>
      <c r="I251" s="108" t="s">
        <v>4133</v>
      </c>
      <c r="J251" s="105" t="s">
        <v>1795</v>
      </c>
      <c r="K251" s="110" t="s">
        <v>1796</v>
      </c>
      <c r="L251" s="104" t="s">
        <v>95</v>
      </c>
      <c r="M251" s="104" t="s">
        <v>554</v>
      </c>
      <c r="N251" s="110" t="s">
        <v>1176</v>
      </c>
      <c r="O251" s="110">
        <v>540.0</v>
      </c>
      <c r="P251" s="212">
        <v>8.682879044921846</v>
      </c>
    </row>
    <row r="252" ht="14.25" hidden="1" customHeight="1">
      <c r="A252" s="103" t="s">
        <v>84</v>
      </c>
      <c r="B252" s="103" t="s">
        <v>120</v>
      </c>
      <c r="C252" s="103" t="s">
        <v>1266</v>
      </c>
      <c r="D252" s="103" t="s">
        <v>1633</v>
      </c>
      <c r="E252" s="104" t="s">
        <v>1757</v>
      </c>
      <c r="F252" s="110" t="s">
        <v>1288</v>
      </c>
      <c r="G252" s="103"/>
      <c r="H252" s="108" t="s">
        <v>1798</v>
      </c>
      <c r="I252" s="108" t="s">
        <v>4134</v>
      </c>
      <c r="J252" s="105" t="s">
        <v>1800</v>
      </c>
      <c r="K252" s="110" t="s">
        <v>1796</v>
      </c>
      <c r="L252" s="104" t="s">
        <v>95</v>
      </c>
      <c r="M252" s="104" t="s">
        <v>554</v>
      </c>
      <c r="N252" s="110" t="s">
        <v>1176</v>
      </c>
      <c r="O252" s="110">
        <v>540.0</v>
      </c>
      <c r="P252" s="212">
        <v>6.486303821430739</v>
      </c>
    </row>
    <row r="253" ht="14.25" hidden="1" customHeight="1">
      <c r="A253" s="103" t="s">
        <v>84</v>
      </c>
      <c r="B253" s="103" t="s">
        <v>120</v>
      </c>
      <c r="C253" s="103" t="s">
        <v>1266</v>
      </c>
      <c r="D253" s="103" t="s">
        <v>1633</v>
      </c>
      <c r="E253" s="104" t="s">
        <v>1757</v>
      </c>
      <c r="F253" s="110" t="s">
        <v>1268</v>
      </c>
      <c r="G253" s="103"/>
      <c r="H253" s="108" t="s">
        <v>1802</v>
      </c>
      <c r="I253" s="108" t="s">
        <v>4135</v>
      </c>
      <c r="J253" s="105" t="s">
        <v>1804</v>
      </c>
      <c r="K253" s="110" t="s">
        <v>1796</v>
      </c>
      <c r="L253" s="104" t="s">
        <v>95</v>
      </c>
      <c r="M253" s="104" t="s">
        <v>554</v>
      </c>
      <c r="N253" s="110" t="s">
        <v>1176</v>
      </c>
      <c r="O253" s="110">
        <v>540.0</v>
      </c>
      <c r="P253" s="212">
        <v>10.879454268412951</v>
      </c>
    </row>
    <row r="254" ht="14.25" hidden="1" customHeight="1">
      <c r="A254" s="103" t="s">
        <v>84</v>
      </c>
      <c r="B254" s="103" t="s">
        <v>120</v>
      </c>
      <c r="C254" s="103" t="s">
        <v>1266</v>
      </c>
      <c r="D254" s="103" t="s">
        <v>1633</v>
      </c>
      <c r="E254" s="104" t="s">
        <v>1757</v>
      </c>
      <c r="F254" s="110" t="s">
        <v>1268</v>
      </c>
      <c r="G254" s="103"/>
      <c r="H254" s="108" t="s">
        <v>1806</v>
      </c>
      <c r="I254" s="108" t="s">
        <v>4136</v>
      </c>
      <c r="J254" s="105" t="s">
        <v>1808</v>
      </c>
      <c r="K254" s="110" t="s">
        <v>1796</v>
      </c>
      <c r="L254" s="104" t="s">
        <v>95</v>
      </c>
      <c r="M254" s="104" t="s">
        <v>554</v>
      </c>
      <c r="N254" s="110" t="s">
        <v>1176</v>
      </c>
      <c r="O254" s="110">
        <v>540.0</v>
      </c>
      <c r="P254" s="212">
        <v>7.035447627303515</v>
      </c>
    </row>
    <row r="255" ht="14.25" hidden="1" customHeight="1">
      <c r="A255" s="103" t="s">
        <v>84</v>
      </c>
      <c r="B255" s="103" t="s">
        <v>120</v>
      </c>
      <c r="C255" s="103" t="s">
        <v>1266</v>
      </c>
      <c r="D255" s="103" t="s">
        <v>1633</v>
      </c>
      <c r="E255" s="104" t="s">
        <v>1757</v>
      </c>
      <c r="F255" s="110" t="s">
        <v>1288</v>
      </c>
      <c r="G255" s="103"/>
      <c r="H255" s="108" t="s">
        <v>1810</v>
      </c>
      <c r="I255" s="108" t="s">
        <v>4137</v>
      </c>
      <c r="J255" s="105" t="s">
        <v>1812</v>
      </c>
      <c r="K255" s="110" t="s">
        <v>1796</v>
      </c>
      <c r="L255" s="104" t="s">
        <v>95</v>
      </c>
      <c r="M255" s="104" t="s">
        <v>554</v>
      </c>
      <c r="N255" s="110" t="s">
        <v>1176</v>
      </c>
      <c r="O255" s="110">
        <v>540.0</v>
      </c>
      <c r="P255" s="212">
        <v>8.682879044921846</v>
      </c>
    </row>
    <row r="256" ht="14.25" hidden="1" customHeight="1">
      <c r="A256" s="103" t="s">
        <v>84</v>
      </c>
      <c r="B256" s="103" t="s">
        <v>120</v>
      </c>
      <c r="C256" s="103" t="s">
        <v>1266</v>
      </c>
      <c r="D256" s="103" t="s">
        <v>1633</v>
      </c>
      <c r="E256" s="104" t="s">
        <v>1757</v>
      </c>
      <c r="F256" s="110" t="s">
        <v>1288</v>
      </c>
      <c r="G256" s="103"/>
      <c r="H256" s="108" t="s">
        <v>1814</v>
      </c>
      <c r="I256" s="108" t="s">
        <v>4138</v>
      </c>
      <c r="J256" s="105" t="s">
        <v>1816</v>
      </c>
      <c r="K256" s="110" t="s">
        <v>1796</v>
      </c>
      <c r="L256" s="104" t="s">
        <v>95</v>
      </c>
      <c r="M256" s="104" t="s">
        <v>554</v>
      </c>
      <c r="N256" s="110" t="s">
        <v>1176</v>
      </c>
      <c r="O256" s="110">
        <v>540.0</v>
      </c>
      <c r="P256" s="212">
        <v>6.486303821430739</v>
      </c>
    </row>
    <row r="257" ht="14.25" hidden="1" customHeight="1">
      <c r="A257" s="103" t="s">
        <v>84</v>
      </c>
      <c r="B257" s="103" t="s">
        <v>120</v>
      </c>
      <c r="C257" s="103" t="s">
        <v>1266</v>
      </c>
      <c r="D257" s="103" t="s">
        <v>1633</v>
      </c>
      <c r="E257" s="104" t="s">
        <v>1757</v>
      </c>
      <c r="F257" s="110" t="s">
        <v>1268</v>
      </c>
      <c r="G257" s="103"/>
      <c r="H257" s="108" t="s">
        <v>1818</v>
      </c>
      <c r="I257" s="108" t="s">
        <v>4139</v>
      </c>
      <c r="J257" s="105" t="s">
        <v>1820</v>
      </c>
      <c r="K257" s="110" t="s">
        <v>1796</v>
      </c>
      <c r="L257" s="104" t="s">
        <v>95</v>
      </c>
      <c r="M257" s="104" t="s">
        <v>554</v>
      </c>
      <c r="N257" s="110" t="s">
        <v>1176</v>
      </c>
      <c r="O257" s="110">
        <v>540.0</v>
      </c>
      <c r="P257" s="212">
        <v>10.879454268412951</v>
      </c>
    </row>
    <row r="258" ht="14.25" hidden="1" customHeight="1">
      <c r="A258" s="103" t="s">
        <v>84</v>
      </c>
      <c r="B258" s="103" t="s">
        <v>120</v>
      </c>
      <c r="C258" s="103" t="s">
        <v>1266</v>
      </c>
      <c r="D258" s="103" t="s">
        <v>1633</v>
      </c>
      <c r="E258" s="104" t="s">
        <v>1757</v>
      </c>
      <c r="F258" s="110" t="s">
        <v>1268</v>
      </c>
      <c r="G258" s="103"/>
      <c r="H258" s="108" t="s">
        <v>1822</v>
      </c>
      <c r="I258" s="108" t="s">
        <v>4140</v>
      </c>
      <c r="J258" s="105" t="s">
        <v>1824</v>
      </c>
      <c r="K258" s="110"/>
      <c r="L258" s="104" t="s">
        <v>95</v>
      </c>
      <c r="M258" s="104" t="s">
        <v>554</v>
      </c>
      <c r="N258" s="110" t="s">
        <v>1176</v>
      </c>
      <c r="O258" s="110">
        <v>540.0</v>
      </c>
      <c r="P258" s="212">
        <v>7.035447627303515</v>
      </c>
    </row>
    <row r="259" ht="14.25" hidden="1" customHeight="1">
      <c r="A259" s="103" t="s">
        <v>84</v>
      </c>
      <c r="B259" s="103" t="s">
        <v>120</v>
      </c>
      <c r="C259" s="103" t="s">
        <v>1266</v>
      </c>
      <c r="D259" s="103" t="s">
        <v>1826</v>
      </c>
      <c r="E259" s="104" t="s">
        <v>1288</v>
      </c>
      <c r="F259" s="110" t="s">
        <v>1319</v>
      </c>
      <c r="G259" s="110"/>
      <c r="H259" s="220" t="s">
        <v>1827</v>
      </c>
      <c r="I259" s="220" t="s">
        <v>4141</v>
      </c>
      <c r="J259" s="103" t="s">
        <v>1829</v>
      </c>
      <c r="K259" s="110"/>
      <c r="L259" s="104" t="s">
        <v>95</v>
      </c>
      <c r="M259" s="104" t="s">
        <v>1323</v>
      </c>
      <c r="N259" s="110" t="s">
        <v>1176</v>
      </c>
      <c r="O259" s="110">
        <v>10800.0</v>
      </c>
      <c r="P259" s="212">
        <v>0.4980614408683307</v>
      </c>
    </row>
    <row r="260" ht="14.25" hidden="1" customHeight="1">
      <c r="A260" s="103" t="s">
        <v>84</v>
      </c>
      <c r="B260" s="103" t="s">
        <v>120</v>
      </c>
      <c r="C260" s="103" t="s">
        <v>1266</v>
      </c>
      <c r="D260" s="103" t="s">
        <v>1826</v>
      </c>
      <c r="E260" s="104" t="s">
        <v>1268</v>
      </c>
      <c r="F260" s="110" t="s">
        <v>1319</v>
      </c>
      <c r="G260" s="110"/>
      <c r="H260" s="220" t="s">
        <v>1830</v>
      </c>
      <c r="I260" s="220" t="s">
        <v>4142</v>
      </c>
      <c r="J260" s="103" t="s">
        <v>1832</v>
      </c>
      <c r="K260" s="110"/>
      <c r="L260" s="104" t="s">
        <v>95</v>
      </c>
      <c r="M260" s="104" t="s">
        <v>1323</v>
      </c>
      <c r="N260" s="110" t="s">
        <v>1176</v>
      </c>
      <c r="O260" s="110">
        <v>10800.0</v>
      </c>
      <c r="P260" s="212">
        <v>0.4980614408683307</v>
      </c>
    </row>
    <row r="261" ht="14.25" hidden="1" customHeight="1">
      <c r="A261" s="103" t="s">
        <v>84</v>
      </c>
      <c r="B261" s="103" t="s">
        <v>120</v>
      </c>
      <c r="C261" s="103" t="s">
        <v>1266</v>
      </c>
      <c r="D261" s="103" t="s">
        <v>1826</v>
      </c>
      <c r="E261" s="104" t="s">
        <v>1288</v>
      </c>
      <c r="F261" s="110" t="s">
        <v>1395</v>
      </c>
      <c r="G261" s="110"/>
      <c r="H261" s="220" t="s">
        <v>1833</v>
      </c>
      <c r="I261" s="220" t="s">
        <v>4143</v>
      </c>
      <c r="J261" s="103" t="s">
        <v>1835</v>
      </c>
      <c r="K261" s="110"/>
      <c r="L261" s="104" t="s">
        <v>95</v>
      </c>
      <c r="M261" s="104" t="s">
        <v>1323</v>
      </c>
      <c r="N261" s="110" t="s">
        <v>1176</v>
      </c>
      <c r="O261" s="110">
        <v>10800.0</v>
      </c>
      <c r="P261" s="212">
        <v>0.6316676120670595</v>
      </c>
    </row>
    <row r="262" ht="14.25" hidden="1" customHeight="1">
      <c r="A262" s="103" t="s">
        <v>84</v>
      </c>
      <c r="B262" s="103" t="s">
        <v>120</v>
      </c>
      <c r="C262" s="103" t="s">
        <v>1266</v>
      </c>
      <c r="D262" s="103" t="s">
        <v>1826</v>
      </c>
      <c r="E262" s="104" t="s">
        <v>1268</v>
      </c>
      <c r="F262" s="110" t="s">
        <v>1395</v>
      </c>
      <c r="G262" s="110"/>
      <c r="H262" s="220" t="s">
        <v>1836</v>
      </c>
      <c r="I262" s="220" t="s">
        <v>4144</v>
      </c>
      <c r="J262" s="103" t="s">
        <v>1838</v>
      </c>
      <c r="K262" s="110"/>
      <c r="L262" s="104" t="s">
        <v>95</v>
      </c>
      <c r="M262" s="104" t="s">
        <v>1323</v>
      </c>
      <c r="N262" s="110" t="s">
        <v>1176</v>
      </c>
      <c r="O262" s="110">
        <v>10800.0</v>
      </c>
      <c r="P262" s="212">
        <v>0.6316676120670595</v>
      </c>
    </row>
    <row r="263" ht="14.25" hidden="1" customHeight="1">
      <c r="A263" s="103" t="s">
        <v>84</v>
      </c>
      <c r="B263" s="103" t="s">
        <v>120</v>
      </c>
      <c r="C263" s="103" t="s">
        <v>1266</v>
      </c>
      <c r="D263" s="103" t="s">
        <v>1826</v>
      </c>
      <c r="E263" s="104" t="s">
        <v>1288</v>
      </c>
      <c r="F263" s="110" t="s">
        <v>1520</v>
      </c>
      <c r="G263" s="110"/>
      <c r="H263" s="220" t="s">
        <v>1845</v>
      </c>
      <c r="I263" s="220" t="s">
        <v>4145</v>
      </c>
      <c r="J263" s="103" t="s">
        <v>1847</v>
      </c>
      <c r="K263" s="110"/>
      <c r="L263" s="104" t="s">
        <v>95</v>
      </c>
      <c r="M263" s="104" t="s">
        <v>1323</v>
      </c>
      <c r="N263" s="110" t="s">
        <v>1176</v>
      </c>
      <c r="O263" s="110">
        <v>10800.0</v>
      </c>
      <c r="P263" s="212">
        <v>0.5691740091461628</v>
      </c>
    </row>
    <row r="264" ht="14.25" hidden="1" customHeight="1">
      <c r="A264" s="103" t="s">
        <v>84</v>
      </c>
      <c r="B264" s="103" t="s">
        <v>120</v>
      </c>
      <c r="C264" s="103" t="s">
        <v>1266</v>
      </c>
      <c r="D264" s="103" t="s">
        <v>1826</v>
      </c>
      <c r="E264" s="104" t="s">
        <v>1268</v>
      </c>
      <c r="F264" s="110" t="s">
        <v>1520</v>
      </c>
      <c r="G264" s="110"/>
      <c r="H264" s="220" t="s">
        <v>1849</v>
      </c>
      <c r="I264" s="220" t="s">
        <v>4146</v>
      </c>
      <c r="J264" s="103" t="s">
        <v>1851</v>
      </c>
      <c r="K264" s="110"/>
      <c r="L264" s="104" t="s">
        <v>95</v>
      </c>
      <c r="M264" s="104" t="s">
        <v>1323</v>
      </c>
      <c r="N264" s="110" t="s">
        <v>1176</v>
      </c>
      <c r="O264" s="110">
        <v>10800.0</v>
      </c>
      <c r="P264" s="212">
        <v>0.5691740091461628</v>
      </c>
    </row>
    <row r="265" ht="14.25" hidden="1" customHeight="1">
      <c r="A265" s="103" t="s">
        <v>84</v>
      </c>
      <c r="B265" s="103" t="s">
        <v>120</v>
      </c>
      <c r="C265" s="103" t="s">
        <v>1266</v>
      </c>
      <c r="D265" s="103" t="s">
        <v>1826</v>
      </c>
      <c r="E265" s="104" t="s">
        <v>1288</v>
      </c>
      <c r="F265" s="110" t="s">
        <v>1591</v>
      </c>
      <c r="G265" s="110"/>
      <c r="H265" s="220" t="s">
        <v>1853</v>
      </c>
      <c r="I265" s="220" t="s">
        <v>778</v>
      </c>
      <c r="J265" s="103" t="s">
        <v>1847</v>
      </c>
      <c r="K265" s="110"/>
      <c r="L265" s="104" t="s">
        <v>95</v>
      </c>
      <c r="M265" s="104" t="s">
        <v>1323</v>
      </c>
      <c r="N265" s="110" t="s">
        <v>1176</v>
      </c>
      <c r="O265" s="110">
        <v>10800.0</v>
      </c>
      <c r="P265" s="212">
        <v>0.582497616246313</v>
      </c>
    </row>
    <row r="266" ht="14.25" hidden="1" customHeight="1">
      <c r="A266" s="103" t="s">
        <v>84</v>
      </c>
      <c r="B266" s="103" t="s">
        <v>120</v>
      </c>
      <c r="C266" s="103" t="s">
        <v>1266</v>
      </c>
      <c r="D266" s="103" t="s">
        <v>1826</v>
      </c>
      <c r="E266" s="104" t="s">
        <v>1268</v>
      </c>
      <c r="F266" s="110" t="s">
        <v>1591</v>
      </c>
      <c r="G266" s="110"/>
      <c r="H266" s="220" t="s">
        <v>1854</v>
      </c>
      <c r="I266" s="220" t="s">
        <v>778</v>
      </c>
      <c r="J266" s="103" t="s">
        <v>1851</v>
      </c>
      <c r="K266" s="110"/>
      <c r="L266" s="104" t="s">
        <v>95</v>
      </c>
      <c r="M266" s="104" t="s">
        <v>1323</v>
      </c>
      <c r="N266" s="110" t="s">
        <v>1176</v>
      </c>
      <c r="O266" s="110">
        <v>10800.0</v>
      </c>
      <c r="P266" s="212">
        <v>0.582497616246313</v>
      </c>
    </row>
    <row r="267" ht="14.25" hidden="1" customHeight="1">
      <c r="A267" s="103" t="s">
        <v>84</v>
      </c>
      <c r="B267" s="103" t="s">
        <v>120</v>
      </c>
      <c r="C267" s="103" t="s">
        <v>1266</v>
      </c>
      <c r="D267" s="103" t="s">
        <v>1826</v>
      </c>
      <c r="E267" s="104" t="s">
        <v>1288</v>
      </c>
      <c r="F267" s="110" t="s">
        <v>1319</v>
      </c>
      <c r="G267" s="356" t="s">
        <v>1855</v>
      </c>
      <c r="H267" s="358" t="s">
        <v>1856</v>
      </c>
      <c r="I267" s="220" t="s">
        <v>1855</v>
      </c>
      <c r="J267" s="103" t="s">
        <v>1858</v>
      </c>
      <c r="K267" s="110"/>
      <c r="L267" s="104" t="s">
        <v>95</v>
      </c>
      <c r="M267" s="103" t="s">
        <v>1859</v>
      </c>
      <c r="N267" s="110" t="s">
        <v>1637</v>
      </c>
      <c r="O267" s="110">
        <v>480.0</v>
      </c>
      <c r="P267" s="212">
        <v>6.516102620087337</v>
      </c>
    </row>
    <row r="268" ht="14.25" hidden="1" customHeight="1">
      <c r="A268" s="103" t="s">
        <v>84</v>
      </c>
      <c r="B268" s="103" t="s">
        <v>120</v>
      </c>
      <c r="C268" s="103" t="s">
        <v>1266</v>
      </c>
      <c r="D268" s="103" t="s">
        <v>1826</v>
      </c>
      <c r="E268" s="104" t="s">
        <v>1268</v>
      </c>
      <c r="F268" s="110" t="s">
        <v>1319</v>
      </c>
      <c r="G268" s="356" t="s">
        <v>1860</v>
      </c>
      <c r="H268" s="358" t="s">
        <v>1861</v>
      </c>
      <c r="I268" s="220" t="s">
        <v>1860</v>
      </c>
      <c r="J268" s="103" t="s">
        <v>1863</v>
      </c>
      <c r="K268" s="110"/>
      <c r="L268" s="104" t="s">
        <v>95</v>
      </c>
      <c r="M268" s="103" t="s">
        <v>1859</v>
      </c>
      <c r="N268" s="110" t="s">
        <v>1637</v>
      </c>
      <c r="O268" s="110">
        <v>480.0</v>
      </c>
      <c r="P268" s="212">
        <v>6.516102620087337</v>
      </c>
    </row>
    <row r="269" ht="14.25" hidden="1" customHeight="1">
      <c r="A269" s="103" t="s">
        <v>84</v>
      </c>
      <c r="B269" s="103" t="s">
        <v>120</v>
      </c>
      <c r="C269" s="103" t="s">
        <v>1266</v>
      </c>
      <c r="D269" s="103" t="s">
        <v>1826</v>
      </c>
      <c r="E269" s="104" t="s">
        <v>1288</v>
      </c>
      <c r="F269" s="110" t="s">
        <v>1395</v>
      </c>
      <c r="G269" s="356" t="s">
        <v>1864</v>
      </c>
      <c r="H269" s="358" t="s">
        <v>1865</v>
      </c>
      <c r="I269" s="220" t="s">
        <v>1864</v>
      </c>
      <c r="J269" s="103" t="s">
        <v>1867</v>
      </c>
      <c r="K269" s="110"/>
      <c r="L269" s="104" t="s">
        <v>95</v>
      </c>
      <c r="M269" s="103" t="s">
        <v>1859</v>
      </c>
      <c r="N269" s="110" t="s">
        <v>1637</v>
      </c>
      <c r="O269" s="110">
        <v>480.0</v>
      </c>
      <c r="P269" s="212">
        <v>7.7150422090022435</v>
      </c>
    </row>
    <row r="270" ht="14.25" hidden="1" customHeight="1">
      <c r="A270" s="103" t="s">
        <v>84</v>
      </c>
      <c r="B270" s="103" t="s">
        <v>120</v>
      </c>
      <c r="C270" s="103" t="s">
        <v>1266</v>
      </c>
      <c r="D270" s="103" t="s">
        <v>1826</v>
      </c>
      <c r="E270" s="104" t="s">
        <v>1268</v>
      </c>
      <c r="F270" s="110" t="s">
        <v>1395</v>
      </c>
      <c r="G270" s="356" t="s">
        <v>1868</v>
      </c>
      <c r="H270" s="358" t="s">
        <v>1869</v>
      </c>
      <c r="I270" s="220" t="s">
        <v>1868</v>
      </c>
      <c r="J270" s="103" t="s">
        <v>1871</v>
      </c>
      <c r="K270" s="110"/>
      <c r="L270" s="104" t="s">
        <v>95</v>
      </c>
      <c r="M270" s="103" t="s">
        <v>1859</v>
      </c>
      <c r="N270" s="110" t="s">
        <v>1637</v>
      </c>
      <c r="O270" s="110">
        <v>480.0</v>
      </c>
      <c r="P270" s="212">
        <v>7.7150422090022435</v>
      </c>
    </row>
    <row r="271" ht="14.25" hidden="1" customHeight="1">
      <c r="A271" s="103" t="s">
        <v>84</v>
      </c>
      <c r="B271" s="103" t="s">
        <v>120</v>
      </c>
      <c r="C271" s="103" t="s">
        <v>1266</v>
      </c>
      <c r="D271" s="103" t="s">
        <v>1826</v>
      </c>
      <c r="E271" s="104" t="s">
        <v>1288</v>
      </c>
      <c r="F271" s="110" t="s">
        <v>1465</v>
      </c>
      <c r="G271" s="356"/>
      <c r="H271" s="358" t="s">
        <v>1872</v>
      </c>
      <c r="I271" s="220"/>
      <c r="J271" s="103" t="s">
        <v>1874</v>
      </c>
      <c r="K271" s="110"/>
      <c r="L271" s="104" t="s">
        <v>95</v>
      </c>
      <c r="M271" s="103" t="s">
        <v>1859</v>
      </c>
      <c r="N271" s="110" t="s">
        <v>1637</v>
      </c>
      <c r="O271" s="110">
        <v>480.0</v>
      </c>
      <c r="P271" s="212">
        <v>10.410019320155547</v>
      </c>
    </row>
    <row r="272" ht="14.25" hidden="1" customHeight="1">
      <c r="A272" s="103" t="s">
        <v>84</v>
      </c>
      <c r="B272" s="103" t="s">
        <v>120</v>
      </c>
      <c r="C272" s="103" t="s">
        <v>1266</v>
      </c>
      <c r="D272" s="103" t="s">
        <v>1826</v>
      </c>
      <c r="E272" s="104" t="s">
        <v>1268</v>
      </c>
      <c r="F272" s="110" t="s">
        <v>1465</v>
      </c>
      <c r="G272" s="356"/>
      <c r="H272" s="358" t="s">
        <v>1875</v>
      </c>
      <c r="I272" s="220"/>
      <c r="J272" s="103" t="s">
        <v>1877</v>
      </c>
      <c r="K272" s="110"/>
      <c r="L272" s="104" t="s">
        <v>95</v>
      </c>
      <c r="M272" s="103" t="s">
        <v>1859</v>
      </c>
      <c r="N272" s="110" t="s">
        <v>1637</v>
      </c>
      <c r="O272" s="110">
        <v>480.0</v>
      </c>
      <c r="P272" s="212">
        <v>10.410019320155547</v>
      </c>
    </row>
    <row r="273" ht="14.25" hidden="1" customHeight="1">
      <c r="A273" s="103" t="s">
        <v>84</v>
      </c>
      <c r="B273" s="103" t="s">
        <v>120</v>
      </c>
      <c r="C273" s="103" t="s">
        <v>1266</v>
      </c>
      <c r="D273" s="103" t="s">
        <v>1826</v>
      </c>
      <c r="E273" s="104" t="s">
        <v>1288</v>
      </c>
      <c r="F273" s="110" t="s">
        <v>1591</v>
      </c>
      <c r="G273" s="356" t="s">
        <v>1878</v>
      </c>
      <c r="H273" s="358" t="s">
        <v>1879</v>
      </c>
      <c r="I273" s="220" t="s">
        <v>1878</v>
      </c>
      <c r="J273" s="103" t="s">
        <v>1881</v>
      </c>
      <c r="K273" s="110"/>
      <c r="L273" s="104" t="s">
        <v>95</v>
      </c>
      <c r="M273" s="103" t="s">
        <v>1859</v>
      </c>
      <c r="N273" s="110" t="s">
        <v>1637</v>
      </c>
      <c r="O273" s="110">
        <v>480.0</v>
      </c>
      <c r="P273" s="212">
        <v>7.258243149167774</v>
      </c>
    </row>
    <row r="274" ht="14.25" hidden="1" customHeight="1">
      <c r="A274" s="103" t="s">
        <v>84</v>
      </c>
      <c r="B274" s="103" t="s">
        <v>120</v>
      </c>
      <c r="C274" s="103" t="s">
        <v>1266</v>
      </c>
      <c r="D274" s="103" t="s">
        <v>1826</v>
      </c>
      <c r="E274" s="104" t="s">
        <v>1268</v>
      </c>
      <c r="F274" s="110" t="s">
        <v>1591</v>
      </c>
      <c r="G274" s="356" t="s">
        <v>1882</v>
      </c>
      <c r="H274" s="358" t="s">
        <v>1883</v>
      </c>
      <c r="I274" s="220" t="s">
        <v>1882</v>
      </c>
      <c r="J274" s="103" t="s">
        <v>1885</v>
      </c>
      <c r="K274" s="110"/>
      <c r="L274" s="104" t="s">
        <v>95</v>
      </c>
      <c r="M274" s="103" t="s">
        <v>1859</v>
      </c>
      <c r="N274" s="110" t="s">
        <v>1637</v>
      </c>
      <c r="O274" s="110">
        <v>480.0</v>
      </c>
      <c r="P274" s="212">
        <v>7.258243149167774</v>
      </c>
    </row>
    <row r="275" ht="14.25" hidden="1" customHeight="1">
      <c r="A275" s="103" t="s">
        <v>84</v>
      </c>
      <c r="B275" s="103" t="s">
        <v>120</v>
      </c>
      <c r="C275" s="103" t="s">
        <v>1886</v>
      </c>
      <c r="D275" s="103" t="s">
        <v>1887</v>
      </c>
      <c r="E275" s="104" t="s">
        <v>1887</v>
      </c>
      <c r="F275" s="110"/>
      <c r="G275" s="110"/>
      <c r="H275" s="220" t="s">
        <v>1891</v>
      </c>
      <c r="I275" s="220" t="s">
        <v>4149</v>
      </c>
      <c r="J275" s="104" t="s">
        <v>1893</v>
      </c>
      <c r="K275" s="110"/>
      <c r="L275" s="104" t="s">
        <v>95</v>
      </c>
      <c r="M275" s="104" t="s">
        <v>554</v>
      </c>
      <c r="N275" s="110" t="s">
        <v>1176</v>
      </c>
      <c r="O275" s="110">
        <v>400.0</v>
      </c>
      <c r="P275" s="212">
        <v>2.8059700547953232</v>
      </c>
    </row>
    <row r="276" ht="14.25" hidden="1" customHeight="1">
      <c r="A276" s="105" t="s">
        <v>84</v>
      </c>
      <c r="B276" s="103" t="s">
        <v>120</v>
      </c>
      <c r="C276" s="105" t="s">
        <v>1886</v>
      </c>
      <c r="D276" s="105" t="s">
        <v>1887</v>
      </c>
      <c r="E276" s="105" t="s">
        <v>1887</v>
      </c>
      <c r="F276" s="106"/>
      <c r="G276" s="110"/>
      <c r="H276" s="220" t="s">
        <v>1894</v>
      </c>
      <c r="I276" s="220" t="s">
        <v>4150</v>
      </c>
      <c r="J276" s="105" t="s">
        <v>1896</v>
      </c>
      <c r="K276" s="110"/>
      <c r="L276" s="104" t="s">
        <v>95</v>
      </c>
      <c r="M276" s="104" t="s">
        <v>554</v>
      </c>
      <c r="N276" s="110" t="s">
        <v>1176</v>
      </c>
      <c r="O276" s="110">
        <v>400.0</v>
      </c>
      <c r="P276" s="212">
        <v>3.3365670092082778</v>
      </c>
    </row>
    <row r="277" ht="14.25" hidden="1" customHeight="1">
      <c r="A277" s="105" t="s">
        <v>84</v>
      </c>
      <c r="B277" s="103" t="s">
        <v>120</v>
      </c>
      <c r="C277" s="105" t="s">
        <v>1886</v>
      </c>
      <c r="D277" s="105" t="s">
        <v>1887</v>
      </c>
      <c r="E277" s="105" t="s">
        <v>1887</v>
      </c>
      <c r="F277" s="106"/>
      <c r="G277" s="110"/>
      <c r="H277" s="220" t="s">
        <v>1898</v>
      </c>
      <c r="I277" s="220" t="s">
        <v>4151</v>
      </c>
      <c r="J277" s="105" t="s">
        <v>1900</v>
      </c>
      <c r="K277" s="110"/>
      <c r="L277" s="104" t="s">
        <v>95</v>
      </c>
      <c r="M277" s="104" t="s">
        <v>554</v>
      </c>
      <c r="N277" s="110" t="s">
        <v>555</v>
      </c>
      <c r="O277" s="110">
        <v>360.0</v>
      </c>
      <c r="P277" s="212">
        <v>3.861886378499251</v>
      </c>
    </row>
    <row r="278" ht="14.25" hidden="1" customHeight="1">
      <c r="A278" s="105" t="s">
        <v>84</v>
      </c>
      <c r="B278" s="103" t="s">
        <v>120</v>
      </c>
      <c r="C278" s="105" t="s">
        <v>1886</v>
      </c>
      <c r="D278" s="105" t="s">
        <v>1887</v>
      </c>
      <c r="E278" s="105" t="s">
        <v>1887</v>
      </c>
      <c r="F278" s="106"/>
      <c r="G278" s="110"/>
      <c r="H278" s="220" t="s">
        <v>1903</v>
      </c>
      <c r="I278" s="220" t="s">
        <v>1904</v>
      </c>
      <c r="J278" s="105" t="s">
        <v>1906</v>
      </c>
      <c r="K278" s="110"/>
      <c r="L278" s="104" t="s">
        <v>95</v>
      </c>
      <c r="M278" s="104" t="s">
        <v>554</v>
      </c>
      <c r="N278" s="110" t="s">
        <v>1176</v>
      </c>
      <c r="O278" s="110"/>
      <c r="P278" s="212"/>
    </row>
    <row r="279" ht="14.25" hidden="1" customHeight="1">
      <c r="A279" s="105" t="s">
        <v>84</v>
      </c>
      <c r="B279" s="103" t="s">
        <v>120</v>
      </c>
      <c r="C279" s="105" t="s">
        <v>1886</v>
      </c>
      <c r="D279" s="105" t="s">
        <v>1887</v>
      </c>
      <c r="E279" s="105" t="s">
        <v>1887</v>
      </c>
      <c r="F279" s="106"/>
      <c r="G279" s="110"/>
      <c r="H279" s="220" t="s">
        <v>1907</v>
      </c>
      <c r="I279" s="220" t="s">
        <v>4152</v>
      </c>
      <c r="J279" s="105" t="s">
        <v>1909</v>
      </c>
      <c r="K279" s="110"/>
      <c r="L279" s="104" t="s">
        <v>95</v>
      </c>
      <c r="M279" s="104" t="s">
        <v>554</v>
      </c>
      <c r="N279" s="110" t="s">
        <v>555</v>
      </c>
      <c r="O279" s="110">
        <v>360.0</v>
      </c>
      <c r="P279" s="212">
        <v>11.100717188258127</v>
      </c>
    </row>
    <row r="280" ht="14.25" hidden="1" customHeight="1">
      <c r="A280" s="103" t="s">
        <v>84</v>
      </c>
      <c r="B280" s="103" t="s">
        <v>120</v>
      </c>
      <c r="C280" s="103" t="s">
        <v>1886</v>
      </c>
      <c r="D280" s="103" t="s">
        <v>1887</v>
      </c>
      <c r="E280" s="104" t="s">
        <v>1887</v>
      </c>
      <c r="F280" s="110"/>
      <c r="G280" s="110"/>
      <c r="H280" s="220" t="s">
        <v>1913</v>
      </c>
      <c r="I280" s="220" t="s">
        <v>4153</v>
      </c>
      <c r="J280" s="104" t="s">
        <v>1915</v>
      </c>
      <c r="K280" s="110"/>
      <c r="L280" s="104" t="s">
        <v>95</v>
      </c>
      <c r="M280" s="104" t="s">
        <v>554</v>
      </c>
      <c r="N280" s="110" t="s">
        <v>1176</v>
      </c>
      <c r="O280" s="110">
        <v>1600.0</v>
      </c>
      <c r="P280" s="365">
        <v>3.171193633125431</v>
      </c>
    </row>
    <row r="281" ht="14.25" hidden="1" customHeight="1">
      <c r="A281" s="103" t="s">
        <v>84</v>
      </c>
      <c r="B281" s="103" t="s">
        <v>120</v>
      </c>
      <c r="C281" s="103" t="s">
        <v>1886</v>
      </c>
      <c r="D281" s="103" t="s">
        <v>1887</v>
      </c>
      <c r="E281" s="104" t="s">
        <v>1887</v>
      </c>
      <c r="F281" s="110"/>
      <c r="G281" s="110"/>
      <c r="H281" s="108" t="s">
        <v>1917</v>
      </c>
      <c r="I281" s="108" t="s">
        <v>4154</v>
      </c>
      <c r="J281" s="103" t="s">
        <v>1919</v>
      </c>
      <c r="K281" s="110"/>
      <c r="L281" s="104" t="s">
        <v>95</v>
      </c>
      <c r="M281" s="104" t="s">
        <v>554</v>
      </c>
      <c r="N281" s="110" t="s">
        <v>741</v>
      </c>
      <c r="O281" s="110">
        <v>128.0</v>
      </c>
      <c r="P281" s="379">
        <v>7.048060516472325</v>
      </c>
    </row>
    <row r="282" ht="14.25" hidden="1" customHeight="1">
      <c r="A282" s="103" t="s">
        <v>84</v>
      </c>
      <c r="B282" s="103" t="s">
        <v>120</v>
      </c>
      <c r="C282" s="103" t="s">
        <v>1886</v>
      </c>
      <c r="D282" s="103" t="s">
        <v>1887</v>
      </c>
      <c r="E282" s="104" t="s">
        <v>1887</v>
      </c>
      <c r="F282" s="110"/>
      <c r="G282" s="110"/>
      <c r="H282" s="108" t="s">
        <v>1921</v>
      </c>
      <c r="I282" s="108" t="s">
        <v>4155</v>
      </c>
      <c r="J282" s="103" t="s">
        <v>1923</v>
      </c>
      <c r="K282" s="110"/>
      <c r="L282" s="104" t="s">
        <v>95</v>
      </c>
      <c r="M282" s="104" t="s">
        <v>554</v>
      </c>
      <c r="N282" s="110" t="s">
        <v>741</v>
      </c>
      <c r="O282" s="110">
        <v>200.0</v>
      </c>
      <c r="P282" s="379">
        <v>7.520779960498965</v>
      </c>
    </row>
    <row r="283" ht="14.25" hidden="1" customHeight="1">
      <c r="A283" s="103" t="s">
        <v>84</v>
      </c>
      <c r="B283" s="103" t="s">
        <v>120</v>
      </c>
      <c r="C283" s="103" t="s">
        <v>1886</v>
      </c>
      <c r="D283" s="103" t="s">
        <v>1887</v>
      </c>
      <c r="E283" s="104" t="s">
        <v>1887</v>
      </c>
      <c r="F283" s="110"/>
      <c r="G283" s="110"/>
      <c r="H283" s="220" t="s">
        <v>1924</v>
      </c>
      <c r="I283" s="220" t="s">
        <v>4156</v>
      </c>
      <c r="J283" s="103" t="s">
        <v>1926</v>
      </c>
      <c r="K283" s="110"/>
      <c r="L283" s="104" t="s">
        <v>95</v>
      </c>
      <c r="M283" s="104" t="s">
        <v>554</v>
      </c>
      <c r="N283" s="110" t="s">
        <v>1176</v>
      </c>
      <c r="O283" s="110">
        <v>900.0</v>
      </c>
      <c r="P283" s="212">
        <v>1.6007428913313035</v>
      </c>
    </row>
    <row r="284" ht="14.25" hidden="1" customHeight="1">
      <c r="A284" s="105" t="s">
        <v>84</v>
      </c>
      <c r="B284" s="103" t="s">
        <v>120</v>
      </c>
      <c r="C284" s="105" t="s">
        <v>1886</v>
      </c>
      <c r="D284" s="105" t="s">
        <v>1887</v>
      </c>
      <c r="E284" s="105" t="s">
        <v>1887</v>
      </c>
      <c r="F284" s="106"/>
      <c r="G284" s="110"/>
      <c r="H284" s="220" t="s">
        <v>1928</v>
      </c>
      <c r="I284" s="220" t="s">
        <v>4157</v>
      </c>
      <c r="J284" s="105" t="s">
        <v>1930</v>
      </c>
      <c r="K284" s="110"/>
      <c r="L284" s="104" t="s">
        <v>95</v>
      </c>
      <c r="M284" s="104" t="s">
        <v>554</v>
      </c>
      <c r="N284" s="110" t="s">
        <v>1176</v>
      </c>
      <c r="O284" s="110">
        <v>400.0</v>
      </c>
      <c r="P284" s="212">
        <v>3.352983724658777</v>
      </c>
    </row>
    <row r="285" ht="14.25" hidden="1" customHeight="1">
      <c r="A285" s="105" t="s">
        <v>84</v>
      </c>
      <c r="B285" s="103" t="s">
        <v>120</v>
      </c>
      <c r="C285" s="105" t="s">
        <v>1886</v>
      </c>
      <c r="D285" s="105" t="s">
        <v>1932</v>
      </c>
      <c r="E285" s="105" t="s">
        <v>1932</v>
      </c>
      <c r="F285" s="106"/>
      <c r="G285" s="110"/>
      <c r="H285" s="220" t="s">
        <v>1933</v>
      </c>
      <c r="I285" s="220" t="s">
        <v>4158</v>
      </c>
      <c r="J285" s="105" t="s">
        <v>1935</v>
      </c>
      <c r="K285" s="110"/>
      <c r="L285" s="104" t="s">
        <v>95</v>
      </c>
      <c r="M285" s="104" t="s">
        <v>554</v>
      </c>
      <c r="N285" s="110" t="s">
        <v>1637</v>
      </c>
      <c r="O285" s="110">
        <v>240.0</v>
      </c>
      <c r="P285" s="212">
        <v>9.45525160151608</v>
      </c>
    </row>
    <row r="286" ht="14.25" hidden="1" customHeight="1">
      <c r="A286" s="105" t="s">
        <v>84</v>
      </c>
      <c r="B286" s="103" t="s">
        <v>120</v>
      </c>
      <c r="C286" s="105" t="s">
        <v>1886</v>
      </c>
      <c r="D286" s="105" t="s">
        <v>1932</v>
      </c>
      <c r="E286" s="105" t="s">
        <v>1932</v>
      </c>
      <c r="F286" s="106"/>
      <c r="G286" s="110"/>
      <c r="H286" s="220" t="s">
        <v>1941</v>
      </c>
      <c r="I286" s="220" t="s">
        <v>4159</v>
      </c>
      <c r="J286" s="105" t="s">
        <v>1943</v>
      </c>
      <c r="K286" s="110"/>
      <c r="L286" s="104" t="s">
        <v>95</v>
      </c>
      <c r="M286" s="104" t="s">
        <v>554</v>
      </c>
      <c r="N286" s="110" t="s">
        <v>1637</v>
      </c>
      <c r="O286" s="110">
        <v>240.0</v>
      </c>
      <c r="P286" s="212">
        <v>9.588424159283914</v>
      </c>
    </row>
    <row r="287" ht="14.25" hidden="1" customHeight="1">
      <c r="A287" s="103" t="s">
        <v>84</v>
      </c>
      <c r="B287" s="103" t="s">
        <v>120</v>
      </c>
      <c r="C287" s="103" t="s">
        <v>1886</v>
      </c>
      <c r="D287" s="103" t="s">
        <v>1932</v>
      </c>
      <c r="E287" s="104" t="s">
        <v>1932</v>
      </c>
      <c r="F287" s="110"/>
      <c r="G287" s="110"/>
      <c r="H287" s="220" t="s">
        <v>1945</v>
      </c>
      <c r="I287" s="220" t="s">
        <v>4160</v>
      </c>
      <c r="J287" s="103" t="s">
        <v>1947</v>
      </c>
      <c r="K287" s="110"/>
      <c r="L287" s="104" t="s">
        <v>95</v>
      </c>
      <c r="M287" s="104" t="s">
        <v>554</v>
      </c>
      <c r="N287" s="110" t="s">
        <v>1637</v>
      </c>
      <c r="O287" s="110">
        <v>240.0</v>
      </c>
      <c r="P287" s="212">
        <v>33.08593391965109</v>
      </c>
    </row>
    <row r="288" ht="14.25" hidden="1" customHeight="1">
      <c r="A288" s="103" t="s">
        <v>84</v>
      </c>
      <c r="B288" s="103" t="s">
        <v>120</v>
      </c>
      <c r="C288" s="103" t="s">
        <v>1266</v>
      </c>
      <c r="D288" s="103" t="s">
        <v>1948</v>
      </c>
      <c r="E288" s="104" t="s">
        <v>1949</v>
      </c>
      <c r="F288" s="110" t="s">
        <v>1319</v>
      </c>
      <c r="G288" s="390" t="s">
        <v>1950</v>
      </c>
      <c r="H288" s="220" t="s">
        <v>2248</v>
      </c>
      <c r="I288" s="220" t="s">
        <v>778</v>
      </c>
      <c r="J288" s="103" t="s">
        <v>2250</v>
      </c>
      <c r="K288" s="110" t="s">
        <v>162</v>
      </c>
      <c r="L288" s="104" t="s">
        <v>147</v>
      </c>
      <c r="M288" s="104" t="s">
        <v>1989</v>
      </c>
      <c r="N288" s="110" t="s">
        <v>1955</v>
      </c>
      <c r="O288" s="110">
        <v>2.0</v>
      </c>
      <c r="P288" s="116">
        <v>491.66666666666663</v>
      </c>
    </row>
    <row r="289" ht="14.25" hidden="1" customHeight="1">
      <c r="A289" s="103" t="s">
        <v>84</v>
      </c>
      <c r="B289" s="103" t="s">
        <v>120</v>
      </c>
      <c r="C289" s="103" t="s">
        <v>1266</v>
      </c>
      <c r="D289" s="103" t="s">
        <v>1948</v>
      </c>
      <c r="E289" s="104" t="s">
        <v>1949</v>
      </c>
      <c r="F289" s="110" t="s">
        <v>1319</v>
      </c>
      <c r="G289" s="390" t="s">
        <v>1957</v>
      </c>
      <c r="H289" s="220" t="s">
        <v>2252</v>
      </c>
      <c r="I289" s="220" t="s">
        <v>778</v>
      </c>
      <c r="J289" s="103" t="s">
        <v>2254</v>
      </c>
      <c r="K289" s="110" t="s">
        <v>162</v>
      </c>
      <c r="L289" s="104" t="s">
        <v>147</v>
      </c>
      <c r="M289" s="104" t="s">
        <v>1989</v>
      </c>
      <c r="N289" s="110" t="s">
        <v>1955</v>
      </c>
      <c r="O289" s="110">
        <v>2.0</v>
      </c>
      <c r="P289" s="116">
        <v>608.3333333333334</v>
      </c>
    </row>
    <row r="290" ht="14.25" hidden="1" customHeight="1">
      <c r="A290" s="103" t="s">
        <v>84</v>
      </c>
      <c r="B290" s="103" t="s">
        <v>120</v>
      </c>
      <c r="C290" s="103" t="s">
        <v>1266</v>
      </c>
      <c r="D290" s="103" t="s">
        <v>1948</v>
      </c>
      <c r="E290" s="104" t="s">
        <v>1949</v>
      </c>
      <c r="F290" s="110" t="s">
        <v>1319</v>
      </c>
      <c r="G290" s="390" t="s">
        <v>1962</v>
      </c>
      <c r="H290" s="220" t="s">
        <v>2256</v>
      </c>
      <c r="I290" s="220" t="s">
        <v>4162</v>
      </c>
      <c r="J290" s="103" t="s">
        <v>2258</v>
      </c>
      <c r="K290" s="110" t="s">
        <v>162</v>
      </c>
      <c r="L290" s="104" t="s">
        <v>147</v>
      </c>
      <c r="M290" s="104" t="s">
        <v>1989</v>
      </c>
      <c r="N290" s="110" t="s">
        <v>1955</v>
      </c>
      <c r="O290" s="110">
        <v>2.0</v>
      </c>
      <c r="P290" s="116">
        <v>700.0</v>
      </c>
    </row>
    <row r="291" ht="14.25" hidden="1" customHeight="1">
      <c r="A291" s="103" t="s">
        <v>84</v>
      </c>
      <c r="B291" s="103" t="s">
        <v>120</v>
      </c>
      <c r="C291" s="103" t="s">
        <v>1266</v>
      </c>
      <c r="D291" s="103" t="s">
        <v>1948</v>
      </c>
      <c r="E291" s="104" t="s">
        <v>1949</v>
      </c>
      <c r="F291" s="110" t="s">
        <v>1319</v>
      </c>
      <c r="G291" s="390" t="s">
        <v>1967</v>
      </c>
      <c r="H291" s="220" t="s">
        <v>2260</v>
      </c>
      <c r="I291" s="220" t="s">
        <v>4163</v>
      </c>
      <c r="J291" s="103" t="s">
        <v>2262</v>
      </c>
      <c r="K291" s="110" t="s">
        <v>162</v>
      </c>
      <c r="L291" s="104" t="s">
        <v>147</v>
      </c>
      <c r="M291" s="104" t="s">
        <v>1989</v>
      </c>
      <c r="N291" s="110" t="s">
        <v>1955</v>
      </c>
      <c r="O291" s="110">
        <v>2.0</v>
      </c>
      <c r="P291" s="116">
        <v>1233.3333333333335</v>
      </c>
    </row>
    <row r="292" ht="14.25" hidden="1" customHeight="1">
      <c r="A292" s="103" t="s">
        <v>84</v>
      </c>
      <c r="B292" s="103" t="s">
        <v>120</v>
      </c>
      <c r="C292" s="103" t="s">
        <v>1266</v>
      </c>
      <c r="D292" s="103" t="s">
        <v>1948</v>
      </c>
      <c r="E292" s="104" t="s">
        <v>1972</v>
      </c>
      <c r="F292" s="110" t="s">
        <v>1319</v>
      </c>
      <c r="G292" s="390" t="s">
        <v>1950</v>
      </c>
      <c r="H292" s="220" t="s">
        <v>1974</v>
      </c>
      <c r="I292" s="220" t="s">
        <v>4165</v>
      </c>
      <c r="J292" s="103" t="s">
        <v>1976</v>
      </c>
      <c r="K292" s="110" t="s">
        <v>162</v>
      </c>
      <c r="L292" s="104" t="s">
        <v>147</v>
      </c>
      <c r="M292" s="104" t="s">
        <v>1989</v>
      </c>
      <c r="N292" s="110" t="s">
        <v>1955</v>
      </c>
      <c r="O292" s="110">
        <v>2.0</v>
      </c>
      <c r="P292" s="116">
        <v>507.6923076923077</v>
      </c>
    </row>
    <row r="293" ht="14.25" hidden="1" customHeight="1">
      <c r="A293" s="103" t="s">
        <v>84</v>
      </c>
      <c r="B293" s="103" t="s">
        <v>120</v>
      </c>
      <c r="C293" s="103" t="s">
        <v>1266</v>
      </c>
      <c r="D293" s="103" t="s">
        <v>1948</v>
      </c>
      <c r="E293" s="104" t="s">
        <v>1972</v>
      </c>
      <c r="F293" s="110" t="s">
        <v>1319</v>
      </c>
      <c r="G293" s="390" t="s">
        <v>1957</v>
      </c>
      <c r="H293" s="220" t="s">
        <v>1978</v>
      </c>
      <c r="I293" s="220" t="s">
        <v>4166</v>
      </c>
      <c r="J293" s="103" t="s">
        <v>1980</v>
      </c>
      <c r="K293" s="110" t="s">
        <v>162</v>
      </c>
      <c r="L293" s="104" t="s">
        <v>147</v>
      </c>
      <c r="M293" s="104" t="s">
        <v>1989</v>
      </c>
      <c r="N293" s="110" t="s">
        <v>1955</v>
      </c>
      <c r="O293" s="110">
        <v>2.0</v>
      </c>
      <c r="P293" s="116">
        <v>609.2307692307693</v>
      </c>
    </row>
    <row r="294" ht="14.25" hidden="1" customHeight="1">
      <c r="A294" s="103" t="s">
        <v>84</v>
      </c>
      <c r="B294" s="103" t="s">
        <v>120</v>
      </c>
      <c r="C294" s="103" t="s">
        <v>1266</v>
      </c>
      <c r="D294" s="103" t="s">
        <v>1948</v>
      </c>
      <c r="E294" s="104" t="s">
        <v>1972</v>
      </c>
      <c r="F294" s="110" t="s">
        <v>1319</v>
      </c>
      <c r="G294" s="390" t="s">
        <v>1962</v>
      </c>
      <c r="H294" s="220" t="s">
        <v>1982</v>
      </c>
      <c r="I294" s="220" t="s">
        <v>4167</v>
      </c>
      <c r="J294" s="103" t="s">
        <v>1984</v>
      </c>
      <c r="K294" s="110" t="s">
        <v>162</v>
      </c>
      <c r="L294" s="104" t="s">
        <v>147</v>
      </c>
      <c r="M294" s="104" t="s">
        <v>1989</v>
      </c>
      <c r="N294" s="110" t="s">
        <v>1955</v>
      </c>
      <c r="O294" s="110">
        <v>2.0</v>
      </c>
      <c r="P294" s="116">
        <v>803.8461538461538</v>
      </c>
    </row>
    <row r="295" ht="14.25" hidden="1" customHeight="1">
      <c r="A295" s="103" t="s">
        <v>84</v>
      </c>
      <c r="B295" s="103" t="s">
        <v>120</v>
      </c>
      <c r="C295" s="103" t="s">
        <v>1266</v>
      </c>
      <c r="D295" s="103" t="s">
        <v>1948</v>
      </c>
      <c r="E295" s="104" t="s">
        <v>1972</v>
      </c>
      <c r="F295" s="110" t="s">
        <v>1319</v>
      </c>
      <c r="G295" s="390" t="s">
        <v>1967</v>
      </c>
      <c r="H295" s="220" t="s">
        <v>1986</v>
      </c>
      <c r="I295" s="220" t="s">
        <v>4168</v>
      </c>
      <c r="J295" s="103" t="s">
        <v>1988</v>
      </c>
      <c r="K295" s="110" t="s">
        <v>162</v>
      </c>
      <c r="L295" s="104" t="s">
        <v>147</v>
      </c>
      <c r="M295" s="104" t="s">
        <v>1989</v>
      </c>
      <c r="N295" s="110" t="s">
        <v>1955</v>
      </c>
      <c r="O295" s="110">
        <v>2.0</v>
      </c>
      <c r="P295" s="116">
        <v>1379.2307692307693</v>
      </c>
    </row>
    <row r="296" ht="14.25" hidden="1" customHeight="1">
      <c r="A296" s="103" t="s">
        <v>84</v>
      </c>
      <c r="B296" s="103" t="s">
        <v>120</v>
      </c>
      <c r="C296" s="103" t="s">
        <v>1266</v>
      </c>
      <c r="D296" s="103" t="s">
        <v>1948</v>
      </c>
      <c r="E296" s="104" t="s">
        <v>1991</v>
      </c>
      <c r="F296" s="110" t="s">
        <v>1319</v>
      </c>
      <c r="G296" s="390" t="s">
        <v>1950</v>
      </c>
      <c r="H296" s="220" t="s">
        <v>1993</v>
      </c>
      <c r="I296" s="220" t="s">
        <v>4170</v>
      </c>
      <c r="J296" s="103" t="s">
        <v>1995</v>
      </c>
      <c r="K296" s="110" t="s">
        <v>206</v>
      </c>
      <c r="L296" s="104" t="s">
        <v>147</v>
      </c>
      <c r="M296" s="104" t="s">
        <v>1989</v>
      </c>
      <c r="N296" s="110" t="s">
        <v>1955</v>
      </c>
      <c r="O296" s="110">
        <v>2.0</v>
      </c>
      <c r="P296" s="116">
        <v>441.71875000000006</v>
      </c>
    </row>
    <row r="297" ht="14.25" hidden="1" customHeight="1">
      <c r="A297" s="103" t="s">
        <v>84</v>
      </c>
      <c r="B297" s="103" t="s">
        <v>120</v>
      </c>
      <c r="C297" s="103" t="s">
        <v>1266</v>
      </c>
      <c r="D297" s="103" t="s">
        <v>1948</v>
      </c>
      <c r="E297" s="104" t="s">
        <v>1991</v>
      </c>
      <c r="F297" s="110" t="s">
        <v>1319</v>
      </c>
      <c r="G297" s="390" t="s">
        <v>1957</v>
      </c>
      <c r="H297" s="220" t="s">
        <v>1997</v>
      </c>
      <c r="I297" s="220" t="s">
        <v>4171</v>
      </c>
      <c r="J297" s="103" t="s">
        <v>1999</v>
      </c>
      <c r="K297" s="110" t="s">
        <v>206</v>
      </c>
      <c r="L297" s="104" t="s">
        <v>147</v>
      </c>
      <c r="M297" s="104" t="s">
        <v>1989</v>
      </c>
      <c r="N297" s="110" t="s">
        <v>1955</v>
      </c>
      <c r="O297" s="110">
        <v>2.0</v>
      </c>
      <c r="P297" s="116">
        <v>529.375</v>
      </c>
    </row>
    <row r="298" ht="14.25" hidden="1" customHeight="1">
      <c r="A298" s="103" t="s">
        <v>84</v>
      </c>
      <c r="B298" s="103" t="s">
        <v>120</v>
      </c>
      <c r="C298" s="103" t="s">
        <v>1266</v>
      </c>
      <c r="D298" s="103" t="s">
        <v>1948</v>
      </c>
      <c r="E298" s="104" t="s">
        <v>1991</v>
      </c>
      <c r="F298" s="110" t="s">
        <v>1319</v>
      </c>
      <c r="G298" s="390" t="s">
        <v>1962</v>
      </c>
      <c r="H298" s="220" t="s">
        <v>2001</v>
      </c>
      <c r="I298" s="220" t="s">
        <v>4172</v>
      </c>
      <c r="J298" s="103" t="s">
        <v>2003</v>
      </c>
      <c r="K298" s="110" t="s">
        <v>206</v>
      </c>
      <c r="L298" s="104" t="s">
        <v>147</v>
      </c>
      <c r="M298" s="104" t="s">
        <v>1989</v>
      </c>
      <c r="N298" s="110" t="s">
        <v>1955</v>
      </c>
      <c r="O298" s="110">
        <v>2.0</v>
      </c>
      <c r="P298" s="116">
        <v>660.0</v>
      </c>
    </row>
    <row r="299" ht="14.25" hidden="1" customHeight="1">
      <c r="A299" s="103" t="s">
        <v>84</v>
      </c>
      <c r="B299" s="103" t="s">
        <v>120</v>
      </c>
      <c r="C299" s="103" t="s">
        <v>1266</v>
      </c>
      <c r="D299" s="103" t="s">
        <v>1948</v>
      </c>
      <c r="E299" s="104" t="s">
        <v>1991</v>
      </c>
      <c r="F299" s="110" t="s">
        <v>1319</v>
      </c>
      <c r="G299" s="390" t="s">
        <v>1967</v>
      </c>
      <c r="H299" s="220" t="s">
        <v>2005</v>
      </c>
      <c r="I299" s="220" t="s">
        <v>4173</v>
      </c>
      <c r="J299" s="103" t="s">
        <v>2007</v>
      </c>
      <c r="K299" s="110" t="s">
        <v>206</v>
      </c>
      <c r="L299" s="104" t="s">
        <v>147</v>
      </c>
      <c r="M299" s="104" t="s">
        <v>1989</v>
      </c>
      <c r="N299" s="110" t="s">
        <v>1955</v>
      </c>
      <c r="O299" s="110">
        <v>2.0</v>
      </c>
      <c r="P299" s="116">
        <v>1128.3333333333333</v>
      </c>
    </row>
    <row r="300" ht="14.25" hidden="1" customHeight="1">
      <c r="A300" s="103" t="s">
        <v>84</v>
      </c>
      <c r="B300" s="103" t="s">
        <v>120</v>
      </c>
      <c r="C300" s="103" t="s">
        <v>1266</v>
      </c>
      <c r="D300" s="103" t="s">
        <v>1948</v>
      </c>
      <c r="E300" s="104" t="s">
        <v>2008</v>
      </c>
      <c r="F300" s="110" t="s">
        <v>1319</v>
      </c>
      <c r="G300" s="390">
        <v>2.0</v>
      </c>
      <c r="H300" s="220" t="s">
        <v>2272</v>
      </c>
      <c r="I300" s="220" t="s">
        <v>778</v>
      </c>
      <c r="J300" s="103" t="s">
        <v>2274</v>
      </c>
      <c r="K300" s="110" t="s">
        <v>206</v>
      </c>
      <c r="L300" s="104" t="s">
        <v>147</v>
      </c>
      <c r="M300" s="104" t="s">
        <v>1989</v>
      </c>
      <c r="N300" s="110" t="s">
        <v>1955</v>
      </c>
      <c r="O300" s="110">
        <v>2.0</v>
      </c>
      <c r="P300" s="116">
        <v>373.7897408074816</v>
      </c>
    </row>
    <row r="301" ht="14.25" hidden="1" customHeight="1">
      <c r="A301" s="103" t="s">
        <v>84</v>
      </c>
      <c r="B301" s="103" t="s">
        <v>120</v>
      </c>
      <c r="C301" s="103" t="s">
        <v>1266</v>
      </c>
      <c r="D301" s="103" t="s">
        <v>1948</v>
      </c>
      <c r="E301" s="104" t="s">
        <v>2008</v>
      </c>
      <c r="F301" s="110" t="s">
        <v>1319</v>
      </c>
      <c r="G301" s="390">
        <v>4.0</v>
      </c>
      <c r="H301" s="220" t="s">
        <v>2276</v>
      </c>
      <c r="I301" s="220" t="s">
        <v>778</v>
      </c>
      <c r="J301" s="103" t="s">
        <v>2278</v>
      </c>
      <c r="K301" s="110" t="s">
        <v>206</v>
      </c>
      <c r="L301" s="104" t="s">
        <v>147</v>
      </c>
      <c r="M301" s="104" t="s">
        <v>1989</v>
      </c>
      <c r="N301" s="110" t="s">
        <v>1955</v>
      </c>
      <c r="O301" s="110">
        <v>2.0</v>
      </c>
      <c r="P301" s="116">
        <v>448.5635512523559</v>
      </c>
    </row>
    <row r="302" ht="14.25" hidden="1" customHeight="1">
      <c r="A302" s="103" t="s">
        <v>84</v>
      </c>
      <c r="B302" s="103" t="s">
        <v>120</v>
      </c>
      <c r="C302" s="103" t="s">
        <v>1266</v>
      </c>
      <c r="D302" s="103" t="s">
        <v>1948</v>
      </c>
      <c r="E302" s="104" t="s">
        <v>2008</v>
      </c>
      <c r="F302" s="110" t="s">
        <v>1319</v>
      </c>
      <c r="G302" s="390" t="s">
        <v>1950</v>
      </c>
      <c r="H302" s="220" t="s">
        <v>2010</v>
      </c>
      <c r="I302" s="220" t="s">
        <v>4175</v>
      </c>
      <c r="J302" s="103" t="s">
        <v>2012</v>
      </c>
      <c r="K302" s="110" t="s">
        <v>206</v>
      </c>
      <c r="L302" s="104" t="s">
        <v>147</v>
      </c>
      <c r="M302" s="104" t="s">
        <v>1989</v>
      </c>
      <c r="N302" s="110" t="s">
        <v>1955</v>
      </c>
      <c r="O302" s="110">
        <v>2.0</v>
      </c>
      <c r="P302" s="116">
        <v>523.3373616972302</v>
      </c>
    </row>
    <row r="303" ht="14.25" hidden="1" customHeight="1">
      <c r="A303" s="103" t="s">
        <v>84</v>
      </c>
      <c r="B303" s="103" t="s">
        <v>120</v>
      </c>
      <c r="C303" s="103" t="s">
        <v>1266</v>
      </c>
      <c r="D303" s="103" t="s">
        <v>1948</v>
      </c>
      <c r="E303" s="104" t="s">
        <v>2008</v>
      </c>
      <c r="F303" s="110" t="s">
        <v>1319</v>
      </c>
      <c r="G303" s="390" t="s">
        <v>1957</v>
      </c>
      <c r="H303" s="220" t="s">
        <v>2014</v>
      </c>
      <c r="I303" s="220" t="s">
        <v>4176</v>
      </c>
      <c r="J303" s="103" t="s">
        <v>2016</v>
      </c>
      <c r="K303" s="110" t="s">
        <v>206</v>
      </c>
      <c r="L303" s="104" t="s">
        <v>147</v>
      </c>
      <c r="M303" s="104" t="s">
        <v>1989</v>
      </c>
      <c r="N303" s="110" t="s">
        <v>1955</v>
      </c>
      <c r="O303" s="110">
        <v>2.0</v>
      </c>
      <c r="P303" s="116">
        <v>598.1111721421045</v>
      </c>
    </row>
    <row r="304" ht="14.25" hidden="1" customHeight="1">
      <c r="A304" s="103" t="s">
        <v>84</v>
      </c>
      <c r="B304" s="103" t="s">
        <v>120</v>
      </c>
      <c r="C304" s="103" t="s">
        <v>1266</v>
      </c>
      <c r="D304" s="103" t="s">
        <v>1948</v>
      </c>
      <c r="E304" s="104" t="s">
        <v>2008</v>
      </c>
      <c r="F304" s="110" t="s">
        <v>1319</v>
      </c>
      <c r="G304" s="390">
        <v>10.0</v>
      </c>
      <c r="H304" s="220" t="s">
        <v>2282</v>
      </c>
      <c r="I304" s="220" t="s">
        <v>778</v>
      </c>
      <c r="J304" s="103" t="s">
        <v>2284</v>
      </c>
      <c r="K304" s="110" t="s">
        <v>206</v>
      </c>
      <c r="L304" s="104" t="s">
        <v>147</v>
      </c>
      <c r="M304" s="104" t="s">
        <v>1989</v>
      </c>
      <c r="N304" s="110" t="s">
        <v>1955</v>
      </c>
      <c r="O304" s="110">
        <v>2.0</v>
      </c>
      <c r="P304" s="116">
        <v>672.8849825869787</v>
      </c>
    </row>
    <row r="305" ht="14.25" hidden="1" customHeight="1">
      <c r="A305" s="103" t="s">
        <v>84</v>
      </c>
      <c r="B305" s="103" t="s">
        <v>120</v>
      </c>
      <c r="C305" s="103" t="s">
        <v>1266</v>
      </c>
      <c r="D305" s="103" t="s">
        <v>1948</v>
      </c>
      <c r="E305" s="104" t="s">
        <v>2008</v>
      </c>
      <c r="F305" s="110" t="s">
        <v>1319</v>
      </c>
      <c r="G305" s="390" t="s">
        <v>1962</v>
      </c>
      <c r="H305" s="220" t="s">
        <v>2018</v>
      </c>
      <c r="I305" s="220" t="s">
        <v>4177</v>
      </c>
      <c r="J305" s="103" t="s">
        <v>2020</v>
      </c>
      <c r="K305" s="110" t="s">
        <v>206</v>
      </c>
      <c r="L305" s="104" t="s">
        <v>147</v>
      </c>
      <c r="M305" s="104" t="s">
        <v>1989</v>
      </c>
      <c r="N305" s="110" t="s">
        <v>1955</v>
      </c>
      <c r="O305" s="110">
        <v>2.0</v>
      </c>
      <c r="P305" s="116">
        <v>747.6587930318531</v>
      </c>
    </row>
    <row r="306" ht="14.25" hidden="1" customHeight="1">
      <c r="A306" s="103" t="s">
        <v>84</v>
      </c>
      <c r="B306" s="103" t="s">
        <v>120</v>
      </c>
      <c r="C306" s="103" t="s">
        <v>1266</v>
      </c>
      <c r="D306" s="103" t="s">
        <v>1948</v>
      </c>
      <c r="E306" s="104" t="s">
        <v>2008</v>
      </c>
      <c r="F306" s="110" t="s">
        <v>1319</v>
      </c>
      <c r="G306" s="390">
        <v>16.0</v>
      </c>
      <c r="H306" s="220" t="s">
        <v>2287</v>
      </c>
      <c r="I306" s="220" t="s">
        <v>778</v>
      </c>
      <c r="J306" s="103" t="s">
        <v>2289</v>
      </c>
      <c r="K306" s="110" t="s">
        <v>206</v>
      </c>
      <c r="L306" s="104" t="s">
        <v>147</v>
      </c>
      <c r="M306" s="104" t="s">
        <v>1989</v>
      </c>
      <c r="N306" s="110" t="s">
        <v>1955</v>
      </c>
      <c r="O306" s="110">
        <v>2.0</v>
      </c>
      <c r="P306" s="116">
        <v>909.0954609177794</v>
      </c>
    </row>
    <row r="307" ht="14.25" hidden="1" customHeight="1">
      <c r="A307" s="103" t="s">
        <v>84</v>
      </c>
      <c r="B307" s="103" t="s">
        <v>120</v>
      </c>
      <c r="C307" s="103" t="s">
        <v>1266</v>
      </c>
      <c r="D307" s="103" t="s">
        <v>1948</v>
      </c>
      <c r="E307" s="104" t="s">
        <v>2008</v>
      </c>
      <c r="F307" s="110" t="s">
        <v>1319</v>
      </c>
      <c r="G307" s="390">
        <v>20.0</v>
      </c>
      <c r="H307" s="220" t="s">
        <v>2291</v>
      </c>
      <c r="I307" s="220" t="s">
        <v>778</v>
      </c>
      <c r="J307" s="103" t="s">
        <v>2293</v>
      </c>
      <c r="K307" s="110" t="s">
        <v>206</v>
      </c>
      <c r="L307" s="104" t="s">
        <v>147</v>
      </c>
      <c r="M307" s="104" t="s">
        <v>1989</v>
      </c>
      <c r="N307" s="110" t="s">
        <v>1955</v>
      </c>
      <c r="O307" s="110">
        <v>2.0</v>
      </c>
      <c r="P307" s="116">
        <v>1070.925623555706</v>
      </c>
    </row>
    <row r="308" ht="14.25" hidden="1" customHeight="1">
      <c r="A308" s="103" t="s">
        <v>84</v>
      </c>
      <c r="B308" s="103" t="s">
        <v>120</v>
      </c>
      <c r="C308" s="103" t="s">
        <v>1266</v>
      </c>
      <c r="D308" s="103" t="s">
        <v>1948</v>
      </c>
      <c r="E308" s="104" t="s">
        <v>2008</v>
      </c>
      <c r="F308" s="110" t="s">
        <v>1319</v>
      </c>
      <c r="G308" s="390" t="s">
        <v>1967</v>
      </c>
      <c r="H308" s="220" t="s">
        <v>2022</v>
      </c>
      <c r="I308" s="220" t="s">
        <v>4178</v>
      </c>
      <c r="J308" s="103" t="s">
        <v>2024</v>
      </c>
      <c r="K308" s="110" t="s">
        <v>206</v>
      </c>
      <c r="L308" s="104" t="s">
        <v>147</v>
      </c>
      <c r="M308" s="104" t="s">
        <v>1989</v>
      </c>
      <c r="N308" s="110" t="s">
        <v>1955</v>
      </c>
      <c r="O308" s="110">
        <v>2.0</v>
      </c>
      <c r="P308" s="116">
        <v>1220.4732444454546</v>
      </c>
    </row>
    <row r="309" ht="14.25" hidden="1" customHeight="1">
      <c r="A309" s="103" t="s">
        <v>84</v>
      </c>
      <c r="B309" s="103" t="s">
        <v>120</v>
      </c>
      <c r="C309" s="103" t="s">
        <v>1266</v>
      </c>
      <c r="D309" s="103" t="s">
        <v>1948</v>
      </c>
      <c r="E309" s="104" t="s">
        <v>2008</v>
      </c>
      <c r="F309" s="110" t="s">
        <v>1319</v>
      </c>
      <c r="G309" s="390" t="s">
        <v>1962</v>
      </c>
      <c r="H309" s="220" t="s">
        <v>2296</v>
      </c>
      <c r="I309" s="220" t="s">
        <v>778</v>
      </c>
      <c r="J309" s="103" t="s">
        <v>2298</v>
      </c>
      <c r="K309" s="110" t="s">
        <v>201</v>
      </c>
      <c r="L309" s="104" t="s">
        <v>147</v>
      </c>
      <c r="M309" s="104" t="s">
        <v>1989</v>
      </c>
      <c r="N309" s="110" t="s">
        <v>1955</v>
      </c>
      <c r="O309" s="110">
        <v>2.0</v>
      </c>
      <c r="P309" s="116">
        <v>1000.0</v>
      </c>
    </row>
    <row r="310" ht="14.25" hidden="1" customHeight="1">
      <c r="A310" s="103" t="s">
        <v>84</v>
      </c>
      <c r="B310" s="103" t="s">
        <v>120</v>
      </c>
      <c r="C310" s="103" t="s">
        <v>1266</v>
      </c>
      <c r="D310" s="103" t="s">
        <v>1948</v>
      </c>
      <c r="E310" s="104" t="s">
        <v>2008</v>
      </c>
      <c r="F310" s="110" t="s">
        <v>1319</v>
      </c>
      <c r="G310" s="390" t="s">
        <v>1967</v>
      </c>
      <c r="H310" s="220" t="s">
        <v>2300</v>
      </c>
      <c r="I310" s="220" t="s">
        <v>778</v>
      </c>
      <c r="J310" s="103" t="s">
        <v>2302</v>
      </c>
      <c r="K310" s="110" t="s">
        <v>201</v>
      </c>
      <c r="L310" s="104" t="s">
        <v>147</v>
      </c>
      <c r="M310" s="104" t="s">
        <v>1989</v>
      </c>
      <c r="N310" s="110" t="s">
        <v>1955</v>
      </c>
      <c r="O310" s="110">
        <v>2.0</v>
      </c>
      <c r="P310" s="116">
        <v>1525.0</v>
      </c>
    </row>
    <row r="311" ht="14.25" hidden="1" customHeight="1">
      <c r="A311" s="103" t="s">
        <v>84</v>
      </c>
      <c r="B311" s="103" t="s">
        <v>120</v>
      </c>
      <c r="C311" s="103" t="s">
        <v>1266</v>
      </c>
      <c r="D311" s="103" t="s">
        <v>1948</v>
      </c>
      <c r="E311" s="104" t="s">
        <v>2008</v>
      </c>
      <c r="F311" s="110" t="s">
        <v>1319</v>
      </c>
      <c r="G311" s="390" t="s">
        <v>2303</v>
      </c>
      <c r="H311" s="220" t="s">
        <v>2305</v>
      </c>
      <c r="I311" s="220" t="s">
        <v>778</v>
      </c>
      <c r="J311" s="103" t="s">
        <v>2307</v>
      </c>
      <c r="K311" s="110" t="s">
        <v>201</v>
      </c>
      <c r="L311" s="104" t="s">
        <v>147</v>
      </c>
      <c r="M311" s="104" t="s">
        <v>1989</v>
      </c>
      <c r="N311" s="110" t="s">
        <v>1955</v>
      </c>
      <c r="O311" s="110">
        <v>2.0</v>
      </c>
      <c r="P311" s="116">
        <v>833.3333333333333</v>
      </c>
    </row>
    <row r="312" ht="14.25" hidden="1" customHeight="1">
      <c r="A312" s="103" t="s">
        <v>84</v>
      </c>
      <c r="B312" s="103" t="s">
        <v>120</v>
      </c>
      <c r="C312" s="103" t="s">
        <v>1266</v>
      </c>
      <c r="D312" s="103" t="s">
        <v>1948</v>
      </c>
      <c r="E312" s="104" t="s">
        <v>2008</v>
      </c>
      <c r="F312" s="110" t="s">
        <v>1319</v>
      </c>
      <c r="G312" s="390" t="s">
        <v>1950</v>
      </c>
      <c r="H312" s="220" t="s">
        <v>2309</v>
      </c>
      <c r="I312" s="220" t="s">
        <v>778</v>
      </c>
      <c r="J312" s="103" t="s">
        <v>2311</v>
      </c>
      <c r="K312" s="110" t="s">
        <v>201</v>
      </c>
      <c r="L312" s="104" t="s">
        <v>147</v>
      </c>
      <c r="M312" s="104" t="s">
        <v>1989</v>
      </c>
      <c r="N312" s="110" t="s">
        <v>1955</v>
      </c>
      <c r="O312" s="110">
        <v>2.0</v>
      </c>
      <c r="P312" s="116">
        <v>683.3333333333334</v>
      </c>
    </row>
    <row r="313" ht="14.25" hidden="1" customHeight="1">
      <c r="A313" s="103" t="s">
        <v>84</v>
      </c>
      <c r="B313" s="103" t="s">
        <v>120</v>
      </c>
      <c r="C313" s="103" t="s">
        <v>1266</v>
      </c>
      <c r="D313" s="103" t="s">
        <v>1948</v>
      </c>
      <c r="E313" s="104" t="s">
        <v>2008</v>
      </c>
      <c r="F313" s="110" t="s">
        <v>1319</v>
      </c>
      <c r="G313" s="390" t="s">
        <v>1957</v>
      </c>
      <c r="H313" s="220" t="s">
        <v>2313</v>
      </c>
      <c r="I313" s="220" t="s">
        <v>778</v>
      </c>
      <c r="J313" s="103" t="s">
        <v>2315</v>
      </c>
      <c r="K313" s="110" t="s">
        <v>201</v>
      </c>
      <c r="L313" s="104" t="s">
        <v>147</v>
      </c>
      <c r="M313" s="104" t="s">
        <v>1989</v>
      </c>
      <c r="N313" s="110" t="s">
        <v>1955</v>
      </c>
      <c r="O313" s="110">
        <v>2.0</v>
      </c>
      <c r="P313" s="116">
        <v>841.6666666666666</v>
      </c>
    </row>
    <row r="314" ht="14.25" hidden="1" customHeight="1">
      <c r="A314" s="103" t="s">
        <v>84</v>
      </c>
      <c r="B314" s="103" t="s">
        <v>120</v>
      </c>
      <c r="C314" s="103" t="s">
        <v>1266</v>
      </c>
      <c r="D314" s="103" t="s">
        <v>1948</v>
      </c>
      <c r="E314" s="104" t="s">
        <v>2008</v>
      </c>
      <c r="F314" s="110" t="s">
        <v>1319</v>
      </c>
      <c r="G314" s="390" t="s">
        <v>1962</v>
      </c>
      <c r="H314" s="220" t="s">
        <v>2317</v>
      </c>
      <c r="I314" s="220" t="s">
        <v>778</v>
      </c>
      <c r="J314" s="103" t="s">
        <v>2319</v>
      </c>
      <c r="K314" s="110" t="s">
        <v>201</v>
      </c>
      <c r="L314" s="104" t="s">
        <v>147</v>
      </c>
      <c r="M314" s="104" t="s">
        <v>1989</v>
      </c>
      <c r="N314" s="110" t="s">
        <v>1955</v>
      </c>
      <c r="O314" s="110">
        <v>2.0</v>
      </c>
      <c r="P314" s="116">
        <v>1025.0</v>
      </c>
    </row>
    <row r="315" ht="14.25" hidden="1" customHeight="1">
      <c r="A315" s="103" t="s">
        <v>84</v>
      </c>
      <c r="B315" s="103" t="s">
        <v>120</v>
      </c>
      <c r="C315" s="103" t="s">
        <v>1266</v>
      </c>
      <c r="D315" s="103" t="s">
        <v>1948</v>
      </c>
      <c r="E315" s="104" t="s">
        <v>2008</v>
      </c>
      <c r="F315" s="110" t="s">
        <v>1319</v>
      </c>
      <c r="G315" s="390" t="s">
        <v>1967</v>
      </c>
      <c r="H315" s="220" t="s">
        <v>2321</v>
      </c>
      <c r="I315" s="220" t="s">
        <v>778</v>
      </c>
      <c r="J315" s="103" t="s">
        <v>2323</v>
      </c>
      <c r="K315" s="110" t="s">
        <v>201</v>
      </c>
      <c r="L315" s="104" t="s">
        <v>147</v>
      </c>
      <c r="M315" s="104" t="s">
        <v>1989</v>
      </c>
      <c r="N315" s="110" t="s">
        <v>1955</v>
      </c>
      <c r="O315" s="110">
        <v>2.0</v>
      </c>
      <c r="P315" s="116">
        <v>1583.3333333333333</v>
      </c>
    </row>
    <row r="316" ht="14.25" hidden="1" customHeight="1">
      <c r="A316" s="103" t="s">
        <v>84</v>
      </c>
      <c r="B316" s="103" t="s">
        <v>120</v>
      </c>
      <c r="C316" s="103" t="s">
        <v>1266</v>
      </c>
      <c r="D316" s="103" t="s">
        <v>1948</v>
      </c>
      <c r="E316" s="104" t="s">
        <v>2025</v>
      </c>
      <c r="F316" s="110" t="s">
        <v>1319</v>
      </c>
      <c r="G316" s="390" t="s">
        <v>1962</v>
      </c>
      <c r="H316" s="220" t="s">
        <v>2350</v>
      </c>
      <c r="I316" s="220" t="s">
        <v>778</v>
      </c>
      <c r="J316" s="103" t="s">
        <v>2352</v>
      </c>
      <c r="K316" s="110" t="s">
        <v>162</v>
      </c>
      <c r="L316" s="104" t="s">
        <v>147</v>
      </c>
      <c r="M316" s="104" t="s">
        <v>1989</v>
      </c>
      <c r="N316" s="110" t="s">
        <v>1955</v>
      </c>
      <c r="O316" s="110">
        <v>2.0</v>
      </c>
      <c r="P316" s="159">
        <v>1350.0</v>
      </c>
    </row>
    <row r="317" ht="14.25" hidden="1" customHeight="1">
      <c r="A317" s="103" t="s">
        <v>84</v>
      </c>
      <c r="B317" s="103" t="s">
        <v>120</v>
      </c>
      <c r="C317" s="103" t="s">
        <v>1266</v>
      </c>
      <c r="D317" s="103" t="s">
        <v>1948</v>
      </c>
      <c r="E317" s="104" t="s">
        <v>2025</v>
      </c>
      <c r="F317" s="110" t="s">
        <v>1319</v>
      </c>
      <c r="G317" s="390" t="s">
        <v>1967</v>
      </c>
      <c r="H317" s="220" t="s">
        <v>2354</v>
      </c>
      <c r="I317" s="220" t="s">
        <v>778</v>
      </c>
      <c r="J317" s="103" t="s">
        <v>2356</v>
      </c>
      <c r="K317" s="110" t="s">
        <v>162</v>
      </c>
      <c r="L317" s="104" t="s">
        <v>147</v>
      </c>
      <c r="M317" s="104" t="s">
        <v>1989</v>
      </c>
      <c r="N317" s="110" t="s">
        <v>1955</v>
      </c>
      <c r="O317" s="110">
        <v>2.0</v>
      </c>
      <c r="P317" s="159">
        <v>1725.0</v>
      </c>
    </row>
    <row r="318" ht="14.25" hidden="1" customHeight="1">
      <c r="A318" s="103" t="s">
        <v>84</v>
      </c>
      <c r="B318" s="103" t="s">
        <v>120</v>
      </c>
      <c r="C318" s="103" t="s">
        <v>1266</v>
      </c>
      <c r="D318" s="103" t="s">
        <v>1948</v>
      </c>
      <c r="E318" s="104" t="s">
        <v>2025</v>
      </c>
      <c r="F318" s="110" t="s">
        <v>1319</v>
      </c>
      <c r="G318" s="390" t="s">
        <v>2026</v>
      </c>
      <c r="H318" s="220" t="s">
        <v>2358</v>
      </c>
      <c r="I318" s="220" t="s">
        <v>778</v>
      </c>
      <c r="J318" s="103" t="s">
        <v>2360</v>
      </c>
      <c r="K318" s="110" t="s">
        <v>162</v>
      </c>
      <c r="L318" s="104" t="s">
        <v>147</v>
      </c>
      <c r="M318" s="104" t="s">
        <v>1989</v>
      </c>
      <c r="N318" s="110" t="s">
        <v>1955</v>
      </c>
      <c r="O318" s="110">
        <v>2.0</v>
      </c>
      <c r="P318" s="116">
        <v>2475.0000000000005</v>
      </c>
    </row>
    <row r="319" ht="14.25" hidden="1" customHeight="1">
      <c r="A319" s="103" t="s">
        <v>84</v>
      </c>
      <c r="B319" s="103" t="s">
        <v>120</v>
      </c>
      <c r="C319" s="103" t="s">
        <v>1266</v>
      </c>
      <c r="D319" s="103" t="s">
        <v>1948</v>
      </c>
      <c r="E319" s="104" t="s">
        <v>2025</v>
      </c>
      <c r="F319" s="110" t="s">
        <v>1319</v>
      </c>
      <c r="G319" s="390" t="s">
        <v>2333</v>
      </c>
      <c r="H319" s="220" t="s">
        <v>2362</v>
      </c>
      <c r="I319" s="220" t="s">
        <v>778</v>
      </c>
      <c r="J319" s="103" t="s">
        <v>2364</v>
      </c>
      <c r="K319" s="110" t="s">
        <v>162</v>
      </c>
      <c r="L319" s="104" t="s">
        <v>147</v>
      </c>
      <c r="M319" s="104" t="s">
        <v>1989</v>
      </c>
      <c r="N319" s="110" t="s">
        <v>1955</v>
      </c>
      <c r="O319" s="110">
        <v>2.0</v>
      </c>
      <c r="P319" s="159">
        <v>3683.333333333333</v>
      </c>
    </row>
    <row r="320" ht="14.25" hidden="1" customHeight="1">
      <c r="A320" s="103" t="s">
        <v>84</v>
      </c>
      <c r="B320" s="103" t="s">
        <v>120</v>
      </c>
      <c r="C320" s="103" t="s">
        <v>1266</v>
      </c>
      <c r="D320" s="103" t="s">
        <v>1948</v>
      </c>
      <c r="E320" s="104" t="s">
        <v>2025</v>
      </c>
      <c r="F320" s="110" t="s">
        <v>1319</v>
      </c>
      <c r="G320" s="390" t="s">
        <v>2031</v>
      </c>
      <c r="H320" s="220" t="s">
        <v>2366</v>
      </c>
      <c r="I320" s="220" t="s">
        <v>778</v>
      </c>
      <c r="J320" s="103" t="s">
        <v>2368</v>
      </c>
      <c r="K320" s="110" t="s">
        <v>162</v>
      </c>
      <c r="L320" s="104" t="s">
        <v>147</v>
      </c>
      <c r="M320" s="104" t="s">
        <v>1989</v>
      </c>
      <c r="N320" s="110" t="s">
        <v>1955</v>
      </c>
      <c r="O320" s="110">
        <v>2.0</v>
      </c>
      <c r="P320" s="159">
        <v>4741.666666666667</v>
      </c>
    </row>
    <row r="321" ht="14.25" hidden="1" customHeight="1">
      <c r="A321" s="103" t="s">
        <v>84</v>
      </c>
      <c r="B321" s="103" t="s">
        <v>120</v>
      </c>
      <c r="C321" s="103" t="s">
        <v>1266</v>
      </c>
      <c r="D321" s="103" t="s">
        <v>1948</v>
      </c>
      <c r="E321" s="104" t="s">
        <v>2025</v>
      </c>
      <c r="F321" s="110" t="s">
        <v>1319</v>
      </c>
      <c r="G321" s="390" t="s">
        <v>2339</v>
      </c>
      <c r="H321" s="220" t="s">
        <v>2370</v>
      </c>
      <c r="I321" s="220" t="s">
        <v>778</v>
      </c>
      <c r="J321" s="103" t="s">
        <v>2372</v>
      </c>
      <c r="K321" s="110" t="s">
        <v>162</v>
      </c>
      <c r="L321" s="104" t="s">
        <v>147</v>
      </c>
      <c r="M321" s="104" t="s">
        <v>1989</v>
      </c>
      <c r="N321" s="110" t="s">
        <v>1955</v>
      </c>
      <c r="O321" s="110">
        <v>2.0</v>
      </c>
      <c r="P321" s="159">
        <v>6833.333333333333</v>
      </c>
    </row>
    <row r="322" ht="14.25" hidden="1" customHeight="1">
      <c r="A322" s="103" t="s">
        <v>84</v>
      </c>
      <c r="B322" s="103" t="s">
        <v>120</v>
      </c>
      <c r="C322" s="103" t="s">
        <v>1266</v>
      </c>
      <c r="D322" s="103" t="s">
        <v>1948</v>
      </c>
      <c r="E322" s="104" t="s">
        <v>2025</v>
      </c>
      <c r="F322" s="110" t="s">
        <v>1319</v>
      </c>
      <c r="G322" s="390" t="s">
        <v>2344</v>
      </c>
      <c r="H322" s="220" t="s">
        <v>2374</v>
      </c>
      <c r="I322" s="220" t="s">
        <v>778</v>
      </c>
      <c r="J322" s="103" t="s">
        <v>2376</v>
      </c>
      <c r="K322" s="110" t="s">
        <v>162</v>
      </c>
      <c r="L322" s="104" t="s">
        <v>147</v>
      </c>
      <c r="M322" s="104" t="s">
        <v>1989</v>
      </c>
      <c r="N322" s="110" t="s">
        <v>1955</v>
      </c>
      <c r="O322" s="110">
        <v>2.0</v>
      </c>
      <c r="P322" s="159">
        <v>12716.666666666666</v>
      </c>
    </row>
    <row r="323" ht="14.25" hidden="1" customHeight="1">
      <c r="A323" s="103" t="s">
        <v>84</v>
      </c>
      <c r="B323" s="103" t="s">
        <v>120</v>
      </c>
      <c r="C323" s="103" t="s">
        <v>1266</v>
      </c>
      <c r="D323" s="103" t="s">
        <v>1948</v>
      </c>
      <c r="E323" s="104" t="s">
        <v>2036</v>
      </c>
      <c r="F323" s="110" t="s">
        <v>1319</v>
      </c>
      <c r="G323" s="390" t="s">
        <v>2026</v>
      </c>
      <c r="H323" s="220" t="s">
        <v>2038</v>
      </c>
      <c r="I323" s="220" t="s">
        <v>4181</v>
      </c>
      <c r="J323" s="103" t="s">
        <v>2040</v>
      </c>
      <c r="K323" s="110" t="s">
        <v>206</v>
      </c>
      <c r="L323" s="104" t="s">
        <v>147</v>
      </c>
      <c r="M323" s="104" t="s">
        <v>1989</v>
      </c>
      <c r="N323" s="110" t="s">
        <v>1955</v>
      </c>
      <c r="O323" s="110">
        <v>2.0</v>
      </c>
      <c r="P323" s="116">
        <v>2353.3333333333335</v>
      </c>
    </row>
    <row r="324" ht="14.25" hidden="1" customHeight="1">
      <c r="A324" s="103" t="s">
        <v>84</v>
      </c>
      <c r="B324" s="103" t="s">
        <v>120</v>
      </c>
      <c r="C324" s="103" t="s">
        <v>1266</v>
      </c>
      <c r="D324" s="103" t="s">
        <v>1948</v>
      </c>
      <c r="E324" s="104" t="s">
        <v>2036</v>
      </c>
      <c r="F324" s="110" t="s">
        <v>1319</v>
      </c>
      <c r="G324" s="390" t="s">
        <v>2031</v>
      </c>
      <c r="H324" s="220" t="s">
        <v>2042</v>
      </c>
      <c r="I324" s="220" t="s">
        <v>4182</v>
      </c>
      <c r="J324" s="103" t="s">
        <v>2044</v>
      </c>
      <c r="K324" s="110" t="s">
        <v>206</v>
      </c>
      <c r="L324" s="104" t="s">
        <v>147</v>
      </c>
      <c r="M324" s="104" t="s">
        <v>1989</v>
      </c>
      <c r="N324" s="110" t="s">
        <v>1955</v>
      </c>
      <c r="O324" s="110">
        <v>2.0</v>
      </c>
      <c r="P324" s="116">
        <v>4250.0</v>
      </c>
    </row>
    <row r="325" ht="14.25" hidden="1" customHeight="1">
      <c r="A325" s="103" t="s">
        <v>84</v>
      </c>
      <c r="B325" s="103" t="s">
        <v>120</v>
      </c>
      <c r="C325" s="103" t="s">
        <v>1266</v>
      </c>
      <c r="D325" s="103" t="s">
        <v>1948</v>
      </c>
      <c r="E325" s="104" t="s">
        <v>2045</v>
      </c>
      <c r="F325" s="110" t="s">
        <v>1319</v>
      </c>
      <c r="G325" s="390" t="s">
        <v>2026</v>
      </c>
      <c r="H325" s="220" t="s">
        <v>2047</v>
      </c>
      <c r="I325" s="220" t="s">
        <v>4184</v>
      </c>
      <c r="J325" s="103" t="s">
        <v>2049</v>
      </c>
      <c r="K325" s="110" t="s">
        <v>206</v>
      </c>
      <c r="L325" s="104" t="s">
        <v>147</v>
      </c>
      <c r="M325" s="104" t="s">
        <v>1989</v>
      </c>
      <c r="N325" s="110" t="s">
        <v>1955</v>
      </c>
      <c r="O325" s="110">
        <v>2.0</v>
      </c>
      <c r="P325" s="116">
        <v>2475.0000000000005</v>
      </c>
    </row>
    <row r="326" ht="14.25" hidden="1" customHeight="1">
      <c r="A326" s="103" t="s">
        <v>84</v>
      </c>
      <c r="B326" s="103" t="s">
        <v>120</v>
      </c>
      <c r="C326" s="103" t="s">
        <v>1266</v>
      </c>
      <c r="D326" s="103" t="s">
        <v>1948</v>
      </c>
      <c r="E326" s="104" t="s">
        <v>2045</v>
      </c>
      <c r="F326" s="110" t="s">
        <v>1319</v>
      </c>
      <c r="G326" s="390" t="s">
        <v>2031</v>
      </c>
      <c r="H326" s="220" t="s">
        <v>2051</v>
      </c>
      <c r="I326" s="220" t="s">
        <v>4185</v>
      </c>
      <c r="J326" s="103" t="s">
        <v>2053</v>
      </c>
      <c r="K326" s="110" t="s">
        <v>206</v>
      </c>
      <c r="L326" s="104" t="s">
        <v>147</v>
      </c>
      <c r="M326" s="104" t="s">
        <v>1989</v>
      </c>
      <c r="N326" s="110" t="s">
        <v>1955</v>
      </c>
      <c r="O326" s="110">
        <v>2.0</v>
      </c>
      <c r="P326" s="116">
        <v>4383.823529411766</v>
      </c>
    </row>
    <row r="327" ht="14.25" hidden="1" customHeight="1">
      <c r="A327" s="103" t="s">
        <v>84</v>
      </c>
      <c r="B327" s="103" t="s">
        <v>120</v>
      </c>
      <c r="C327" s="103" t="s">
        <v>1266</v>
      </c>
      <c r="D327" s="103" t="s">
        <v>1948</v>
      </c>
      <c r="E327" s="104" t="s">
        <v>2381</v>
      </c>
      <c r="F327" s="110" t="s">
        <v>1319</v>
      </c>
      <c r="G327" s="390" t="s">
        <v>1962</v>
      </c>
      <c r="H327" s="220" t="s">
        <v>2383</v>
      </c>
      <c r="I327" s="220" t="s">
        <v>778</v>
      </c>
      <c r="J327" s="103" t="s">
        <v>2385</v>
      </c>
      <c r="K327" s="110" t="s">
        <v>201</v>
      </c>
      <c r="L327" s="104" t="s">
        <v>147</v>
      </c>
      <c r="M327" s="104" t="s">
        <v>1989</v>
      </c>
      <c r="N327" s="110" t="s">
        <v>1955</v>
      </c>
      <c r="O327" s="110">
        <v>2.0</v>
      </c>
      <c r="P327" s="116">
        <v>1410.8695652173915</v>
      </c>
    </row>
    <row r="328" ht="14.25" hidden="1" customHeight="1">
      <c r="A328" s="103" t="s">
        <v>84</v>
      </c>
      <c r="B328" s="103" t="s">
        <v>120</v>
      </c>
      <c r="C328" s="103" t="s">
        <v>1266</v>
      </c>
      <c r="D328" s="103" t="s">
        <v>1948</v>
      </c>
      <c r="E328" s="104" t="s">
        <v>2381</v>
      </c>
      <c r="F328" s="110" t="s">
        <v>1319</v>
      </c>
      <c r="G328" s="390" t="s">
        <v>1967</v>
      </c>
      <c r="H328" s="220" t="s">
        <v>2387</v>
      </c>
      <c r="I328" s="220" t="s">
        <v>778</v>
      </c>
      <c r="J328" s="103" t="s">
        <v>2389</v>
      </c>
      <c r="K328" s="110" t="s">
        <v>201</v>
      </c>
      <c r="L328" s="104" t="s">
        <v>147</v>
      </c>
      <c r="M328" s="104" t="s">
        <v>1989</v>
      </c>
      <c r="N328" s="110" t="s">
        <v>1955</v>
      </c>
      <c r="O328" s="110">
        <v>2.0</v>
      </c>
      <c r="P328" s="116">
        <v>1936.9565217391305</v>
      </c>
    </row>
    <row r="329" ht="14.25" hidden="1" customHeight="1">
      <c r="A329" s="103" t="s">
        <v>84</v>
      </c>
      <c r="B329" s="103" t="s">
        <v>120</v>
      </c>
      <c r="C329" s="103" t="s">
        <v>1266</v>
      </c>
      <c r="D329" s="103" t="s">
        <v>1948</v>
      </c>
      <c r="E329" s="104" t="s">
        <v>2381</v>
      </c>
      <c r="F329" s="110" t="s">
        <v>1319</v>
      </c>
      <c r="G329" s="390" t="s">
        <v>2026</v>
      </c>
      <c r="H329" s="220" t="s">
        <v>2391</v>
      </c>
      <c r="I329" s="220" t="s">
        <v>778</v>
      </c>
      <c r="J329" s="103" t="s">
        <v>2393</v>
      </c>
      <c r="K329" s="110" t="s">
        <v>201</v>
      </c>
      <c r="L329" s="104" t="s">
        <v>147</v>
      </c>
      <c r="M329" s="104" t="s">
        <v>1989</v>
      </c>
      <c r="N329" s="110" t="s">
        <v>1955</v>
      </c>
      <c r="O329" s="110">
        <v>2.0</v>
      </c>
      <c r="P329" s="116">
        <v>2885.507246376812</v>
      </c>
    </row>
    <row r="330" ht="14.25" hidden="1" customHeight="1">
      <c r="A330" s="103" t="s">
        <v>84</v>
      </c>
      <c r="B330" s="103" t="s">
        <v>120</v>
      </c>
      <c r="C330" s="103" t="s">
        <v>1266</v>
      </c>
      <c r="D330" s="103" t="s">
        <v>1948</v>
      </c>
      <c r="E330" s="104" t="s">
        <v>2394</v>
      </c>
      <c r="F330" s="110" t="s">
        <v>1319</v>
      </c>
      <c r="G330" s="390" t="s">
        <v>1962</v>
      </c>
      <c r="H330" s="220" t="s">
        <v>2396</v>
      </c>
      <c r="I330" s="220" t="s">
        <v>778</v>
      </c>
      <c r="J330" s="103" t="s">
        <v>2398</v>
      </c>
      <c r="K330" s="110" t="s">
        <v>201</v>
      </c>
      <c r="L330" s="104" t="s">
        <v>147</v>
      </c>
      <c r="M330" s="104" t="s">
        <v>1989</v>
      </c>
      <c r="N330" s="110" t="s">
        <v>1955</v>
      </c>
      <c r="O330" s="110">
        <v>2.0</v>
      </c>
      <c r="P330" s="116">
        <v>1618.1159420289857</v>
      </c>
    </row>
    <row r="331" ht="14.25" hidden="1" customHeight="1">
      <c r="A331" s="103" t="s">
        <v>84</v>
      </c>
      <c r="B331" s="103" t="s">
        <v>120</v>
      </c>
      <c r="C331" s="103" t="s">
        <v>1266</v>
      </c>
      <c r="D331" s="103" t="s">
        <v>1948</v>
      </c>
      <c r="E331" s="104" t="s">
        <v>2394</v>
      </c>
      <c r="F331" s="110" t="s">
        <v>1319</v>
      </c>
      <c r="G331" s="390" t="s">
        <v>1967</v>
      </c>
      <c r="H331" s="220" t="s">
        <v>2400</v>
      </c>
      <c r="I331" s="220" t="s">
        <v>778</v>
      </c>
      <c r="J331" s="103" t="s">
        <v>2402</v>
      </c>
      <c r="K331" s="110" t="s">
        <v>201</v>
      </c>
      <c r="L331" s="104" t="s">
        <v>147</v>
      </c>
      <c r="M331" s="104" t="s">
        <v>1989</v>
      </c>
      <c r="N331" s="110" t="s">
        <v>1955</v>
      </c>
      <c r="O331" s="110">
        <v>2.0</v>
      </c>
      <c r="P331" s="116">
        <v>2088.40579710145</v>
      </c>
    </row>
    <row r="332" ht="14.25" hidden="1" customHeight="1">
      <c r="A332" s="103" t="s">
        <v>84</v>
      </c>
      <c r="B332" s="103" t="s">
        <v>120</v>
      </c>
      <c r="C332" s="103" t="s">
        <v>1266</v>
      </c>
      <c r="D332" s="103" t="s">
        <v>1948</v>
      </c>
      <c r="E332" s="104" t="s">
        <v>2394</v>
      </c>
      <c r="F332" s="110" t="s">
        <v>1319</v>
      </c>
      <c r="G332" s="390" t="s">
        <v>2026</v>
      </c>
      <c r="H332" s="220" t="s">
        <v>2404</v>
      </c>
      <c r="I332" s="220" t="s">
        <v>778</v>
      </c>
      <c r="J332" s="103" t="s">
        <v>2406</v>
      </c>
      <c r="K332" s="110" t="s">
        <v>201</v>
      </c>
      <c r="L332" s="104" t="s">
        <v>147</v>
      </c>
      <c r="M332" s="104" t="s">
        <v>1989</v>
      </c>
      <c r="N332" s="110" t="s">
        <v>1955</v>
      </c>
      <c r="O332" s="110">
        <v>2.0</v>
      </c>
      <c r="P332" s="116">
        <v>3132.608695652174</v>
      </c>
    </row>
    <row r="333" ht="14.25" hidden="1" customHeight="1">
      <c r="A333" s="103" t="s">
        <v>84</v>
      </c>
      <c r="B333" s="103" t="s">
        <v>120</v>
      </c>
      <c r="C333" s="103" t="s">
        <v>1266</v>
      </c>
      <c r="D333" s="103" t="s">
        <v>1948</v>
      </c>
      <c r="E333" s="104" t="s">
        <v>2008</v>
      </c>
      <c r="F333" s="110" t="s">
        <v>1395</v>
      </c>
      <c r="G333" s="390">
        <v>2.0</v>
      </c>
      <c r="H333" s="220" t="s">
        <v>2408</v>
      </c>
      <c r="I333" s="220" t="s">
        <v>778</v>
      </c>
      <c r="J333" s="103" t="s">
        <v>2410</v>
      </c>
      <c r="K333" s="110" t="s">
        <v>206</v>
      </c>
      <c r="L333" s="104" t="s">
        <v>147</v>
      </c>
      <c r="M333" s="104" t="s">
        <v>1989</v>
      </c>
      <c r="N333" s="110" t="s">
        <v>1955</v>
      </c>
      <c r="O333" s="110">
        <v>2.0</v>
      </c>
      <c r="P333" s="116">
        <v>469.9274970937485</v>
      </c>
    </row>
    <row r="334" ht="14.25" hidden="1" customHeight="1">
      <c r="A334" s="103" t="s">
        <v>84</v>
      </c>
      <c r="B334" s="103" t="s">
        <v>120</v>
      </c>
      <c r="C334" s="103" t="s">
        <v>1266</v>
      </c>
      <c r="D334" s="103" t="s">
        <v>1948</v>
      </c>
      <c r="E334" s="104" t="s">
        <v>2008</v>
      </c>
      <c r="F334" s="110" t="s">
        <v>1395</v>
      </c>
      <c r="G334" s="390">
        <v>4.0</v>
      </c>
      <c r="H334" s="220" t="s">
        <v>2412</v>
      </c>
      <c r="I334" s="220" t="s">
        <v>778</v>
      </c>
      <c r="J334" s="103" t="s">
        <v>2414</v>
      </c>
      <c r="K334" s="110" t="s">
        <v>206</v>
      </c>
      <c r="L334" s="104" t="s">
        <v>147</v>
      </c>
      <c r="M334" s="104" t="s">
        <v>1989</v>
      </c>
      <c r="N334" s="110" t="s">
        <v>1955</v>
      </c>
      <c r="O334" s="110">
        <v>2.0</v>
      </c>
      <c r="P334" s="116">
        <v>640.8390638248898</v>
      </c>
    </row>
    <row r="335" ht="14.25" hidden="1" customHeight="1">
      <c r="A335" s="103" t="s">
        <v>84</v>
      </c>
      <c r="B335" s="103" t="s">
        <v>120</v>
      </c>
      <c r="C335" s="103" t="s">
        <v>1266</v>
      </c>
      <c r="D335" s="103" t="s">
        <v>1948</v>
      </c>
      <c r="E335" s="104" t="s">
        <v>2008</v>
      </c>
      <c r="F335" s="110" t="s">
        <v>1395</v>
      </c>
      <c r="G335" s="390" t="s">
        <v>1950</v>
      </c>
      <c r="H335" s="220" t="s">
        <v>2416</v>
      </c>
      <c r="I335" s="220" t="s">
        <v>778</v>
      </c>
      <c r="J335" s="103" t="s">
        <v>2418</v>
      </c>
      <c r="K335" s="110" t="s">
        <v>206</v>
      </c>
      <c r="L335" s="104" t="s">
        <v>147</v>
      </c>
      <c r="M335" s="104" t="s">
        <v>1989</v>
      </c>
      <c r="N335" s="110" t="s">
        <v>1955</v>
      </c>
      <c r="O335" s="110">
        <v>2.0</v>
      </c>
      <c r="P335" s="116">
        <v>811.750630556031</v>
      </c>
    </row>
    <row r="336" ht="14.25" hidden="1" customHeight="1">
      <c r="A336" s="103" t="s">
        <v>84</v>
      </c>
      <c r="B336" s="103" t="s">
        <v>120</v>
      </c>
      <c r="C336" s="103" t="s">
        <v>1266</v>
      </c>
      <c r="D336" s="103" t="s">
        <v>1948</v>
      </c>
      <c r="E336" s="104" t="s">
        <v>2008</v>
      </c>
      <c r="F336" s="110" t="s">
        <v>1395</v>
      </c>
      <c r="G336" s="390" t="s">
        <v>1957</v>
      </c>
      <c r="H336" s="220" t="s">
        <v>2420</v>
      </c>
      <c r="I336" s="220" t="s">
        <v>778</v>
      </c>
      <c r="J336" s="103" t="s">
        <v>2422</v>
      </c>
      <c r="K336" s="110" t="s">
        <v>206</v>
      </c>
      <c r="L336" s="104" t="s">
        <v>147</v>
      </c>
      <c r="M336" s="104" t="s">
        <v>1989</v>
      </c>
      <c r="N336" s="110" t="s">
        <v>1955</v>
      </c>
      <c r="O336" s="110">
        <v>2.0</v>
      </c>
      <c r="P336" s="116">
        <v>982.662197287172</v>
      </c>
    </row>
    <row r="337" ht="14.25" hidden="1" customHeight="1">
      <c r="A337" s="103" t="s">
        <v>84</v>
      </c>
      <c r="B337" s="103" t="s">
        <v>120</v>
      </c>
      <c r="C337" s="103" t="s">
        <v>1266</v>
      </c>
      <c r="D337" s="103" t="s">
        <v>1948</v>
      </c>
      <c r="E337" s="104" t="s">
        <v>2008</v>
      </c>
      <c r="F337" s="110" t="s">
        <v>1395</v>
      </c>
      <c r="G337" s="390">
        <v>10.0</v>
      </c>
      <c r="H337" s="220" t="s">
        <v>2424</v>
      </c>
      <c r="I337" s="220" t="s">
        <v>778</v>
      </c>
      <c r="J337" s="103" t="s">
        <v>2426</v>
      </c>
      <c r="K337" s="110" t="s">
        <v>206</v>
      </c>
      <c r="L337" s="104" t="s">
        <v>147</v>
      </c>
      <c r="M337" s="104" t="s">
        <v>1989</v>
      </c>
      <c r="N337" s="110" t="s">
        <v>1955</v>
      </c>
      <c r="O337" s="110">
        <v>2.0</v>
      </c>
      <c r="P337" s="116">
        <v>1153.5737640183133</v>
      </c>
    </row>
    <row r="338" ht="14.25" hidden="1" customHeight="1">
      <c r="A338" s="103" t="s">
        <v>84</v>
      </c>
      <c r="B338" s="103" t="s">
        <v>120</v>
      </c>
      <c r="C338" s="103" t="s">
        <v>1266</v>
      </c>
      <c r="D338" s="103" t="s">
        <v>1948</v>
      </c>
      <c r="E338" s="104" t="s">
        <v>2008</v>
      </c>
      <c r="F338" s="110" t="s">
        <v>1395</v>
      </c>
      <c r="G338" s="390" t="s">
        <v>1962</v>
      </c>
      <c r="H338" s="220" t="s">
        <v>2428</v>
      </c>
      <c r="I338" s="220" t="s">
        <v>778</v>
      </c>
      <c r="J338" s="103" t="s">
        <v>2430</v>
      </c>
      <c r="K338" s="110" t="s">
        <v>206</v>
      </c>
      <c r="L338" s="104" t="s">
        <v>147</v>
      </c>
      <c r="M338" s="104" t="s">
        <v>1989</v>
      </c>
      <c r="N338" s="110" t="s">
        <v>1955</v>
      </c>
      <c r="O338" s="110">
        <v>2.0</v>
      </c>
      <c r="P338" s="116">
        <v>1324.4853307494548</v>
      </c>
    </row>
    <row r="339" ht="14.25" hidden="1" customHeight="1">
      <c r="A339" s="103" t="s">
        <v>84</v>
      </c>
      <c r="B339" s="103" t="s">
        <v>120</v>
      </c>
      <c r="C339" s="103" t="s">
        <v>1266</v>
      </c>
      <c r="D339" s="103" t="s">
        <v>1948</v>
      </c>
      <c r="E339" s="104" t="s">
        <v>2008</v>
      </c>
      <c r="F339" s="110" t="s">
        <v>1395</v>
      </c>
      <c r="G339" s="390">
        <v>16.0</v>
      </c>
      <c r="H339" s="220" t="s">
        <v>2432</v>
      </c>
      <c r="I339" s="220" t="s">
        <v>778</v>
      </c>
      <c r="J339" s="103" t="s">
        <v>2434</v>
      </c>
      <c r="K339" s="110" t="s">
        <v>206</v>
      </c>
      <c r="L339" s="104" t="s">
        <v>147</v>
      </c>
      <c r="M339" s="104" t="s">
        <v>1989</v>
      </c>
      <c r="N339" s="110" t="s">
        <v>1955</v>
      </c>
      <c r="O339" s="110">
        <v>2.0</v>
      </c>
      <c r="P339" s="116">
        <v>1678.1975112079149</v>
      </c>
    </row>
    <row r="340" ht="14.25" hidden="1" customHeight="1">
      <c r="A340" s="103" t="s">
        <v>84</v>
      </c>
      <c r="B340" s="103" t="s">
        <v>120</v>
      </c>
      <c r="C340" s="103" t="s">
        <v>1266</v>
      </c>
      <c r="D340" s="103" t="s">
        <v>1948</v>
      </c>
      <c r="E340" s="104" t="s">
        <v>2008</v>
      </c>
      <c r="F340" s="110" t="s">
        <v>1395</v>
      </c>
      <c r="G340" s="390">
        <v>20.0</v>
      </c>
      <c r="H340" s="220" t="s">
        <v>2436</v>
      </c>
      <c r="I340" s="220" t="s">
        <v>778</v>
      </c>
      <c r="J340" s="103" t="s">
        <v>2438</v>
      </c>
      <c r="K340" s="110" t="s">
        <v>206</v>
      </c>
      <c r="L340" s="104" t="s">
        <v>147</v>
      </c>
      <c r="M340" s="104" t="s">
        <v>1989</v>
      </c>
      <c r="N340" s="110" t="s">
        <v>1955</v>
      </c>
      <c r="O340" s="110">
        <v>2.0</v>
      </c>
      <c r="P340" s="116">
        <v>2032.3031864183752</v>
      </c>
    </row>
    <row r="341" ht="14.25" hidden="1" customHeight="1">
      <c r="A341" s="103" t="s">
        <v>84</v>
      </c>
      <c r="B341" s="103" t="s">
        <v>120</v>
      </c>
      <c r="C341" s="103" t="s">
        <v>1266</v>
      </c>
      <c r="D341" s="103" t="s">
        <v>1948</v>
      </c>
      <c r="E341" s="104" t="s">
        <v>2008</v>
      </c>
      <c r="F341" s="110" t="s">
        <v>1395</v>
      </c>
      <c r="G341" s="390" t="s">
        <v>1967</v>
      </c>
      <c r="H341" s="220" t="s">
        <v>2440</v>
      </c>
      <c r="I341" s="220" t="s">
        <v>778</v>
      </c>
      <c r="J341" s="103" t="s">
        <v>2442</v>
      </c>
      <c r="K341" s="110" t="s">
        <v>206</v>
      </c>
      <c r="L341" s="104" t="s">
        <v>147</v>
      </c>
      <c r="M341" s="104" t="s">
        <v>1989</v>
      </c>
      <c r="N341" s="110" t="s">
        <v>1955</v>
      </c>
      <c r="O341" s="110">
        <v>2.0</v>
      </c>
      <c r="P341" s="116">
        <v>2374.1263198806582</v>
      </c>
    </row>
    <row r="342" ht="14.25" hidden="1" customHeight="1">
      <c r="A342" s="103" t="s">
        <v>84</v>
      </c>
      <c r="B342" s="103" t="s">
        <v>120</v>
      </c>
      <c r="C342" s="103" t="s">
        <v>1266</v>
      </c>
      <c r="D342" s="103" t="s">
        <v>1948</v>
      </c>
      <c r="E342" s="104" t="s">
        <v>2008</v>
      </c>
      <c r="F342" s="110" t="s">
        <v>1395</v>
      </c>
      <c r="G342" s="390">
        <v>4.0</v>
      </c>
      <c r="H342" s="220" t="s">
        <v>2451</v>
      </c>
      <c r="I342" s="220" t="s">
        <v>778</v>
      </c>
      <c r="J342" s="103" t="s">
        <v>2453</v>
      </c>
      <c r="K342" s="110" t="s">
        <v>201</v>
      </c>
      <c r="L342" s="104" t="s">
        <v>147</v>
      </c>
      <c r="M342" s="104" t="s">
        <v>1989</v>
      </c>
      <c r="N342" s="110" t="s">
        <v>1955</v>
      </c>
      <c r="O342" s="110">
        <v>2.0</v>
      </c>
      <c r="P342" s="116">
        <v>764.8437500000001</v>
      </c>
    </row>
    <row r="343" ht="14.25" hidden="1" customHeight="1">
      <c r="A343" s="103" t="s">
        <v>84</v>
      </c>
      <c r="B343" s="103" t="s">
        <v>120</v>
      </c>
      <c r="C343" s="103" t="s">
        <v>1266</v>
      </c>
      <c r="D343" s="103" t="s">
        <v>1948</v>
      </c>
      <c r="E343" s="104" t="s">
        <v>2008</v>
      </c>
      <c r="F343" s="110" t="s">
        <v>1395</v>
      </c>
      <c r="G343" s="390">
        <v>8.0</v>
      </c>
      <c r="H343" s="220" t="s">
        <v>2455</v>
      </c>
      <c r="I343" s="220" t="s">
        <v>778</v>
      </c>
      <c r="J343" s="103" t="s">
        <v>2457</v>
      </c>
      <c r="K343" s="110" t="s">
        <v>201</v>
      </c>
      <c r="L343" s="104" t="s">
        <v>147</v>
      </c>
      <c r="M343" s="104" t="s">
        <v>1989</v>
      </c>
      <c r="N343" s="110" t="s">
        <v>1955</v>
      </c>
      <c r="O343" s="110">
        <v>2.0</v>
      </c>
      <c r="P343" s="116">
        <v>1108.5937500000002</v>
      </c>
    </row>
    <row r="344" ht="14.25" hidden="1" customHeight="1">
      <c r="A344" s="103" t="s">
        <v>84</v>
      </c>
      <c r="B344" s="103" t="s">
        <v>120</v>
      </c>
      <c r="C344" s="103" t="s">
        <v>1266</v>
      </c>
      <c r="D344" s="103" t="s">
        <v>1948</v>
      </c>
      <c r="E344" s="104" t="s">
        <v>2008</v>
      </c>
      <c r="F344" s="110" t="s">
        <v>1395</v>
      </c>
      <c r="G344" s="390" t="s">
        <v>1962</v>
      </c>
      <c r="H344" s="220" t="s">
        <v>2459</v>
      </c>
      <c r="I344" s="220" t="s">
        <v>778</v>
      </c>
      <c r="J344" s="103" t="s">
        <v>2461</v>
      </c>
      <c r="K344" s="110" t="s">
        <v>201</v>
      </c>
      <c r="L344" s="104" t="s">
        <v>147</v>
      </c>
      <c r="M344" s="104" t="s">
        <v>1989</v>
      </c>
      <c r="N344" s="110" t="s">
        <v>1955</v>
      </c>
      <c r="O344" s="110">
        <v>2.0</v>
      </c>
      <c r="P344" s="116">
        <v>1478.1250000000002</v>
      </c>
    </row>
    <row r="345" ht="14.25" hidden="1" customHeight="1">
      <c r="A345" s="103" t="s">
        <v>84</v>
      </c>
      <c r="B345" s="103" t="s">
        <v>120</v>
      </c>
      <c r="C345" s="103" t="s">
        <v>1266</v>
      </c>
      <c r="D345" s="103" t="s">
        <v>1948</v>
      </c>
      <c r="E345" s="104" t="s">
        <v>2008</v>
      </c>
      <c r="F345" s="110" t="s">
        <v>1395</v>
      </c>
      <c r="G345" s="390" t="s">
        <v>1967</v>
      </c>
      <c r="H345" s="220" t="s">
        <v>2463</v>
      </c>
      <c r="I345" s="220" t="s">
        <v>778</v>
      </c>
      <c r="J345" s="103" t="s">
        <v>2465</v>
      </c>
      <c r="K345" s="110" t="s">
        <v>201</v>
      </c>
      <c r="L345" s="104" t="s">
        <v>147</v>
      </c>
      <c r="M345" s="104" t="s">
        <v>1989</v>
      </c>
      <c r="N345" s="110" t="s">
        <v>1955</v>
      </c>
      <c r="O345" s="110">
        <v>2.0</v>
      </c>
      <c r="P345" s="116">
        <v>2707.0312500000005</v>
      </c>
    </row>
    <row r="346" ht="14.25" hidden="1" customHeight="1">
      <c r="A346" s="103" t="s">
        <v>84</v>
      </c>
      <c r="B346" s="103" t="s">
        <v>120</v>
      </c>
      <c r="C346" s="103" t="s">
        <v>1266</v>
      </c>
      <c r="D346" s="103" t="s">
        <v>1948</v>
      </c>
      <c r="E346" s="104" t="s">
        <v>1949</v>
      </c>
      <c r="F346" s="110" t="s">
        <v>1395</v>
      </c>
      <c r="G346" s="390" t="s">
        <v>1950</v>
      </c>
      <c r="H346" s="220" t="s">
        <v>2489</v>
      </c>
      <c r="I346" s="220" t="s">
        <v>778</v>
      </c>
      <c r="J346" s="103" t="s">
        <v>2491</v>
      </c>
      <c r="K346" s="110" t="s">
        <v>162</v>
      </c>
      <c r="L346" s="104" t="s">
        <v>147</v>
      </c>
      <c r="M346" s="104" t="s">
        <v>1989</v>
      </c>
      <c r="N346" s="110" t="s">
        <v>1955</v>
      </c>
      <c r="O346" s="110">
        <v>2.0</v>
      </c>
      <c r="P346" s="116">
        <v>842.2388059701494</v>
      </c>
    </row>
    <row r="347" ht="14.25" hidden="1" customHeight="1">
      <c r="A347" s="103" t="s">
        <v>84</v>
      </c>
      <c r="B347" s="103" t="s">
        <v>120</v>
      </c>
      <c r="C347" s="103" t="s">
        <v>1266</v>
      </c>
      <c r="D347" s="103" t="s">
        <v>1948</v>
      </c>
      <c r="E347" s="104" t="s">
        <v>1949</v>
      </c>
      <c r="F347" s="110" t="s">
        <v>1395</v>
      </c>
      <c r="G347" s="390" t="s">
        <v>1957</v>
      </c>
      <c r="H347" s="220" t="s">
        <v>2493</v>
      </c>
      <c r="I347" s="220" t="s">
        <v>778</v>
      </c>
      <c r="J347" s="103" t="s">
        <v>2495</v>
      </c>
      <c r="K347" s="110" t="s">
        <v>162</v>
      </c>
      <c r="L347" s="104" t="s">
        <v>147</v>
      </c>
      <c r="M347" s="104" t="s">
        <v>1989</v>
      </c>
      <c r="N347" s="110" t="s">
        <v>1955</v>
      </c>
      <c r="O347" s="110">
        <v>2.0</v>
      </c>
      <c r="P347" s="116">
        <v>1026.1194029850747</v>
      </c>
    </row>
    <row r="348" ht="14.25" hidden="1" customHeight="1">
      <c r="A348" s="103" t="s">
        <v>84</v>
      </c>
      <c r="B348" s="103" t="s">
        <v>120</v>
      </c>
      <c r="C348" s="103" t="s">
        <v>1266</v>
      </c>
      <c r="D348" s="103" t="s">
        <v>1948</v>
      </c>
      <c r="E348" s="104" t="s">
        <v>1949</v>
      </c>
      <c r="F348" s="110" t="s">
        <v>1395</v>
      </c>
      <c r="G348" s="390" t="s">
        <v>1962</v>
      </c>
      <c r="H348" s="220" t="s">
        <v>2497</v>
      </c>
      <c r="I348" s="220" t="s">
        <v>778</v>
      </c>
      <c r="J348" s="103" t="s">
        <v>2499</v>
      </c>
      <c r="K348" s="110" t="s">
        <v>162</v>
      </c>
      <c r="L348" s="104" t="s">
        <v>147</v>
      </c>
      <c r="M348" s="104" t="s">
        <v>1989</v>
      </c>
      <c r="N348" s="110" t="s">
        <v>1955</v>
      </c>
      <c r="O348" s="110">
        <v>2.0</v>
      </c>
      <c r="P348" s="116">
        <v>1388.9552238805973</v>
      </c>
    </row>
    <row r="349" ht="14.25" hidden="1" customHeight="1">
      <c r="A349" s="103" t="s">
        <v>84</v>
      </c>
      <c r="B349" s="103" t="s">
        <v>120</v>
      </c>
      <c r="C349" s="103" t="s">
        <v>1266</v>
      </c>
      <c r="D349" s="103" t="s">
        <v>1948</v>
      </c>
      <c r="E349" s="104" t="s">
        <v>1949</v>
      </c>
      <c r="F349" s="110" t="s">
        <v>1395</v>
      </c>
      <c r="G349" s="390" t="s">
        <v>1967</v>
      </c>
      <c r="H349" s="220" t="s">
        <v>2501</v>
      </c>
      <c r="I349" s="220" t="s">
        <v>2502</v>
      </c>
      <c r="J349" s="103" t="s">
        <v>2504</v>
      </c>
      <c r="K349" s="110" t="s">
        <v>162</v>
      </c>
      <c r="L349" s="104" t="s">
        <v>147</v>
      </c>
      <c r="M349" s="104" t="s">
        <v>1989</v>
      </c>
      <c r="N349" s="110" t="s">
        <v>1955</v>
      </c>
      <c r="O349" s="110">
        <v>2.0</v>
      </c>
      <c r="P349" s="116">
        <v>2520.149253731344</v>
      </c>
    </row>
    <row r="350" ht="14.25" hidden="1" customHeight="1">
      <c r="A350" s="103" t="s">
        <v>84</v>
      </c>
      <c r="B350" s="103" t="s">
        <v>120</v>
      </c>
      <c r="C350" s="103" t="s">
        <v>1266</v>
      </c>
      <c r="D350" s="103" t="s">
        <v>1948</v>
      </c>
      <c r="E350" s="104" t="s">
        <v>2025</v>
      </c>
      <c r="F350" s="110" t="s">
        <v>1395</v>
      </c>
      <c r="G350" s="390" t="s">
        <v>1962</v>
      </c>
      <c r="H350" s="220" t="s">
        <v>2506</v>
      </c>
      <c r="I350" s="220" t="s">
        <v>778</v>
      </c>
      <c r="J350" s="103" t="s">
        <v>2508</v>
      </c>
      <c r="K350" s="110" t="s">
        <v>162</v>
      </c>
      <c r="L350" s="104" t="s">
        <v>147</v>
      </c>
      <c r="M350" s="104" t="s">
        <v>1989</v>
      </c>
      <c r="N350" s="110" t="s">
        <v>1955</v>
      </c>
      <c r="O350" s="110">
        <v>2.0</v>
      </c>
      <c r="P350" s="159">
        <v>1904.4776119402986</v>
      </c>
    </row>
    <row r="351" ht="14.25" hidden="1" customHeight="1">
      <c r="A351" s="103" t="s">
        <v>84</v>
      </c>
      <c r="B351" s="103" t="s">
        <v>120</v>
      </c>
      <c r="C351" s="103" t="s">
        <v>1266</v>
      </c>
      <c r="D351" s="103" t="s">
        <v>1948</v>
      </c>
      <c r="E351" s="104" t="s">
        <v>2025</v>
      </c>
      <c r="F351" s="110" t="s">
        <v>1395</v>
      </c>
      <c r="G351" s="390" t="s">
        <v>1967</v>
      </c>
      <c r="H351" s="220" t="s">
        <v>2510</v>
      </c>
      <c r="I351" s="220" t="s">
        <v>778</v>
      </c>
      <c r="J351" s="103" t="s">
        <v>2512</v>
      </c>
      <c r="K351" s="110" t="s">
        <v>162</v>
      </c>
      <c r="L351" s="104" t="s">
        <v>147</v>
      </c>
      <c r="M351" s="104" t="s">
        <v>1989</v>
      </c>
      <c r="N351" s="110" t="s">
        <v>1955</v>
      </c>
      <c r="O351" s="110">
        <v>2.0</v>
      </c>
      <c r="P351" s="159">
        <v>2979.8507462686575</v>
      </c>
    </row>
    <row r="352" ht="14.25" hidden="1" customHeight="1">
      <c r="A352" s="103" t="s">
        <v>84</v>
      </c>
      <c r="B352" s="103" t="s">
        <v>120</v>
      </c>
      <c r="C352" s="103" t="s">
        <v>1266</v>
      </c>
      <c r="D352" s="103" t="s">
        <v>1948</v>
      </c>
      <c r="E352" s="104" t="s">
        <v>2025</v>
      </c>
      <c r="F352" s="110" t="s">
        <v>1395</v>
      </c>
      <c r="G352" s="390" t="s">
        <v>2026</v>
      </c>
      <c r="H352" s="220" t="s">
        <v>2514</v>
      </c>
      <c r="I352" s="220" t="s">
        <v>778</v>
      </c>
      <c r="J352" s="103" t="s">
        <v>2516</v>
      </c>
      <c r="K352" s="110" t="s">
        <v>162</v>
      </c>
      <c r="L352" s="104" t="s">
        <v>147</v>
      </c>
      <c r="M352" s="104" t="s">
        <v>1989</v>
      </c>
      <c r="N352" s="110" t="s">
        <v>1955</v>
      </c>
      <c r="O352" s="110">
        <v>2.0</v>
      </c>
      <c r="P352" s="116">
        <v>5362.500000000001</v>
      </c>
    </row>
    <row r="353" ht="14.25" hidden="1" customHeight="1">
      <c r="A353" s="103" t="s">
        <v>84</v>
      </c>
      <c r="B353" s="103" t="s">
        <v>120</v>
      </c>
      <c r="C353" s="103" t="s">
        <v>1266</v>
      </c>
      <c r="D353" s="103" t="s">
        <v>1948</v>
      </c>
      <c r="E353" s="104" t="s">
        <v>2025</v>
      </c>
      <c r="F353" s="110" t="s">
        <v>1395</v>
      </c>
      <c r="G353" s="390" t="s">
        <v>2333</v>
      </c>
      <c r="H353" s="220" t="s">
        <v>2518</v>
      </c>
      <c r="I353" s="220" t="s">
        <v>778</v>
      </c>
      <c r="J353" s="103" t="s">
        <v>2520</v>
      </c>
      <c r="K353" s="110" t="s">
        <v>162</v>
      </c>
      <c r="L353" s="104" t="s">
        <v>147</v>
      </c>
      <c r="M353" s="104" t="s">
        <v>1989</v>
      </c>
      <c r="N353" s="110" t="s">
        <v>1955</v>
      </c>
      <c r="O353" s="110">
        <v>2.0</v>
      </c>
      <c r="P353" s="159">
        <v>7831.34328358209</v>
      </c>
    </row>
    <row r="354" ht="14.25" hidden="1" customHeight="1">
      <c r="A354" s="103" t="s">
        <v>84</v>
      </c>
      <c r="B354" s="103" t="s">
        <v>120</v>
      </c>
      <c r="C354" s="103" t="s">
        <v>1266</v>
      </c>
      <c r="D354" s="103" t="s">
        <v>1948</v>
      </c>
      <c r="E354" s="104" t="s">
        <v>2025</v>
      </c>
      <c r="F354" s="110" t="s">
        <v>1395</v>
      </c>
      <c r="G354" s="390" t="s">
        <v>2031</v>
      </c>
      <c r="H354" s="220" t="s">
        <v>2522</v>
      </c>
      <c r="I354" s="220" t="s">
        <v>778</v>
      </c>
      <c r="J354" s="103" t="s">
        <v>2524</v>
      </c>
      <c r="K354" s="110" t="s">
        <v>162</v>
      </c>
      <c r="L354" s="104" t="s">
        <v>147</v>
      </c>
      <c r="M354" s="104" t="s">
        <v>1989</v>
      </c>
      <c r="N354" s="110" t="s">
        <v>1955</v>
      </c>
      <c r="O354" s="110">
        <v>2.0</v>
      </c>
      <c r="P354" s="159">
        <v>10376.119402985078</v>
      </c>
    </row>
    <row r="355" ht="14.25" hidden="1" customHeight="1">
      <c r="A355" s="103" t="s">
        <v>84</v>
      </c>
      <c r="B355" s="103" t="s">
        <v>120</v>
      </c>
      <c r="C355" s="103" t="s">
        <v>1266</v>
      </c>
      <c r="D355" s="103" t="s">
        <v>1948</v>
      </c>
      <c r="E355" s="104" t="s">
        <v>2025</v>
      </c>
      <c r="F355" s="110" t="s">
        <v>1395</v>
      </c>
      <c r="G355" s="390" t="s">
        <v>2339</v>
      </c>
      <c r="H355" s="220" t="s">
        <v>2526</v>
      </c>
      <c r="I355" s="220" t="s">
        <v>778</v>
      </c>
      <c r="J355" s="103" t="s">
        <v>2528</v>
      </c>
      <c r="K355" s="110" t="s">
        <v>162</v>
      </c>
      <c r="L355" s="104" t="s">
        <v>147</v>
      </c>
      <c r="M355" s="104" t="s">
        <v>1989</v>
      </c>
      <c r="N355" s="110" t="s">
        <v>1955</v>
      </c>
      <c r="O355" s="110">
        <v>2.0</v>
      </c>
      <c r="P355" s="159">
        <v>15186.567164179107</v>
      </c>
    </row>
    <row r="356" ht="14.25" hidden="1" customHeight="1">
      <c r="A356" s="103" t="s">
        <v>84</v>
      </c>
      <c r="B356" s="103" t="s">
        <v>120</v>
      </c>
      <c r="C356" s="103" t="s">
        <v>1266</v>
      </c>
      <c r="D356" s="103" t="s">
        <v>1948</v>
      </c>
      <c r="E356" s="104" t="s">
        <v>2025</v>
      </c>
      <c r="F356" s="110" t="s">
        <v>1395</v>
      </c>
      <c r="G356" s="390" t="s">
        <v>2344</v>
      </c>
      <c r="H356" s="220" t="s">
        <v>2530</v>
      </c>
      <c r="I356" s="220" t="s">
        <v>778</v>
      </c>
      <c r="J356" s="103" t="s">
        <v>2532</v>
      </c>
      <c r="K356" s="110" t="s">
        <v>162</v>
      </c>
      <c r="L356" s="104" t="s">
        <v>147</v>
      </c>
      <c r="M356" s="104" t="s">
        <v>1989</v>
      </c>
      <c r="N356" s="110" t="s">
        <v>1955</v>
      </c>
      <c r="O356" s="110">
        <v>2.0</v>
      </c>
      <c r="P356" s="159">
        <v>29552.23880597015</v>
      </c>
    </row>
    <row r="357" ht="14.25" hidden="1" customHeight="1">
      <c r="A357" s="103" t="s">
        <v>84</v>
      </c>
      <c r="B357" s="103" t="s">
        <v>120</v>
      </c>
      <c r="C357" s="103" t="s">
        <v>1266</v>
      </c>
      <c r="D357" s="103" t="s">
        <v>1948</v>
      </c>
      <c r="E357" s="104" t="s">
        <v>1972</v>
      </c>
      <c r="F357" s="110" t="s">
        <v>1395</v>
      </c>
      <c r="G357" s="390" t="s">
        <v>1950</v>
      </c>
      <c r="H357" s="220" t="s">
        <v>2079</v>
      </c>
      <c r="I357" s="220" t="s">
        <v>4188</v>
      </c>
      <c r="J357" s="103" t="s">
        <v>2081</v>
      </c>
      <c r="K357" s="110" t="s">
        <v>162</v>
      </c>
      <c r="L357" s="104" t="s">
        <v>147</v>
      </c>
      <c r="M357" s="104" t="s">
        <v>1989</v>
      </c>
      <c r="N357" s="110" t="s">
        <v>1955</v>
      </c>
      <c r="O357" s="110">
        <v>2.0</v>
      </c>
      <c r="P357" s="116">
        <v>825.0</v>
      </c>
    </row>
    <row r="358" ht="14.25" hidden="1" customHeight="1">
      <c r="A358" s="103" t="s">
        <v>84</v>
      </c>
      <c r="B358" s="103" t="s">
        <v>120</v>
      </c>
      <c r="C358" s="103" t="s">
        <v>1266</v>
      </c>
      <c r="D358" s="103" t="s">
        <v>1948</v>
      </c>
      <c r="E358" s="104" t="s">
        <v>1972</v>
      </c>
      <c r="F358" s="110" t="s">
        <v>1395</v>
      </c>
      <c r="G358" s="390" t="s">
        <v>1957</v>
      </c>
      <c r="H358" s="220" t="s">
        <v>2083</v>
      </c>
      <c r="I358" s="220" t="s">
        <v>4189</v>
      </c>
      <c r="J358" s="103" t="s">
        <v>2085</v>
      </c>
      <c r="K358" s="110" t="s">
        <v>162</v>
      </c>
      <c r="L358" s="104" t="s">
        <v>147</v>
      </c>
      <c r="M358" s="104" t="s">
        <v>1989</v>
      </c>
      <c r="N358" s="110" t="s">
        <v>1955</v>
      </c>
      <c r="O358" s="110">
        <v>2.0</v>
      </c>
      <c r="P358" s="116">
        <v>1022.65625</v>
      </c>
    </row>
    <row r="359" ht="14.25" hidden="1" customHeight="1">
      <c r="A359" s="103" t="s">
        <v>84</v>
      </c>
      <c r="B359" s="103" t="s">
        <v>120</v>
      </c>
      <c r="C359" s="103" t="s">
        <v>1266</v>
      </c>
      <c r="D359" s="103" t="s">
        <v>1948</v>
      </c>
      <c r="E359" s="104" t="s">
        <v>1972</v>
      </c>
      <c r="F359" s="110" t="s">
        <v>1395</v>
      </c>
      <c r="G359" s="390" t="s">
        <v>1962</v>
      </c>
      <c r="H359" s="220" t="s">
        <v>2087</v>
      </c>
      <c r="I359" s="220" t="s">
        <v>4190</v>
      </c>
      <c r="J359" s="103" t="s">
        <v>2089</v>
      </c>
      <c r="K359" s="110" t="s">
        <v>162</v>
      </c>
      <c r="L359" s="104" t="s">
        <v>147</v>
      </c>
      <c r="M359" s="104" t="s">
        <v>1989</v>
      </c>
      <c r="N359" s="110" t="s">
        <v>1955</v>
      </c>
      <c r="O359" s="110">
        <v>2.0</v>
      </c>
      <c r="P359" s="116">
        <v>1414.53125</v>
      </c>
    </row>
    <row r="360" ht="14.25" hidden="1" customHeight="1">
      <c r="A360" s="103" t="s">
        <v>84</v>
      </c>
      <c r="B360" s="103" t="s">
        <v>120</v>
      </c>
      <c r="C360" s="103" t="s">
        <v>1266</v>
      </c>
      <c r="D360" s="103" t="s">
        <v>1948</v>
      </c>
      <c r="E360" s="104" t="s">
        <v>1972</v>
      </c>
      <c r="F360" s="110" t="s">
        <v>1395</v>
      </c>
      <c r="G360" s="390" t="s">
        <v>1967</v>
      </c>
      <c r="H360" s="220" t="s">
        <v>2091</v>
      </c>
      <c r="I360" s="220" t="s">
        <v>4191</v>
      </c>
      <c r="J360" s="103" t="s">
        <v>2093</v>
      </c>
      <c r="K360" s="110" t="s">
        <v>162</v>
      </c>
      <c r="L360" s="104" t="s">
        <v>147</v>
      </c>
      <c r="M360" s="104" t="s">
        <v>1989</v>
      </c>
      <c r="N360" s="110" t="s">
        <v>1955</v>
      </c>
      <c r="O360" s="110">
        <v>2.0</v>
      </c>
      <c r="P360" s="116">
        <v>2595.3125000000005</v>
      </c>
    </row>
    <row r="361" ht="14.25" hidden="1" customHeight="1">
      <c r="A361" s="103" t="s">
        <v>84</v>
      </c>
      <c r="B361" s="103" t="s">
        <v>120</v>
      </c>
      <c r="C361" s="103" t="s">
        <v>1266</v>
      </c>
      <c r="D361" s="103" t="s">
        <v>1948</v>
      </c>
      <c r="E361" s="104" t="s">
        <v>1972</v>
      </c>
      <c r="F361" s="110" t="s">
        <v>1465</v>
      </c>
      <c r="G361" s="390" t="s">
        <v>1950</v>
      </c>
      <c r="H361" s="220" t="s">
        <v>2095</v>
      </c>
      <c r="I361" s="220" t="s">
        <v>4192</v>
      </c>
      <c r="J361" s="103" t="s">
        <v>2097</v>
      </c>
      <c r="K361" s="110" t="s">
        <v>162</v>
      </c>
      <c r="L361" s="104" t="s">
        <v>147</v>
      </c>
      <c r="M361" s="104" t="s">
        <v>1989</v>
      </c>
      <c r="N361" s="110" t="s">
        <v>1955</v>
      </c>
      <c r="O361" s="110">
        <v>2.0</v>
      </c>
      <c r="P361" s="116">
        <v>1512.5000000000002</v>
      </c>
    </row>
    <row r="362" ht="14.25" hidden="1" customHeight="1">
      <c r="A362" s="103" t="s">
        <v>84</v>
      </c>
      <c r="B362" s="103" t="s">
        <v>120</v>
      </c>
      <c r="C362" s="103" t="s">
        <v>1266</v>
      </c>
      <c r="D362" s="103" t="s">
        <v>1948</v>
      </c>
      <c r="E362" s="104" t="s">
        <v>1972</v>
      </c>
      <c r="F362" s="110" t="s">
        <v>1465</v>
      </c>
      <c r="G362" s="390" t="s">
        <v>1957</v>
      </c>
      <c r="H362" s="220" t="s">
        <v>2099</v>
      </c>
      <c r="I362" s="220" t="s">
        <v>4193</v>
      </c>
      <c r="J362" s="103" t="s">
        <v>2101</v>
      </c>
      <c r="K362" s="110" t="s">
        <v>162</v>
      </c>
      <c r="L362" s="104" t="s">
        <v>147</v>
      </c>
      <c r="M362" s="104" t="s">
        <v>1989</v>
      </c>
      <c r="N362" s="110" t="s">
        <v>1955</v>
      </c>
      <c r="O362" s="110">
        <v>2.0</v>
      </c>
      <c r="P362" s="116">
        <v>1983.4375</v>
      </c>
    </row>
    <row r="363" ht="14.25" hidden="1" customHeight="1">
      <c r="A363" s="103" t="s">
        <v>84</v>
      </c>
      <c r="B363" s="103" t="s">
        <v>120</v>
      </c>
      <c r="C363" s="103" t="s">
        <v>1266</v>
      </c>
      <c r="D363" s="103" t="s">
        <v>1948</v>
      </c>
      <c r="E363" s="104" t="s">
        <v>1972</v>
      </c>
      <c r="F363" s="110" t="s">
        <v>1465</v>
      </c>
      <c r="G363" s="390" t="s">
        <v>1962</v>
      </c>
      <c r="H363" s="220" t="s">
        <v>2103</v>
      </c>
      <c r="I363" s="220" t="s">
        <v>4194</v>
      </c>
      <c r="J363" s="103" t="s">
        <v>2105</v>
      </c>
      <c r="K363" s="110" t="s">
        <v>162</v>
      </c>
      <c r="L363" s="104" t="s">
        <v>147</v>
      </c>
      <c r="M363" s="104" t="s">
        <v>1989</v>
      </c>
      <c r="N363" s="110" t="s">
        <v>1955</v>
      </c>
      <c r="O363" s="110">
        <v>2.0</v>
      </c>
      <c r="P363" s="116">
        <v>2921.8750000000005</v>
      </c>
    </row>
    <row r="364" ht="14.25" hidden="1" customHeight="1">
      <c r="A364" s="103" t="s">
        <v>84</v>
      </c>
      <c r="B364" s="103" t="s">
        <v>120</v>
      </c>
      <c r="C364" s="103" t="s">
        <v>1266</v>
      </c>
      <c r="D364" s="103" t="s">
        <v>1948</v>
      </c>
      <c r="E364" s="104" t="s">
        <v>1972</v>
      </c>
      <c r="F364" s="110" t="s">
        <v>1465</v>
      </c>
      <c r="G364" s="390" t="s">
        <v>1967</v>
      </c>
      <c r="H364" s="220" t="s">
        <v>2107</v>
      </c>
      <c r="I364" s="220" t="s">
        <v>4195</v>
      </c>
      <c r="J364" s="103" t="s">
        <v>2109</v>
      </c>
      <c r="K364" s="110" t="s">
        <v>162</v>
      </c>
      <c r="L364" s="104" t="s">
        <v>147</v>
      </c>
      <c r="M364" s="104" t="s">
        <v>1989</v>
      </c>
      <c r="N364" s="110" t="s">
        <v>1955</v>
      </c>
      <c r="O364" s="110">
        <v>2.0</v>
      </c>
      <c r="P364" s="116">
        <v>5568.750000000001</v>
      </c>
    </row>
    <row r="365" ht="14.25" hidden="1" customHeight="1">
      <c r="A365" s="103" t="s">
        <v>84</v>
      </c>
      <c r="B365" s="103" t="s">
        <v>120</v>
      </c>
      <c r="C365" s="103" t="s">
        <v>1266</v>
      </c>
      <c r="D365" s="103" t="s">
        <v>1948</v>
      </c>
      <c r="E365" s="104" t="s">
        <v>2036</v>
      </c>
      <c r="F365" s="110" t="s">
        <v>1395</v>
      </c>
      <c r="G365" s="390" t="s">
        <v>2026</v>
      </c>
      <c r="H365" s="220" t="s">
        <v>2111</v>
      </c>
      <c r="I365" s="220" t="s">
        <v>4196</v>
      </c>
      <c r="J365" s="103" t="s">
        <v>2113</v>
      </c>
      <c r="K365" s="110" t="s">
        <v>206</v>
      </c>
      <c r="L365" s="104" t="s">
        <v>147</v>
      </c>
      <c r="M365" s="104" t="s">
        <v>1989</v>
      </c>
      <c r="N365" s="110" t="s">
        <v>1955</v>
      </c>
      <c r="O365" s="110">
        <v>2.0</v>
      </c>
      <c r="P365" s="116">
        <v>4950.000000000001</v>
      </c>
    </row>
    <row r="366" ht="14.25" hidden="1" customHeight="1">
      <c r="A366" s="103" t="s">
        <v>84</v>
      </c>
      <c r="B366" s="103" t="s">
        <v>120</v>
      </c>
      <c r="C366" s="103" t="s">
        <v>1266</v>
      </c>
      <c r="D366" s="103" t="s">
        <v>1948</v>
      </c>
      <c r="E366" s="104" t="s">
        <v>2036</v>
      </c>
      <c r="F366" s="110" t="s">
        <v>1395</v>
      </c>
      <c r="G366" s="390" t="s">
        <v>2031</v>
      </c>
      <c r="H366" s="220" t="s">
        <v>2115</v>
      </c>
      <c r="I366" s="220" t="s">
        <v>4197</v>
      </c>
      <c r="J366" s="103" t="s">
        <v>2117</v>
      </c>
      <c r="K366" s="110" t="s">
        <v>206</v>
      </c>
      <c r="L366" s="104" t="s">
        <v>147</v>
      </c>
      <c r="M366" s="104" t="s">
        <v>1989</v>
      </c>
      <c r="N366" s="110" t="s">
        <v>1955</v>
      </c>
      <c r="O366" s="110">
        <v>2.0</v>
      </c>
      <c r="P366" s="116">
        <v>9427.343750000002</v>
      </c>
    </row>
    <row r="367" ht="14.25" hidden="1" customHeight="1">
      <c r="A367" s="103" t="s">
        <v>84</v>
      </c>
      <c r="B367" s="103" t="s">
        <v>120</v>
      </c>
      <c r="C367" s="103" t="s">
        <v>1266</v>
      </c>
      <c r="D367" s="103" t="s">
        <v>1948</v>
      </c>
      <c r="E367" s="104" t="s">
        <v>2045</v>
      </c>
      <c r="F367" s="110" t="s">
        <v>1395</v>
      </c>
      <c r="G367" s="390" t="s">
        <v>2026</v>
      </c>
      <c r="H367" s="220" t="s">
        <v>2119</v>
      </c>
      <c r="I367" s="220" t="s">
        <v>4198</v>
      </c>
      <c r="J367" s="103" t="s">
        <v>2121</v>
      </c>
      <c r="K367" s="110" t="s">
        <v>206</v>
      </c>
      <c r="L367" s="104" t="s">
        <v>147</v>
      </c>
      <c r="M367" s="104" t="s">
        <v>1989</v>
      </c>
      <c r="N367" s="110" t="s">
        <v>1955</v>
      </c>
      <c r="O367" s="110">
        <v>2.0</v>
      </c>
      <c r="P367" s="116">
        <v>5016.666666666667</v>
      </c>
    </row>
    <row r="368" ht="14.25" hidden="1" customHeight="1">
      <c r="A368" s="103" t="s">
        <v>84</v>
      </c>
      <c r="B368" s="103" t="s">
        <v>120</v>
      </c>
      <c r="C368" s="103" t="s">
        <v>1266</v>
      </c>
      <c r="D368" s="103" t="s">
        <v>1948</v>
      </c>
      <c r="E368" s="104" t="s">
        <v>2045</v>
      </c>
      <c r="F368" s="110" t="s">
        <v>1395</v>
      </c>
      <c r="G368" s="390" t="s">
        <v>2031</v>
      </c>
      <c r="H368" s="220" t="s">
        <v>2123</v>
      </c>
      <c r="I368" s="220" t="s">
        <v>4199</v>
      </c>
      <c r="J368" s="103" t="s">
        <v>2125</v>
      </c>
      <c r="K368" s="110" t="s">
        <v>206</v>
      </c>
      <c r="L368" s="104" t="s">
        <v>147</v>
      </c>
      <c r="M368" s="104" t="s">
        <v>1989</v>
      </c>
      <c r="N368" s="110" t="s">
        <v>1955</v>
      </c>
      <c r="O368" s="110">
        <v>2.0</v>
      </c>
      <c r="P368" s="116">
        <v>9475.000000000002</v>
      </c>
    </row>
    <row r="369" ht="14.25" hidden="1" customHeight="1">
      <c r="A369" s="103" t="s">
        <v>84</v>
      </c>
      <c r="B369" s="103" t="s">
        <v>120</v>
      </c>
      <c r="C369" s="103" t="s">
        <v>1266</v>
      </c>
      <c r="D369" s="103" t="s">
        <v>1948</v>
      </c>
      <c r="E369" s="104" t="s">
        <v>2545</v>
      </c>
      <c r="F369" s="110" t="s">
        <v>1395</v>
      </c>
      <c r="G369" s="390" t="s">
        <v>1962</v>
      </c>
      <c r="H369" s="220" t="s">
        <v>2547</v>
      </c>
      <c r="I369" s="220" t="s">
        <v>778</v>
      </c>
      <c r="J369" s="103" t="s">
        <v>2549</v>
      </c>
      <c r="K369" s="110" t="s">
        <v>201</v>
      </c>
      <c r="L369" s="104" t="s">
        <v>147</v>
      </c>
      <c r="M369" s="104" t="s">
        <v>1989</v>
      </c>
      <c r="N369" s="110" t="s">
        <v>1955</v>
      </c>
      <c r="O369" s="110">
        <v>2.0</v>
      </c>
      <c r="P369" s="116">
        <v>1865.217391304348</v>
      </c>
    </row>
    <row r="370" ht="14.25" hidden="1" customHeight="1">
      <c r="A370" s="103" t="s">
        <v>84</v>
      </c>
      <c r="B370" s="103" t="s">
        <v>120</v>
      </c>
      <c r="C370" s="103" t="s">
        <v>1266</v>
      </c>
      <c r="D370" s="103" t="s">
        <v>1948</v>
      </c>
      <c r="E370" s="104" t="s">
        <v>2545</v>
      </c>
      <c r="F370" s="110" t="s">
        <v>1395</v>
      </c>
      <c r="G370" s="390" t="s">
        <v>1967</v>
      </c>
      <c r="H370" s="220" t="s">
        <v>2551</v>
      </c>
      <c r="I370" s="220" t="s">
        <v>778</v>
      </c>
      <c r="J370" s="103" t="s">
        <v>2553</v>
      </c>
      <c r="K370" s="110" t="s">
        <v>201</v>
      </c>
      <c r="L370" s="104" t="s">
        <v>147</v>
      </c>
      <c r="M370" s="104" t="s">
        <v>1989</v>
      </c>
      <c r="N370" s="110" t="s">
        <v>1955</v>
      </c>
      <c r="O370" s="110">
        <v>2.0</v>
      </c>
      <c r="P370" s="116">
        <v>2957.246376811595</v>
      </c>
    </row>
    <row r="371" ht="14.25" hidden="1" customHeight="1">
      <c r="A371" s="103" t="s">
        <v>84</v>
      </c>
      <c r="B371" s="103" t="s">
        <v>120</v>
      </c>
      <c r="C371" s="103" t="s">
        <v>1266</v>
      </c>
      <c r="D371" s="103" t="s">
        <v>1948</v>
      </c>
      <c r="E371" s="104" t="s">
        <v>2545</v>
      </c>
      <c r="F371" s="110" t="s">
        <v>1395</v>
      </c>
      <c r="G371" s="390" t="s">
        <v>2026</v>
      </c>
      <c r="H371" s="220" t="s">
        <v>2555</v>
      </c>
      <c r="I371" s="220" t="s">
        <v>778</v>
      </c>
      <c r="J371" s="103" t="s">
        <v>2557</v>
      </c>
      <c r="K371" s="110" t="s">
        <v>201</v>
      </c>
      <c r="L371" s="104" t="s">
        <v>147</v>
      </c>
      <c r="M371" s="104" t="s">
        <v>1989</v>
      </c>
      <c r="N371" s="110" t="s">
        <v>1955</v>
      </c>
      <c r="O371" s="110">
        <v>2.0</v>
      </c>
      <c r="P371" s="116">
        <v>5101.44927536232</v>
      </c>
    </row>
    <row r="372" ht="14.25" hidden="1" customHeight="1">
      <c r="A372" s="103" t="s">
        <v>84</v>
      </c>
      <c r="B372" s="103" t="s">
        <v>120</v>
      </c>
      <c r="C372" s="103" t="s">
        <v>1266</v>
      </c>
      <c r="D372" s="103" t="s">
        <v>1948</v>
      </c>
      <c r="E372" s="104" t="s">
        <v>2394</v>
      </c>
      <c r="F372" s="110" t="s">
        <v>1395</v>
      </c>
      <c r="G372" s="390" t="s">
        <v>1962</v>
      </c>
      <c r="H372" s="220" t="s">
        <v>2559</v>
      </c>
      <c r="I372" s="220" t="s">
        <v>778</v>
      </c>
      <c r="J372" s="103" t="s">
        <v>2561</v>
      </c>
      <c r="K372" s="110" t="s">
        <v>201</v>
      </c>
      <c r="L372" s="104" t="s">
        <v>147</v>
      </c>
      <c r="M372" s="104" t="s">
        <v>1989</v>
      </c>
      <c r="N372" s="110" t="s">
        <v>1955</v>
      </c>
      <c r="O372" s="110">
        <v>2.0</v>
      </c>
      <c r="P372" s="116">
        <v>2196.811594202899</v>
      </c>
    </row>
    <row r="373" ht="14.25" hidden="1" customHeight="1">
      <c r="A373" s="103" t="s">
        <v>84</v>
      </c>
      <c r="B373" s="103" t="s">
        <v>120</v>
      </c>
      <c r="C373" s="103" t="s">
        <v>1266</v>
      </c>
      <c r="D373" s="103" t="s">
        <v>1948</v>
      </c>
      <c r="E373" s="104" t="s">
        <v>2394</v>
      </c>
      <c r="F373" s="110" t="s">
        <v>1395</v>
      </c>
      <c r="G373" s="390" t="s">
        <v>1967</v>
      </c>
      <c r="H373" s="220" t="s">
        <v>2563</v>
      </c>
      <c r="I373" s="220" t="s">
        <v>778</v>
      </c>
      <c r="J373" s="103" t="s">
        <v>2565</v>
      </c>
      <c r="K373" s="110" t="s">
        <v>201</v>
      </c>
      <c r="L373" s="104" t="s">
        <v>147</v>
      </c>
      <c r="M373" s="104" t="s">
        <v>1989</v>
      </c>
      <c r="N373" s="110" t="s">
        <v>1955</v>
      </c>
      <c r="O373" s="110">
        <v>2.0</v>
      </c>
      <c r="P373" s="116">
        <v>3284.057971014493</v>
      </c>
    </row>
    <row r="374" ht="14.25" hidden="1" customHeight="1">
      <c r="A374" s="103" t="s">
        <v>84</v>
      </c>
      <c r="B374" s="103" t="s">
        <v>120</v>
      </c>
      <c r="C374" s="103" t="s">
        <v>1266</v>
      </c>
      <c r="D374" s="103" t="s">
        <v>1948</v>
      </c>
      <c r="E374" s="104" t="s">
        <v>2394</v>
      </c>
      <c r="F374" s="110" t="s">
        <v>1395</v>
      </c>
      <c r="G374" s="390" t="s">
        <v>2026</v>
      </c>
      <c r="H374" s="220" t="s">
        <v>2567</v>
      </c>
      <c r="I374" s="220" t="s">
        <v>778</v>
      </c>
      <c r="J374" s="103" t="s">
        <v>2569</v>
      </c>
      <c r="K374" s="110" t="s">
        <v>201</v>
      </c>
      <c r="L374" s="104" t="s">
        <v>147</v>
      </c>
      <c r="M374" s="104" t="s">
        <v>1989</v>
      </c>
      <c r="N374" s="110" t="s">
        <v>1955</v>
      </c>
      <c r="O374" s="110">
        <v>2.0</v>
      </c>
      <c r="P374" s="116">
        <v>5244.927536231885</v>
      </c>
    </row>
    <row r="375" ht="14.25" hidden="1" customHeight="1">
      <c r="A375" s="103" t="s">
        <v>84</v>
      </c>
      <c r="B375" s="103" t="s">
        <v>120</v>
      </c>
      <c r="C375" s="103" t="s">
        <v>1266</v>
      </c>
      <c r="D375" s="103" t="s">
        <v>1948</v>
      </c>
      <c r="E375" s="104" t="s">
        <v>2008</v>
      </c>
      <c r="F375" s="110" t="s">
        <v>1465</v>
      </c>
      <c r="G375" s="390">
        <v>2.0</v>
      </c>
      <c r="H375" s="220" t="s">
        <v>2571</v>
      </c>
      <c r="I375" s="220" t="s">
        <v>778</v>
      </c>
      <c r="J375" s="103" t="s">
        <v>2573</v>
      </c>
      <c r="K375" s="110" t="s">
        <v>206</v>
      </c>
      <c r="L375" s="104" t="s">
        <v>147</v>
      </c>
      <c r="M375" s="104" t="s">
        <v>1989</v>
      </c>
      <c r="N375" s="110" t="s">
        <v>1955</v>
      </c>
      <c r="O375" s="110">
        <v>2.0</v>
      </c>
      <c r="P375" s="116">
        <v>655.0816943858182</v>
      </c>
    </row>
    <row r="376" ht="14.25" hidden="1" customHeight="1">
      <c r="A376" s="103" t="s">
        <v>84</v>
      </c>
      <c r="B376" s="103" t="s">
        <v>120</v>
      </c>
      <c r="C376" s="103" t="s">
        <v>1266</v>
      </c>
      <c r="D376" s="103" t="s">
        <v>1948</v>
      </c>
      <c r="E376" s="104" t="s">
        <v>2008</v>
      </c>
      <c r="F376" s="110" t="s">
        <v>1465</v>
      </c>
      <c r="G376" s="390">
        <v>4.0</v>
      </c>
      <c r="H376" s="220" t="s">
        <v>2575</v>
      </c>
      <c r="I376" s="220" t="s">
        <v>778</v>
      </c>
      <c r="J376" s="103" t="s">
        <v>2577</v>
      </c>
      <c r="K376" s="110" t="s">
        <v>206</v>
      </c>
      <c r="L376" s="104" t="s">
        <v>147</v>
      </c>
      <c r="M376" s="104" t="s">
        <v>1989</v>
      </c>
      <c r="N376" s="110" t="s">
        <v>1955</v>
      </c>
      <c r="O376" s="110">
        <v>2.0</v>
      </c>
      <c r="P376" s="116">
        <v>1011.1474584090289</v>
      </c>
    </row>
    <row r="377" ht="14.25" hidden="1" customHeight="1">
      <c r="A377" s="103" t="s">
        <v>84</v>
      </c>
      <c r="B377" s="103" t="s">
        <v>120</v>
      </c>
      <c r="C377" s="103" t="s">
        <v>1266</v>
      </c>
      <c r="D377" s="103" t="s">
        <v>1948</v>
      </c>
      <c r="E377" s="104" t="s">
        <v>2008</v>
      </c>
      <c r="F377" s="110" t="s">
        <v>1465</v>
      </c>
      <c r="G377" s="390" t="s">
        <v>1950</v>
      </c>
      <c r="H377" s="220" t="s">
        <v>2579</v>
      </c>
      <c r="I377" s="220" t="s">
        <v>778</v>
      </c>
      <c r="J377" s="103" t="s">
        <v>2581</v>
      </c>
      <c r="K377" s="110" t="s">
        <v>206</v>
      </c>
      <c r="L377" s="104" t="s">
        <v>147</v>
      </c>
      <c r="M377" s="104" t="s">
        <v>1989</v>
      </c>
      <c r="N377" s="110" t="s">
        <v>1955</v>
      </c>
      <c r="O377" s="110">
        <v>2.0</v>
      </c>
      <c r="P377" s="116">
        <v>1367.21322243224</v>
      </c>
    </row>
    <row r="378" ht="14.25" hidden="1" customHeight="1">
      <c r="A378" s="103" t="s">
        <v>84</v>
      </c>
      <c r="B378" s="103" t="s">
        <v>120</v>
      </c>
      <c r="C378" s="103" t="s">
        <v>1266</v>
      </c>
      <c r="D378" s="103" t="s">
        <v>1948</v>
      </c>
      <c r="E378" s="104" t="s">
        <v>2008</v>
      </c>
      <c r="F378" s="110" t="s">
        <v>1465</v>
      </c>
      <c r="G378" s="390" t="s">
        <v>1957</v>
      </c>
      <c r="H378" s="220" t="s">
        <v>2583</v>
      </c>
      <c r="I378" s="220" t="s">
        <v>778</v>
      </c>
      <c r="J378" s="103" t="s">
        <v>2585</v>
      </c>
      <c r="K378" s="110" t="s">
        <v>206</v>
      </c>
      <c r="L378" s="104" t="s">
        <v>147</v>
      </c>
      <c r="M378" s="104" t="s">
        <v>1989</v>
      </c>
      <c r="N378" s="110" t="s">
        <v>1955</v>
      </c>
      <c r="O378" s="110">
        <v>2.0</v>
      </c>
      <c r="P378" s="116">
        <v>1723.2789864554504</v>
      </c>
    </row>
    <row r="379" ht="14.25" hidden="1" customHeight="1">
      <c r="A379" s="103" t="s">
        <v>84</v>
      </c>
      <c r="B379" s="103" t="s">
        <v>120</v>
      </c>
      <c r="C379" s="103" t="s">
        <v>1266</v>
      </c>
      <c r="D379" s="103" t="s">
        <v>1948</v>
      </c>
      <c r="E379" s="104" t="s">
        <v>2008</v>
      </c>
      <c r="F379" s="110" t="s">
        <v>1465</v>
      </c>
      <c r="G379" s="390">
        <v>10.0</v>
      </c>
      <c r="H379" s="220" t="s">
        <v>2587</v>
      </c>
      <c r="I379" s="220" t="s">
        <v>778</v>
      </c>
      <c r="J379" s="103" t="s">
        <v>2589</v>
      </c>
      <c r="K379" s="110" t="s">
        <v>206</v>
      </c>
      <c r="L379" s="104" t="s">
        <v>147</v>
      </c>
      <c r="M379" s="104" t="s">
        <v>1989</v>
      </c>
      <c r="N379" s="110" t="s">
        <v>1955</v>
      </c>
      <c r="O379" s="110">
        <v>2.0</v>
      </c>
      <c r="P379" s="116">
        <v>2079.3447504786614</v>
      </c>
    </row>
    <row r="380" ht="14.25" hidden="1" customHeight="1">
      <c r="A380" s="103" t="s">
        <v>84</v>
      </c>
      <c r="B380" s="103" t="s">
        <v>120</v>
      </c>
      <c r="C380" s="103" t="s">
        <v>1266</v>
      </c>
      <c r="D380" s="103" t="s">
        <v>1948</v>
      </c>
      <c r="E380" s="104" t="s">
        <v>2008</v>
      </c>
      <c r="F380" s="110" t="s">
        <v>1465</v>
      </c>
      <c r="G380" s="390" t="s">
        <v>1962</v>
      </c>
      <c r="H380" s="220" t="s">
        <v>2591</v>
      </c>
      <c r="I380" s="220" t="s">
        <v>778</v>
      </c>
      <c r="J380" s="103" t="s">
        <v>2593</v>
      </c>
      <c r="K380" s="110" t="s">
        <v>206</v>
      </c>
      <c r="L380" s="104" t="s">
        <v>147</v>
      </c>
      <c r="M380" s="104" t="s">
        <v>1989</v>
      </c>
      <c r="N380" s="110" t="s">
        <v>1955</v>
      </c>
      <c r="O380" s="110">
        <v>2.0</v>
      </c>
      <c r="P380" s="116">
        <v>2435.4105145018725</v>
      </c>
    </row>
    <row r="381" ht="14.25" hidden="1" customHeight="1">
      <c r="A381" s="103" t="s">
        <v>84</v>
      </c>
      <c r="B381" s="103" t="s">
        <v>120</v>
      </c>
      <c r="C381" s="103" t="s">
        <v>1266</v>
      </c>
      <c r="D381" s="103" t="s">
        <v>1948</v>
      </c>
      <c r="E381" s="104" t="s">
        <v>2008</v>
      </c>
      <c r="F381" s="110" t="s">
        <v>1465</v>
      </c>
      <c r="G381" s="390">
        <v>16.0</v>
      </c>
      <c r="H381" s="220" t="s">
        <v>2595</v>
      </c>
      <c r="I381" s="220" t="s">
        <v>778</v>
      </c>
      <c r="J381" s="103" t="s">
        <v>2597</v>
      </c>
      <c r="K381" s="110" t="s">
        <v>206</v>
      </c>
      <c r="L381" s="104" t="s">
        <v>147</v>
      </c>
      <c r="M381" s="104" t="s">
        <v>1989</v>
      </c>
      <c r="N381" s="110" t="s">
        <v>1955</v>
      </c>
      <c r="O381" s="110">
        <v>2.0</v>
      </c>
      <c r="P381" s="116">
        <v>3159.4310895444723</v>
      </c>
    </row>
    <row r="382" ht="14.25" hidden="1" customHeight="1">
      <c r="A382" s="103" t="s">
        <v>84</v>
      </c>
      <c r="B382" s="103" t="s">
        <v>120</v>
      </c>
      <c r="C382" s="103" t="s">
        <v>1266</v>
      </c>
      <c r="D382" s="103" t="s">
        <v>1948</v>
      </c>
      <c r="E382" s="104" t="s">
        <v>2008</v>
      </c>
      <c r="F382" s="110" t="s">
        <v>1465</v>
      </c>
      <c r="G382" s="390">
        <v>20.0</v>
      </c>
      <c r="H382" s="220" t="s">
        <v>2599</v>
      </c>
      <c r="I382" s="220" t="s">
        <v>778</v>
      </c>
      <c r="J382" s="103" t="s">
        <v>2601</v>
      </c>
      <c r="K382" s="110" t="s">
        <v>206</v>
      </c>
      <c r="L382" s="104" t="s">
        <v>147</v>
      </c>
      <c r="M382" s="104" t="s">
        <v>1989</v>
      </c>
      <c r="N382" s="110" t="s">
        <v>1955</v>
      </c>
      <c r="O382" s="110">
        <v>2.0</v>
      </c>
      <c r="P382" s="116">
        <v>3883.845159339071</v>
      </c>
    </row>
    <row r="383" ht="14.25" hidden="1" customHeight="1">
      <c r="A383" s="103" t="s">
        <v>84</v>
      </c>
      <c r="B383" s="103" t="s">
        <v>120</v>
      </c>
      <c r="C383" s="103" t="s">
        <v>1266</v>
      </c>
      <c r="D383" s="103" t="s">
        <v>1948</v>
      </c>
      <c r="E383" s="104" t="s">
        <v>2008</v>
      </c>
      <c r="F383" s="110" t="s">
        <v>1465</v>
      </c>
      <c r="G383" s="390" t="s">
        <v>1967</v>
      </c>
      <c r="H383" s="220" t="s">
        <v>2603</v>
      </c>
      <c r="I383" s="220" t="s">
        <v>778</v>
      </c>
      <c r="J383" s="103" t="s">
        <v>2605</v>
      </c>
      <c r="K383" s="110" t="s">
        <v>206</v>
      </c>
      <c r="L383" s="104" t="s">
        <v>147</v>
      </c>
      <c r="M383" s="104" t="s">
        <v>1989</v>
      </c>
      <c r="N383" s="110" t="s">
        <v>1955</v>
      </c>
      <c r="O383" s="110">
        <v>2.0</v>
      </c>
      <c r="P383" s="116">
        <v>4595.976687385493</v>
      </c>
    </row>
    <row r="384" ht="14.25" hidden="1" customHeight="1">
      <c r="A384" s="103" t="s">
        <v>84</v>
      </c>
      <c r="B384" s="103" t="s">
        <v>120</v>
      </c>
      <c r="C384" s="103" t="s">
        <v>1266</v>
      </c>
      <c r="D384" s="103" t="s">
        <v>1948</v>
      </c>
      <c r="E384" s="104" t="s">
        <v>1949</v>
      </c>
      <c r="F384" s="110" t="s">
        <v>1465</v>
      </c>
      <c r="G384" s="390">
        <v>4.0</v>
      </c>
      <c r="H384" s="220" t="s">
        <v>2637</v>
      </c>
      <c r="I384" s="220" t="s">
        <v>778</v>
      </c>
      <c r="J384" s="103" t="s">
        <v>2639</v>
      </c>
      <c r="K384" s="110" t="s">
        <v>162</v>
      </c>
      <c r="L384" s="104" t="s">
        <v>147</v>
      </c>
      <c r="M384" s="104" t="s">
        <v>1989</v>
      </c>
      <c r="N384" s="110" t="s">
        <v>1955</v>
      </c>
      <c r="O384" s="110">
        <v>2.0</v>
      </c>
      <c r="P384" s="116">
        <v>1058.9552238805973</v>
      </c>
    </row>
    <row r="385" ht="14.25" hidden="1" customHeight="1">
      <c r="A385" s="103" t="s">
        <v>84</v>
      </c>
      <c r="B385" s="103" t="s">
        <v>120</v>
      </c>
      <c r="C385" s="103" t="s">
        <v>1266</v>
      </c>
      <c r="D385" s="103" t="s">
        <v>1948</v>
      </c>
      <c r="E385" s="104" t="s">
        <v>1949</v>
      </c>
      <c r="F385" s="110" t="s">
        <v>1465</v>
      </c>
      <c r="G385" s="390" t="s">
        <v>1950</v>
      </c>
      <c r="H385" s="220" t="s">
        <v>2641</v>
      </c>
      <c r="I385" s="220" t="s">
        <v>778</v>
      </c>
      <c r="J385" s="103" t="s">
        <v>2643</v>
      </c>
      <c r="K385" s="110" t="s">
        <v>162</v>
      </c>
      <c r="L385" s="104" t="s">
        <v>147</v>
      </c>
      <c r="M385" s="104" t="s">
        <v>1989</v>
      </c>
      <c r="N385" s="110" t="s">
        <v>1955</v>
      </c>
      <c r="O385" s="110">
        <v>2.0</v>
      </c>
      <c r="P385" s="116">
        <v>1436.5671641791048</v>
      </c>
    </row>
    <row r="386" ht="14.25" hidden="1" customHeight="1">
      <c r="A386" s="103" t="s">
        <v>84</v>
      </c>
      <c r="B386" s="103" t="s">
        <v>120</v>
      </c>
      <c r="C386" s="103" t="s">
        <v>1266</v>
      </c>
      <c r="D386" s="103" t="s">
        <v>1948</v>
      </c>
      <c r="E386" s="104" t="s">
        <v>1949</v>
      </c>
      <c r="F386" s="110" t="s">
        <v>1465</v>
      </c>
      <c r="G386" s="390" t="s">
        <v>1957</v>
      </c>
      <c r="H386" s="220" t="s">
        <v>2645</v>
      </c>
      <c r="I386" s="220" t="s">
        <v>778</v>
      </c>
      <c r="J386" s="103" t="s">
        <v>2647</v>
      </c>
      <c r="K386" s="110" t="s">
        <v>162</v>
      </c>
      <c r="L386" s="104" t="s">
        <v>147</v>
      </c>
      <c r="M386" s="104" t="s">
        <v>1989</v>
      </c>
      <c r="N386" s="110" t="s">
        <v>1955</v>
      </c>
      <c r="O386" s="110">
        <v>2.0</v>
      </c>
      <c r="P386" s="116">
        <v>1814.179104477612</v>
      </c>
    </row>
    <row r="387" ht="14.25" hidden="1" customHeight="1">
      <c r="A387" s="103" t="s">
        <v>84</v>
      </c>
      <c r="B387" s="103" t="s">
        <v>120</v>
      </c>
      <c r="C387" s="103" t="s">
        <v>1266</v>
      </c>
      <c r="D387" s="103" t="s">
        <v>1948</v>
      </c>
      <c r="E387" s="104" t="s">
        <v>1949</v>
      </c>
      <c r="F387" s="110" t="s">
        <v>1465</v>
      </c>
      <c r="G387" s="390" t="s">
        <v>1962</v>
      </c>
      <c r="H387" s="220" t="s">
        <v>2649</v>
      </c>
      <c r="I387" s="220" t="s">
        <v>778</v>
      </c>
      <c r="J387" s="103" t="s">
        <v>2651</v>
      </c>
      <c r="K387" s="110" t="s">
        <v>162</v>
      </c>
      <c r="L387" s="104" t="s">
        <v>147</v>
      </c>
      <c r="M387" s="104" t="s">
        <v>1989</v>
      </c>
      <c r="N387" s="110" t="s">
        <v>1955</v>
      </c>
      <c r="O387" s="110">
        <v>2.0</v>
      </c>
      <c r="P387" s="116">
        <v>2577.611940298508</v>
      </c>
    </row>
    <row r="388" ht="14.25" hidden="1" customHeight="1">
      <c r="A388" s="103" t="s">
        <v>84</v>
      </c>
      <c r="B388" s="103" t="s">
        <v>120</v>
      </c>
      <c r="C388" s="103" t="s">
        <v>1266</v>
      </c>
      <c r="D388" s="103" t="s">
        <v>1948</v>
      </c>
      <c r="E388" s="104" t="s">
        <v>1949</v>
      </c>
      <c r="F388" s="110" t="s">
        <v>1465</v>
      </c>
      <c r="G388" s="390" t="s">
        <v>1967</v>
      </c>
      <c r="H388" s="220" t="s">
        <v>2653</v>
      </c>
      <c r="I388" s="220" t="s">
        <v>2502</v>
      </c>
      <c r="J388" s="103" t="s">
        <v>2655</v>
      </c>
      <c r="K388" s="110" t="s">
        <v>162</v>
      </c>
      <c r="L388" s="104" t="s">
        <v>147</v>
      </c>
      <c r="M388" s="104" t="s">
        <v>1989</v>
      </c>
      <c r="N388" s="110" t="s">
        <v>1955</v>
      </c>
      <c r="O388" s="110">
        <v>2.0</v>
      </c>
      <c r="P388" s="116">
        <v>4925.37313432836</v>
      </c>
    </row>
    <row r="389" ht="14.25" hidden="1" customHeight="1">
      <c r="A389" s="103" t="s">
        <v>84</v>
      </c>
      <c r="B389" s="103" t="s">
        <v>120</v>
      </c>
      <c r="C389" s="103" t="s">
        <v>1266</v>
      </c>
      <c r="D389" s="103" t="s">
        <v>1948</v>
      </c>
      <c r="E389" s="104" t="s">
        <v>1949</v>
      </c>
      <c r="F389" s="110" t="s">
        <v>2150</v>
      </c>
      <c r="G389" s="390" t="s">
        <v>1950</v>
      </c>
      <c r="H389" s="220" t="s">
        <v>2665</v>
      </c>
      <c r="I389" s="220" t="s">
        <v>4200</v>
      </c>
      <c r="J389" s="103" t="s">
        <v>2667</v>
      </c>
      <c r="K389" s="110" t="s">
        <v>162</v>
      </c>
      <c r="L389" s="104" t="s">
        <v>147</v>
      </c>
      <c r="M389" s="104" t="s">
        <v>1989</v>
      </c>
      <c r="N389" s="110" t="s">
        <v>1955</v>
      </c>
      <c r="O389" s="110">
        <v>2.0</v>
      </c>
      <c r="P389" s="116">
        <v>351.3888888888889</v>
      </c>
    </row>
    <row r="390" ht="14.25" hidden="1" customHeight="1">
      <c r="A390" s="103" t="s">
        <v>84</v>
      </c>
      <c r="B390" s="103" t="s">
        <v>120</v>
      </c>
      <c r="C390" s="103" t="s">
        <v>1266</v>
      </c>
      <c r="D390" s="103" t="s">
        <v>1948</v>
      </c>
      <c r="E390" s="104" t="s">
        <v>1949</v>
      </c>
      <c r="F390" s="110" t="s">
        <v>2150</v>
      </c>
      <c r="G390" s="390" t="s">
        <v>1957</v>
      </c>
      <c r="H390" s="220" t="s">
        <v>2669</v>
      </c>
      <c r="I390" s="220" t="s">
        <v>778</v>
      </c>
      <c r="J390" s="103" t="s">
        <v>2671</v>
      </c>
      <c r="K390" s="110" t="s">
        <v>162</v>
      </c>
      <c r="L390" s="104" t="s">
        <v>147</v>
      </c>
      <c r="M390" s="104" t="s">
        <v>1989</v>
      </c>
      <c r="N390" s="110" t="s">
        <v>1955</v>
      </c>
      <c r="O390" s="110">
        <v>2.0</v>
      </c>
      <c r="P390" s="116">
        <v>374.30555555555554</v>
      </c>
    </row>
    <row r="391" ht="14.25" hidden="1" customHeight="1">
      <c r="A391" s="103" t="s">
        <v>84</v>
      </c>
      <c r="B391" s="103" t="s">
        <v>120</v>
      </c>
      <c r="C391" s="103" t="s">
        <v>1266</v>
      </c>
      <c r="D391" s="103" t="s">
        <v>1948</v>
      </c>
      <c r="E391" s="104" t="s">
        <v>1949</v>
      </c>
      <c r="F391" s="110" t="s">
        <v>2150</v>
      </c>
      <c r="G391" s="390" t="s">
        <v>1962</v>
      </c>
      <c r="H391" s="220" t="s">
        <v>2673</v>
      </c>
      <c r="I391" s="220" t="s">
        <v>4201</v>
      </c>
      <c r="J391" s="103" t="s">
        <v>2675</v>
      </c>
      <c r="K391" s="110" t="s">
        <v>162</v>
      </c>
      <c r="L391" s="104" t="s">
        <v>147</v>
      </c>
      <c r="M391" s="104" t="s">
        <v>1989</v>
      </c>
      <c r="N391" s="110" t="s">
        <v>1955</v>
      </c>
      <c r="O391" s="110">
        <v>2.0</v>
      </c>
      <c r="P391" s="116">
        <v>427.77777777777777</v>
      </c>
    </row>
    <row r="392" ht="14.25" hidden="1" customHeight="1">
      <c r="A392" s="103" t="s">
        <v>84</v>
      </c>
      <c r="B392" s="103" t="s">
        <v>120</v>
      </c>
      <c r="C392" s="103" t="s">
        <v>1266</v>
      </c>
      <c r="D392" s="103" t="s">
        <v>1948</v>
      </c>
      <c r="E392" s="104" t="s">
        <v>1949</v>
      </c>
      <c r="F392" s="110" t="s">
        <v>2150</v>
      </c>
      <c r="G392" s="390" t="s">
        <v>1967</v>
      </c>
      <c r="H392" s="220" t="s">
        <v>2677</v>
      </c>
      <c r="I392" s="220" t="s">
        <v>4202</v>
      </c>
      <c r="J392" s="103" t="s">
        <v>2679</v>
      </c>
      <c r="K392" s="110" t="s">
        <v>162</v>
      </c>
      <c r="L392" s="104" t="s">
        <v>147</v>
      </c>
      <c r="M392" s="104" t="s">
        <v>1989</v>
      </c>
      <c r="N392" s="110" t="s">
        <v>1955</v>
      </c>
      <c r="O392" s="110">
        <v>2.0</v>
      </c>
      <c r="P392" s="116">
        <v>611.1111111111112</v>
      </c>
    </row>
    <row r="393" ht="14.25" hidden="1" customHeight="1">
      <c r="A393" s="103" t="s">
        <v>84</v>
      </c>
      <c r="B393" s="103" t="s">
        <v>120</v>
      </c>
      <c r="C393" s="103" t="s">
        <v>1266</v>
      </c>
      <c r="D393" s="103" t="s">
        <v>1948</v>
      </c>
      <c r="E393" s="104" t="s">
        <v>1972</v>
      </c>
      <c r="F393" s="110" t="s">
        <v>2150</v>
      </c>
      <c r="G393" s="390" t="s">
        <v>1950</v>
      </c>
      <c r="H393" s="220" t="s">
        <v>2170</v>
      </c>
      <c r="I393" s="220" t="s">
        <v>4203</v>
      </c>
      <c r="J393" s="103" t="s">
        <v>2172</v>
      </c>
      <c r="K393" s="110" t="s">
        <v>162</v>
      </c>
      <c r="L393" s="104" t="s">
        <v>147</v>
      </c>
      <c r="M393" s="104" t="s">
        <v>1989</v>
      </c>
      <c r="N393" s="110" t="s">
        <v>1955</v>
      </c>
      <c r="O393" s="110">
        <v>2.0</v>
      </c>
      <c r="P393" s="116">
        <v>311.14285714285717</v>
      </c>
    </row>
    <row r="394" ht="14.25" hidden="1" customHeight="1">
      <c r="A394" s="103" t="s">
        <v>84</v>
      </c>
      <c r="B394" s="103" t="s">
        <v>120</v>
      </c>
      <c r="C394" s="103" t="s">
        <v>1266</v>
      </c>
      <c r="D394" s="103" t="s">
        <v>1948</v>
      </c>
      <c r="E394" s="104" t="s">
        <v>1972</v>
      </c>
      <c r="F394" s="110" t="s">
        <v>2150</v>
      </c>
      <c r="G394" s="390" t="s">
        <v>1957</v>
      </c>
      <c r="H394" s="220" t="s">
        <v>2174</v>
      </c>
      <c r="I394" s="220" t="s">
        <v>4204</v>
      </c>
      <c r="J394" s="103" t="s">
        <v>2176</v>
      </c>
      <c r="K394" s="110" t="s">
        <v>162</v>
      </c>
      <c r="L394" s="104" t="s">
        <v>147</v>
      </c>
      <c r="M394" s="104" t="s">
        <v>1989</v>
      </c>
      <c r="N394" s="110" t="s">
        <v>1955</v>
      </c>
      <c r="O394" s="110">
        <v>2.0</v>
      </c>
      <c r="P394" s="116">
        <v>346.35135135135135</v>
      </c>
    </row>
    <row r="395" ht="14.25" hidden="1" customHeight="1">
      <c r="A395" s="103" t="s">
        <v>84</v>
      </c>
      <c r="B395" s="103" t="s">
        <v>120</v>
      </c>
      <c r="C395" s="103" t="s">
        <v>1266</v>
      </c>
      <c r="D395" s="103" t="s">
        <v>1948</v>
      </c>
      <c r="E395" s="104" t="s">
        <v>1972</v>
      </c>
      <c r="F395" s="110" t="s">
        <v>2150</v>
      </c>
      <c r="G395" s="390" t="s">
        <v>1962</v>
      </c>
      <c r="H395" s="220" t="s">
        <v>2178</v>
      </c>
      <c r="I395" s="220" t="s">
        <v>4205</v>
      </c>
      <c r="J395" s="103" t="s">
        <v>2180</v>
      </c>
      <c r="K395" s="110" t="s">
        <v>162</v>
      </c>
      <c r="L395" s="104" t="s">
        <v>147</v>
      </c>
      <c r="M395" s="104" t="s">
        <v>1989</v>
      </c>
      <c r="N395" s="110" t="s">
        <v>1955</v>
      </c>
      <c r="O395" s="110">
        <v>2.0</v>
      </c>
      <c r="P395" s="116">
        <v>416.2162162162162</v>
      </c>
    </row>
    <row r="396" ht="14.25" hidden="1" customHeight="1">
      <c r="A396" s="103" t="s">
        <v>84</v>
      </c>
      <c r="B396" s="103" t="s">
        <v>120</v>
      </c>
      <c r="C396" s="103" t="s">
        <v>1266</v>
      </c>
      <c r="D396" s="103" t="s">
        <v>1948</v>
      </c>
      <c r="E396" s="104" t="s">
        <v>1972</v>
      </c>
      <c r="F396" s="110" t="s">
        <v>2150</v>
      </c>
      <c r="G396" s="390" t="s">
        <v>1967</v>
      </c>
      <c r="H396" s="220" t="s">
        <v>2182</v>
      </c>
      <c r="I396" s="220" t="s">
        <v>4206</v>
      </c>
      <c r="J396" s="103" t="s">
        <v>2184</v>
      </c>
      <c r="K396" s="110" t="s">
        <v>162</v>
      </c>
      <c r="L396" s="104" t="s">
        <v>147</v>
      </c>
      <c r="M396" s="104" t="s">
        <v>1989</v>
      </c>
      <c r="N396" s="110" t="s">
        <v>1955</v>
      </c>
      <c r="O396" s="110">
        <v>2.0</v>
      </c>
      <c r="P396" s="116">
        <v>706.081081081081</v>
      </c>
    </row>
    <row r="397" ht="14.25" hidden="1" customHeight="1">
      <c r="A397" s="103" t="s">
        <v>84</v>
      </c>
      <c r="B397" s="103" t="s">
        <v>120</v>
      </c>
      <c r="C397" s="103" t="s">
        <v>1266</v>
      </c>
      <c r="D397" s="103" t="s">
        <v>1948</v>
      </c>
      <c r="E397" s="104" t="s">
        <v>1991</v>
      </c>
      <c r="F397" s="110" t="s">
        <v>2150</v>
      </c>
      <c r="G397" s="390" t="s">
        <v>1950</v>
      </c>
      <c r="H397" s="220" t="s">
        <v>2186</v>
      </c>
      <c r="I397" s="220" t="s">
        <v>4207</v>
      </c>
      <c r="J397" s="103" t="s">
        <v>2188</v>
      </c>
      <c r="K397" s="110" t="s">
        <v>206</v>
      </c>
      <c r="L397" s="104" t="s">
        <v>147</v>
      </c>
      <c r="M397" s="104" t="s">
        <v>1989</v>
      </c>
      <c r="N397" s="110" t="s">
        <v>1955</v>
      </c>
      <c r="O397" s="110">
        <v>2.0</v>
      </c>
      <c r="P397" s="116">
        <v>292.2388059701493</v>
      </c>
    </row>
    <row r="398" ht="14.25" hidden="1" customHeight="1">
      <c r="A398" s="103" t="s">
        <v>84</v>
      </c>
      <c r="B398" s="103" t="s">
        <v>120</v>
      </c>
      <c r="C398" s="103" t="s">
        <v>1266</v>
      </c>
      <c r="D398" s="103" t="s">
        <v>1948</v>
      </c>
      <c r="E398" s="104" t="s">
        <v>1991</v>
      </c>
      <c r="F398" s="110" t="s">
        <v>2150</v>
      </c>
      <c r="G398" s="390" t="s">
        <v>1957</v>
      </c>
      <c r="H398" s="220" t="s">
        <v>2190</v>
      </c>
      <c r="I398" s="220" t="s">
        <v>4208</v>
      </c>
      <c r="J398" s="103" t="s">
        <v>2192</v>
      </c>
      <c r="K398" s="110" t="s">
        <v>206</v>
      </c>
      <c r="L398" s="104" t="s">
        <v>147</v>
      </c>
      <c r="M398" s="104" t="s">
        <v>1989</v>
      </c>
      <c r="N398" s="110" t="s">
        <v>1955</v>
      </c>
      <c r="O398" s="110">
        <v>2.0</v>
      </c>
      <c r="P398" s="116">
        <v>313.82352941176475</v>
      </c>
    </row>
    <row r="399" ht="14.25" hidden="1" customHeight="1">
      <c r="A399" s="103" t="s">
        <v>84</v>
      </c>
      <c r="B399" s="103" t="s">
        <v>120</v>
      </c>
      <c r="C399" s="103" t="s">
        <v>1266</v>
      </c>
      <c r="D399" s="103" t="s">
        <v>1948</v>
      </c>
      <c r="E399" s="104" t="s">
        <v>1991</v>
      </c>
      <c r="F399" s="110" t="s">
        <v>2150</v>
      </c>
      <c r="G399" s="390" t="s">
        <v>1962</v>
      </c>
      <c r="H399" s="220" t="s">
        <v>2194</v>
      </c>
      <c r="I399" s="220" t="s">
        <v>4209</v>
      </c>
      <c r="J399" s="103" t="s">
        <v>2196</v>
      </c>
      <c r="K399" s="110" t="s">
        <v>206</v>
      </c>
      <c r="L399" s="104" t="s">
        <v>147</v>
      </c>
      <c r="M399" s="104" t="s">
        <v>1989</v>
      </c>
      <c r="N399" s="110" t="s">
        <v>1955</v>
      </c>
      <c r="O399" s="110">
        <v>2.0</v>
      </c>
      <c r="P399" s="116">
        <v>372.0588235294118</v>
      </c>
    </row>
    <row r="400" ht="14.25" hidden="1" customHeight="1">
      <c r="A400" s="103" t="s">
        <v>84</v>
      </c>
      <c r="B400" s="103" t="s">
        <v>120</v>
      </c>
      <c r="C400" s="103" t="s">
        <v>1266</v>
      </c>
      <c r="D400" s="103" t="s">
        <v>1948</v>
      </c>
      <c r="E400" s="104" t="s">
        <v>1991</v>
      </c>
      <c r="F400" s="110" t="s">
        <v>2150</v>
      </c>
      <c r="G400" s="390" t="s">
        <v>1967</v>
      </c>
      <c r="H400" s="220" t="s">
        <v>2198</v>
      </c>
      <c r="I400" s="220" t="s">
        <v>4210</v>
      </c>
      <c r="J400" s="103" t="s">
        <v>2200</v>
      </c>
      <c r="K400" s="110" t="s">
        <v>206</v>
      </c>
      <c r="L400" s="104" t="s">
        <v>147</v>
      </c>
      <c r="M400" s="104" t="s">
        <v>1989</v>
      </c>
      <c r="N400" s="110" t="s">
        <v>1955</v>
      </c>
      <c r="O400" s="110">
        <v>2.0</v>
      </c>
      <c r="P400" s="116">
        <v>550.0000000000001</v>
      </c>
    </row>
    <row r="401" ht="14.25" hidden="1" customHeight="1">
      <c r="A401" s="103" t="s">
        <v>84</v>
      </c>
      <c r="B401" s="103" t="s">
        <v>120</v>
      </c>
      <c r="C401" s="103" t="s">
        <v>1266</v>
      </c>
      <c r="D401" s="103" t="s">
        <v>1948</v>
      </c>
      <c r="E401" s="104" t="s">
        <v>2008</v>
      </c>
      <c r="F401" s="110" t="s">
        <v>2150</v>
      </c>
      <c r="G401" s="390">
        <v>2.0</v>
      </c>
      <c r="H401" s="220" t="s">
        <v>2689</v>
      </c>
      <c r="I401" s="220" t="s">
        <v>778</v>
      </c>
      <c r="J401" s="103" t="s">
        <v>2691</v>
      </c>
      <c r="K401" s="110" t="s">
        <v>206</v>
      </c>
      <c r="L401" s="104" t="s">
        <v>147</v>
      </c>
      <c r="M401" s="104" t="s">
        <v>1989</v>
      </c>
      <c r="N401" s="110" t="s">
        <v>1955</v>
      </c>
      <c r="O401" s="110">
        <v>2.0</v>
      </c>
      <c r="P401" s="116">
        <v>318.1550159525834</v>
      </c>
    </row>
    <row r="402" ht="14.25" hidden="1" customHeight="1">
      <c r="A402" s="103" t="s">
        <v>84</v>
      </c>
      <c r="B402" s="103" t="s">
        <v>120</v>
      </c>
      <c r="C402" s="103" t="s">
        <v>1266</v>
      </c>
      <c r="D402" s="103" t="s">
        <v>1948</v>
      </c>
      <c r="E402" s="104" t="s">
        <v>2008</v>
      </c>
      <c r="F402" s="110" t="s">
        <v>2150</v>
      </c>
      <c r="G402" s="390">
        <v>4.0</v>
      </c>
      <c r="H402" s="220" t="s">
        <v>2693</v>
      </c>
      <c r="I402" s="220" t="s">
        <v>778</v>
      </c>
      <c r="J402" s="103" t="s">
        <v>2695</v>
      </c>
      <c r="K402" s="110" t="s">
        <v>206</v>
      </c>
      <c r="L402" s="104" t="s">
        <v>147</v>
      </c>
      <c r="M402" s="104" t="s">
        <v>1989</v>
      </c>
      <c r="N402" s="110" t="s">
        <v>1955</v>
      </c>
      <c r="O402" s="110">
        <v>2.0</v>
      </c>
      <c r="P402" s="116">
        <v>339.3706010589664</v>
      </c>
    </row>
    <row r="403" ht="14.25" hidden="1" customHeight="1">
      <c r="A403" s="103" t="s">
        <v>84</v>
      </c>
      <c r="B403" s="103" t="s">
        <v>120</v>
      </c>
      <c r="C403" s="103" t="s">
        <v>1266</v>
      </c>
      <c r="D403" s="103" t="s">
        <v>1948</v>
      </c>
      <c r="E403" s="104" t="s">
        <v>2008</v>
      </c>
      <c r="F403" s="110" t="s">
        <v>2150</v>
      </c>
      <c r="G403" s="390" t="s">
        <v>1950</v>
      </c>
      <c r="H403" s="220" t="s">
        <v>2202</v>
      </c>
      <c r="I403" s="220" t="s">
        <v>4211</v>
      </c>
      <c r="J403" s="103" t="s">
        <v>2204</v>
      </c>
      <c r="K403" s="110" t="s">
        <v>206</v>
      </c>
      <c r="L403" s="104" t="s">
        <v>147</v>
      </c>
      <c r="M403" s="104" t="s">
        <v>1989</v>
      </c>
      <c r="N403" s="110" t="s">
        <v>1955</v>
      </c>
      <c r="O403" s="110">
        <v>2.0</v>
      </c>
      <c r="P403" s="116">
        <v>360.5861861653494</v>
      </c>
    </row>
    <row r="404" ht="14.25" hidden="1" customHeight="1">
      <c r="A404" s="103" t="s">
        <v>84</v>
      </c>
      <c r="B404" s="103" t="s">
        <v>120</v>
      </c>
      <c r="C404" s="103" t="s">
        <v>1266</v>
      </c>
      <c r="D404" s="103" t="s">
        <v>1948</v>
      </c>
      <c r="E404" s="104" t="s">
        <v>2008</v>
      </c>
      <c r="F404" s="110" t="s">
        <v>2150</v>
      </c>
      <c r="G404" s="390" t="s">
        <v>1957</v>
      </c>
      <c r="H404" s="220" t="s">
        <v>2206</v>
      </c>
      <c r="I404" s="220" t="s">
        <v>4212</v>
      </c>
      <c r="J404" s="103" t="s">
        <v>2208</v>
      </c>
      <c r="K404" s="110" t="s">
        <v>206</v>
      </c>
      <c r="L404" s="104" t="s">
        <v>147</v>
      </c>
      <c r="M404" s="104" t="s">
        <v>1989</v>
      </c>
      <c r="N404" s="110" t="s">
        <v>1955</v>
      </c>
      <c r="O404" s="110">
        <v>2.0</v>
      </c>
      <c r="P404" s="116">
        <v>381.8017712717323</v>
      </c>
    </row>
    <row r="405" ht="14.25" hidden="1" customHeight="1">
      <c r="A405" s="103" t="s">
        <v>84</v>
      </c>
      <c r="B405" s="103" t="s">
        <v>120</v>
      </c>
      <c r="C405" s="103" t="s">
        <v>1266</v>
      </c>
      <c r="D405" s="103" t="s">
        <v>1948</v>
      </c>
      <c r="E405" s="104" t="s">
        <v>2008</v>
      </c>
      <c r="F405" s="110" t="s">
        <v>2150</v>
      </c>
      <c r="G405" s="390">
        <v>10.0</v>
      </c>
      <c r="H405" s="220" t="s">
        <v>2699</v>
      </c>
      <c r="I405" s="220" t="s">
        <v>778</v>
      </c>
      <c r="J405" s="103" t="s">
        <v>2701</v>
      </c>
      <c r="K405" s="110" t="s">
        <v>206</v>
      </c>
      <c r="L405" s="104" t="s">
        <v>147</v>
      </c>
      <c r="M405" s="104" t="s">
        <v>1989</v>
      </c>
      <c r="N405" s="110" t="s">
        <v>1955</v>
      </c>
      <c r="O405" s="110">
        <v>2.0</v>
      </c>
      <c r="P405" s="116">
        <v>403.0173563781153</v>
      </c>
    </row>
    <row r="406" ht="14.25" hidden="1" customHeight="1">
      <c r="A406" s="103" t="s">
        <v>84</v>
      </c>
      <c r="B406" s="103" t="s">
        <v>120</v>
      </c>
      <c r="C406" s="103" t="s">
        <v>1266</v>
      </c>
      <c r="D406" s="103" t="s">
        <v>1948</v>
      </c>
      <c r="E406" s="104" t="s">
        <v>2008</v>
      </c>
      <c r="F406" s="110" t="s">
        <v>2150</v>
      </c>
      <c r="G406" s="390" t="s">
        <v>1962</v>
      </c>
      <c r="H406" s="220" t="s">
        <v>2703</v>
      </c>
      <c r="I406" s="220" t="s">
        <v>778</v>
      </c>
      <c r="J406" s="103" t="s">
        <v>2212</v>
      </c>
      <c r="K406" s="110" t="s">
        <v>206</v>
      </c>
      <c r="L406" s="104" t="s">
        <v>147</v>
      </c>
      <c r="M406" s="104" t="s">
        <v>1989</v>
      </c>
      <c r="N406" s="110" t="s">
        <v>1955</v>
      </c>
      <c r="O406" s="110">
        <v>2.0</v>
      </c>
      <c r="P406" s="116">
        <v>424.2329414844984</v>
      </c>
    </row>
    <row r="407" ht="14.25" hidden="1" customHeight="1">
      <c r="A407" s="103" t="s">
        <v>84</v>
      </c>
      <c r="B407" s="103" t="s">
        <v>120</v>
      </c>
      <c r="C407" s="103" t="s">
        <v>1266</v>
      </c>
      <c r="D407" s="103" t="s">
        <v>1948</v>
      </c>
      <c r="E407" s="104" t="s">
        <v>2008</v>
      </c>
      <c r="F407" s="110" t="s">
        <v>2150</v>
      </c>
      <c r="G407" s="390">
        <v>16.0</v>
      </c>
      <c r="H407" s="220" t="s">
        <v>2705</v>
      </c>
      <c r="I407" s="220" t="s">
        <v>778</v>
      </c>
      <c r="J407" s="103" t="s">
        <v>2707</v>
      </c>
      <c r="K407" s="110" t="s">
        <v>206</v>
      </c>
      <c r="L407" s="104" t="s">
        <v>147</v>
      </c>
      <c r="M407" s="104" t="s">
        <v>1989</v>
      </c>
      <c r="N407" s="110" t="s">
        <v>1955</v>
      </c>
      <c r="O407" s="110">
        <v>2.0</v>
      </c>
      <c r="P407" s="116">
        <v>478.47059586707985</v>
      </c>
    </row>
    <row r="408" ht="14.25" hidden="1" customHeight="1">
      <c r="A408" s="103" t="s">
        <v>84</v>
      </c>
      <c r="B408" s="103" t="s">
        <v>120</v>
      </c>
      <c r="C408" s="103" t="s">
        <v>1266</v>
      </c>
      <c r="D408" s="103" t="s">
        <v>1948</v>
      </c>
      <c r="E408" s="104" t="s">
        <v>2008</v>
      </c>
      <c r="F408" s="110" t="s">
        <v>2150</v>
      </c>
      <c r="G408" s="390">
        <v>20.0</v>
      </c>
      <c r="H408" s="220" t="s">
        <v>2709</v>
      </c>
      <c r="I408" s="220" t="s">
        <v>778</v>
      </c>
      <c r="J408" s="103" t="s">
        <v>2711</v>
      </c>
      <c r="K408" s="110" t="s">
        <v>206</v>
      </c>
      <c r="L408" s="104" t="s">
        <v>147</v>
      </c>
      <c r="M408" s="104" t="s">
        <v>1989</v>
      </c>
      <c r="N408" s="110" t="s">
        <v>1955</v>
      </c>
      <c r="O408" s="110">
        <v>2.0</v>
      </c>
      <c r="P408" s="116">
        <v>533.099012399217</v>
      </c>
    </row>
    <row r="409" ht="14.25" hidden="1" customHeight="1">
      <c r="A409" s="103" t="s">
        <v>84</v>
      </c>
      <c r="B409" s="103" t="s">
        <v>120</v>
      </c>
      <c r="C409" s="103" t="s">
        <v>1266</v>
      </c>
      <c r="D409" s="103" t="s">
        <v>1948</v>
      </c>
      <c r="E409" s="104" t="s">
        <v>2008</v>
      </c>
      <c r="F409" s="110" t="s">
        <v>2150</v>
      </c>
      <c r="G409" s="390" t="s">
        <v>1967</v>
      </c>
      <c r="H409" s="220" t="s">
        <v>2713</v>
      </c>
      <c r="I409" s="220" t="s">
        <v>778</v>
      </c>
      <c r="J409" s="103" t="s">
        <v>2216</v>
      </c>
      <c r="K409" s="110" t="s">
        <v>206</v>
      </c>
      <c r="L409" s="104" t="s">
        <v>147</v>
      </c>
      <c r="M409" s="104" t="s">
        <v>1989</v>
      </c>
      <c r="N409" s="110" t="s">
        <v>1955</v>
      </c>
      <c r="O409" s="110">
        <v>2.0</v>
      </c>
      <c r="P409" s="116">
        <v>575.5301826119829</v>
      </c>
    </row>
    <row r="410" ht="14.25" hidden="1" customHeight="1">
      <c r="A410" s="103" t="s">
        <v>84</v>
      </c>
      <c r="B410" s="103" t="s">
        <v>120</v>
      </c>
      <c r="C410" s="103" t="s">
        <v>1266</v>
      </c>
      <c r="D410" s="103" t="s">
        <v>1948</v>
      </c>
      <c r="E410" s="104" t="s">
        <v>2008</v>
      </c>
      <c r="F410" s="110" t="s">
        <v>2150</v>
      </c>
      <c r="G410" s="390" t="s">
        <v>1967</v>
      </c>
      <c r="H410" s="220" t="s">
        <v>2715</v>
      </c>
      <c r="I410" s="220" t="s">
        <v>778</v>
      </c>
      <c r="J410" s="103" t="s">
        <v>2717</v>
      </c>
      <c r="K410" s="110" t="s">
        <v>206</v>
      </c>
      <c r="L410" s="104" t="s">
        <v>147</v>
      </c>
      <c r="M410" s="104" t="s">
        <v>1989</v>
      </c>
      <c r="N410" s="110" t="s">
        <v>1955</v>
      </c>
      <c r="O410" s="110">
        <v>2.0</v>
      </c>
      <c r="P410" s="116">
        <v>575.5301826119829</v>
      </c>
    </row>
    <row r="411" ht="14.25" hidden="1" customHeight="1">
      <c r="A411" s="103" t="s">
        <v>84</v>
      </c>
      <c r="B411" s="103" t="s">
        <v>120</v>
      </c>
      <c r="C411" s="103" t="s">
        <v>1266</v>
      </c>
      <c r="D411" s="103" t="s">
        <v>1948</v>
      </c>
      <c r="E411" s="104" t="s">
        <v>2008</v>
      </c>
      <c r="F411" s="110" t="s">
        <v>2150</v>
      </c>
      <c r="G411" s="390" t="s">
        <v>1967</v>
      </c>
      <c r="H411" s="220" t="s">
        <v>2719</v>
      </c>
      <c r="I411" s="220" t="s">
        <v>778</v>
      </c>
      <c r="J411" s="103" t="s">
        <v>2721</v>
      </c>
      <c r="K411" s="110" t="s">
        <v>206</v>
      </c>
      <c r="L411" s="104" t="s">
        <v>147</v>
      </c>
      <c r="M411" s="104" t="s">
        <v>1989</v>
      </c>
      <c r="N411" s="110" t="s">
        <v>1955</v>
      </c>
      <c r="O411" s="110">
        <v>2.0</v>
      </c>
      <c r="P411" s="116">
        <v>595.8333333333335</v>
      </c>
    </row>
    <row r="412" ht="14.25" hidden="1" customHeight="1">
      <c r="A412" s="103" t="s">
        <v>84</v>
      </c>
      <c r="B412" s="103" t="s">
        <v>120</v>
      </c>
      <c r="C412" s="103" t="s">
        <v>1266</v>
      </c>
      <c r="D412" s="103" t="s">
        <v>1948</v>
      </c>
      <c r="E412" s="104" t="s">
        <v>2008</v>
      </c>
      <c r="F412" s="110" t="s">
        <v>2150</v>
      </c>
      <c r="G412" s="390" t="s">
        <v>1962</v>
      </c>
      <c r="H412" s="220" t="s">
        <v>2723</v>
      </c>
      <c r="I412" s="220" t="s">
        <v>778</v>
      </c>
      <c r="J412" s="103" t="s">
        <v>2725</v>
      </c>
      <c r="K412" s="110" t="s">
        <v>201</v>
      </c>
      <c r="L412" s="104" t="s">
        <v>147</v>
      </c>
      <c r="M412" s="104" t="s">
        <v>1989</v>
      </c>
      <c r="N412" s="110" t="s">
        <v>1955</v>
      </c>
      <c r="O412" s="110">
        <v>2.0</v>
      </c>
      <c r="P412" s="116">
        <v>580.5555555555557</v>
      </c>
    </row>
    <row r="413" ht="14.25" hidden="1" customHeight="1">
      <c r="A413" s="103" t="s">
        <v>84</v>
      </c>
      <c r="B413" s="103" t="s">
        <v>120</v>
      </c>
      <c r="C413" s="103" t="s">
        <v>1266</v>
      </c>
      <c r="D413" s="103" t="s">
        <v>1948</v>
      </c>
      <c r="E413" s="104" t="s">
        <v>2008</v>
      </c>
      <c r="F413" s="110" t="s">
        <v>2150</v>
      </c>
      <c r="G413" s="390" t="s">
        <v>1967</v>
      </c>
      <c r="H413" s="220" t="s">
        <v>2727</v>
      </c>
      <c r="I413" s="220" t="s">
        <v>778</v>
      </c>
      <c r="J413" s="103" t="s">
        <v>2729</v>
      </c>
      <c r="K413" s="110" t="s">
        <v>201</v>
      </c>
      <c r="L413" s="104" t="s">
        <v>147</v>
      </c>
      <c r="M413" s="104" t="s">
        <v>1989</v>
      </c>
      <c r="N413" s="110" t="s">
        <v>1955</v>
      </c>
      <c r="O413" s="110">
        <v>2.0</v>
      </c>
      <c r="P413" s="116">
        <v>847.9166666666667</v>
      </c>
    </row>
    <row r="414" ht="14.25" hidden="1" customHeight="1">
      <c r="A414" s="103" t="s">
        <v>84</v>
      </c>
      <c r="B414" s="103" t="s">
        <v>120</v>
      </c>
      <c r="C414" s="103" t="s">
        <v>1266</v>
      </c>
      <c r="D414" s="103" t="s">
        <v>1948</v>
      </c>
      <c r="E414" s="104" t="s">
        <v>2008</v>
      </c>
      <c r="F414" s="110" t="s">
        <v>2150</v>
      </c>
      <c r="G414" s="390" t="s">
        <v>2303</v>
      </c>
      <c r="H414" s="220" t="s">
        <v>2731</v>
      </c>
      <c r="I414" s="220" t="s">
        <v>778</v>
      </c>
      <c r="J414" s="103" t="s">
        <v>2733</v>
      </c>
      <c r="K414" s="110" t="s">
        <v>201</v>
      </c>
      <c r="L414" s="104" t="s">
        <v>147</v>
      </c>
      <c r="M414" s="104" t="s">
        <v>1989</v>
      </c>
      <c r="N414" s="110" t="s">
        <v>1955</v>
      </c>
      <c r="O414" s="110">
        <v>2.0</v>
      </c>
      <c r="P414" s="116">
        <v>504.16666666666674</v>
      </c>
    </row>
    <row r="415" ht="14.25" hidden="1" customHeight="1">
      <c r="A415" s="103" t="s">
        <v>84</v>
      </c>
      <c r="B415" s="103" t="s">
        <v>120</v>
      </c>
      <c r="C415" s="103" t="s">
        <v>1266</v>
      </c>
      <c r="D415" s="103" t="s">
        <v>1948</v>
      </c>
      <c r="E415" s="104" t="s">
        <v>2008</v>
      </c>
      <c r="F415" s="110" t="s">
        <v>2150</v>
      </c>
      <c r="G415" s="390" t="s">
        <v>1950</v>
      </c>
      <c r="H415" s="220" t="s">
        <v>2735</v>
      </c>
      <c r="I415" s="220" t="s">
        <v>778</v>
      </c>
      <c r="J415" s="103" t="s">
        <v>2737</v>
      </c>
      <c r="K415" s="110" t="s">
        <v>201</v>
      </c>
      <c r="L415" s="104" t="s">
        <v>147</v>
      </c>
      <c r="M415" s="104" t="s">
        <v>1989</v>
      </c>
      <c r="N415" s="110" t="s">
        <v>1955</v>
      </c>
      <c r="O415" s="110">
        <v>2.0</v>
      </c>
      <c r="P415" s="116">
        <v>542.3611111111112</v>
      </c>
    </row>
    <row r="416" ht="14.25" hidden="1" customHeight="1">
      <c r="A416" s="103" t="s">
        <v>84</v>
      </c>
      <c r="B416" s="103" t="s">
        <v>120</v>
      </c>
      <c r="C416" s="103" t="s">
        <v>1266</v>
      </c>
      <c r="D416" s="103" t="s">
        <v>1948</v>
      </c>
      <c r="E416" s="104" t="s">
        <v>2008</v>
      </c>
      <c r="F416" s="110" t="s">
        <v>2150</v>
      </c>
      <c r="G416" s="390" t="s">
        <v>1957</v>
      </c>
      <c r="H416" s="220" t="s">
        <v>2739</v>
      </c>
      <c r="I416" s="220" t="s">
        <v>778</v>
      </c>
      <c r="J416" s="103" t="s">
        <v>2741</v>
      </c>
      <c r="K416" s="110" t="s">
        <v>201</v>
      </c>
      <c r="L416" s="104" t="s">
        <v>147</v>
      </c>
      <c r="M416" s="104" t="s">
        <v>1989</v>
      </c>
      <c r="N416" s="110" t="s">
        <v>1955</v>
      </c>
      <c r="O416" s="110">
        <v>2.0</v>
      </c>
      <c r="P416" s="116">
        <v>557.638888888889</v>
      </c>
    </row>
    <row r="417" ht="14.25" hidden="1" customHeight="1">
      <c r="A417" s="103" t="s">
        <v>84</v>
      </c>
      <c r="B417" s="103" t="s">
        <v>120</v>
      </c>
      <c r="C417" s="103" t="s">
        <v>1266</v>
      </c>
      <c r="D417" s="103" t="s">
        <v>1948</v>
      </c>
      <c r="E417" s="104" t="s">
        <v>2008</v>
      </c>
      <c r="F417" s="110" t="s">
        <v>2150</v>
      </c>
      <c r="G417" s="390" t="s">
        <v>1962</v>
      </c>
      <c r="H417" s="220" t="s">
        <v>2743</v>
      </c>
      <c r="I417" s="220" t="s">
        <v>778</v>
      </c>
      <c r="J417" s="103" t="s">
        <v>2745</v>
      </c>
      <c r="K417" s="110" t="s">
        <v>201</v>
      </c>
      <c r="L417" s="104" t="s">
        <v>147</v>
      </c>
      <c r="M417" s="104" t="s">
        <v>1989</v>
      </c>
      <c r="N417" s="110" t="s">
        <v>1955</v>
      </c>
      <c r="O417" s="110">
        <v>2.0</v>
      </c>
      <c r="P417" s="116">
        <v>618.7500000000001</v>
      </c>
    </row>
    <row r="418" ht="14.25" hidden="1" customHeight="1">
      <c r="A418" s="103" t="s">
        <v>84</v>
      </c>
      <c r="B418" s="103" t="s">
        <v>120</v>
      </c>
      <c r="C418" s="103" t="s">
        <v>1266</v>
      </c>
      <c r="D418" s="103" t="s">
        <v>1948</v>
      </c>
      <c r="E418" s="104" t="s">
        <v>2008</v>
      </c>
      <c r="F418" s="110" t="s">
        <v>2150</v>
      </c>
      <c r="G418" s="390" t="s">
        <v>1967</v>
      </c>
      <c r="H418" s="220" t="s">
        <v>2747</v>
      </c>
      <c r="I418" s="220" t="s">
        <v>778</v>
      </c>
      <c r="J418" s="103" t="s">
        <v>2749</v>
      </c>
      <c r="K418" s="110" t="s">
        <v>201</v>
      </c>
      <c r="L418" s="104" t="s">
        <v>147</v>
      </c>
      <c r="M418" s="104" t="s">
        <v>1989</v>
      </c>
      <c r="N418" s="110" t="s">
        <v>1955</v>
      </c>
      <c r="O418" s="110">
        <v>2.0</v>
      </c>
      <c r="P418" s="116">
        <v>883.0555555555557</v>
      </c>
    </row>
    <row r="419" ht="14.25" hidden="1" customHeight="1">
      <c r="A419" s="103" t="s">
        <v>84</v>
      </c>
      <c r="B419" s="103" t="s">
        <v>120</v>
      </c>
      <c r="C419" s="103" t="s">
        <v>1266</v>
      </c>
      <c r="D419" s="103" t="s">
        <v>1948</v>
      </c>
      <c r="E419" s="104" t="s">
        <v>2025</v>
      </c>
      <c r="F419" s="110" t="s">
        <v>2150</v>
      </c>
      <c r="G419" s="390" t="s">
        <v>1962</v>
      </c>
      <c r="H419" s="220" t="s">
        <v>2773</v>
      </c>
      <c r="I419" s="220" t="s">
        <v>778</v>
      </c>
      <c r="J419" s="103" t="s">
        <v>2775</v>
      </c>
      <c r="K419" s="110" t="s">
        <v>162</v>
      </c>
      <c r="L419" s="104" t="s">
        <v>147</v>
      </c>
      <c r="M419" s="104" t="s">
        <v>1989</v>
      </c>
      <c r="N419" s="110" t="s">
        <v>1955</v>
      </c>
      <c r="O419" s="110">
        <v>2.0</v>
      </c>
      <c r="P419" s="159">
        <v>914.189189189189</v>
      </c>
    </row>
    <row r="420" ht="14.25" hidden="1" customHeight="1">
      <c r="A420" s="103" t="s">
        <v>84</v>
      </c>
      <c r="B420" s="103" t="s">
        <v>120</v>
      </c>
      <c r="C420" s="103" t="s">
        <v>1266</v>
      </c>
      <c r="D420" s="103" t="s">
        <v>1948</v>
      </c>
      <c r="E420" s="104" t="s">
        <v>2025</v>
      </c>
      <c r="F420" s="110" t="s">
        <v>2150</v>
      </c>
      <c r="G420" s="390" t="s">
        <v>1967</v>
      </c>
      <c r="H420" s="220" t="s">
        <v>2777</v>
      </c>
      <c r="I420" s="220" t="s">
        <v>778</v>
      </c>
      <c r="J420" s="103" t="s">
        <v>2779</v>
      </c>
      <c r="K420" s="110" t="s">
        <v>162</v>
      </c>
      <c r="L420" s="104" t="s">
        <v>147</v>
      </c>
      <c r="M420" s="104" t="s">
        <v>1989</v>
      </c>
      <c r="N420" s="110" t="s">
        <v>1955</v>
      </c>
      <c r="O420" s="110">
        <v>2.0</v>
      </c>
      <c r="P420" s="159">
        <v>1077.7027027027</v>
      </c>
    </row>
    <row r="421" ht="14.25" hidden="1" customHeight="1">
      <c r="A421" s="103" t="s">
        <v>84</v>
      </c>
      <c r="B421" s="103" t="s">
        <v>120</v>
      </c>
      <c r="C421" s="103" t="s">
        <v>1266</v>
      </c>
      <c r="D421" s="103" t="s">
        <v>1948</v>
      </c>
      <c r="E421" s="104" t="s">
        <v>2025</v>
      </c>
      <c r="F421" s="110" t="s">
        <v>2150</v>
      </c>
      <c r="G421" s="390" t="s">
        <v>2026</v>
      </c>
      <c r="H421" s="220" t="s">
        <v>2781</v>
      </c>
      <c r="I421" s="220" t="s">
        <v>2782</v>
      </c>
      <c r="J421" s="103" t="s">
        <v>2784</v>
      </c>
      <c r="K421" s="110" t="s">
        <v>162</v>
      </c>
      <c r="L421" s="104" t="s">
        <v>147</v>
      </c>
      <c r="M421" s="104" t="s">
        <v>1989</v>
      </c>
      <c r="N421" s="110" t="s">
        <v>1955</v>
      </c>
      <c r="O421" s="110">
        <v>2.0</v>
      </c>
      <c r="P421" s="116">
        <v>1389.8648648648648</v>
      </c>
    </row>
    <row r="422" ht="14.25" hidden="1" customHeight="1">
      <c r="A422" s="103" t="s">
        <v>84</v>
      </c>
      <c r="B422" s="103" t="s">
        <v>120</v>
      </c>
      <c r="C422" s="103" t="s">
        <v>1266</v>
      </c>
      <c r="D422" s="103" t="s">
        <v>1948</v>
      </c>
      <c r="E422" s="104" t="s">
        <v>2025</v>
      </c>
      <c r="F422" s="110" t="s">
        <v>2150</v>
      </c>
      <c r="G422" s="390" t="s">
        <v>2333</v>
      </c>
      <c r="H422" s="220" t="s">
        <v>2786</v>
      </c>
      <c r="I422" s="220" t="s">
        <v>778</v>
      </c>
      <c r="J422" s="103" t="s">
        <v>2788</v>
      </c>
      <c r="K422" s="110" t="s">
        <v>162</v>
      </c>
      <c r="L422" s="104" t="s">
        <v>147</v>
      </c>
      <c r="M422" s="104" t="s">
        <v>1989</v>
      </c>
      <c r="N422" s="110" t="s">
        <v>1955</v>
      </c>
      <c r="O422" s="110">
        <v>2.0</v>
      </c>
      <c r="P422" s="159">
        <v>1672.2972972972973</v>
      </c>
    </row>
    <row r="423" ht="14.25" hidden="1" customHeight="1">
      <c r="A423" s="103" t="s">
        <v>84</v>
      </c>
      <c r="B423" s="103" t="s">
        <v>120</v>
      </c>
      <c r="C423" s="103" t="s">
        <v>1266</v>
      </c>
      <c r="D423" s="103" t="s">
        <v>1948</v>
      </c>
      <c r="E423" s="104" t="s">
        <v>2025</v>
      </c>
      <c r="F423" s="110" t="s">
        <v>2150</v>
      </c>
      <c r="G423" s="390" t="s">
        <v>2031</v>
      </c>
      <c r="H423" s="220" t="s">
        <v>2790</v>
      </c>
      <c r="I423" s="220" t="s">
        <v>778</v>
      </c>
      <c r="J423" s="103" t="s">
        <v>2792</v>
      </c>
      <c r="K423" s="110" t="s">
        <v>162</v>
      </c>
      <c r="L423" s="104" t="s">
        <v>147</v>
      </c>
      <c r="M423" s="104" t="s">
        <v>1989</v>
      </c>
      <c r="N423" s="110" t="s">
        <v>1955</v>
      </c>
      <c r="O423" s="110">
        <v>2.0</v>
      </c>
      <c r="P423" s="159">
        <v>2200.0000000000005</v>
      </c>
    </row>
    <row r="424" ht="14.25" hidden="1" customHeight="1">
      <c r="A424" s="103" t="s">
        <v>84</v>
      </c>
      <c r="B424" s="103" t="s">
        <v>120</v>
      </c>
      <c r="C424" s="103" t="s">
        <v>1266</v>
      </c>
      <c r="D424" s="103" t="s">
        <v>1948</v>
      </c>
      <c r="E424" s="104" t="s">
        <v>2025</v>
      </c>
      <c r="F424" s="110" t="s">
        <v>2150</v>
      </c>
      <c r="G424" s="390" t="s">
        <v>2339</v>
      </c>
      <c r="H424" s="220" t="s">
        <v>2794</v>
      </c>
      <c r="I424" s="220" t="s">
        <v>778</v>
      </c>
      <c r="J424" s="103" t="s">
        <v>2796</v>
      </c>
      <c r="K424" s="110" t="s">
        <v>162</v>
      </c>
      <c r="L424" s="104" t="s">
        <v>147</v>
      </c>
      <c r="M424" s="104" t="s">
        <v>1989</v>
      </c>
      <c r="N424" s="110" t="s">
        <v>1955</v>
      </c>
      <c r="O424" s="110">
        <v>2.0</v>
      </c>
      <c r="P424" s="159">
        <v>2891.2162162162163</v>
      </c>
    </row>
    <row r="425" ht="14.25" hidden="1" customHeight="1">
      <c r="A425" s="103" t="s">
        <v>84</v>
      </c>
      <c r="B425" s="103" t="s">
        <v>120</v>
      </c>
      <c r="C425" s="103" t="s">
        <v>1266</v>
      </c>
      <c r="D425" s="103" t="s">
        <v>1948</v>
      </c>
      <c r="E425" s="104" t="s">
        <v>2025</v>
      </c>
      <c r="F425" s="110" t="s">
        <v>2150</v>
      </c>
      <c r="G425" s="390" t="s">
        <v>2344</v>
      </c>
      <c r="H425" s="220" t="s">
        <v>2798</v>
      </c>
      <c r="I425" s="220" t="s">
        <v>778</v>
      </c>
      <c r="J425" s="103" t="s">
        <v>2800</v>
      </c>
      <c r="K425" s="110" t="s">
        <v>162</v>
      </c>
      <c r="L425" s="104" t="s">
        <v>147</v>
      </c>
      <c r="M425" s="104" t="s">
        <v>1989</v>
      </c>
      <c r="N425" s="110" t="s">
        <v>1955</v>
      </c>
      <c r="O425" s="110">
        <v>2.0</v>
      </c>
      <c r="P425" s="159">
        <v>5217.567567567568</v>
      </c>
    </row>
    <row r="426" ht="14.25" hidden="1" customHeight="1">
      <c r="A426" s="103" t="s">
        <v>84</v>
      </c>
      <c r="B426" s="103" t="s">
        <v>120</v>
      </c>
      <c r="C426" s="103" t="s">
        <v>1266</v>
      </c>
      <c r="D426" s="103" t="s">
        <v>1948</v>
      </c>
      <c r="E426" s="104" t="s">
        <v>2036</v>
      </c>
      <c r="F426" s="110" t="s">
        <v>2150</v>
      </c>
      <c r="G426" s="390" t="s">
        <v>2031</v>
      </c>
      <c r="H426" s="220" t="s">
        <v>2230</v>
      </c>
      <c r="I426" s="220" t="s">
        <v>4215</v>
      </c>
      <c r="J426" s="103" t="s">
        <v>2232</v>
      </c>
      <c r="K426" s="110" t="s">
        <v>206</v>
      </c>
      <c r="L426" s="104" t="s">
        <v>147</v>
      </c>
      <c r="M426" s="104" t="s">
        <v>1989</v>
      </c>
      <c r="N426" s="110" t="s">
        <v>1955</v>
      </c>
      <c r="O426" s="110">
        <v>2.0</v>
      </c>
      <c r="P426" s="116">
        <v>1768.918918918919</v>
      </c>
    </row>
    <row r="427" ht="14.25" hidden="1" customHeight="1">
      <c r="A427" s="103" t="s">
        <v>84</v>
      </c>
      <c r="B427" s="103" t="s">
        <v>120</v>
      </c>
      <c r="C427" s="103" t="s">
        <v>1266</v>
      </c>
      <c r="D427" s="103" t="s">
        <v>1948</v>
      </c>
      <c r="E427" s="104" t="s">
        <v>2036</v>
      </c>
      <c r="F427" s="110" t="s">
        <v>2150</v>
      </c>
      <c r="G427" s="390" t="s">
        <v>2026</v>
      </c>
      <c r="H427" s="220" t="s">
        <v>2226</v>
      </c>
      <c r="I427" s="220" t="s">
        <v>4216</v>
      </c>
      <c r="J427" s="103" t="s">
        <v>2228</v>
      </c>
      <c r="K427" s="110" t="s">
        <v>206</v>
      </c>
      <c r="L427" s="104" t="s">
        <v>147</v>
      </c>
      <c r="M427" s="104" t="s">
        <v>1989</v>
      </c>
      <c r="N427" s="110" t="s">
        <v>1955</v>
      </c>
      <c r="O427" s="110">
        <v>2.0</v>
      </c>
      <c r="P427" s="116">
        <v>1070.2702702702704</v>
      </c>
    </row>
    <row r="428" ht="14.25" hidden="1" customHeight="1">
      <c r="A428" s="103" t="s">
        <v>84</v>
      </c>
      <c r="B428" s="103" t="s">
        <v>120</v>
      </c>
      <c r="C428" s="103" t="s">
        <v>1266</v>
      </c>
      <c r="D428" s="103" t="s">
        <v>1948</v>
      </c>
      <c r="E428" s="104" t="s">
        <v>2036</v>
      </c>
      <c r="F428" s="110" t="s">
        <v>2150</v>
      </c>
      <c r="G428" s="390" t="s">
        <v>1967</v>
      </c>
      <c r="H428" s="220" t="s">
        <v>2804</v>
      </c>
      <c r="I428" s="220" t="s">
        <v>778</v>
      </c>
      <c r="J428" s="103" t="s">
        <v>2806</v>
      </c>
      <c r="K428" s="110" t="s">
        <v>206</v>
      </c>
      <c r="L428" s="104" t="s">
        <v>147</v>
      </c>
      <c r="M428" s="104" t="s">
        <v>1989</v>
      </c>
      <c r="N428" s="110" t="s">
        <v>1955</v>
      </c>
      <c r="O428" s="110">
        <v>2.0</v>
      </c>
      <c r="P428" s="116">
        <v>772.972972972973</v>
      </c>
    </row>
    <row r="429" ht="14.25" hidden="1" customHeight="1">
      <c r="A429" s="103" t="s">
        <v>84</v>
      </c>
      <c r="B429" s="103" t="s">
        <v>120</v>
      </c>
      <c r="C429" s="103" t="s">
        <v>1266</v>
      </c>
      <c r="D429" s="103" t="s">
        <v>1948</v>
      </c>
      <c r="E429" s="104" t="s">
        <v>2045</v>
      </c>
      <c r="F429" s="110" t="s">
        <v>2150</v>
      </c>
      <c r="G429" s="390" t="s">
        <v>2026</v>
      </c>
      <c r="H429" s="220" t="s">
        <v>2234</v>
      </c>
      <c r="I429" s="220" t="s">
        <v>4217</v>
      </c>
      <c r="J429" s="103" t="s">
        <v>2236</v>
      </c>
      <c r="K429" s="110" t="s">
        <v>206</v>
      </c>
      <c r="L429" s="104" t="s">
        <v>147</v>
      </c>
      <c r="M429" s="104" t="s">
        <v>1989</v>
      </c>
      <c r="N429" s="110" t="s">
        <v>1955</v>
      </c>
      <c r="O429" s="110">
        <v>2.0</v>
      </c>
      <c r="P429" s="116">
        <v>1293.2432432432433</v>
      </c>
    </row>
    <row r="430" ht="14.25" hidden="1" customHeight="1">
      <c r="A430" s="103" t="s">
        <v>84</v>
      </c>
      <c r="B430" s="103" t="s">
        <v>120</v>
      </c>
      <c r="C430" s="103" t="s">
        <v>1266</v>
      </c>
      <c r="D430" s="103" t="s">
        <v>1948</v>
      </c>
      <c r="E430" s="104" t="s">
        <v>2045</v>
      </c>
      <c r="F430" s="110" t="s">
        <v>2150</v>
      </c>
      <c r="G430" s="390" t="s">
        <v>2031</v>
      </c>
      <c r="H430" s="220" t="s">
        <v>2238</v>
      </c>
      <c r="I430" s="220" t="s">
        <v>4218</v>
      </c>
      <c r="J430" s="103" t="s">
        <v>2240</v>
      </c>
      <c r="K430" s="110" t="s">
        <v>206</v>
      </c>
      <c r="L430" s="104" t="s">
        <v>147</v>
      </c>
      <c r="M430" s="104" t="s">
        <v>1989</v>
      </c>
      <c r="N430" s="110" t="s">
        <v>1955</v>
      </c>
      <c r="O430" s="110">
        <v>2.0</v>
      </c>
      <c r="P430" s="116">
        <v>2021.621621621622</v>
      </c>
    </row>
    <row r="431" ht="14.25" hidden="1" customHeight="1">
      <c r="A431" s="103" t="s">
        <v>84</v>
      </c>
      <c r="B431" s="103" t="s">
        <v>120</v>
      </c>
      <c r="C431" s="103" t="s">
        <v>1266</v>
      </c>
      <c r="D431" s="103" t="s">
        <v>1948</v>
      </c>
      <c r="E431" s="104" t="s">
        <v>2545</v>
      </c>
      <c r="F431" s="110" t="s">
        <v>2150</v>
      </c>
      <c r="G431" s="390" t="s">
        <v>2026</v>
      </c>
      <c r="H431" s="220" t="s">
        <v>2810</v>
      </c>
      <c r="I431" s="220" t="s">
        <v>778</v>
      </c>
      <c r="J431" s="103" t="s">
        <v>2812</v>
      </c>
      <c r="K431" s="110" t="s">
        <v>94</v>
      </c>
      <c r="L431" s="104" t="s">
        <v>147</v>
      </c>
      <c r="M431" s="104" t="s">
        <v>1989</v>
      </c>
      <c r="N431" s="110" t="s">
        <v>1955</v>
      </c>
      <c r="O431" s="110">
        <v>2.0</v>
      </c>
      <c r="P431" s="116">
        <v>1025.6756756756758</v>
      </c>
    </row>
    <row r="432" ht="14.25" hidden="1" customHeight="1">
      <c r="A432" s="103" t="s">
        <v>84</v>
      </c>
      <c r="B432" s="103" t="s">
        <v>120</v>
      </c>
      <c r="C432" s="103" t="s">
        <v>1266</v>
      </c>
      <c r="D432" s="103" t="s">
        <v>1948</v>
      </c>
      <c r="E432" s="104" t="s">
        <v>2545</v>
      </c>
      <c r="F432" s="110" t="s">
        <v>2150</v>
      </c>
      <c r="G432" s="390" t="s">
        <v>1962</v>
      </c>
      <c r="H432" s="220" t="s">
        <v>2814</v>
      </c>
      <c r="I432" s="220" t="s">
        <v>778</v>
      </c>
      <c r="J432" s="103" t="s">
        <v>2816</v>
      </c>
      <c r="K432" s="110" t="s">
        <v>201</v>
      </c>
      <c r="L432" s="104" t="s">
        <v>147</v>
      </c>
      <c r="M432" s="104" t="s">
        <v>1989</v>
      </c>
      <c r="N432" s="110" t="s">
        <v>1955</v>
      </c>
      <c r="O432" s="110">
        <v>2.0</v>
      </c>
      <c r="P432" s="116">
        <v>1055.4054054054056</v>
      </c>
    </row>
    <row r="433" ht="14.25" hidden="1" customHeight="1">
      <c r="A433" s="103" t="s">
        <v>84</v>
      </c>
      <c r="B433" s="103" t="s">
        <v>120</v>
      </c>
      <c r="C433" s="103" t="s">
        <v>1266</v>
      </c>
      <c r="D433" s="103" t="s">
        <v>1948</v>
      </c>
      <c r="E433" s="104" t="s">
        <v>2545</v>
      </c>
      <c r="F433" s="110" t="s">
        <v>2150</v>
      </c>
      <c r="G433" s="390" t="s">
        <v>1967</v>
      </c>
      <c r="H433" s="220" t="s">
        <v>2818</v>
      </c>
      <c r="I433" s="220" t="s">
        <v>778</v>
      </c>
      <c r="J433" s="103" t="s">
        <v>2820</v>
      </c>
      <c r="K433" s="110" t="s">
        <v>201</v>
      </c>
      <c r="L433" s="104" t="s">
        <v>147</v>
      </c>
      <c r="M433" s="104" t="s">
        <v>1989</v>
      </c>
      <c r="N433" s="110" t="s">
        <v>1955</v>
      </c>
      <c r="O433" s="110">
        <v>2.0</v>
      </c>
      <c r="P433" s="116">
        <v>1144.5945945945948</v>
      </c>
    </row>
    <row r="434" ht="14.25" hidden="1" customHeight="1">
      <c r="A434" s="103" t="s">
        <v>84</v>
      </c>
      <c r="B434" s="103" t="s">
        <v>120</v>
      </c>
      <c r="C434" s="103" t="s">
        <v>1266</v>
      </c>
      <c r="D434" s="103" t="s">
        <v>1948</v>
      </c>
      <c r="E434" s="104" t="s">
        <v>2545</v>
      </c>
      <c r="F434" s="110" t="s">
        <v>2150</v>
      </c>
      <c r="G434" s="390" t="s">
        <v>2026</v>
      </c>
      <c r="H434" s="220" t="s">
        <v>2822</v>
      </c>
      <c r="I434" s="220" t="s">
        <v>778</v>
      </c>
      <c r="J434" s="103" t="s">
        <v>2824</v>
      </c>
      <c r="K434" s="110" t="s">
        <v>201</v>
      </c>
      <c r="L434" s="104" t="s">
        <v>147</v>
      </c>
      <c r="M434" s="104" t="s">
        <v>1989</v>
      </c>
      <c r="N434" s="110" t="s">
        <v>1955</v>
      </c>
      <c r="O434" s="110">
        <v>2.0</v>
      </c>
      <c r="P434" s="116">
        <v>1419.5945945945946</v>
      </c>
    </row>
    <row r="435" ht="14.25" hidden="1" customHeight="1">
      <c r="A435" s="103" t="s">
        <v>84</v>
      </c>
      <c r="B435" s="103" t="s">
        <v>120</v>
      </c>
      <c r="C435" s="103" t="s">
        <v>1266</v>
      </c>
      <c r="D435" s="103" t="s">
        <v>1948</v>
      </c>
      <c r="E435" s="104" t="s">
        <v>2545</v>
      </c>
      <c r="F435" s="110" t="s">
        <v>2150</v>
      </c>
      <c r="G435" s="390" t="s">
        <v>2339</v>
      </c>
      <c r="H435" s="220" t="s">
        <v>2826</v>
      </c>
      <c r="I435" s="220" t="s">
        <v>778</v>
      </c>
      <c r="J435" s="103" t="s">
        <v>2828</v>
      </c>
      <c r="K435" s="110" t="s">
        <v>201</v>
      </c>
      <c r="L435" s="104" t="s">
        <v>147</v>
      </c>
      <c r="M435" s="104" t="s">
        <v>1989</v>
      </c>
      <c r="N435" s="110" t="s">
        <v>1955</v>
      </c>
      <c r="O435" s="110">
        <v>2.0</v>
      </c>
      <c r="P435" s="116">
        <v>3188.5135135135138</v>
      </c>
    </row>
    <row r="436" ht="14.25" hidden="1" customHeight="1">
      <c r="A436" s="103" t="s">
        <v>84</v>
      </c>
      <c r="B436" s="103" t="s">
        <v>120</v>
      </c>
      <c r="C436" s="103" t="s">
        <v>1266</v>
      </c>
      <c r="D436" s="103" t="s">
        <v>1948</v>
      </c>
      <c r="E436" s="104" t="s">
        <v>2545</v>
      </c>
      <c r="F436" s="110" t="s">
        <v>2150</v>
      </c>
      <c r="G436" s="390" t="s">
        <v>2344</v>
      </c>
      <c r="H436" s="220" t="s">
        <v>2830</v>
      </c>
      <c r="I436" s="220" t="s">
        <v>778</v>
      </c>
      <c r="J436" s="103" t="s">
        <v>2832</v>
      </c>
      <c r="K436" s="110" t="s">
        <v>201</v>
      </c>
      <c r="L436" s="104" t="s">
        <v>147</v>
      </c>
      <c r="M436" s="104" t="s">
        <v>1989</v>
      </c>
      <c r="N436" s="110" t="s">
        <v>1955</v>
      </c>
      <c r="O436" s="110">
        <v>2.0</v>
      </c>
      <c r="P436" s="116">
        <v>5462.837837837838</v>
      </c>
    </row>
    <row r="437" ht="14.25" hidden="1" customHeight="1">
      <c r="A437" s="103" t="s">
        <v>84</v>
      </c>
      <c r="B437" s="103" t="s">
        <v>120</v>
      </c>
      <c r="C437" s="103" t="s">
        <v>1266</v>
      </c>
      <c r="D437" s="103" t="s">
        <v>1948</v>
      </c>
      <c r="E437" s="104" t="s">
        <v>2394</v>
      </c>
      <c r="F437" s="110" t="s">
        <v>2150</v>
      </c>
      <c r="G437" s="390" t="s">
        <v>2026</v>
      </c>
      <c r="H437" s="220" t="s">
        <v>2834</v>
      </c>
      <c r="I437" s="220" t="s">
        <v>778</v>
      </c>
      <c r="J437" s="103" t="s">
        <v>2836</v>
      </c>
      <c r="K437" s="110" t="s">
        <v>201</v>
      </c>
      <c r="L437" s="104" t="s">
        <v>147</v>
      </c>
      <c r="M437" s="104" t="s">
        <v>1989</v>
      </c>
      <c r="N437" s="110" t="s">
        <v>1955</v>
      </c>
      <c r="O437" s="110">
        <v>2.0</v>
      </c>
      <c r="P437" s="116">
        <v>1777.8378378378382</v>
      </c>
    </row>
    <row r="438" ht="14.25" hidden="1" customHeight="1">
      <c r="A438" s="103" t="s">
        <v>84</v>
      </c>
      <c r="B438" s="103" t="s">
        <v>120</v>
      </c>
      <c r="C438" s="103" t="s">
        <v>1266</v>
      </c>
      <c r="D438" s="103" t="s">
        <v>1948</v>
      </c>
      <c r="E438" s="104" t="s">
        <v>2394</v>
      </c>
      <c r="F438" s="110" t="s">
        <v>2150</v>
      </c>
      <c r="G438" s="390" t="s">
        <v>1962</v>
      </c>
      <c r="H438" s="220" t="s">
        <v>2838</v>
      </c>
      <c r="I438" s="220" t="s">
        <v>2839</v>
      </c>
      <c r="J438" s="211" t="s">
        <v>2841</v>
      </c>
      <c r="K438" s="110" t="s">
        <v>201</v>
      </c>
      <c r="L438" s="104" t="s">
        <v>147</v>
      </c>
      <c r="M438" s="104" t="s">
        <v>1989</v>
      </c>
      <c r="N438" s="110" t="s">
        <v>1955</v>
      </c>
      <c r="O438" s="110">
        <v>2.0</v>
      </c>
      <c r="P438" s="116">
        <v>1256.0810810810813</v>
      </c>
    </row>
    <row r="439" ht="14.25" hidden="1" customHeight="1">
      <c r="A439" s="103" t="s">
        <v>84</v>
      </c>
      <c r="B439" s="103" t="s">
        <v>120</v>
      </c>
      <c r="C439" s="103" t="s">
        <v>1266</v>
      </c>
      <c r="D439" s="103" t="s">
        <v>1948</v>
      </c>
      <c r="E439" s="104" t="s">
        <v>2394</v>
      </c>
      <c r="F439" s="110" t="s">
        <v>2150</v>
      </c>
      <c r="G439" s="390" t="s">
        <v>1967</v>
      </c>
      <c r="H439" s="220" t="s">
        <v>2843</v>
      </c>
      <c r="I439" s="220" t="s">
        <v>2844</v>
      </c>
      <c r="J439" s="211" t="s">
        <v>2846</v>
      </c>
      <c r="K439" s="110" t="s">
        <v>201</v>
      </c>
      <c r="L439" s="104" t="s">
        <v>147</v>
      </c>
      <c r="M439" s="104" t="s">
        <v>1989</v>
      </c>
      <c r="N439" s="110" t="s">
        <v>1955</v>
      </c>
      <c r="O439" s="110">
        <v>2.0</v>
      </c>
      <c r="P439" s="116">
        <v>1397.2972972972973</v>
      </c>
    </row>
    <row r="440" ht="14.25" hidden="1" customHeight="1">
      <c r="A440" s="103" t="s">
        <v>84</v>
      </c>
      <c r="B440" s="103" t="s">
        <v>120</v>
      </c>
      <c r="C440" s="103" t="s">
        <v>1266</v>
      </c>
      <c r="D440" s="103" t="s">
        <v>1948</v>
      </c>
      <c r="E440" s="104" t="s">
        <v>2394</v>
      </c>
      <c r="F440" s="110" t="s">
        <v>2150</v>
      </c>
      <c r="G440" s="390" t="s">
        <v>2026</v>
      </c>
      <c r="H440" s="220" t="s">
        <v>2848</v>
      </c>
      <c r="I440" s="220" t="s">
        <v>2849</v>
      </c>
      <c r="J440" s="211" t="s">
        <v>2851</v>
      </c>
      <c r="K440" s="110" t="s">
        <v>201</v>
      </c>
      <c r="L440" s="104" t="s">
        <v>147</v>
      </c>
      <c r="M440" s="104" t="s">
        <v>1989</v>
      </c>
      <c r="N440" s="110" t="s">
        <v>1955</v>
      </c>
      <c r="O440" s="110">
        <v>2.0</v>
      </c>
      <c r="P440" s="116">
        <v>1605.4054054054054</v>
      </c>
    </row>
    <row r="441" ht="14.25" hidden="1" customHeight="1">
      <c r="A441" s="103" t="s">
        <v>84</v>
      </c>
      <c r="B441" s="103" t="s">
        <v>120</v>
      </c>
      <c r="C441" s="103" t="s">
        <v>1266</v>
      </c>
      <c r="D441" s="103" t="s">
        <v>1948</v>
      </c>
      <c r="E441" s="104" t="s">
        <v>2394</v>
      </c>
      <c r="F441" s="110" t="s">
        <v>2150</v>
      </c>
      <c r="G441" s="390" t="s">
        <v>2339</v>
      </c>
      <c r="H441" s="220" t="s">
        <v>2853</v>
      </c>
      <c r="I441" s="220" t="s">
        <v>778</v>
      </c>
      <c r="J441" s="103" t="s">
        <v>2855</v>
      </c>
      <c r="K441" s="110" t="s">
        <v>201</v>
      </c>
      <c r="L441" s="104" t="s">
        <v>147</v>
      </c>
      <c r="M441" s="104" t="s">
        <v>1989</v>
      </c>
      <c r="N441" s="110" t="s">
        <v>1955</v>
      </c>
      <c r="O441" s="110">
        <v>2.0</v>
      </c>
      <c r="P441" s="116">
        <v>3121.6216216216217</v>
      </c>
    </row>
    <row r="442" ht="14.25" hidden="1" customHeight="1">
      <c r="A442" s="103" t="s">
        <v>84</v>
      </c>
      <c r="B442" s="103" t="s">
        <v>120</v>
      </c>
      <c r="C442" s="103" t="s">
        <v>1266</v>
      </c>
      <c r="D442" s="103" t="s">
        <v>1948</v>
      </c>
      <c r="E442" s="104" t="s">
        <v>2394</v>
      </c>
      <c r="F442" s="110" t="s">
        <v>2150</v>
      </c>
      <c r="G442" s="390" t="s">
        <v>2344</v>
      </c>
      <c r="H442" s="220" t="s">
        <v>2857</v>
      </c>
      <c r="I442" s="220" t="s">
        <v>778</v>
      </c>
      <c r="J442" s="103" t="s">
        <v>2859</v>
      </c>
      <c r="K442" s="110" t="s">
        <v>201</v>
      </c>
      <c r="L442" s="104" t="s">
        <v>147</v>
      </c>
      <c r="M442" s="104" t="s">
        <v>1989</v>
      </c>
      <c r="N442" s="110" t="s">
        <v>1955</v>
      </c>
      <c r="O442" s="110">
        <v>2.0</v>
      </c>
      <c r="P442" s="116">
        <v>5225.000000000001</v>
      </c>
    </row>
    <row r="443" ht="14.25" hidden="1" customHeight="1">
      <c r="A443" s="103" t="s">
        <v>84</v>
      </c>
      <c r="B443" s="103" t="s">
        <v>120</v>
      </c>
      <c r="C443" s="103" t="s">
        <v>1886</v>
      </c>
      <c r="D443" s="109" t="s">
        <v>2920</v>
      </c>
      <c r="E443" s="105" t="s">
        <v>3029</v>
      </c>
      <c r="F443" s="110"/>
      <c r="G443" s="110"/>
      <c r="H443" s="410" t="s">
        <v>3030</v>
      </c>
      <c r="I443" s="410" t="s">
        <v>778</v>
      </c>
      <c r="J443" s="104" t="s">
        <v>3032</v>
      </c>
      <c r="K443" s="110"/>
      <c r="L443" s="109" t="s">
        <v>95</v>
      </c>
      <c r="M443" s="105" t="s">
        <v>2924</v>
      </c>
      <c r="N443" s="250" t="s">
        <v>3033</v>
      </c>
      <c r="O443" s="250" t="s">
        <v>2926</v>
      </c>
      <c r="P443" s="212">
        <v>64.93570116350276</v>
      </c>
    </row>
    <row r="444" ht="14.25" hidden="1" customHeight="1">
      <c r="A444" s="103" t="s">
        <v>84</v>
      </c>
      <c r="B444" s="103" t="s">
        <v>120</v>
      </c>
      <c r="C444" s="103" t="s">
        <v>1886</v>
      </c>
      <c r="D444" s="109" t="s">
        <v>2920</v>
      </c>
      <c r="E444" s="105" t="s">
        <v>3029</v>
      </c>
      <c r="F444" s="110"/>
      <c r="G444" s="110"/>
      <c r="H444" s="410" t="s">
        <v>3034</v>
      </c>
      <c r="I444" s="410" t="s">
        <v>778</v>
      </c>
      <c r="J444" s="104" t="s">
        <v>3036</v>
      </c>
      <c r="K444" s="110"/>
      <c r="L444" s="109" t="s">
        <v>95</v>
      </c>
      <c r="M444" s="105" t="s">
        <v>2924</v>
      </c>
      <c r="N444" s="407"/>
      <c r="O444" s="407"/>
      <c r="P444" s="212">
        <v>72.50459277403553</v>
      </c>
    </row>
    <row r="445" ht="14.25" hidden="1" customHeight="1">
      <c r="A445" s="103" t="s">
        <v>84</v>
      </c>
      <c r="B445" s="103" t="s">
        <v>120</v>
      </c>
      <c r="C445" s="103" t="s">
        <v>1886</v>
      </c>
      <c r="D445" s="109" t="s">
        <v>2920</v>
      </c>
      <c r="E445" s="105" t="s">
        <v>3029</v>
      </c>
      <c r="F445" s="110"/>
      <c r="G445" s="110"/>
      <c r="H445" s="410" t="s">
        <v>3037</v>
      </c>
      <c r="I445" s="410" t="s">
        <v>778</v>
      </c>
      <c r="J445" s="104" t="s">
        <v>3039</v>
      </c>
      <c r="K445" s="110"/>
      <c r="L445" s="109" t="s">
        <v>95</v>
      </c>
      <c r="M445" s="105" t="s">
        <v>2924</v>
      </c>
      <c r="N445" s="407"/>
      <c r="O445" s="407"/>
      <c r="P445" s="212">
        <v>80.04898958971219</v>
      </c>
    </row>
    <row r="446" ht="14.25" hidden="1" customHeight="1">
      <c r="A446" s="103" t="s">
        <v>84</v>
      </c>
      <c r="B446" s="103" t="s">
        <v>120</v>
      </c>
      <c r="C446" s="103" t="s">
        <v>1886</v>
      </c>
      <c r="D446" s="109" t="s">
        <v>2920</v>
      </c>
      <c r="E446" s="105" t="s">
        <v>3029</v>
      </c>
      <c r="F446" s="110"/>
      <c r="G446" s="110"/>
      <c r="H446" s="410" t="s">
        <v>3040</v>
      </c>
      <c r="I446" s="410" t="s">
        <v>778</v>
      </c>
      <c r="J446" s="104" t="s">
        <v>3042</v>
      </c>
      <c r="K446" s="110"/>
      <c r="L446" s="109" t="s">
        <v>95</v>
      </c>
      <c r="M446" s="105" t="s">
        <v>2924</v>
      </c>
      <c r="N446" s="407"/>
      <c r="O446" s="407"/>
      <c r="P446" s="212">
        <v>89.5774647887324</v>
      </c>
    </row>
    <row r="447" ht="14.25" hidden="1" customHeight="1">
      <c r="A447" s="103" t="s">
        <v>84</v>
      </c>
      <c r="B447" s="103" t="s">
        <v>120</v>
      </c>
      <c r="C447" s="103" t="s">
        <v>1886</v>
      </c>
      <c r="D447" s="109" t="s">
        <v>2920</v>
      </c>
      <c r="E447" s="105" t="s">
        <v>3029</v>
      </c>
      <c r="F447" s="110"/>
      <c r="G447" s="110"/>
      <c r="H447" s="410" t="s">
        <v>3043</v>
      </c>
      <c r="I447" s="410" t="s">
        <v>778</v>
      </c>
      <c r="J447" s="104" t="s">
        <v>3045</v>
      </c>
      <c r="K447" s="110"/>
      <c r="L447" s="109" t="s">
        <v>95</v>
      </c>
      <c r="M447" s="105" t="s">
        <v>2924</v>
      </c>
      <c r="N447" s="407"/>
      <c r="O447" s="407"/>
      <c r="P447" s="212">
        <v>97.70973668095532</v>
      </c>
    </row>
    <row r="448" ht="14.25" hidden="1" customHeight="1">
      <c r="A448" s="103" t="s">
        <v>84</v>
      </c>
      <c r="B448" s="103" t="s">
        <v>120</v>
      </c>
      <c r="C448" s="103" t="s">
        <v>1886</v>
      </c>
      <c r="D448" s="109" t="s">
        <v>2920</v>
      </c>
      <c r="E448" s="105" t="s">
        <v>3029</v>
      </c>
      <c r="F448" s="110"/>
      <c r="G448" s="110"/>
      <c r="H448" s="410" t="s">
        <v>3046</v>
      </c>
      <c r="I448" s="410" t="s">
        <v>778</v>
      </c>
      <c r="J448" s="104" t="s">
        <v>3048</v>
      </c>
      <c r="K448" s="110"/>
      <c r="L448" s="109" t="s">
        <v>95</v>
      </c>
      <c r="M448" s="105" t="s">
        <v>2924</v>
      </c>
      <c r="N448" s="407"/>
      <c r="O448" s="407"/>
      <c r="P448" s="212">
        <v>107.64237599510105</v>
      </c>
    </row>
    <row r="449" ht="14.25" hidden="1" customHeight="1">
      <c r="A449" s="103" t="s">
        <v>84</v>
      </c>
      <c r="B449" s="103" t="s">
        <v>120</v>
      </c>
      <c r="C449" s="103" t="s">
        <v>1886</v>
      </c>
      <c r="D449" s="109" t="s">
        <v>2920</v>
      </c>
      <c r="E449" s="105" t="s">
        <v>3029</v>
      </c>
      <c r="F449" s="110"/>
      <c r="G449" s="110"/>
      <c r="H449" s="410" t="s">
        <v>3049</v>
      </c>
      <c r="I449" s="410" t="s">
        <v>778</v>
      </c>
      <c r="J449" s="104" t="s">
        <v>3051</v>
      </c>
      <c r="K449" s="110"/>
      <c r="L449" s="109" t="s">
        <v>95</v>
      </c>
      <c r="M449" s="105" t="s">
        <v>2924</v>
      </c>
      <c r="N449" s="407"/>
      <c r="O449" s="407"/>
      <c r="P449" s="212">
        <v>0.0</v>
      </c>
    </row>
    <row r="450" ht="14.25" hidden="1" customHeight="1">
      <c r="A450" s="103" t="s">
        <v>84</v>
      </c>
      <c r="B450" s="103" t="s">
        <v>120</v>
      </c>
      <c r="C450" s="103" t="s">
        <v>1886</v>
      </c>
      <c r="D450" s="109" t="s">
        <v>2920</v>
      </c>
      <c r="E450" s="105" t="s">
        <v>3029</v>
      </c>
      <c r="F450" s="110"/>
      <c r="G450" s="110"/>
      <c r="H450" s="410" t="s">
        <v>3052</v>
      </c>
      <c r="I450" s="410" t="s">
        <v>778</v>
      </c>
      <c r="J450" s="104" t="s">
        <v>3054</v>
      </c>
      <c r="K450" s="110"/>
      <c r="L450" s="109" t="s">
        <v>95</v>
      </c>
      <c r="M450" s="105" t="s">
        <v>2924</v>
      </c>
      <c r="N450" s="407"/>
      <c r="O450" s="407"/>
      <c r="P450" s="212">
        <v>55.4194733619106</v>
      </c>
    </row>
    <row r="451" ht="14.25" hidden="1" customHeight="1">
      <c r="A451" s="103" t="s">
        <v>84</v>
      </c>
      <c r="B451" s="103" t="s">
        <v>120</v>
      </c>
      <c r="C451" s="103" t="s">
        <v>1886</v>
      </c>
      <c r="D451" s="109" t="s">
        <v>2920</v>
      </c>
      <c r="E451" s="105" t="s">
        <v>3029</v>
      </c>
      <c r="F451" s="110"/>
      <c r="G451" s="110"/>
      <c r="H451" s="410" t="s">
        <v>3055</v>
      </c>
      <c r="I451" s="410" t="s">
        <v>778</v>
      </c>
      <c r="J451" s="104" t="s">
        <v>3057</v>
      </c>
      <c r="K451" s="110"/>
      <c r="L451" s="109" t="s">
        <v>95</v>
      </c>
      <c r="M451" s="105" t="s">
        <v>2924</v>
      </c>
      <c r="N451" s="407"/>
      <c r="O451" s="407"/>
      <c r="P451" s="212">
        <v>61.80036742192284</v>
      </c>
    </row>
    <row r="452" ht="14.25" hidden="1" customHeight="1">
      <c r="A452" s="103" t="s">
        <v>84</v>
      </c>
      <c r="B452" s="103" t="s">
        <v>120</v>
      </c>
      <c r="C452" s="103" t="s">
        <v>1886</v>
      </c>
      <c r="D452" s="109" t="s">
        <v>2920</v>
      </c>
      <c r="E452" s="105" t="s">
        <v>3029</v>
      </c>
      <c r="F452" s="110"/>
      <c r="G452" s="110"/>
      <c r="H452" s="410" t="s">
        <v>3058</v>
      </c>
      <c r="I452" s="410" t="s">
        <v>778</v>
      </c>
      <c r="J452" s="104" t="s">
        <v>3060</v>
      </c>
      <c r="K452" s="110"/>
      <c r="L452" s="109" t="s">
        <v>95</v>
      </c>
      <c r="M452" s="105" t="s">
        <v>2924</v>
      </c>
      <c r="N452" s="407"/>
      <c r="O452" s="407"/>
      <c r="P452" s="212">
        <v>68.46295162278017</v>
      </c>
    </row>
    <row r="453" ht="14.25" hidden="1" customHeight="1">
      <c r="A453" s="103" t="s">
        <v>84</v>
      </c>
      <c r="B453" s="103" t="s">
        <v>120</v>
      </c>
      <c r="C453" s="103" t="s">
        <v>1886</v>
      </c>
      <c r="D453" s="109" t="s">
        <v>2920</v>
      </c>
      <c r="E453" s="105" t="s">
        <v>3029</v>
      </c>
      <c r="F453" s="110"/>
      <c r="G453" s="110"/>
      <c r="H453" s="410" t="s">
        <v>3061</v>
      </c>
      <c r="I453" s="410" t="s">
        <v>778</v>
      </c>
      <c r="J453" s="104" t="s">
        <v>3063</v>
      </c>
      <c r="K453" s="110"/>
      <c r="L453" s="109" t="s">
        <v>95</v>
      </c>
      <c r="M453" s="105" t="s">
        <v>2924</v>
      </c>
      <c r="N453" s="407"/>
      <c r="O453" s="407"/>
      <c r="P453" s="212">
        <v>76.38701775872627</v>
      </c>
    </row>
    <row r="454" ht="14.25" hidden="1" customHeight="1">
      <c r="A454" s="103" t="s">
        <v>84</v>
      </c>
      <c r="B454" s="103" t="s">
        <v>120</v>
      </c>
      <c r="C454" s="103" t="s">
        <v>1886</v>
      </c>
      <c r="D454" s="109" t="s">
        <v>2920</v>
      </c>
      <c r="E454" s="105" t="s">
        <v>3029</v>
      </c>
      <c r="F454" s="110"/>
      <c r="G454" s="110"/>
      <c r="H454" s="410" t="s">
        <v>3064</v>
      </c>
      <c r="I454" s="410" t="s">
        <v>778</v>
      </c>
      <c r="J454" s="104" t="s">
        <v>3066</v>
      </c>
      <c r="K454" s="110"/>
      <c r="L454" s="109" t="s">
        <v>95</v>
      </c>
      <c r="M454" s="105" t="s">
        <v>2924</v>
      </c>
      <c r="N454" s="407"/>
      <c r="O454" s="407"/>
      <c r="P454" s="212">
        <v>83.12308634415187</v>
      </c>
    </row>
    <row r="455" ht="14.25" hidden="1" customHeight="1">
      <c r="A455" s="103" t="s">
        <v>84</v>
      </c>
      <c r="B455" s="103" t="s">
        <v>120</v>
      </c>
      <c r="C455" s="103" t="s">
        <v>1886</v>
      </c>
      <c r="D455" s="109" t="s">
        <v>2920</v>
      </c>
      <c r="E455" s="105" t="s">
        <v>3029</v>
      </c>
      <c r="F455" s="110"/>
      <c r="G455" s="110"/>
      <c r="H455" s="410" t="s">
        <v>3067</v>
      </c>
      <c r="I455" s="410" t="s">
        <v>778</v>
      </c>
      <c r="J455" s="104" t="s">
        <v>3069</v>
      </c>
      <c r="K455" s="110"/>
      <c r="L455" s="109" t="s">
        <v>95</v>
      </c>
      <c r="M455" s="105" t="s">
        <v>2924</v>
      </c>
      <c r="N455" s="407"/>
      <c r="O455" s="407"/>
      <c r="P455" s="212">
        <v>92.24739742804654</v>
      </c>
    </row>
    <row r="456" ht="14.25" hidden="1" customHeight="1">
      <c r="A456" s="103" t="s">
        <v>84</v>
      </c>
      <c r="B456" s="103" t="s">
        <v>120</v>
      </c>
      <c r="C456" s="103" t="s">
        <v>1886</v>
      </c>
      <c r="D456" s="109" t="s">
        <v>2920</v>
      </c>
      <c r="E456" s="105" t="s">
        <v>3029</v>
      </c>
      <c r="F456" s="110"/>
      <c r="G456" s="110"/>
      <c r="H456" s="410" t="s">
        <v>3070</v>
      </c>
      <c r="I456" s="410" t="s">
        <v>778</v>
      </c>
      <c r="J456" s="104" t="s">
        <v>3072</v>
      </c>
      <c r="K456" s="110"/>
      <c r="L456" s="109" t="s">
        <v>95</v>
      </c>
      <c r="M456" s="105" t="s">
        <v>2924</v>
      </c>
      <c r="N456" s="408"/>
      <c r="O456" s="408"/>
      <c r="P456" s="212">
        <v>14.084507042253522</v>
      </c>
    </row>
    <row r="457" ht="14.25" hidden="1" customHeight="1">
      <c r="A457" s="103" t="s">
        <v>84</v>
      </c>
      <c r="B457" s="103" t="s">
        <v>3073</v>
      </c>
      <c r="C457" s="103" t="s">
        <v>1886</v>
      </c>
      <c r="D457" s="109" t="s">
        <v>3074</v>
      </c>
      <c r="E457" s="105" t="s">
        <v>3029</v>
      </c>
      <c r="F457" s="110" t="s">
        <v>3075</v>
      </c>
      <c r="G457" s="110" t="s">
        <v>3076</v>
      </c>
      <c r="H457" s="108" t="s">
        <v>3077</v>
      </c>
      <c r="I457" s="108" t="s">
        <v>4221</v>
      </c>
      <c r="J457" s="104" t="s">
        <v>3079</v>
      </c>
      <c r="K457" s="110" t="s">
        <v>3080</v>
      </c>
      <c r="L457" s="109" t="s">
        <v>147</v>
      </c>
      <c r="M457" s="105" t="s">
        <v>3081</v>
      </c>
      <c r="N457" s="106"/>
      <c r="O457" s="106"/>
      <c r="P457" s="212">
        <v>215.90232281119717</v>
      </c>
    </row>
    <row r="458" ht="14.25" hidden="1" customHeight="1">
      <c r="A458" s="103" t="s">
        <v>84</v>
      </c>
      <c r="B458" s="103" t="s">
        <v>3073</v>
      </c>
      <c r="C458" s="103" t="s">
        <v>1886</v>
      </c>
      <c r="D458" s="109" t="s">
        <v>3074</v>
      </c>
      <c r="E458" s="105" t="s">
        <v>3029</v>
      </c>
      <c r="F458" s="110" t="s">
        <v>3082</v>
      </c>
      <c r="G458" s="110" t="s">
        <v>3076</v>
      </c>
      <c r="H458" s="108" t="s">
        <v>3083</v>
      </c>
      <c r="I458" s="108" t="s">
        <v>4222</v>
      </c>
      <c r="J458" s="104" t="s">
        <v>3085</v>
      </c>
      <c r="K458" s="110"/>
      <c r="L458" s="109" t="s">
        <v>147</v>
      </c>
      <c r="M458" s="105" t="s">
        <v>3081</v>
      </c>
      <c r="N458" s="106"/>
      <c r="O458" s="106"/>
      <c r="P458" s="212">
        <v>230.79213817748663</v>
      </c>
    </row>
    <row r="459" ht="14.25" hidden="1" customHeight="1">
      <c r="A459" s="103" t="s">
        <v>84</v>
      </c>
      <c r="B459" s="103" t="s">
        <v>3073</v>
      </c>
      <c r="C459" s="103" t="s">
        <v>1886</v>
      </c>
      <c r="D459" s="109" t="s">
        <v>3074</v>
      </c>
      <c r="E459" s="105" t="s">
        <v>3029</v>
      </c>
      <c r="F459" s="110" t="s">
        <v>3086</v>
      </c>
      <c r="G459" s="110" t="s">
        <v>3076</v>
      </c>
      <c r="H459" s="108" t="s">
        <v>3087</v>
      </c>
      <c r="I459" s="108" t="s">
        <v>4223</v>
      </c>
      <c r="J459" s="104" t="s">
        <v>3089</v>
      </c>
      <c r="K459" s="110"/>
      <c r="L459" s="109" t="s">
        <v>147</v>
      </c>
      <c r="M459" s="105" t="s">
        <v>3081</v>
      </c>
      <c r="N459" s="106"/>
      <c r="O459" s="106"/>
      <c r="P459" s="212">
        <v>245.68195354377607</v>
      </c>
    </row>
    <row r="460" ht="14.25" hidden="1" customHeight="1">
      <c r="A460" s="103" t="s">
        <v>84</v>
      </c>
      <c r="B460" s="103" t="s">
        <v>3073</v>
      </c>
      <c r="C460" s="103" t="s">
        <v>1886</v>
      </c>
      <c r="D460" s="109" t="s">
        <v>3074</v>
      </c>
      <c r="E460" s="105" t="s">
        <v>3029</v>
      </c>
      <c r="F460" s="110" t="s">
        <v>3090</v>
      </c>
      <c r="G460" s="110" t="s">
        <v>3076</v>
      </c>
      <c r="H460" s="108" t="s">
        <v>3091</v>
      </c>
      <c r="I460" s="108" t="s">
        <v>4224</v>
      </c>
      <c r="J460" s="104" t="s">
        <v>3093</v>
      </c>
      <c r="K460" s="110"/>
      <c r="L460" s="109" t="s">
        <v>147</v>
      </c>
      <c r="M460" s="105" t="s">
        <v>3081</v>
      </c>
      <c r="N460" s="106"/>
      <c r="O460" s="106"/>
      <c r="P460" s="212">
        <v>268.01667659321026</v>
      </c>
    </row>
    <row r="461" ht="14.25" hidden="1" customHeight="1">
      <c r="A461" s="103" t="s">
        <v>84</v>
      </c>
      <c r="B461" s="103" t="s">
        <v>3073</v>
      </c>
      <c r="C461" s="103" t="s">
        <v>1886</v>
      </c>
      <c r="D461" s="109" t="s">
        <v>3074</v>
      </c>
      <c r="E461" s="105" t="s">
        <v>3029</v>
      </c>
      <c r="F461" s="110" t="s">
        <v>3094</v>
      </c>
      <c r="G461" s="110" t="s">
        <v>3076</v>
      </c>
      <c r="H461" s="108" t="s">
        <v>3095</v>
      </c>
      <c r="I461" s="108" t="s">
        <v>4225</v>
      </c>
      <c r="J461" s="104" t="s">
        <v>3097</v>
      </c>
      <c r="K461" s="110"/>
      <c r="L461" s="109" t="s">
        <v>147</v>
      </c>
      <c r="M461" s="105" t="s">
        <v>3081</v>
      </c>
      <c r="N461" s="106"/>
      <c r="O461" s="106"/>
      <c r="P461" s="212">
        <v>320.13103037522336</v>
      </c>
    </row>
    <row r="462" ht="14.25" hidden="1" customHeight="1">
      <c r="A462" s="103" t="s">
        <v>84</v>
      </c>
      <c r="B462" s="103" t="s">
        <v>3073</v>
      </c>
      <c r="C462" s="103" t="s">
        <v>1886</v>
      </c>
      <c r="D462" s="109" t="s">
        <v>3074</v>
      </c>
      <c r="E462" s="105" t="s">
        <v>3029</v>
      </c>
      <c r="F462" s="110" t="s">
        <v>3094</v>
      </c>
      <c r="G462" s="110" t="s">
        <v>3076</v>
      </c>
      <c r="H462" s="108" t="s">
        <v>3098</v>
      </c>
      <c r="I462" s="108" t="s">
        <v>4226</v>
      </c>
      <c r="J462" s="104" t="s">
        <v>3100</v>
      </c>
      <c r="K462" s="110"/>
      <c r="L462" s="109" t="s">
        <v>147</v>
      </c>
      <c r="M462" s="105" t="s">
        <v>3081</v>
      </c>
      <c r="N462" s="106"/>
      <c r="O462" s="106"/>
      <c r="P462" s="212">
        <v>251.63787969029187</v>
      </c>
    </row>
    <row r="463" ht="14.25" hidden="1" customHeight="1">
      <c r="A463" s="103" t="s">
        <v>84</v>
      </c>
      <c r="B463" s="103" t="s">
        <v>3073</v>
      </c>
      <c r="C463" s="103" t="s">
        <v>1886</v>
      </c>
      <c r="D463" s="109" t="s">
        <v>3074</v>
      </c>
      <c r="E463" s="105" t="s">
        <v>3029</v>
      </c>
      <c r="F463" s="110" t="s">
        <v>3075</v>
      </c>
      <c r="G463" s="110" t="s">
        <v>3101</v>
      </c>
      <c r="H463" s="108" t="s">
        <v>3102</v>
      </c>
      <c r="I463" s="108" t="s">
        <v>4227</v>
      </c>
      <c r="J463" s="104" t="s">
        <v>3104</v>
      </c>
      <c r="K463" s="110"/>
      <c r="L463" s="109" t="s">
        <v>147</v>
      </c>
      <c r="M463" s="105" t="s">
        <v>3081</v>
      </c>
      <c r="N463" s="106"/>
      <c r="O463" s="106"/>
      <c r="P463" s="212">
        <v>253.12686122692082</v>
      </c>
    </row>
    <row r="464" ht="14.25" hidden="1" customHeight="1">
      <c r="A464" s="103" t="s">
        <v>84</v>
      </c>
      <c r="B464" s="103" t="s">
        <v>3073</v>
      </c>
      <c r="C464" s="103" t="s">
        <v>1886</v>
      </c>
      <c r="D464" s="109" t="s">
        <v>3074</v>
      </c>
      <c r="E464" s="105" t="s">
        <v>3029</v>
      </c>
      <c r="F464" s="110" t="s">
        <v>3082</v>
      </c>
      <c r="G464" s="110" t="s">
        <v>3101</v>
      </c>
      <c r="H464" s="108" t="s">
        <v>3105</v>
      </c>
      <c r="I464" s="108" t="s">
        <v>778</v>
      </c>
      <c r="J464" s="104" t="s">
        <v>3107</v>
      </c>
      <c r="K464" s="110"/>
      <c r="L464" s="109" t="s">
        <v>147</v>
      </c>
      <c r="M464" s="105" t="s">
        <v>3081</v>
      </c>
      <c r="N464" s="106"/>
      <c r="O464" s="106"/>
      <c r="P464" s="212">
        <v>348.4216795711734</v>
      </c>
    </row>
    <row r="465" ht="14.25" hidden="1" customHeight="1">
      <c r="A465" s="103" t="s">
        <v>84</v>
      </c>
      <c r="B465" s="103" t="s">
        <v>3073</v>
      </c>
      <c r="C465" s="103" t="s">
        <v>1886</v>
      </c>
      <c r="D465" s="109" t="s">
        <v>3074</v>
      </c>
      <c r="E465" s="105" t="s">
        <v>3029</v>
      </c>
      <c r="F465" s="110" t="s">
        <v>3086</v>
      </c>
      <c r="G465" s="110" t="s">
        <v>3101</v>
      </c>
      <c r="H465" s="108" t="s">
        <v>3108</v>
      </c>
      <c r="I465" s="108" t="s">
        <v>778</v>
      </c>
      <c r="J465" s="104" t="s">
        <v>3110</v>
      </c>
      <c r="K465" s="110"/>
      <c r="L465" s="109" t="s">
        <v>147</v>
      </c>
      <c r="M465" s="105" t="s">
        <v>3081</v>
      </c>
      <c r="N465" s="106"/>
      <c r="O465" s="106"/>
      <c r="P465" s="212">
        <v>364.8004764740918</v>
      </c>
    </row>
    <row r="466" ht="14.25" hidden="1" customHeight="1">
      <c r="A466" s="103" t="s">
        <v>84</v>
      </c>
      <c r="B466" s="103" t="s">
        <v>3073</v>
      </c>
      <c r="C466" s="103" t="s">
        <v>1886</v>
      </c>
      <c r="D466" s="109" t="s">
        <v>3074</v>
      </c>
      <c r="E466" s="105" t="s">
        <v>3029</v>
      </c>
      <c r="F466" s="110" t="s">
        <v>3090</v>
      </c>
      <c r="G466" s="110" t="s">
        <v>3101</v>
      </c>
      <c r="H466" s="108" t="s">
        <v>3111</v>
      </c>
      <c r="I466" s="108" t="s">
        <v>778</v>
      </c>
      <c r="J466" s="104" t="s">
        <v>3113</v>
      </c>
      <c r="K466" s="110"/>
      <c r="L466" s="109" t="s">
        <v>147</v>
      </c>
      <c r="M466" s="105" t="s">
        <v>3081</v>
      </c>
      <c r="N466" s="106"/>
      <c r="O466" s="106"/>
      <c r="P466" s="212">
        <v>403.51399642644435</v>
      </c>
    </row>
    <row r="467" ht="14.25" hidden="1" customHeight="1">
      <c r="A467" s="103" t="s">
        <v>84</v>
      </c>
      <c r="B467" s="103" t="s">
        <v>3073</v>
      </c>
      <c r="C467" s="103" t="s">
        <v>1886</v>
      </c>
      <c r="D467" s="109" t="s">
        <v>3074</v>
      </c>
      <c r="E467" s="105" t="s">
        <v>3029</v>
      </c>
      <c r="F467" s="110" t="s">
        <v>3094</v>
      </c>
      <c r="G467" s="110" t="s">
        <v>3101</v>
      </c>
      <c r="H467" s="108" t="s">
        <v>3114</v>
      </c>
      <c r="I467" s="108" t="s">
        <v>778</v>
      </c>
      <c r="J467" s="104" t="s">
        <v>3116</v>
      </c>
      <c r="K467" s="110"/>
      <c r="L467" s="109" t="s">
        <v>147</v>
      </c>
      <c r="M467" s="105" t="s">
        <v>3081</v>
      </c>
      <c r="N467" s="106"/>
      <c r="O467" s="106"/>
      <c r="P467" s="212">
        <v>473.4961286480048</v>
      </c>
    </row>
    <row r="468" ht="14.25" hidden="1" customHeight="1">
      <c r="A468" s="103" t="s">
        <v>84</v>
      </c>
      <c r="B468" s="103" t="s">
        <v>3073</v>
      </c>
      <c r="C468" s="103" t="s">
        <v>1886</v>
      </c>
      <c r="D468" s="109" t="s">
        <v>3074</v>
      </c>
      <c r="E468" s="105" t="s">
        <v>3029</v>
      </c>
      <c r="F468" s="110" t="s">
        <v>3094</v>
      </c>
      <c r="G468" s="110" t="s">
        <v>3101</v>
      </c>
      <c r="H468" s="108" t="s">
        <v>3117</v>
      </c>
      <c r="I468" s="108" t="s">
        <v>4236</v>
      </c>
      <c r="J468" s="104" t="s">
        <v>3119</v>
      </c>
      <c r="K468" s="110"/>
      <c r="L468" s="109" t="s">
        <v>147</v>
      </c>
      <c r="M468" s="105" t="s">
        <v>3081</v>
      </c>
      <c r="N468" s="106"/>
      <c r="O468" s="106"/>
      <c r="P468" s="212">
        <v>268.01667659321026</v>
      </c>
    </row>
    <row r="469" ht="14.25" hidden="1" customHeight="1">
      <c r="A469" s="103" t="s">
        <v>84</v>
      </c>
      <c r="B469" s="103" t="s">
        <v>3073</v>
      </c>
      <c r="C469" s="103" t="s">
        <v>1886</v>
      </c>
      <c r="D469" s="109" t="s">
        <v>3074</v>
      </c>
      <c r="E469" s="105" t="s">
        <v>3029</v>
      </c>
      <c r="F469" s="110" t="s">
        <v>3094</v>
      </c>
      <c r="G469" s="110" t="s">
        <v>3120</v>
      </c>
      <c r="H469" s="108" t="s">
        <v>3121</v>
      </c>
      <c r="I469" s="108" t="s">
        <v>4237</v>
      </c>
      <c r="J469" s="104" t="s">
        <v>3123</v>
      </c>
      <c r="K469" s="110"/>
      <c r="L469" s="109" t="s">
        <v>147</v>
      </c>
      <c r="M469" s="105" t="s">
        <v>3081</v>
      </c>
      <c r="N469" s="106"/>
      <c r="O469" s="106"/>
      <c r="P469" s="212">
        <v>409.4699225729601</v>
      </c>
    </row>
    <row r="470" ht="14.25" hidden="1" customHeight="1">
      <c r="A470" s="103" t="s">
        <v>84</v>
      </c>
      <c r="B470" s="103" t="s">
        <v>3073</v>
      </c>
      <c r="C470" s="103" t="s">
        <v>1886</v>
      </c>
      <c r="D470" s="109" t="s">
        <v>3074</v>
      </c>
      <c r="E470" s="105" t="s">
        <v>3029</v>
      </c>
      <c r="F470" s="110" t="s">
        <v>3094</v>
      </c>
      <c r="G470" s="110" t="s">
        <v>3124</v>
      </c>
      <c r="H470" s="108" t="s">
        <v>3125</v>
      </c>
      <c r="I470" s="108" t="s">
        <v>4238</v>
      </c>
      <c r="J470" s="104" t="s">
        <v>3127</v>
      </c>
      <c r="K470" s="110"/>
      <c r="L470" s="109" t="s">
        <v>147</v>
      </c>
      <c r="M470" s="105" t="s">
        <v>3081</v>
      </c>
      <c r="N470" s="106"/>
      <c r="O470" s="106"/>
      <c r="P470" s="212">
        <v>364.8004764740918</v>
      </c>
    </row>
    <row r="471" ht="14.25" hidden="1" customHeight="1">
      <c r="A471" s="103" t="s">
        <v>84</v>
      </c>
      <c r="B471" s="103" t="s">
        <v>3073</v>
      </c>
      <c r="C471" s="103" t="s">
        <v>1886</v>
      </c>
      <c r="D471" s="109" t="s">
        <v>3074</v>
      </c>
      <c r="E471" s="105" t="s">
        <v>3029</v>
      </c>
      <c r="F471" s="110" t="s">
        <v>3094</v>
      </c>
      <c r="G471" s="110" t="s">
        <v>3124</v>
      </c>
      <c r="H471" s="108" t="s">
        <v>3128</v>
      </c>
      <c r="I471" s="108" t="s">
        <v>4239</v>
      </c>
      <c r="J471" s="104" t="s">
        <v>3130</v>
      </c>
      <c r="K471" s="110"/>
      <c r="L471" s="109" t="s">
        <v>147</v>
      </c>
      <c r="M471" s="105" t="s">
        <v>3081</v>
      </c>
      <c r="N471" s="106"/>
      <c r="O471" s="106"/>
      <c r="P471" s="212">
        <v>275.461584276355</v>
      </c>
    </row>
    <row r="472" ht="14.25" hidden="1" customHeight="1">
      <c r="A472" s="103" t="s">
        <v>84</v>
      </c>
      <c r="B472" s="103" t="s">
        <v>3073</v>
      </c>
      <c r="C472" s="103" t="s">
        <v>1886</v>
      </c>
      <c r="D472" s="109" t="s">
        <v>3074</v>
      </c>
      <c r="E472" s="105" t="s">
        <v>3029</v>
      </c>
      <c r="F472" s="110" t="s">
        <v>3094</v>
      </c>
      <c r="G472" s="110" t="s">
        <v>3124</v>
      </c>
      <c r="H472" s="108" t="s">
        <v>3131</v>
      </c>
      <c r="I472" s="108" t="s">
        <v>4245</v>
      </c>
      <c r="J472" s="104" t="s">
        <v>3133</v>
      </c>
      <c r="K472" s="110"/>
      <c r="L472" s="109" t="s">
        <v>147</v>
      </c>
      <c r="M472" s="105" t="s">
        <v>3081</v>
      </c>
      <c r="N472" s="106"/>
      <c r="O472" s="106"/>
      <c r="P472" s="212">
        <v>481.2388326384753</v>
      </c>
    </row>
    <row r="473" ht="14.25" hidden="1" customHeight="1">
      <c r="A473" s="103" t="s">
        <v>84</v>
      </c>
      <c r="B473" s="103" t="s">
        <v>3073</v>
      </c>
      <c r="C473" s="103" t="s">
        <v>1886</v>
      </c>
      <c r="D473" s="109" t="s">
        <v>3074</v>
      </c>
      <c r="E473" s="105" t="s">
        <v>3029</v>
      </c>
      <c r="F473" s="110" t="s">
        <v>3082</v>
      </c>
      <c r="G473" s="110" t="s">
        <v>3134</v>
      </c>
      <c r="H473" s="108" t="s">
        <v>3135</v>
      </c>
      <c r="I473" s="108"/>
      <c r="J473" s="104" t="s">
        <v>3137</v>
      </c>
      <c r="K473" s="110"/>
      <c r="L473" s="109" t="s">
        <v>147</v>
      </c>
      <c r="M473" s="105" t="s">
        <v>3081</v>
      </c>
      <c r="N473" s="106"/>
      <c r="O473" s="106"/>
      <c r="P473" s="224">
        <v>320.44010889292196</v>
      </c>
    </row>
    <row r="474" ht="14.25" hidden="1" customHeight="1">
      <c r="A474" s="103" t="s">
        <v>84</v>
      </c>
      <c r="B474" s="103" t="s">
        <v>3073</v>
      </c>
      <c r="C474" s="103" t="s">
        <v>1886</v>
      </c>
      <c r="D474" s="109" t="s">
        <v>3074</v>
      </c>
      <c r="E474" s="105" t="s">
        <v>3029</v>
      </c>
      <c r="F474" s="110" t="s">
        <v>3086</v>
      </c>
      <c r="G474" s="110" t="s">
        <v>3134</v>
      </c>
      <c r="H474" s="108" t="s">
        <v>3138</v>
      </c>
      <c r="I474" s="108"/>
      <c r="J474" s="104" t="s">
        <v>3140</v>
      </c>
      <c r="K474" s="110"/>
      <c r="L474" s="109" t="s">
        <v>147</v>
      </c>
      <c r="M474" s="105" t="s">
        <v>3081</v>
      </c>
      <c r="N474" s="106"/>
      <c r="O474" s="106"/>
      <c r="P474" s="224">
        <v>384.72540045766596</v>
      </c>
    </row>
    <row r="475" ht="14.25" hidden="1" customHeight="1">
      <c r="A475" s="103" t="s">
        <v>84</v>
      </c>
      <c r="B475" s="103" t="s">
        <v>3073</v>
      </c>
      <c r="C475" s="103" t="s">
        <v>1886</v>
      </c>
      <c r="D475" s="109" t="s">
        <v>3074</v>
      </c>
      <c r="E475" s="105" t="s">
        <v>3029</v>
      </c>
      <c r="F475" s="110" t="s">
        <v>3086</v>
      </c>
      <c r="G475" s="110" t="s">
        <v>3134</v>
      </c>
      <c r="H475" s="108" t="s">
        <v>3141</v>
      </c>
      <c r="I475" s="108" t="s">
        <v>4240</v>
      </c>
      <c r="J475" s="104" t="s">
        <v>3143</v>
      </c>
      <c r="K475" s="110"/>
      <c r="L475" s="109" t="s">
        <v>147</v>
      </c>
      <c r="M475" s="105" t="s">
        <v>3081</v>
      </c>
      <c r="N475" s="106"/>
      <c r="O475" s="106"/>
      <c r="P475" s="224">
        <v>336.5098272781418</v>
      </c>
    </row>
    <row r="476" ht="14.25" hidden="1" customHeight="1">
      <c r="A476" s="103" t="s">
        <v>84</v>
      </c>
      <c r="B476" s="103" t="s">
        <v>3073</v>
      </c>
      <c r="C476" s="103" t="s">
        <v>1886</v>
      </c>
      <c r="D476" s="109" t="s">
        <v>3074</v>
      </c>
      <c r="E476" s="105" t="s">
        <v>3029</v>
      </c>
      <c r="F476" s="110" t="s">
        <v>3090</v>
      </c>
      <c r="G476" s="110" t="s">
        <v>3134</v>
      </c>
      <c r="H476" s="108" t="s">
        <v>3144</v>
      </c>
      <c r="I476" s="108"/>
      <c r="J476" s="104" t="s">
        <v>3146</v>
      </c>
      <c r="K476" s="110"/>
      <c r="L476" s="109" t="s">
        <v>147</v>
      </c>
      <c r="M476" s="105" t="s">
        <v>3081</v>
      </c>
      <c r="N476" s="106"/>
      <c r="O476" s="106"/>
      <c r="P476" s="224">
        <v>421.91075514874143</v>
      </c>
    </row>
    <row r="477" ht="14.25" hidden="1" customHeight="1">
      <c r="A477" s="103" t="s">
        <v>84</v>
      </c>
      <c r="B477" s="103" t="s">
        <v>3073</v>
      </c>
      <c r="C477" s="103" t="s">
        <v>1886</v>
      </c>
      <c r="D477" s="109" t="s">
        <v>3074</v>
      </c>
      <c r="E477" s="105" t="s">
        <v>3029</v>
      </c>
      <c r="F477" s="110" t="s">
        <v>3090</v>
      </c>
      <c r="G477" s="110" t="s">
        <v>3134</v>
      </c>
      <c r="H477" s="108" t="s">
        <v>3147</v>
      </c>
      <c r="I477" s="108" t="s">
        <v>4241</v>
      </c>
      <c r="J477" s="104" t="s">
        <v>3149</v>
      </c>
      <c r="K477" s="110"/>
      <c r="L477" s="109" t="s">
        <v>147</v>
      </c>
      <c r="M477" s="105" t="s">
        <v>3081</v>
      </c>
      <c r="N477" s="106"/>
      <c r="O477" s="106"/>
      <c r="P477" s="224">
        <v>354.3776057176891</v>
      </c>
    </row>
    <row r="478" ht="14.25" hidden="1" customHeight="1">
      <c r="A478" s="103" t="s">
        <v>84</v>
      </c>
      <c r="B478" s="103" t="s">
        <v>3073</v>
      </c>
      <c r="C478" s="103" t="s">
        <v>1886</v>
      </c>
      <c r="D478" s="109" t="s">
        <v>3074</v>
      </c>
      <c r="E478" s="105" t="s">
        <v>3029</v>
      </c>
      <c r="F478" s="110" t="s">
        <v>3094</v>
      </c>
      <c r="G478" s="110" t="s">
        <v>3134</v>
      </c>
      <c r="H478" s="108" t="s">
        <v>3150</v>
      </c>
      <c r="I478" s="108"/>
      <c r="J478" s="104" t="s">
        <v>3152</v>
      </c>
      <c r="K478" s="110"/>
      <c r="L478" s="109" t="s">
        <v>147</v>
      </c>
      <c r="M478" s="105" t="s">
        <v>3081</v>
      </c>
      <c r="N478" s="106"/>
      <c r="O478" s="106"/>
      <c r="P478" s="224">
        <v>488.38594401429435</v>
      </c>
    </row>
    <row r="479" ht="14.25" hidden="1" customHeight="1">
      <c r="A479" s="103" t="s">
        <v>84</v>
      </c>
      <c r="B479" s="103" t="s">
        <v>3073</v>
      </c>
      <c r="C479" s="103" t="s">
        <v>1886</v>
      </c>
      <c r="D479" s="109" t="s">
        <v>3074</v>
      </c>
      <c r="E479" s="105" t="s">
        <v>3029</v>
      </c>
      <c r="F479" s="110" t="s">
        <v>3094</v>
      </c>
      <c r="G479" s="110" t="s">
        <v>3134</v>
      </c>
      <c r="H479" s="108" t="s">
        <v>3153</v>
      </c>
      <c r="I479" s="108" t="s">
        <v>4242</v>
      </c>
      <c r="J479" s="104" t="s">
        <v>3155</v>
      </c>
      <c r="K479" s="110"/>
      <c r="L479" s="109" t="s">
        <v>147</v>
      </c>
      <c r="M479" s="105" t="s">
        <v>3081</v>
      </c>
      <c r="N479" s="106"/>
      <c r="O479" s="106"/>
      <c r="P479" s="212">
        <v>394.5801072066706</v>
      </c>
    </row>
    <row r="480" ht="14.25" hidden="1" customHeight="1">
      <c r="A480" s="103" t="s">
        <v>84</v>
      </c>
      <c r="B480" s="103" t="s">
        <v>3073</v>
      </c>
      <c r="C480" s="103" t="s">
        <v>1886</v>
      </c>
      <c r="D480" s="109" t="s">
        <v>3074</v>
      </c>
      <c r="E480" s="105" t="s">
        <v>3029</v>
      </c>
      <c r="F480" s="110" t="s">
        <v>3094</v>
      </c>
      <c r="G480" s="110" t="s">
        <v>3134</v>
      </c>
      <c r="H480" s="108" t="s">
        <v>3156</v>
      </c>
      <c r="I480" s="108" t="s">
        <v>4243</v>
      </c>
      <c r="J480" s="104" t="s">
        <v>3158</v>
      </c>
      <c r="K480" s="110"/>
      <c r="L480" s="109" t="s">
        <v>147</v>
      </c>
      <c r="M480" s="105" t="s">
        <v>3081</v>
      </c>
      <c r="N480" s="106"/>
      <c r="O480" s="106"/>
      <c r="P480" s="212">
        <v>312.6861226920787</v>
      </c>
    </row>
    <row r="481" ht="14.25" hidden="1" customHeight="1">
      <c r="A481" s="103" t="s">
        <v>84</v>
      </c>
      <c r="B481" s="103" t="s">
        <v>3073</v>
      </c>
      <c r="C481" s="103" t="s">
        <v>1886</v>
      </c>
      <c r="D481" s="109" t="s">
        <v>3074</v>
      </c>
      <c r="E481" s="105" t="s">
        <v>3029</v>
      </c>
      <c r="F481" s="110" t="s">
        <v>3094</v>
      </c>
      <c r="G481" s="110" t="s">
        <v>3159</v>
      </c>
      <c r="H481" s="108" t="s">
        <v>3160</v>
      </c>
      <c r="I481" s="108" t="s">
        <v>4244</v>
      </c>
      <c r="J481" s="104" t="s">
        <v>3162</v>
      </c>
      <c r="K481" s="110"/>
      <c r="L481" s="109" t="s">
        <v>147</v>
      </c>
      <c r="M481" s="105" t="s">
        <v>3081</v>
      </c>
      <c r="N481" s="106"/>
      <c r="O481" s="106"/>
      <c r="P481" s="212">
        <v>446.6944609886838</v>
      </c>
    </row>
    <row r="482" ht="14.25" hidden="1" customHeight="1">
      <c r="A482" s="103" t="s">
        <v>84</v>
      </c>
      <c r="B482" s="103" t="s">
        <v>3073</v>
      </c>
      <c r="C482" s="103" t="s">
        <v>1886</v>
      </c>
      <c r="D482" s="109" t="s">
        <v>3074</v>
      </c>
      <c r="E482" s="105" t="s">
        <v>3029</v>
      </c>
      <c r="F482" s="110" t="s">
        <v>3094</v>
      </c>
      <c r="G482" s="110" t="s">
        <v>3159</v>
      </c>
      <c r="H482" s="108" t="s">
        <v>3131</v>
      </c>
      <c r="I482" s="108" t="s">
        <v>4245</v>
      </c>
      <c r="J482" s="104" t="s">
        <v>3133</v>
      </c>
      <c r="K482" s="110"/>
      <c r="L482" s="109" t="s">
        <v>147</v>
      </c>
      <c r="M482" s="105" t="s">
        <v>3081</v>
      </c>
      <c r="N482" s="106"/>
      <c r="O482" s="106"/>
      <c r="P482" s="212">
        <v>364.8004764740918</v>
      </c>
    </row>
    <row r="483" ht="14.25" hidden="1" customHeight="1">
      <c r="A483" s="103" t="s">
        <v>84</v>
      </c>
      <c r="B483" s="103" t="s">
        <v>3073</v>
      </c>
      <c r="C483" s="103" t="s">
        <v>1886</v>
      </c>
      <c r="D483" s="109" t="s">
        <v>3074</v>
      </c>
      <c r="E483" s="105" t="s">
        <v>3029</v>
      </c>
      <c r="F483" s="110" t="s">
        <v>3094</v>
      </c>
      <c r="G483" s="110" t="s">
        <v>3159</v>
      </c>
      <c r="H483" s="599" t="s">
        <v>3164</v>
      </c>
      <c r="I483" s="108" t="s">
        <v>778</v>
      </c>
      <c r="J483" s="555" t="s">
        <v>3166</v>
      </c>
      <c r="K483" s="110"/>
      <c r="L483" s="109" t="s">
        <v>147</v>
      </c>
      <c r="M483" s="105" t="s">
        <v>3081</v>
      </c>
      <c r="N483" s="106"/>
      <c r="O483" s="106"/>
      <c r="P483" s="437">
        <v>579.2138177486601</v>
      </c>
    </row>
    <row r="484" ht="14.25" hidden="1" customHeight="1">
      <c r="A484" s="103" t="s">
        <v>84</v>
      </c>
      <c r="B484" s="103" t="s">
        <v>3073</v>
      </c>
      <c r="C484" s="103" t="s">
        <v>1886</v>
      </c>
      <c r="D484" s="109" t="s">
        <v>3074</v>
      </c>
      <c r="E484" s="105" t="s">
        <v>3029</v>
      </c>
      <c r="F484" s="110"/>
      <c r="G484" s="110"/>
      <c r="H484" s="108" t="s">
        <v>3167</v>
      </c>
      <c r="I484" s="108" t="s">
        <v>778</v>
      </c>
      <c r="J484" s="104" t="s">
        <v>3169</v>
      </c>
      <c r="K484" s="110"/>
      <c r="L484" s="109" t="s">
        <v>147</v>
      </c>
      <c r="M484" s="105" t="s">
        <v>3081</v>
      </c>
      <c r="N484" s="106"/>
      <c r="O484" s="106"/>
      <c r="P484" s="212">
        <v>0.0</v>
      </c>
    </row>
    <row r="485" ht="14.25" hidden="1" customHeight="1">
      <c r="A485" s="103" t="s">
        <v>84</v>
      </c>
      <c r="B485" s="103" t="s">
        <v>3073</v>
      </c>
      <c r="C485" s="103" t="s">
        <v>1886</v>
      </c>
      <c r="D485" s="109" t="s">
        <v>3074</v>
      </c>
      <c r="E485" s="105" t="s">
        <v>3029</v>
      </c>
      <c r="F485" s="110"/>
      <c r="G485" s="110"/>
      <c r="H485" s="108" t="s">
        <v>3170</v>
      </c>
      <c r="I485" s="108" t="s">
        <v>778</v>
      </c>
      <c r="J485" s="104" t="s">
        <v>3172</v>
      </c>
      <c r="K485" s="110"/>
      <c r="L485" s="109" t="s">
        <v>147</v>
      </c>
      <c r="M485" s="105" t="s">
        <v>3081</v>
      </c>
      <c r="N485" s="106"/>
      <c r="O485" s="106"/>
      <c r="P485" s="212">
        <v>0.0</v>
      </c>
    </row>
    <row r="486" ht="14.25" hidden="1" customHeight="1">
      <c r="A486" s="103" t="s">
        <v>84</v>
      </c>
      <c r="B486" s="103" t="s">
        <v>3073</v>
      </c>
      <c r="C486" s="103" t="s">
        <v>1886</v>
      </c>
      <c r="D486" s="109" t="s">
        <v>3074</v>
      </c>
      <c r="E486" s="105" t="s">
        <v>3029</v>
      </c>
      <c r="F486" s="110"/>
      <c r="G486" s="110"/>
      <c r="H486" s="108" t="s">
        <v>3173</v>
      </c>
      <c r="I486" s="108" t="s">
        <v>778</v>
      </c>
      <c r="J486" s="104" t="s">
        <v>3175</v>
      </c>
      <c r="K486" s="110"/>
      <c r="L486" s="109" t="s">
        <v>147</v>
      </c>
      <c r="M486" s="105" t="s">
        <v>3081</v>
      </c>
      <c r="N486" s="106"/>
      <c r="O486" s="106"/>
      <c r="P486" s="212">
        <v>0.0</v>
      </c>
    </row>
    <row r="487" ht="14.25" hidden="1" customHeight="1">
      <c r="A487" s="103" t="s">
        <v>84</v>
      </c>
      <c r="B487" s="103" t="s">
        <v>3073</v>
      </c>
      <c r="C487" s="103" t="s">
        <v>1886</v>
      </c>
      <c r="D487" s="109" t="s">
        <v>3074</v>
      </c>
      <c r="E487" s="105" t="s">
        <v>3029</v>
      </c>
      <c r="F487" s="110"/>
      <c r="G487" s="110"/>
      <c r="H487" s="108" t="s">
        <v>3176</v>
      </c>
      <c r="I487" s="108" t="s">
        <v>778</v>
      </c>
      <c r="J487" s="104" t="s">
        <v>3178</v>
      </c>
      <c r="K487" s="110"/>
      <c r="L487" s="109" t="s">
        <v>147</v>
      </c>
      <c r="M487" s="105" t="s">
        <v>3081</v>
      </c>
      <c r="N487" s="106"/>
      <c r="O487" s="106"/>
      <c r="P487" s="212">
        <v>0.0</v>
      </c>
    </row>
    <row r="488" ht="14.25" hidden="1" customHeight="1">
      <c r="A488" s="103" t="s">
        <v>84</v>
      </c>
      <c r="B488" s="103" t="s">
        <v>3073</v>
      </c>
      <c r="C488" s="103" t="s">
        <v>1886</v>
      </c>
      <c r="D488" s="109" t="s">
        <v>3074</v>
      </c>
      <c r="E488" s="105" t="s">
        <v>3029</v>
      </c>
      <c r="F488" s="110"/>
      <c r="G488" s="110"/>
      <c r="H488" s="108" t="s">
        <v>3179</v>
      </c>
      <c r="I488" s="108" t="s">
        <v>778</v>
      </c>
      <c r="J488" s="104" t="s">
        <v>3181</v>
      </c>
      <c r="K488" s="110"/>
      <c r="L488" s="109" t="s">
        <v>147</v>
      </c>
      <c r="M488" s="105" t="s">
        <v>3081</v>
      </c>
      <c r="N488" s="106"/>
      <c r="O488" s="106"/>
      <c r="P488" s="212">
        <v>0.0</v>
      </c>
    </row>
    <row r="489" ht="14.25" hidden="1" customHeight="1">
      <c r="A489" s="103" t="s">
        <v>84</v>
      </c>
      <c r="B489" s="103" t="s">
        <v>3073</v>
      </c>
      <c r="C489" s="103" t="s">
        <v>1886</v>
      </c>
      <c r="D489" s="109" t="s">
        <v>3074</v>
      </c>
      <c r="E489" s="105" t="s">
        <v>3029</v>
      </c>
      <c r="F489" s="110"/>
      <c r="G489" s="110"/>
      <c r="H489" s="108" t="s">
        <v>3182</v>
      </c>
      <c r="I489" s="108" t="s">
        <v>778</v>
      </c>
      <c r="J489" s="104" t="s">
        <v>3184</v>
      </c>
      <c r="K489" s="110"/>
      <c r="L489" s="109" t="s">
        <v>147</v>
      </c>
      <c r="M489" s="105" t="s">
        <v>3081</v>
      </c>
      <c r="N489" s="106"/>
      <c r="O489" s="106"/>
      <c r="P489" s="212">
        <v>0.0</v>
      </c>
    </row>
    <row r="490" ht="14.25" hidden="1" customHeight="1">
      <c r="A490" s="103" t="s">
        <v>84</v>
      </c>
      <c r="B490" s="103" t="s">
        <v>3073</v>
      </c>
      <c r="C490" s="103" t="s">
        <v>1886</v>
      </c>
      <c r="D490" s="109" t="s">
        <v>3074</v>
      </c>
      <c r="E490" s="105" t="s">
        <v>3185</v>
      </c>
      <c r="F490" s="110" t="s">
        <v>3075</v>
      </c>
      <c r="G490" s="110" t="s">
        <v>3076</v>
      </c>
      <c r="H490" s="108" t="s">
        <v>3186</v>
      </c>
      <c r="I490" s="108" t="s">
        <v>4246</v>
      </c>
      <c r="J490" s="104" t="s">
        <v>3188</v>
      </c>
      <c r="K490" s="110"/>
      <c r="L490" s="109" t="s">
        <v>147</v>
      </c>
      <c r="M490" s="105" t="s">
        <v>3081</v>
      </c>
      <c r="N490" s="106"/>
      <c r="O490" s="106"/>
      <c r="P490" s="212">
        <v>253.62318840579712</v>
      </c>
    </row>
    <row r="491" ht="14.25" hidden="1" customHeight="1">
      <c r="A491" s="103" t="s">
        <v>84</v>
      </c>
      <c r="B491" s="103" t="s">
        <v>3073</v>
      </c>
      <c r="C491" s="103" t="s">
        <v>1886</v>
      </c>
      <c r="D491" s="109" t="s">
        <v>3074</v>
      </c>
      <c r="E491" s="105" t="s">
        <v>3185</v>
      </c>
      <c r="F491" s="110" t="s">
        <v>3082</v>
      </c>
      <c r="G491" s="110" t="s">
        <v>3076</v>
      </c>
      <c r="H491" s="108" t="s">
        <v>3189</v>
      </c>
      <c r="I491" s="108" t="s">
        <v>4247</v>
      </c>
      <c r="J491" s="104" t="s">
        <v>3191</v>
      </c>
      <c r="K491" s="110"/>
      <c r="L491" s="109" t="s">
        <v>147</v>
      </c>
      <c r="M491" s="105" t="s">
        <v>3081</v>
      </c>
      <c r="N491" s="106"/>
      <c r="O491" s="106"/>
      <c r="P491" s="212">
        <v>260.8695652173913</v>
      </c>
    </row>
    <row r="492" ht="14.25" hidden="1" customHeight="1">
      <c r="A492" s="103" t="s">
        <v>84</v>
      </c>
      <c r="B492" s="103" t="s">
        <v>3073</v>
      </c>
      <c r="C492" s="103" t="s">
        <v>1886</v>
      </c>
      <c r="D492" s="109" t="s">
        <v>3074</v>
      </c>
      <c r="E492" s="105" t="s">
        <v>3185</v>
      </c>
      <c r="F492" s="110" t="s">
        <v>3086</v>
      </c>
      <c r="G492" s="110" t="s">
        <v>3076</v>
      </c>
      <c r="H492" s="108" t="s">
        <v>3192</v>
      </c>
      <c r="I492" s="108" t="s">
        <v>4248</v>
      </c>
      <c r="J492" s="104" t="s">
        <v>3194</v>
      </c>
      <c r="K492" s="110"/>
      <c r="L492" s="109" t="s">
        <v>147</v>
      </c>
      <c r="M492" s="105" t="s">
        <v>3081</v>
      </c>
      <c r="N492" s="106"/>
      <c r="O492" s="106"/>
      <c r="P492" s="212">
        <v>275.36231884057975</v>
      </c>
    </row>
    <row r="493" ht="14.25" hidden="1" customHeight="1">
      <c r="A493" s="103" t="s">
        <v>84</v>
      </c>
      <c r="B493" s="103" t="s">
        <v>3073</v>
      </c>
      <c r="C493" s="103" t="s">
        <v>1886</v>
      </c>
      <c r="D493" s="109" t="s">
        <v>3074</v>
      </c>
      <c r="E493" s="105" t="s">
        <v>3185</v>
      </c>
      <c r="F493" s="110" t="s">
        <v>3090</v>
      </c>
      <c r="G493" s="110" t="s">
        <v>3076</v>
      </c>
      <c r="H493" s="108" t="s">
        <v>3195</v>
      </c>
      <c r="I493" s="108" t="s">
        <v>4249</v>
      </c>
      <c r="J493" s="104" t="s">
        <v>3197</v>
      </c>
      <c r="K493" s="110"/>
      <c r="L493" s="109" t="s">
        <v>147</v>
      </c>
      <c r="M493" s="105" t="s">
        <v>3081</v>
      </c>
      <c r="N493" s="106"/>
      <c r="O493" s="106"/>
      <c r="P493" s="212">
        <v>304.34782608695656</v>
      </c>
    </row>
    <row r="494" ht="14.25" hidden="1" customHeight="1">
      <c r="A494" s="103" t="s">
        <v>84</v>
      </c>
      <c r="B494" s="103" t="s">
        <v>3073</v>
      </c>
      <c r="C494" s="103" t="s">
        <v>1886</v>
      </c>
      <c r="D494" s="109" t="s">
        <v>3074</v>
      </c>
      <c r="E494" s="105" t="s">
        <v>3185</v>
      </c>
      <c r="F494" s="110" t="s">
        <v>3094</v>
      </c>
      <c r="G494" s="110" t="s">
        <v>3076</v>
      </c>
      <c r="H494" s="108" t="s">
        <v>3198</v>
      </c>
      <c r="I494" s="108" t="s">
        <v>4250</v>
      </c>
      <c r="J494" s="104" t="s">
        <v>3200</v>
      </c>
      <c r="K494" s="110"/>
      <c r="L494" s="109" t="s">
        <v>147</v>
      </c>
      <c r="M494" s="105" t="s">
        <v>3081</v>
      </c>
      <c r="N494" s="106"/>
      <c r="O494" s="106"/>
      <c r="P494" s="212">
        <v>355.072463768116</v>
      </c>
    </row>
    <row r="495" ht="14.25" hidden="1" customHeight="1">
      <c r="A495" s="103" t="s">
        <v>84</v>
      </c>
      <c r="B495" s="103" t="s">
        <v>3073</v>
      </c>
      <c r="C495" s="103" t="s">
        <v>1886</v>
      </c>
      <c r="D495" s="109" t="s">
        <v>3074</v>
      </c>
      <c r="E495" s="105" t="s">
        <v>3185</v>
      </c>
      <c r="F495" s="110" t="s">
        <v>3075</v>
      </c>
      <c r="G495" s="110" t="s">
        <v>3101</v>
      </c>
      <c r="H495" s="108" t="s">
        <v>3201</v>
      </c>
      <c r="I495" s="108" t="s">
        <v>4251</v>
      </c>
      <c r="J495" s="104" t="s">
        <v>3203</v>
      </c>
      <c r="K495" s="110"/>
      <c r="L495" s="109" t="s">
        <v>147</v>
      </c>
      <c r="M495" s="105" t="s">
        <v>3081</v>
      </c>
      <c r="N495" s="106"/>
      <c r="O495" s="106"/>
      <c r="P495" s="212">
        <v>275.36231884057975</v>
      </c>
    </row>
    <row r="496" ht="14.25" hidden="1" customHeight="1">
      <c r="A496" s="103" t="s">
        <v>84</v>
      </c>
      <c r="B496" s="103" t="s">
        <v>3073</v>
      </c>
      <c r="C496" s="103" t="s">
        <v>1886</v>
      </c>
      <c r="D496" s="109" t="s">
        <v>3074</v>
      </c>
      <c r="E496" s="105" t="s">
        <v>3185</v>
      </c>
      <c r="F496" s="110" t="s">
        <v>3086</v>
      </c>
      <c r="G496" s="110" t="s">
        <v>3101</v>
      </c>
      <c r="H496" s="108" t="s">
        <v>3204</v>
      </c>
      <c r="I496" s="108" t="s">
        <v>4252</v>
      </c>
      <c r="J496" s="104" t="s">
        <v>3206</v>
      </c>
      <c r="K496" s="110"/>
      <c r="L496" s="109" t="s">
        <v>147</v>
      </c>
      <c r="M496" s="105" t="s">
        <v>3081</v>
      </c>
      <c r="N496" s="106"/>
      <c r="O496" s="106"/>
      <c r="P496" s="212">
        <v>304.34782608695656</v>
      </c>
    </row>
    <row r="497" ht="14.25" hidden="1" customHeight="1">
      <c r="A497" s="103" t="s">
        <v>84</v>
      </c>
      <c r="B497" s="103" t="s">
        <v>3073</v>
      </c>
      <c r="C497" s="103" t="s">
        <v>1886</v>
      </c>
      <c r="D497" s="109" t="s">
        <v>3074</v>
      </c>
      <c r="E497" s="105" t="s">
        <v>3185</v>
      </c>
      <c r="F497" s="110" t="s">
        <v>3094</v>
      </c>
      <c r="G497" s="110" t="s">
        <v>3101</v>
      </c>
      <c r="H497" s="108" t="s">
        <v>3207</v>
      </c>
      <c r="I497" s="108" t="s">
        <v>4253</v>
      </c>
      <c r="J497" s="104" t="s">
        <v>3209</v>
      </c>
      <c r="K497" s="110"/>
      <c r="L497" s="109" t="s">
        <v>147</v>
      </c>
      <c r="M497" s="105" t="s">
        <v>3081</v>
      </c>
      <c r="N497" s="106"/>
      <c r="O497" s="106"/>
      <c r="P497" s="212">
        <v>384.05797101449275</v>
      </c>
    </row>
    <row r="498" ht="14.25" hidden="1" customHeight="1">
      <c r="A498" s="103" t="s">
        <v>84</v>
      </c>
      <c r="B498" s="103" t="s">
        <v>3073</v>
      </c>
      <c r="C498" s="103" t="s">
        <v>1886</v>
      </c>
      <c r="D498" s="109" t="s">
        <v>3074</v>
      </c>
      <c r="E498" s="105" t="s">
        <v>3185</v>
      </c>
      <c r="F498" s="110" t="s">
        <v>3094</v>
      </c>
      <c r="G498" s="110" t="s">
        <v>3120</v>
      </c>
      <c r="H498" s="108" t="s">
        <v>3210</v>
      </c>
      <c r="I498" s="108" t="s">
        <v>4254</v>
      </c>
      <c r="J498" s="104" t="s">
        <v>3212</v>
      </c>
      <c r="K498" s="110"/>
      <c r="L498" s="109" t="s">
        <v>147</v>
      </c>
      <c r="M498" s="105" t="s">
        <v>3081</v>
      </c>
      <c r="N498" s="106"/>
      <c r="O498" s="106"/>
      <c r="P498" s="212">
        <v>420.2898550724638</v>
      </c>
    </row>
    <row r="499" ht="14.25" hidden="1" customHeight="1">
      <c r="A499" s="103" t="s">
        <v>84</v>
      </c>
      <c r="B499" s="103" t="s">
        <v>3073</v>
      </c>
      <c r="C499" s="103" t="s">
        <v>1886</v>
      </c>
      <c r="D499" s="109" t="s">
        <v>3074</v>
      </c>
      <c r="E499" s="105" t="s">
        <v>3185</v>
      </c>
      <c r="F499" s="110" t="s">
        <v>3075</v>
      </c>
      <c r="G499" s="110" t="s">
        <v>3076</v>
      </c>
      <c r="H499" s="108" t="s">
        <v>3247</v>
      </c>
      <c r="I499" s="108" t="s">
        <v>4255</v>
      </c>
      <c r="J499" s="104" t="s">
        <v>3249</v>
      </c>
      <c r="K499" s="110"/>
      <c r="L499" s="109" t="s">
        <v>147</v>
      </c>
      <c r="M499" s="105" t="s">
        <v>3081</v>
      </c>
      <c r="N499" s="106"/>
      <c r="O499" s="106"/>
      <c r="P499" s="212">
        <v>297.1014492753623</v>
      </c>
    </row>
    <row r="500" ht="14.25" hidden="1" customHeight="1">
      <c r="A500" s="103" t="s">
        <v>84</v>
      </c>
      <c r="B500" s="103" t="s">
        <v>3073</v>
      </c>
      <c r="C500" s="103" t="s">
        <v>1886</v>
      </c>
      <c r="D500" s="109" t="s">
        <v>3074</v>
      </c>
      <c r="E500" s="105" t="s">
        <v>3185</v>
      </c>
      <c r="F500" s="110" t="s">
        <v>3082</v>
      </c>
      <c r="G500" s="110" t="s">
        <v>3076</v>
      </c>
      <c r="H500" s="108" t="s">
        <v>3250</v>
      </c>
      <c r="I500" s="108" t="s">
        <v>4256</v>
      </c>
      <c r="J500" s="104" t="s">
        <v>3252</v>
      </c>
      <c r="K500" s="110"/>
      <c r="L500" s="109" t="s">
        <v>147</v>
      </c>
      <c r="M500" s="105" t="s">
        <v>3081</v>
      </c>
      <c r="N500" s="106"/>
      <c r="O500" s="106"/>
      <c r="P500" s="212">
        <v>305.7971014492754</v>
      </c>
    </row>
    <row r="501" ht="14.25" hidden="1" customHeight="1">
      <c r="A501" s="103" t="s">
        <v>84</v>
      </c>
      <c r="B501" s="103" t="s">
        <v>3073</v>
      </c>
      <c r="C501" s="103" t="s">
        <v>1886</v>
      </c>
      <c r="D501" s="109" t="s">
        <v>3074</v>
      </c>
      <c r="E501" s="105" t="s">
        <v>3185</v>
      </c>
      <c r="F501" s="110" t="s">
        <v>3086</v>
      </c>
      <c r="G501" s="110" t="s">
        <v>3076</v>
      </c>
      <c r="H501" s="108" t="s">
        <v>3253</v>
      </c>
      <c r="I501" s="108" t="s">
        <v>4257</v>
      </c>
      <c r="J501" s="104" t="s">
        <v>3255</v>
      </c>
      <c r="K501" s="110"/>
      <c r="L501" s="109" t="s">
        <v>147</v>
      </c>
      <c r="M501" s="105" t="s">
        <v>3081</v>
      </c>
      <c r="N501" s="106"/>
      <c r="O501" s="106"/>
      <c r="P501" s="212">
        <v>318.84057971014494</v>
      </c>
    </row>
    <row r="502" ht="14.25" hidden="1" customHeight="1">
      <c r="A502" s="103" t="s">
        <v>84</v>
      </c>
      <c r="B502" s="103" t="s">
        <v>3073</v>
      </c>
      <c r="C502" s="103" t="s">
        <v>1886</v>
      </c>
      <c r="D502" s="109" t="s">
        <v>3074</v>
      </c>
      <c r="E502" s="105" t="s">
        <v>3185</v>
      </c>
      <c r="F502" s="110" t="s">
        <v>3090</v>
      </c>
      <c r="G502" s="110" t="s">
        <v>3076</v>
      </c>
      <c r="H502" s="108" t="s">
        <v>3256</v>
      </c>
      <c r="I502" s="108" t="s">
        <v>4258</v>
      </c>
      <c r="J502" s="104" t="s">
        <v>3258</v>
      </c>
      <c r="K502" s="110"/>
      <c r="L502" s="109" t="s">
        <v>147</v>
      </c>
      <c r="M502" s="105" t="s">
        <v>3081</v>
      </c>
      <c r="N502" s="106"/>
      <c r="O502" s="106"/>
      <c r="P502" s="212">
        <v>357.9710144927537</v>
      </c>
    </row>
    <row r="503" ht="14.25" hidden="1" customHeight="1">
      <c r="A503" s="103" t="s">
        <v>84</v>
      </c>
      <c r="B503" s="103" t="s">
        <v>3073</v>
      </c>
      <c r="C503" s="103" t="s">
        <v>1886</v>
      </c>
      <c r="D503" s="109" t="s">
        <v>3074</v>
      </c>
      <c r="E503" s="105" t="s">
        <v>3185</v>
      </c>
      <c r="F503" s="110" t="s">
        <v>3094</v>
      </c>
      <c r="G503" s="110" t="s">
        <v>3076</v>
      </c>
      <c r="H503" s="108" t="s">
        <v>3259</v>
      </c>
      <c r="I503" s="108" t="s">
        <v>4259</v>
      </c>
      <c r="J503" s="104" t="s">
        <v>3261</v>
      </c>
      <c r="K503" s="110"/>
      <c r="L503" s="109" t="s">
        <v>147</v>
      </c>
      <c r="M503" s="105" t="s">
        <v>3081</v>
      </c>
      <c r="N503" s="106"/>
      <c r="O503" s="106"/>
      <c r="P503" s="212">
        <v>398.5507246376812</v>
      </c>
    </row>
    <row r="504" ht="14.25" hidden="1" customHeight="1">
      <c r="A504" s="103" t="s">
        <v>84</v>
      </c>
      <c r="B504" s="103" t="s">
        <v>3073</v>
      </c>
      <c r="C504" s="103" t="s">
        <v>1886</v>
      </c>
      <c r="D504" s="109" t="s">
        <v>3074</v>
      </c>
      <c r="E504" s="105" t="s">
        <v>3185</v>
      </c>
      <c r="F504" s="110" t="s">
        <v>3075</v>
      </c>
      <c r="G504" s="110" t="s">
        <v>3101</v>
      </c>
      <c r="H504" s="108" t="s">
        <v>3262</v>
      </c>
      <c r="I504" s="108" t="s">
        <v>4260</v>
      </c>
      <c r="J504" s="104" t="s">
        <v>3264</v>
      </c>
      <c r="K504" s="110"/>
      <c r="L504" s="109" t="s">
        <v>147</v>
      </c>
      <c r="M504" s="105" t="s">
        <v>3081</v>
      </c>
      <c r="N504" s="106"/>
      <c r="O504" s="106"/>
      <c r="P504" s="212">
        <v>318.84057971014494</v>
      </c>
    </row>
    <row r="505" ht="14.25" hidden="1" customHeight="1">
      <c r="A505" s="103" t="s">
        <v>84</v>
      </c>
      <c r="B505" s="103" t="s">
        <v>3073</v>
      </c>
      <c r="C505" s="103" t="s">
        <v>1886</v>
      </c>
      <c r="D505" s="109" t="s">
        <v>3074</v>
      </c>
      <c r="E505" s="105" t="s">
        <v>3185</v>
      </c>
      <c r="F505" s="110" t="s">
        <v>3086</v>
      </c>
      <c r="G505" s="110" t="s">
        <v>3101</v>
      </c>
      <c r="H505" s="108" t="s">
        <v>3265</v>
      </c>
      <c r="I505" s="108" t="s">
        <v>4261</v>
      </c>
      <c r="J505" s="104" t="s">
        <v>3267</v>
      </c>
      <c r="K505" s="110"/>
      <c r="L505" s="109" t="s">
        <v>147</v>
      </c>
      <c r="M505" s="105" t="s">
        <v>3081</v>
      </c>
      <c r="N505" s="106"/>
      <c r="O505" s="106"/>
      <c r="P505" s="212">
        <v>347.82608695652175</v>
      </c>
    </row>
    <row r="506" ht="14.25" hidden="1" customHeight="1">
      <c r="A506" s="103" t="s">
        <v>84</v>
      </c>
      <c r="B506" s="103" t="s">
        <v>3073</v>
      </c>
      <c r="C506" s="103" t="s">
        <v>1886</v>
      </c>
      <c r="D506" s="109" t="s">
        <v>3074</v>
      </c>
      <c r="E506" s="105" t="s">
        <v>3185</v>
      </c>
      <c r="F506" s="110" t="s">
        <v>3094</v>
      </c>
      <c r="G506" s="110" t="s">
        <v>3101</v>
      </c>
      <c r="H506" s="108" t="s">
        <v>3268</v>
      </c>
      <c r="I506" s="108" t="s">
        <v>4262</v>
      </c>
      <c r="J506" s="104" t="s">
        <v>3270</v>
      </c>
      <c r="K506" s="110"/>
      <c r="L506" s="109" t="s">
        <v>147</v>
      </c>
      <c r="M506" s="105" t="s">
        <v>3081</v>
      </c>
      <c r="N506" s="106"/>
      <c r="O506" s="106"/>
      <c r="P506" s="212">
        <v>434.7826086956522</v>
      </c>
    </row>
    <row r="507" ht="14.25" hidden="1" customHeight="1">
      <c r="A507" s="103" t="s">
        <v>84</v>
      </c>
      <c r="B507" s="103" t="s">
        <v>3073</v>
      </c>
      <c r="C507" s="103" t="s">
        <v>1886</v>
      </c>
      <c r="D507" s="109" t="s">
        <v>3074</v>
      </c>
      <c r="E507" s="105" t="s">
        <v>3185</v>
      </c>
      <c r="F507" s="110" t="s">
        <v>3094</v>
      </c>
      <c r="G507" s="110" t="s">
        <v>3120</v>
      </c>
      <c r="H507" s="108" t="s">
        <v>3271</v>
      </c>
      <c r="I507" s="108" t="s">
        <v>4263</v>
      </c>
      <c r="J507" s="104" t="s">
        <v>3273</v>
      </c>
      <c r="K507" s="110"/>
      <c r="L507" s="109" t="s">
        <v>147</v>
      </c>
      <c r="M507" s="105" t="s">
        <v>3081</v>
      </c>
      <c r="N507" s="106"/>
      <c r="O507" s="106"/>
      <c r="P507" s="212">
        <v>478.26086956521743</v>
      </c>
    </row>
    <row r="508" ht="14.25" hidden="1" customHeight="1">
      <c r="A508" s="103" t="s">
        <v>84</v>
      </c>
      <c r="B508" s="103" t="s">
        <v>3073</v>
      </c>
      <c r="C508" s="103" t="s">
        <v>1886</v>
      </c>
      <c r="D508" s="109" t="s">
        <v>3074</v>
      </c>
      <c r="E508" s="105" t="s">
        <v>3185</v>
      </c>
      <c r="F508" s="110" t="s">
        <v>3094</v>
      </c>
      <c r="G508" s="110" t="s">
        <v>3124</v>
      </c>
      <c r="H508" s="108" t="s">
        <v>3274</v>
      </c>
      <c r="I508" s="108" t="s">
        <v>4264</v>
      </c>
      <c r="J508" s="104" t="s">
        <v>3276</v>
      </c>
      <c r="K508" s="110"/>
      <c r="L508" s="109" t="s">
        <v>147</v>
      </c>
      <c r="M508" s="105" t="s">
        <v>3081</v>
      </c>
      <c r="N508" s="106"/>
      <c r="O508" s="106"/>
      <c r="P508" s="212">
        <v>492.7536231884058</v>
      </c>
    </row>
    <row r="509" ht="14.25" hidden="1" customHeight="1">
      <c r="A509" s="103" t="s">
        <v>84</v>
      </c>
      <c r="B509" s="103" t="s">
        <v>3073</v>
      </c>
      <c r="C509" s="103" t="s">
        <v>1886</v>
      </c>
      <c r="D509" s="109" t="s">
        <v>3074</v>
      </c>
      <c r="E509" s="105" t="s">
        <v>3185</v>
      </c>
      <c r="F509" s="110" t="s">
        <v>3090</v>
      </c>
      <c r="G509" s="110" t="s">
        <v>3134</v>
      </c>
      <c r="H509" s="108" t="s">
        <v>3277</v>
      </c>
      <c r="I509" s="108" t="s">
        <v>4265</v>
      </c>
      <c r="J509" s="104" t="s">
        <v>3279</v>
      </c>
      <c r="K509" s="110"/>
      <c r="L509" s="109" t="s">
        <v>147</v>
      </c>
      <c r="M509" s="105" t="s">
        <v>3081</v>
      </c>
      <c r="N509" s="106"/>
      <c r="O509" s="106"/>
      <c r="P509" s="212">
        <v>471.01449275362324</v>
      </c>
    </row>
    <row r="510" ht="14.25" hidden="1" customHeight="1">
      <c r="A510" s="103" t="s">
        <v>84</v>
      </c>
      <c r="B510" s="103" t="s">
        <v>3073</v>
      </c>
      <c r="C510" s="103" t="s">
        <v>1886</v>
      </c>
      <c r="D510" s="109" t="s">
        <v>3074</v>
      </c>
      <c r="E510" s="105" t="s">
        <v>3185</v>
      </c>
      <c r="F510" s="110" t="s">
        <v>3094</v>
      </c>
      <c r="G510" s="110" t="s">
        <v>3134</v>
      </c>
      <c r="H510" s="108" t="s">
        <v>3280</v>
      </c>
      <c r="I510" s="108" t="s">
        <v>4266</v>
      </c>
      <c r="J510" s="104" t="s">
        <v>3282</v>
      </c>
      <c r="K510" s="110"/>
      <c r="L510" s="109" t="s">
        <v>147</v>
      </c>
      <c r="M510" s="105" t="s">
        <v>3081</v>
      </c>
      <c r="N510" s="106"/>
      <c r="O510" s="106"/>
      <c r="P510" s="212">
        <v>492.7536231884058</v>
      </c>
    </row>
    <row r="511" ht="14.25" hidden="1" customHeight="1">
      <c r="A511" s="103" t="s">
        <v>84</v>
      </c>
      <c r="B511" s="103" t="s">
        <v>3073</v>
      </c>
      <c r="C511" s="103" t="s">
        <v>1886</v>
      </c>
      <c r="D511" s="109" t="s">
        <v>3074</v>
      </c>
      <c r="E511" s="105" t="s">
        <v>3185</v>
      </c>
      <c r="F511" s="110" t="s">
        <v>3228</v>
      </c>
      <c r="G511" s="110" t="s">
        <v>3134</v>
      </c>
      <c r="H511" s="108" t="s">
        <v>3283</v>
      </c>
      <c r="I511" s="108" t="s">
        <v>4267</v>
      </c>
      <c r="J511" s="104" t="s">
        <v>3285</v>
      </c>
      <c r="K511" s="110"/>
      <c r="L511" s="109" t="s">
        <v>147</v>
      </c>
      <c r="M511" s="105" t="s">
        <v>3081</v>
      </c>
      <c r="N511" s="106"/>
      <c r="O511" s="106"/>
      <c r="P511" s="212">
        <v>579.7101449275362</v>
      </c>
    </row>
    <row r="512" ht="14.25" hidden="1" customHeight="1">
      <c r="A512" s="103" t="s">
        <v>84</v>
      </c>
      <c r="B512" s="103" t="s">
        <v>3073</v>
      </c>
      <c r="C512" s="103" t="s">
        <v>1886</v>
      </c>
      <c r="D512" s="109" t="s">
        <v>3074</v>
      </c>
      <c r="E512" s="105" t="s">
        <v>3185</v>
      </c>
      <c r="F512" s="110" t="s">
        <v>3094</v>
      </c>
      <c r="G512" s="110" t="s">
        <v>3159</v>
      </c>
      <c r="H512" s="108" t="s">
        <v>3286</v>
      </c>
      <c r="I512" s="108" t="s">
        <v>4268</v>
      </c>
      <c r="J512" s="104" t="s">
        <v>3288</v>
      </c>
      <c r="K512" s="110"/>
      <c r="L512" s="109" t="s">
        <v>147</v>
      </c>
      <c r="M512" s="105" t="s">
        <v>3081</v>
      </c>
      <c r="N512" s="106"/>
      <c r="O512" s="106"/>
      <c r="P512" s="212">
        <v>557.9710144927536</v>
      </c>
    </row>
    <row r="513" ht="14.25" hidden="1" customHeight="1">
      <c r="A513" s="103" t="s">
        <v>84</v>
      </c>
      <c r="B513" s="103" t="s">
        <v>3073</v>
      </c>
      <c r="C513" s="103" t="s">
        <v>1886</v>
      </c>
      <c r="D513" s="109" t="s">
        <v>3074</v>
      </c>
      <c r="E513" s="105" t="s">
        <v>3185</v>
      </c>
      <c r="F513" s="110" t="s">
        <v>3094</v>
      </c>
      <c r="G513" s="110" t="s">
        <v>3240</v>
      </c>
      <c r="H513" s="108" t="s">
        <v>3289</v>
      </c>
      <c r="I513" s="108" t="s">
        <v>4269</v>
      </c>
      <c r="J513" s="104" t="s">
        <v>3291</v>
      </c>
      <c r="K513" s="110"/>
      <c r="L513" s="109" t="s">
        <v>147</v>
      </c>
      <c r="M513" s="105" t="s">
        <v>3081</v>
      </c>
      <c r="N513" s="106"/>
      <c r="O513" s="106"/>
      <c r="P513" s="212">
        <v>630.4347826086957</v>
      </c>
    </row>
    <row r="514" ht="14.25" hidden="1" customHeight="1">
      <c r="A514" s="103" t="s">
        <v>84</v>
      </c>
      <c r="B514" s="103" t="s">
        <v>3073</v>
      </c>
      <c r="C514" s="103" t="s">
        <v>1886</v>
      </c>
      <c r="D514" s="109" t="s">
        <v>3074</v>
      </c>
      <c r="E514" s="105" t="s">
        <v>3185</v>
      </c>
      <c r="F514" s="110" t="s">
        <v>3228</v>
      </c>
      <c r="G514" s="110" t="s">
        <v>3240</v>
      </c>
      <c r="H514" s="108" t="s">
        <v>3292</v>
      </c>
      <c r="I514" s="108" t="s">
        <v>4270</v>
      </c>
      <c r="J514" s="104" t="s">
        <v>3294</v>
      </c>
      <c r="K514" s="110"/>
      <c r="L514" s="109" t="s">
        <v>147</v>
      </c>
      <c r="M514" s="105" t="s">
        <v>3081</v>
      </c>
      <c r="N514" s="106"/>
      <c r="O514" s="106"/>
      <c r="P514" s="212">
        <v>681.1594202898551</v>
      </c>
    </row>
    <row r="515" ht="14.25" hidden="1" customHeight="1">
      <c r="A515" s="103" t="s">
        <v>84</v>
      </c>
      <c r="B515" s="103" t="s">
        <v>3073</v>
      </c>
      <c r="C515" s="103" t="s">
        <v>1886</v>
      </c>
      <c r="D515" s="109" t="s">
        <v>3074</v>
      </c>
      <c r="E515" s="105" t="s">
        <v>3185</v>
      </c>
      <c r="F515" s="110" t="s">
        <v>3090</v>
      </c>
      <c r="G515" s="110" t="s">
        <v>3134</v>
      </c>
      <c r="H515" s="108" t="s">
        <v>3295</v>
      </c>
      <c r="I515" s="108" t="s">
        <v>4271</v>
      </c>
      <c r="J515" s="104" t="s">
        <v>3297</v>
      </c>
      <c r="K515" s="110"/>
      <c r="L515" s="109" t="s">
        <v>147</v>
      </c>
      <c r="M515" s="105" t="s">
        <v>3081</v>
      </c>
      <c r="N515" s="106"/>
      <c r="O515" s="106"/>
      <c r="P515" s="212">
        <v>543.4782608695654</v>
      </c>
    </row>
    <row r="516" ht="14.25" hidden="1" customHeight="1">
      <c r="A516" s="103" t="s">
        <v>84</v>
      </c>
      <c r="B516" s="103" t="s">
        <v>3073</v>
      </c>
      <c r="C516" s="103" t="s">
        <v>1886</v>
      </c>
      <c r="D516" s="109" t="s">
        <v>3074</v>
      </c>
      <c r="E516" s="105" t="s">
        <v>3185</v>
      </c>
      <c r="F516" s="110" t="s">
        <v>3094</v>
      </c>
      <c r="G516" s="110" t="s">
        <v>3134</v>
      </c>
      <c r="H516" s="108" t="s">
        <v>3298</v>
      </c>
      <c r="I516" s="108" t="s">
        <v>4272</v>
      </c>
      <c r="J516" s="104" t="s">
        <v>3300</v>
      </c>
      <c r="K516" s="110"/>
      <c r="L516" s="109" t="s">
        <v>147</v>
      </c>
      <c r="M516" s="105" t="s">
        <v>3081</v>
      </c>
      <c r="N516" s="106"/>
      <c r="O516" s="106"/>
      <c r="P516" s="212">
        <v>608.6956521739131</v>
      </c>
    </row>
    <row r="517" ht="14.25" hidden="1" customHeight="1">
      <c r="A517" s="103" t="s">
        <v>84</v>
      </c>
      <c r="B517" s="103" t="s">
        <v>3073</v>
      </c>
      <c r="C517" s="103" t="s">
        <v>1886</v>
      </c>
      <c r="D517" s="109" t="s">
        <v>3074</v>
      </c>
      <c r="E517" s="105" t="s">
        <v>3185</v>
      </c>
      <c r="F517" s="110" t="s">
        <v>3228</v>
      </c>
      <c r="G517" s="110" t="s">
        <v>3134</v>
      </c>
      <c r="H517" s="108" t="s">
        <v>3301</v>
      </c>
      <c r="I517" s="108" t="s">
        <v>4273</v>
      </c>
      <c r="J517" s="104" t="s">
        <v>3303</v>
      </c>
      <c r="K517" s="110"/>
      <c r="L517" s="109" t="s">
        <v>147</v>
      </c>
      <c r="M517" s="105" t="s">
        <v>3081</v>
      </c>
      <c r="N517" s="106"/>
      <c r="O517" s="106"/>
      <c r="P517" s="212">
        <v>659.4202898550725</v>
      </c>
    </row>
    <row r="518" ht="14.25" hidden="1" customHeight="1">
      <c r="A518" s="103" t="s">
        <v>84</v>
      </c>
      <c r="B518" s="103" t="s">
        <v>3073</v>
      </c>
      <c r="C518" s="103" t="s">
        <v>1886</v>
      </c>
      <c r="D518" s="109" t="s">
        <v>3074</v>
      </c>
      <c r="E518" s="105" t="s">
        <v>3185</v>
      </c>
      <c r="F518" s="110" t="s">
        <v>3094</v>
      </c>
      <c r="G518" s="110" t="s">
        <v>3159</v>
      </c>
      <c r="H518" s="108" t="s">
        <v>3304</v>
      </c>
      <c r="I518" s="108" t="s">
        <v>4274</v>
      </c>
      <c r="J518" s="104" t="s">
        <v>3306</v>
      </c>
      <c r="K518" s="110"/>
      <c r="L518" s="109" t="s">
        <v>147</v>
      </c>
      <c r="M518" s="105" t="s">
        <v>3081</v>
      </c>
      <c r="N518" s="106"/>
      <c r="O518" s="106"/>
      <c r="P518" s="212">
        <v>644.9275362318841</v>
      </c>
    </row>
    <row r="519" ht="14.25" hidden="1" customHeight="1">
      <c r="A519" s="103" t="s">
        <v>84</v>
      </c>
      <c r="B519" s="103" t="s">
        <v>3073</v>
      </c>
      <c r="C519" s="103" t="s">
        <v>1886</v>
      </c>
      <c r="D519" s="109" t="s">
        <v>3074</v>
      </c>
      <c r="E519" s="105" t="s">
        <v>3185</v>
      </c>
      <c r="F519" s="110" t="s">
        <v>3094</v>
      </c>
      <c r="G519" s="110" t="s">
        <v>3240</v>
      </c>
      <c r="H519" s="108" t="s">
        <v>3307</v>
      </c>
      <c r="I519" s="108" t="s">
        <v>4275</v>
      </c>
      <c r="J519" s="104" t="s">
        <v>3309</v>
      </c>
      <c r="K519" s="110"/>
      <c r="L519" s="109" t="s">
        <v>147</v>
      </c>
      <c r="M519" s="105" t="s">
        <v>3081</v>
      </c>
      <c r="N519" s="106"/>
      <c r="O519" s="106"/>
      <c r="P519" s="212">
        <v>710.144927536232</v>
      </c>
    </row>
    <row r="520" ht="14.25" hidden="1" customHeight="1">
      <c r="A520" s="103" t="s">
        <v>84</v>
      </c>
      <c r="B520" s="103" t="s">
        <v>3073</v>
      </c>
      <c r="C520" s="103" t="s">
        <v>1886</v>
      </c>
      <c r="D520" s="109" t="s">
        <v>3074</v>
      </c>
      <c r="E520" s="105" t="s">
        <v>3185</v>
      </c>
      <c r="F520" s="110" t="s">
        <v>3228</v>
      </c>
      <c r="G520" s="110" t="s">
        <v>3240</v>
      </c>
      <c r="H520" s="108" t="s">
        <v>3310</v>
      </c>
      <c r="I520" s="108" t="s">
        <v>4276</v>
      </c>
      <c r="J520" s="104" t="s">
        <v>3312</v>
      </c>
      <c r="K520" s="110"/>
      <c r="L520" s="109" t="s">
        <v>147</v>
      </c>
      <c r="M520" s="105" t="s">
        <v>3081</v>
      </c>
      <c r="N520" s="106"/>
      <c r="O520" s="106"/>
      <c r="P520" s="212">
        <v>768.1159420289855</v>
      </c>
    </row>
    <row r="521" ht="14.25" hidden="1" customHeight="1">
      <c r="A521" s="103" t="s">
        <v>84</v>
      </c>
      <c r="B521" s="103" t="s">
        <v>3073</v>
      </c>
      <c r="C521" s="103" t="s">
        <v>1886</v>
      </c>
      <c r="D521" s="109" t="s">
        <v>3074</v>
      </c>
      <c r="E521" s="105" t="s">
        <v>3185</v>
      </c>
      <c r="F521" s="110" t="s">
        <v>3075</v>
      </c>
      <c r="G521" s="110" t="s">
        <v>3076</v>
      </c>
      <c r="H521" s="108" t="s">
        <v>3313</v>
      </c>
      <c r="I521" s="108" t="s">
        <v>4277</v>
      </c>
      <c r="J521" s="104" t="s">
        <v>3315</v>
      </c>
      <c r="K521" s="110"/>
      <c r="L521" s="109" t="s">
        <v>147</v>
      </c>
      <c r="M521" s="105" t="s">
        <v>3081</v>
      </c>
      <c r="N521" s="106"/>
      <c r="O521" s="106"/>
      <c r="P521" s="212">
        <v>260.8695652173913</v>
      </c>
    </row>
    <row r="522" ht="14.25" hidden="1" customHeight="1">
      <c r="A522" s="103" t="s">
        <v>84</v>
      </c>
      <c r="B522" s="103" t="s">
        <v>3073</v>
      </c>
      <c r="C522" s="103" t="s">
        <v>1886</v>
      </c>
      <c r="D522" s="109" t="s">
        <v>3074</v>
      </c>
      <c r="E522" s="105" t="s">
        <v>3185</v>
      </c>
      <c r="F522" s="110" t="s">
        <v>3082</v>
      </c>
      <c r="G522" s="110" t="s">
        <v>3076</v>
      </c>
      <c r="H522" s="108" t="s">
        <v>3316</v>
      </c>
      <c r="I522" s="108" t="s">
        <v>4278</v>
      </c>
      <c r="J522" s="104" t="s">
        <v>3318</v>
      </c>
      <c r="K522" s="110"/>
      <c r="L522" s="109" t="s">
        <v>147</v>
      </c>
      <c r="M522" s="105" t="s">
        <v>3081</v>
      </c>
      <c r="N522" s="106"/>
      <c r="O522" s="106"/>
      <c r="P522" s="212">
        <v>275.36231884057975</v>
      </c>
    </row>
    <row r="523" ht="14.25" hidden="1" customHeight="1">
      <c r="A523" s="103" t="s">
        <v>84</v>
      </c>
      <c r="B523" s="103" t="s">
        <v>3073</v>
      </c>
      <c r="C523" s="103" t="s">
        <v>1886</v>
      </c>
      <c r="D523" s="109" t="s">
        <v>3074</v>
      </c>
      <c r="E523" s="105" t="s">
        <v>3185</v>
      </c>
      <c r="F523" s="110" t="s">
        <v>3086</v>
      </c>
      <c r="G523" s="110" t="s">
        <v>3076</v>
      </c>
      <c r="H523" s="108" t="s">
        <v>3319</v>
      </c>
      <c r="I523" s="108" t="s">
        <v>4279</v>
      </c>
      <c r="J523" s="104" t="s">
        <v>3321</v>
      </c>
      <c r="K523" s="110"/>
      <c r="L523" s="109" t="s">
        <v>147</v>
      </c>
      <c r="M523" s="105" t="s">
        <v>3081</v>
      </c>
      <c r="N523" s="106"/>
      <c r="O523" s="106"/>
      <c r="P523" s="212">
        <v>289.8550724637681</v>
      </c>
    </row>
    <row r="524" ht="14.25" hidden="1" customHeight="1">
      <c r="A524" s="103" t="s">
        <v>84</v>
      </c>
      <c r="B524" s="103" t="s">
        <v>3073</v>
      </c>
      <c r="C524" s="103" t="s">
        <v>1886</v>
      </c>
      <c r="D524" s="109" t="s">
        <v>3074</v>
      </c>
      <c r="E524" s="105" t="s">
        <v>3185</v>
      </c>
      <c r="F524" s="110" t="s">
        <v>3090</v>
      </c>
      <c r="G524" s="110" t="s">
        <v>3076</v>
      </c>
      <c r="H524" s="108" t="s">
        <v>3322</v>
      </c>
      <c r="I524" s="108" t="s">
        <v>4280</v>
      </c>
      <c r="J524" s="104" t="s">
        <v>3324</v>
      </c>
      <c r="K524" s="110"/>
      <c r="L524" s="109" t="s">
        <v>147</v>
      </c>
      <c r="M524" s="105" t="s">
        <v>3081</v>
      </c>
      <c r="N524" s="106"/>
      <c r="O524" s="106"/>
      <c r="P524" s="212">
        <v>318.84057971014494</v>
      </c>
    </row>
    <row r="525" ht="14.25" hidden="1" customHeight="1">
      <c r="A525" s="103" t="s">
        <v>84</v>
      </c>
      <c r="B525" s="103" t="s">
        <v>3073</v>
      </c>
      <c r="C525" s="103" t="s">
        <v>1886</v>
      </c>
      <c r="D525" s="109" t="s">
        <v>3074</v>
      </c>
      <c r="E525" s="105" t="s">
        <v>3185</v>
      </c>
      <c r="F525" s="110" t="s">
        <v>3094</v>
      </c>
      <c r="G525" s="110" t="s">
        <v>3076</v>
      </c>
      <c r="H525" s="108" t="s">
        <v>3325</v>
      </c>
      <c r="I525" s="108" t="s">
        <v>4281</v>
      </c>
      <c r="J525" s="104" t="s">
        <v>3327</v>
      </c>
      <c r="K525" s="110"/>
      <c r="L525" s="109" t="s">
        <v>147</v>
      </c>
      <c r="M525" s="105" t="s">
        <v>3081</v>
      </c>
      <c r="N525" s="106"/>
      <c r="O525" s="106"/>
      <c r="P525" s="212">
        <v>362.3188405797102</v>
      </c>
    </row>
    <row r="526" ht="14.25" hidden="1" customHeight="1">
      <c r="A526" s="103" t="s">
        <v>84</v>
      </c>
      <c r="B526" s="103" t="s">
        <v>3073</v>
      </c>
      <c r="C526" s="103" t="s">
        <v>1886</v>
      </c>
      <c r="D526" s="109" t="s">
        <v>3074</v>
      </c>
      <c r="E526" s="105" t="s">
        <v>3185</v>
      </c>
      <c r="F526" s="110" t="s">
        <v>3075</v>
      </c>
      <c r="G526" s="110" t="s">
        <v>3101</v>
      </c>
      <c r="H526" s="108" t="s">
        <v>3328</v>
      </c>
      <c r="I526" s="108" t="s">
        <v>4282</v>
      </c>
      <c r="J526" s="104" t="s">
        <v>3330</v>
      </c>
      <c r="K526" s="110"/>
      <c r="L526" s="109" t="s">
        <v>147</v>
      </c>
      <c r="M526" s="105" t="s">
        <v>3081</v>
      </c>
      <c r="N526" s="106"/>
      <c r="O526" s="106"/>
      <c r="P526" s="212">
        <v>289.8550724637681</v>
      </c>
    </row>
    <row r="527" ht="14.25" hidden="1" customHeight="1">
      <c r="A527" s="103" t="s">
        <v>84</v>
      </c>
      <c r="B527" s="103" t="s">
        <v>3073</v>
      </c>
      <c r="C527" s="103" t="s">
        <v>1886</v>
      </c>
      <c r="D527" s="109" t="s">
        <v>3074</v>
      </c>
      <c r="E527" s="105" t="s">
        <v>3185</v>
      </c>
      <c r="F527" s="110" t="s">
        <v>3086</v>
      </c>
      <c r="G527" s="110" t="s">
        <v>3101</v>
      </c>
      <c r="H527" s="108" t="s">
        <v>3331</v>
      </c>
      <c r="I527" s="108" t="s">
        <v>4283</v>
      </c>
      <c r="J527" s="104" t="s">
        <v>3333</v>
      </c>
      <c r="K527" s="110"/>
      <c r="L527" s="109" t="s">
        <v>147</v>
      </c>
      <c r="M527" s="105" t="s">
        <v>3081</v>
      </c>
      <c r="N527" s="106"/>
      <c r="O527" s="106"/>
      <c r="P527" s="212">
        <v>318.84057971014494</v>
      </c>
    </row>
    <row r="528" ht="14.25" hidden="1" customHeight="1">
      <c r="A528" s="103" t="s">
        <v>84</v>
      </c>
      <c r="B528" s="103" t="s">
        <v>3073</v>
      </c>
      <c r="C528" s="103" t="s">
        <v>1886</v>
      </c>
      <c r="D528" s="109" t="s">
        <v>3074</v>
      </c>
      <c r="E528" s="105" t="s">
        <v>3185</v>
      </c>
      <c r="F528" s="110" t="s">
        <v>3094</v>
      </c>
      <c r="G528" s="110" t="s">
        <v>3101</v>
      </c>
      <c r="H528" s="108" t="s">
        <v>3334</v>
      </c>
      <c r="I528" s="108" t="s">
        <v>4284</v>
      </c>
      <c r="J528" s="104" t="s">
        <v>3336</v>
      </c>
      <c r="K528" s="110"/>
      <c r="L528" s="109" t="s">
        <v>147</v>
      </c>
      <c r="M528" s="105" t="s">
        <v>3081</v>
      </c>
      <c r="N528" s="106"/>
      <c r="O528" s="106"/>
      <c r="P528" s="212">
        <v>391.304347826087</v>
      </c>
    </row>
    <row r="529" ht="14.25" hidden="1" customHeight="1">
      <c r="A529" s="103" t="s">
        <v>84</v>
      </c>
      <c r="B529" s="103" t="s">
        <v>3073</v>
      </c>
      <c r="C529" s="103" t="s">
        <v>1886</v>
      </c>
      <c r="D529" s="109" t="s">
        <v>3074</v>
      </c>
      <c r="E529" s="105" t="s">
        <v>3185</v>
      </c>
      <c r="F529" s="110" t="s">
        <v>3228</v>
      </c>
      <c r="G529" s="110" t="s">
        <v>3101</v>
      </c>
      <c r="H529" s="108" t="s">
        <v>3337</v>
      </c>
      <c r="I529" s="108" t="s">
        <v>4285</v>
      </c>
      <c r="J529" s="104" t="s">
        <v>3339</v>
      </c>
      <c r="K529" s="110"/>
      <c r="L529" s="109" t="s">
        <v>147</v>
      </c>
      <c r="M529" s="105" t="s">
        <v>3081</v>
      </c>
      <c r="N529" s="106"/>
      <c r="O529" s="106"/>
      <c r="P529" s="212">
        <v>420.2898550724638</v>
      </c>
    </row>
    <row r="530" ht="14.25" hidden="1" customHeight="1">
      <c r="A530" s="103" t="s">
        <v>84</v>
      </c>
      <c r="B530" s="103" t="s">
        <v>3073</v>
      </c>
      <c r="C530" s="103" t="s">
        <v>1886</v>
      </c>
      <c r="D530" s="109" t="s">
        <v>3074</v>
      </c>
      <c r="E530" s="105" t="s">
        <v>3185</v>
      </c>
      <c r="F530" s="110" t="s">
        <v>3094</v>
      </c>
      <c r="G530" s="110" t="s">
        <v>3120</v>
      </c>
      <c r="H530" s="108" t="s">
        <v>3340</v>
      </c>
      <c r="I530" s="108" t="s">
        <v>4286</v>
      </c>
      <c r="J530" s="104" t="s">
        <v>3342</v>
      </c>
      <c r="K530" s="110"/>
      <c r="L530" s="109" t="s">
        <v>147</v>
      </c>
      <c r="M530" s="105" t="s">
        <v>3081</v>
      </c>
      <c r="N530" s="106"/>
      <c r="O530" s="106"/>
      <c r="P530" s="212">
        <v>427.536231884058</v>
      </c>
    </row>
    <row r="531" ht="14.25" hidden="1" customHeight="1">
      <c r="A531" s="103" t="s">
        <v>84</v>
      </c>
      <c r="B531" s="103" t="s">
        <v>3073</v>
      </c>
      <c r="C531" s="103" t="s">
        <v>1886</v>
      </c>
      <c r="D531" s="109" t="s">
        <v>3074</v>
      </c>
      <c r="E531" s="105" t="s">
        <v>3185</v>
      </c>
      <c r="F531" s="110" t="s">
        <v>3075</v>
      </c>
      <c r="G531" s="110" t="s">
        <v>3343</v>
      </c>
      <c r="H531" s="108" t="s">
        <v>3344</v>
      </c>
      <c r="I531" s="108" t="s">
        <v>4287</v>
      </c>
      <c r="J531" s="104" t="s">
        <v>3346</v>
      </c>
      <c r="K531" s="110"/>
      <c r="L531" s="109" t="s">
        <v>147</v>
      </c>
      <c r="M531" s="105" t="s">
        <v>3081</v>
      </c>
      <c r="N531" s="106"/>
      <c r="O531" s="106"/>
      <c r="P531" s="212">
        <v>297.1014492753623</v>
      </c>
    </row>
    <row r="532" ht="14.25" hidden="1" customHeight="1">
      <c r="A532" s="103" t="s">
        <v>84</v>
      </c>
      <c r="B532" s="103" t="s">
        <v>3073</v>
      </c>
      <c r="C532" s="103" t="s">
        <v>1886</v>
      </c>
      <c r="D532" s="109" t="s">
        <v>3074</v>
      </c>
      <c r="E532" s="105" t="s">
        <v>3185</v>
      </c>
      <c r="F532" s="110" t="s">
        <v>3082</v>
      </c>
      <c r="G532" s="110" t="s">
        <v>3076</v>
      </c>
      <c r="H532" s="108" t="s">
        <v>3347</v>
      </c>
      <c r="I532" s="108" t="s">
        <v>4288</v>
      </c>
      <c r="J532" s="104" t="s">
        <v>3349</v>
      </c>
      <c r="K532" s="110"/>
      <c r="L532" s="109" t="s">
        <v>147</v>
      </c>
      <c r="M532" s="105" t="s">
        <v>3081</v>
      </c>
      <c r="N532" s="106"/>
      <c r="O532" s="106"/>
      <c r="P532" s="212">
        <v>311.59420289855075</v>
      </c>
    </row>
    <row r="533" ht="14.25" hidden="1" customHeight="1">
      <c r="A533" s="103" t="s">
        <v>84</v>
      </c>
      <c r="B533" s="103" t="s">
        <v>3073</v>
      </c>
      <c r="C533" s="103" t="s">
        <v>1886</v>
      </c>
      <c r="D533" s="109" t="s">
        <v>3074</v>
      </c>
      <c r="E533" s="105" t="s">
        <v>3185</v>
      </c>
      <c r="F533" s="110" t="s">
        <v>3086</v>
      </c>
      <c r="G533" s="110" t="s">
        <v>3076</v>
      </c>
      <c r="H533" s="108" t="s">
        <v>3350</v>
      </c>
      <c r="I533" s="108" t="s">
        <v>4289</v>
      </c>
      <c r="J533" s="104" t="s">
        <v>3352</v>
      </c>
      <c r="K533" s="110"/>
      <c r="L533" s="109" t="s">
        <v>147</v>
      </c>
      <c r="M533" s="105" t="s">
        <v>3081</v>
      </c>
      <c r="N533" s="106"/>
      <c r="O533" s="106"/>
      <c r="P533" s="212">
        <v>326.0869565217392</v>
      </c>
    </row>
    <row r="534" ht="14.25" hidden="1" customHeight="1">
      <c r="A534" s="103" t="s">
        <v>84</v>
      </c>
      <c r="B534" s="103" t="s">
        <v>3073</v>
      </c>
      <c r="C534" s="103" t="s">
        <v>1886</v>
      </c>
      <c r="D534" s="109" t="s">
        <v>3074</v>
      </c>
      <c r="E534" s="105" t="s">
        <v>3185</v>
      </c>
      <c r="F534" s="110" t="s">
        <v>3090</v>
      </c>
      <c r="G534" s="110" t="s">
        <v>3076</v>
      </c>
      <c r="H534" s="108" t="s">
        <v>3353</v>
      </c>
      <c r="I534" s="108" t="s">
        <v>4290</v>
      </c>
      <c r="J534" s="104" t="s">
        <v>3355</v>
      </c>
      <c r="K534" s="110"/>
      <c r="L534" s="109" t="s">
        <v>147</v>
      </c>
      <c r="M534" s="105" t="s">
        <v>3081</v>
      </c>
      <c r="N534" s="106"/>
      <c r="O534" s="106"/>
      <c r="P534" s="212">
        <v>362.3188405797102</v>
      </c>
    </row>
    <row r="535" ht="14.25" hidden="1" customHeight="1">
      <c r="A535" s="103" t="s">
        <v>84</v>
      </c>
      <c r="B535" s="103" t="s">
        <v>3073</v>
      </c>
      <c r="C535" s="103" t="s">
        <v>1886</v>
      </c>
      <c r="D535" s="109" t="s">
        <v>3074</v>
      </c>
      <c r="E535" s="105" t="s">
        <v>3185</v>
      </c>
      <c r="F535" s="110" t="s">
        <v>3094</v>
      </c>
      <c r="G535" s="110" t="s">
        <v>3076</v>
      </c>
      <c r="H535" s="108" t="s">
        <v>3356</v>
      </c>
      <c r="I535" s="108" t="s">
        <v>4291</v>
      </c>
      <c r="J535" s="104" t="s">
        <v>3358</v>
      </c>
      <c r="K535" s="110"/>
      <c r="L535" s="109" t="s">
        <v>147</v>
      </c>
      <c r="M535" s="105" t="s">
        <v>3081</v>
      </c>
      <c r="N535" s="106"/>
      <c r="O535" s="106"/>
      <c r="P535" s="212">
        <v>405.79710144927543</v>
      </c>
    </row>
    <row r="536" ht="14.25" hidden="1" customHeight="1">
      <c r="A536" s="103" t="s">
        <v>84</v>
      </c>
      <c r="B536" s="103" t="s">
        <v>3073</v>
      </c>
      <c r="C536" s="103" t="s">
        <v>1886</v>
      </c>
      <c r="D536" s="109" t="s">
        <v>3074</v>
      </c>
      <c r="E536" s="105" t="s">
        <v>3185</v>
      </c>
      <c r="F536" s="110" t="s">
        <v>3075</v>
      </c>
      <c r="G536" s="110" t="s">
        <v>3101</v>
      </c>
      <c r="H536" s="108" t="s">
        <v>3359</v>
      </c>
      <c r="I536" s="108" t="s">
        <v>4292</v>
      </c>
      <c r="J536" s="104" t="s">
        <v>3361</v>
      </c>
      <c r="K536" s="110"/>
      <c r="L536" s="109" t="s">
        <v>147</v>
      </c>
      <c r="M536" s="105" t="s">
        <v>3081</v>
      </c>
      <c r="N536" s="106"/>
      <c r="O536" s="106"/>
      <c r="P536" s="212">
        <v>318.84057971014494</v>
      </c>
    </row>
    <row r="537" ht="14.25" hidden="1" customHeight="1">
      <c r="A537" s="103" t="s">
        <v>84</v>
      </c>
      <c r="B537" s="103" t="s">
        <v>3073</v>
      </c>
      <c r="C537" s="103" t="s">
        <v>1886</v>
      </c>
      <c r="D537" s="109" t="s">
        <v>3074</v>
      </c>
      <c r="E537" s="105" t="s">
        <v>3185</v>
      </c>
      <c r="F537" s="110" t="s">
        <v>3086</v>
      </c>
      <c r="G537" s="110" t="s">
        <v>3101</v>
      </c>
      <c r="H537" s="108" t="s">
        <v>3362</v>
      </c>
      <c r="I537" s="108" t="s">
        <v>4293</v>
      </c>
      <c r="J537" s="104" t="s">
        <v>3364</v>
      </c>
      <c r="K537" s="110"/>
      <c r="L537" s="109" t="s">
        <v>147</v>
      </c>
      <c r="M537" s="105" t="s">
        <v>3081</v>
      </c>
      <c r="N537" s="106"/>
      <c r="O537" s="106"/>
      <c r="P537" s="212">
        <v>347.82608695652175</v>
      </c>
    </row>
    <row r="538" ht="14.25" hidden="1" customHeight="1">
      <c r="A538" s="103" t="s">
        <v>84</v>
      </c>
      <c r="B538" s="103" t="s">
        <v>3073</v>
      </c>
      <c r="C538" s="103" t="s">
        <v>1886</v>
      </c>
      <c r="D538" s="109" t="s">
        <v>3074</v>
      </c>
      <c r="E538" s="105" t="s">
        <v>3185</v>
      </c>
      <c r="F538" s="110" t="s">
        <v>3094</v>
      </c>
      <c r="G538" s="110" t="s">
        <v>3101</v>
      </c>
      <c r="H538" s="108" t="s">
        <v>3365</v>
      </c>
      <c r="I538" s="108" t="s">
        <v>4294</v>
      </c>
      <c r="J538" s="104" t="s">
        <v>3367</v>
      </c>
      <c r="K538" s="110"/>
      <c r="L538" s="109" t="s">
        <v>147</v>
      </c>
      <c r="M538" s="105" t="s">
        <v>3081</v>
      </c>
      <c r="N538" s="106"/>
      <c r="O538" s="106"/>
      <c r="P538" s="212">
        <v>442.0289855072465</v>
      </c>
    </row>
    <row r="539" ht="14.25" hidden="1" customHeight="1">
      <c r="A539" s="103" t="s">
        <v>84</v>
      </c>
      <c r="B539" s="103" t="s">
        <v>3073</v>
      </c>
      <c r="C539" s="103" t="s">
        <v>1886</v>
      </c>
      <c r="D539" s="109" t="s">
        <v>3074</v>
      </c>
      <c r="E539" s="105" t="s">
        <v>3185</v>
      </c>
      <c r="F539" s="110" t="s">
        <v>3228</v>
      </c>
      <c r="G539" s="110" t="s">
        <v>3101</v>
      </c>
      <c r="H539" s="108" t="s">
        <v>3368</v>
      </c>
      <c r="I539" s="108" t="s">
        <v>4295</v>
      </c>
      <c r="J539" s="104" t="s">
        <v>3370</v>
      </c>
      <c r="K539" s="110"/>
      <c r="L539" s="109" t="s">
        <v>147</v>
      </c>
      <c r="M539" s="105" t="s">
        <v>3081</v>
      </c>
      <c r="N539" s="106"/>
      <c r="O539" s="106"/>
      <c r="P539" s="212">
        <v>475.3623188405798</v>
      </c>
    </row>
    <row r="540" ht="14.25" hidden="1" customHeight="1">
      <c r="A540" s="103" t="s">
        <v>84</v>
      </c>
      <c r="B540" s="103" t="s">
        <v>3073</v>
      </c>
      <c r="C540" s="103" t="s">
        <v>1886</v>
      </c>
      <c r="D540" s="109" t="s">
        <v>3074</v>
      </c>
      <c r="E540" s="105" t="s">
        <v>3185</v>
      </c>
      <c r="F540" s="110" t="s">
        <v>3094</v>
      </c>
      <c r="G540" s="110" t="s">
        <v>3120</v>
      </c>
      <c r="H540" s="108" t="s">
        <v>3371</v>
      </c>
      <c r="I540" s="108" t="s">
        <v>4296</v>
      </c>
      <c r="J540" s="104" t="s">
        <v>3373</v>
      </c>
      <c r="K540" s="110"/>
      <c r="L540" s="109" t="s">
        <v>147</v>
      </c>
      <c r="M540" s="105" t="s">
        <v>3081</v>
      </c>
      <c r="N540" s="106"/>
      <c r="O540" s="106"/>
      <c r="P540" s="212">
        <v>482.608695652174</v>
      </c>
    </row>
    <row r="541" ht="14.25" hidden="1" customHeight="1">
      <c r="A541" s="103" t="s">
        <v>84</v>
      </c>
      <c r="B541" s="103" t="s">
        <v>3073</v>
      </c>
      <c r="C541" s="103" t="s">
        <v>1886</v>
      </c>
      <c r="D541" s="109" t="s">
        <v>3074</v>
      </c>
      <c r="E541" s="105" t="s">
        <v>3185</v>
      </c>
      <c r="F541" s="110" t="s">
        <v>3094</v>
      </c>
      <c r="G541" s="110" t="s">
        <v>3124</v>
      </c>
      <c r="H541" s="108" t="s">
        <v>3374</v>
      </c>
      <c r="I541" s="108" t="s">
        <v>4297</v>
      </c>
      <c r="J541" s="104" t="s">
        <v>3376</v>
      </c>
      <c r="K541" s="110"/>
      <c r="L541" s="109" t="s">
        <v>147</v>
      </c>
      <c r="M541" s="105" t="s">
        <v>3081</v>
      </c>
      <c r="N541" s="106"/>
      <c r="O541" s="106"/>
      <c r="P541" s="212">
        <v>485.5072463768117</v>
      </c>
    </row>
    <row r="542" ht="14.25" hidden="1" customHeight="1">
      <c r="A542" s="103" t="s">
        <v>84</v>
      </c>
      <c r="B542" s="103" t="s">
        <v>3073</v>
      </c>
      <c r="C542" s="103" t="s">
        <v>1886</v>
      </c>
      <c r="D542" s="109" t="s">
        <v>3074</v>
      </c>
      <c r="E542" s="105" t="s">
        <v>3185</v>
      </c>
      <c r="F542" s="110" t="s">
        <v>3090</v>
      </c>
      <c r="G542" s="110" t="s">
        <v>3134</v>
      </c>
      <c r="H542" s="108" t="s">
        <v>3377</v>
      </c>
      <c r="I542" s="108" t="s">
        <v>4298</v>
      </c>
      <c r="J542" s="104" t="s">
        <v>3379</v>
      </c>
      <c r="K542" s="110"/>
      <c r="L542" s="109" t="s">
        <v>147</v>
      </c>
      <c r="M542" s="105" t="s">
        <v>3081</v>
      </c>
      <c r="N542" s="106"/>
      <c r="O542" s="106"/>
      <c r="P542" s="212">
        <v>463.76811594202906</v>
      </c>
    </row>
    <row r="543" ht="14.25" hidden="1" customHeight="1">
      <c r="A543" s="103" t="s">
        <v>84</v>
      </c>
      <c r="B543" s="103" t="s">
        <v>3073</v>
      </c>
      <c r="C543" s="103" t="s">
        <v>1886</v>
      </c>
      <c r="D543" s="109" t="s">
        <v>3074</v>
      </c>
      <c r="E543" s="105" t="s">
        <v>3185</v>
      </c>
      <c r="F543" s="110" t="s">
        <v>3094</v>
      </c>
      <c r="G543" s="110" t="s">
        <v>3134</v>
      </c>
      <c r="H543" s="108" t="s">
        <v>3380</v>
      </c>
      <c r="I543" s="108" t="s">
        <v>4299</v>
      </c>
      <c r="J543" s="104" t="s">
        <v>3382</v>
      </c>
      <c r="K543" s="110"/>
      <c r="L543" s="109" t="s">
        <v>147</v>
      </c>
      <c r="M543" s="105" t="s">
        <v>3081</v>
      </c>
      <c r="N543" s="106"/>
      <c r="O543" s="106"/>
      <c r="P543" s="212">
        <v>492.7536231884058</v>
      </c>
    </row>
    <row r="544" ht="14.25" hidden="1" customHeight="1">
      <c r="A544" s="103" t="s">
        <v>84</v>
      </c>
      <c r="B544" s="103" t="s">
        <v>3073</v>
      </c>
      <c r="C544" s="103" t="s">
        <v>1886</v>
      </c>
      <c r="D544" s="109" t="s">
        <v>3074</v>
      </c>
      <c r="E544" s="105" t="s">
        <v>3185</v>
      </c>
      <c r="F544" s="110" t="s">
        <v>3228</v>
      </c>
      <c r="G544" s="110" t="s">
        <v>3134</v>
      </c>
      <c r="H544" s="108" t="s">
        <v>3383</v>
      </c>
      <c r="I544" s="108" t="s">
        <v>4300</v>
      </c>
      <c r="J544" s="104" t="s">
        <v>3385</v>
      </c>
      <c r="K544" s="110"/>
      <c r="L544" s="109" t="s">
        <v>147</v>
      </c>
      <c r="M544" s="105" t="s">
        <v>3081</v>
      </c>
      <c r="N544" s="106"/>
      <c r="O544" s="106"/>
      <c r="P544" s="212">
        <v>579.7101449275362</v>
      </c>
    </row>
    <row r="545" ht="14.25" hidden="1" customHeight="1">
      <c r="A545" s="103" t="s">
        <v>84</v>
      </c>
      <c r="B545" s="103" t="s">
        <v>3073</v>
      </c>
      <c r="C545" s="103" t="s">
        <v>1886</v>
      </c>
      <c r="D545" s="109" t="s">
        <v>3074</v>
      </c>
      <c r="E545" s="105" t="s">
        <v>3185</v>
      </c>
      <c r="F545" s="110" t="s">
        <v>3094</v>
      </c>
      <c r="G545" s="110" t="s">
        <v>3159</v>
      </c>
      <c r="H545" s="108" t="s">
        <v>3386</v>
      </c>
      <c r="I545" s="108" t="s">
        <v>4301</v>
      </c>
      <c r="J545" s="104" t="s">
        <v>3388</v>
      </c>
      <c r="K545" s="110"/>
      <c r="L545" s="109" t="s">
        <v>147</v>
      </c>
      <c r="M545" s="105" t="s">
        <v>3081</v>
      </c>
      <c r="N545" s="106"/>
      <c r="O545" s="106"/>
      <c r="P545" s="212">
        <v>565.2173913043479</v>
      </c>
    </row>
    <row r="546" ht="14.25" hidden="1" customHeight="1">
      <c r="A546" s="103" t="s">
        <v>84</v>
      </c>
      <c r="B546" s="103" t="s">
        <v>3073</v>
      </c>
      <c r="C546" s="103" t="s">
        <v>1886</v>
      </c>
      <c r="D546" s="109" t="s">
        <v>3074</v>
      </c>
      <c r="E546" s="105" t="s">
        <v>3185</v>
      </c>
      <c r="F546" s="110" t="s">
        <v>3228</v>
      </c>
      <c r="G546" s="110" t="s">
        <v>3159</v>
      </c>
      <c r="H546" s="108" t="s">
        <v>3389</v>
      </c>
      <c r="I546" s="108" t="s">
        <v>4302</v>
      </c>
      <c r="J546" s="104" t="s">
        <v>3391</v>
      </c>
      <c r="K546" s="110"/>
      <c r="L546" s="109" t="s">
        <v>147</v>
      </c>
      <c r="M546" s="105" t="s">
        <v>3081</v>
      </c>
      <c r="N546" s="106"/>
      <c r="O546" s="106"/>
      <c r="P546" s="212">
        <v>615.9420289855074</v>
      </c>
    </row>
    <row r="547" ht="14.25" hidden="1" customHeight="1">
      <c r="A547" s="103" t="s">
        <v>84</v>
      </c>
      <c r="B547" s="103" t="s">
        <v>3073</v>
      </c>
      <c r="C547" s="103" t="s">
        <v>1886</v>
      </c>
      <c r="D547" s="109" t="s">
        <v>3074</v>
      </c>
      <c r="E547" s="105" t="s">
        <v>3185</v>
      </c>
      <c r="F547" s="110" t="s">
        <v>3094</v>
      </c>
      <c r="G547" s="110" t="s">
        <v>3240</v>
      </c>
      <c r="H547" s="108" t="s">
        <v>3392</v>
      </c>
      <c r="I547" s="108" t="s">
        <v>4303</v>
      </c>
      <c r="J547" s="104" t="s">
        <v>3394</v>
      </c>
      <c r="K547" s="110"/>
      <c r="L547" s="109" t="s">
        <v>147</v>
      </c>
      <c r="M547" s="105" t="s">
        <v>3081</v>
      </c>
      <c r="N547" s="106"/>
      <c r="O547" s="106"/>
      <c r="P547" s="212">
        <v>624.6376811594204</v>
      </c>
    </row>
    <row r="548" ht="14.25" hidden="1" customHeight="1">
      <c r="A548" s="103" t="s">
        <v>84</v>
      </c>
      <c r="B548" s="103" t="s">
        <v>3073</v>
      </c>
      <c r="C548" s="103" t="s">
        <v>1886</v>
      </c>
      <c r="D548" s="109" t="s">
        <v>3074</v>
      </c>
      <c r="E548" s="105" t="s">
        <v>3185</v>
      </c>
      <c r="F548" s="110" t="s">
        <v>3228</v>
      </c>
      <c r="G548" s="110" t="s">
        <v>3240</v>
      </c>
      <c r="H548" s="108" t="s">
        <v>3395</v>
      </c>
      <c r="I548" s="108" t="s">
        <v>4304</v>
      </c>
      <c r="J548" s="104" t="s">
        <v>3397</v>
      </c>
      <c r="K548" s="110"/>
      <c r="L548" s="109" t="s">
        <v>147</v>
      </c>
      <c r="M548" s="105" t="s">
        <v>3081</v>
      </c>
      <c r="N548" s="106"/>
      <c r="O548" s="106"/>
      <c r="P548" s="212">
        <v>688.4057971014494</v>
      </c>
    </row>
    <row r="549" ht="14.25" hidden="1" customHeight="1">
      <c r="A549" s="103" t="s">
        <v>84</v>
      </c>
      <c r="B549" s="103" t="s">
        <v>3073</v>
      </c>
      <c r="C549" s="103" t="s">
        <v>1886</v>
      </c>
      <c r="D549" s="109" t="s">
        <v>3074</v>
      </c>
      <c r="E549" s="105" t="s">
        <v>3185</v>
      </c>
      <c r="F549" s="110" t="s">
        <v>3094</v>
      </c>
      <c r="G549" s="110" t="s">
        <v>3124</v>
      </c>
      <c r="H549" s="108" t="s">
        <v>3398</v>
      </c>
      <c r="I549" s="108" t="s">
        <v>4305</v>
      </c>
      <c r="J549" s="104" t="s">
        <v>3400</v>
      </c>
      <c r="K549" s="110"/>
      <c r="L549" s="109" t="s">
        <v>147</v>
      </c>
      <c r="M549" s="105" t="s">
        <v>3081</v>
      </c>
      <c r="N549" s="106"/>
      <c r="O549" s="106"/>
      <c r="P549" s="212">
        <v>550.7246376811595</v>
      </c>
    </row>
    <row r="550" ht="14.25" hidden="1" customHeight="1">
      <c r="A550" s="103" t="s">
        <v>84</v>
      </c>
      <c r="B550" s="103" t="s">
        <v>3073</v>
      </c>
      <c r="C550" s="103" t="s">
        <v>1886</v>
      </c>
      <c r="D550" s="109" t="s">
        <v>3074</v>
      </c>
      <c r="E550" s="105" t="s">
        <v>3185</v>
      </c>
      <c r="F550" s="110" t="s">
        <v>3090</v>
      </c>
      <c r="G550" s="110" t="s">
        <v>3134</v>
      </c>
      <c r="H550" s="108" t="s">
        <v>3401</v>
      </c>
      <c r="I550" s="108" t="s">
        <v>4306</v>
      </c>
      <c r="J550" s="104" t="s">
        <v>3403</v>
      </c>
      <c r="K550" s="110"/>
      <c r="L550" s="109" t="s">
        <v>147</v>
      </c>
      <c r="M550" s="105" t="s">
        <v>3081</v>
      </c>
      <c r="N550" s="106"/>
      <c r="O550" s="106"/>
      <c r="P550" s="212">
        <v>521.7391304347826</v>
      </c>
    </row>
    <row r="551" ht="14.25" hidden="1" customHeight="1">
      <c r="A551" s="103" t="s">
        <v>84</v>
      </c>
      <c r="B551" s="103" t="s">
        <v>3073</v>
      </c>
      <c r="C551" s="103" t="s">
        <v>1886</v>
      </c>
      <c r="D551" s="109" t="s">
        <v>3074</v>
      </c>
      <c r="E551" s="105" t="s">
        <v>3185</v>
      </c>
      <c r="F551" s="110" t="s">
        <v>3094</v>
      </c>
      <c r="G551" s="110" t="s">
        <v>3134</v>
      </c>
      <c r="H551" s="108" t="s">
        <v>3404</v>
      </c>
      <c r="I551" s="108" t="s">
        <v>4307</v>
      </c>
      <c r="J551" s="104" t="s">
        <v>3406</v>
      </c>
      <c r="K551" s="110"/>
      <c r="L551" s="109" t="s">
        <v>147</v>
      </c>
      <c r="M551" s="105" t="s">
        <v>3081</v>
      </c>
      <c r="N551" s="106"/>
      <c r="O551" s="106"/>
      <c r="P551" s="212">
        <v>550.7246376811595</v>
      </c>
    </row>
    <row r="552" ht="14.25" hidden="1" customHeight="1">
      <c r="A552" s="103" t="s">
        <v>84</v>
      </c>
      <c r="B552" s="103" t="s">
        <v>3073</v>
      </c>
      <c r="C552" s="103" t="s">
        <v>1886</v>
      </c>
      <c r="D552" s="109" t="s">
        <v>3074</v>
      </c>
      <c r="E552" s="105" t="s">
        <v>3185</v>
      </c>
      <c r="F552" s="110" t="s">
        <v>3228</v>
      </c>
      <c r="G552" s="110" t="s">
        <v>3134</v>
      </c>
      <c r="H552" s="108" t="s">
        <v>3407</v>
      </c>
      <c r="I552" s="108" t="s">
        <v>4308</v>
      </c>
      <c r="J552" s="104" t="s">
        <v>3409</v>
      </c>
      <c r="K552" s="110"/>
      <c r="L552" s="109" t="s">
        <v>147</v>
      </c>
      <c r="M552" s="105" t="s">
        <v>3081</v>
      </c>
      <c r="N552" s="106"/>
      <c r="O552" s="106"/>
      <c r="P552" s="212">
        <v>659.4202898550725</v>
      </c>
    </row>
    <row r="553" ht="14.25" hidden="1" customHeight="1">
      <c r="A553" s="103" t="s">
        <v>84</v>
      </c>
      <c r="B553" s="103" t="s">
        <v>3073</v>
      </c>
      <c r="C553" s="103" t="s">
        <v>1886</v>
      </c>
      <c r="D553" s="109" t="s">
        <v>3074</v>
      </c>
      <c r="E553" s="105" t="s">
        <v>3185</v>
      </c>
      <c r="F553" s="110" t="s">
        <v>3094</v>
      </c>
      <c r="G553" s="110" t="s">
        <v>3159</v>
      </c>
      <c r="H553" s="108" t="s">
        <v>3410</v>
      </c>
      <c r="I553" s="108" t="s">
        <v>4309</v>
      </c>
      <c r="J553" s="104" t="s">
        <v>3412</v>
      </c>
      <c r="K553" s="110"/>
      <c r="L553" s="109" t="s">
        <v>147</v>
      </c>
      <c r="M553" s="105" t="s">
        <v>3081</v>
      </c>
      <c r="N553" s="106"/>
      <c r="O553" s="106"/>
      <c r="P553" s="212">
        <v>615.9420289855074</v>
      </c>
    </row>
    <row r="554" ht="14.25" hidden="1" customHeight="1">
      <c r="A554" s="103" t="s">
        <v>84</v>
      </c>
      <c r="B554" s="103" t="s">
        <v>3073</v>
      </c>
      <c r="C554" s="103" t="s">
        <v>1886</v>
      </c>
      <c r="D554" s="109" t="s">
        <v>3074</v>
      </c>
      <c r="E554" s="105" t="s">
        <v>3185</v>
      </c>
      <c r="F554" s="110" t="s">
        <v>3228</v>
      </c>
      <c r="G554" s="110" t="s">
        <v>3159</v>
      </c>
      <c r="H554" s="108" t="s">
        <v>3413</v>
      </c>
      <c r="I554" s="108" t="s">
        <v>4310</v>
      </c>
      <c r="J554" s="104" t="s">
        <v>3415</v>
      </c>
      <c r="K554" s="110"/>
      <c r="L554" s="109" t="s">
        <v>147</v>
      </c>
      <c r="M554" s="105" t="s">
        <v>3081</v>
      </c>
      <c r="N554" s="106"/>
      <c r="O554" s="106"/>
      <c r="P554" s="212">
        <v>673.9130434782609</v>
      </c>
    </row>
    <row r="555" ht="14.25" hidden="1" customHeight="1">
      <c r="A555" s="103" t="s">
        <v>84</v>
      </c>
      <c r="B555" s="103" t="s">
        <v>3073</v>
      </c>
      <c r="C555" s="103" t="s">
        <v>1886</v>
      </c>
      <c r="D555" s="109" t="s">
        <v>3074</v>
      </c>
      <c r="E555" s="105" t="s">
        <v>3185</v>
      </c>
      <c r="F555" s="110" t="s">
        <v>3094</v>
      </c>
      <c r="G555" s="110" t="s">
        <v>3240</v>
      </c>
      <c r="H555" s="108" t="s">
        <v>3416</v>
      </c>
      <c r="I555" s="108" t="s">
        <v>4311</v>
      </c>
      <c r="J555" s="104" t="s">
        <v>3418</v>
      </c>
      <c r="K555" s="110"/>
      <c r="L555" s="109" t="s">
        <v>147</v>
      </c>
      <c r="M555" s="105" t="s">
        <v>3081</v>
      </c>
      <c r="N555" s="106"/>
      <c r="O555" s="106"/>
      <c r="P555" s="212">
        <v>681.1594202898551</v>
      </c>
    </row>
    <row r="556" ht="14.25" hidden="1" customHeight="1">
      <c r="A556" s="103" t="s">
        <v>84</v>
      </c>
      <c r="B556" s="103" t="s">
        <v>3073</v>
      </c>
      <c r="C556" s="103" t="s">
        <v>1886</v>
      </c>
      <c r="D556" s="109" t="s">
        <v>3074</v>
      </c>
      <c r="E556" s="105" t="s">
        <v>3185</v>
      </c>
      <c r="F556" s="110" t="s">
        <v>3228</v>
      </c>
      <c r="G556" s="110" t="s">
        <v>3240</v>
      </c>
      <c r="H556" s="108" t="s">
        <v>3419</v>
      </c>
      <c r="I556" s="108" t="s">
        <v>4312</v>
      </c>
      <c r="J556" s="104" t="s">
        <v>3421</v>
      </c>
      <c r="K556" s="110"/>
      <c r="L556" s="109" t="s">
        <v>147</v>
      </c>
      <c r="M556" s="105" t="s">
        <v>3081</v>
      </c>
      <c r="N556" s="106"/>
      <c r="O556" s="106"/>
      <c r="P556" s="212">
        <v>746.376811594203</v>
      </c>
    </row>
    <row r="557" ht="14.25" hidden="1" customHeight="1">
      <c r="A557" s="103" t="s">
        <v>84</v>
      </c>
      <c r="B557" s="103" t="s">
        <v>3073</v>
      </c>
      <c r="C557" s="103" t="s">
        <v>1886</v>
      </c>
      <c r="D557" s="109" t="s">
        <v>3074</v>
      </c>
      <c r="E557" s="105" t="s">
        <v>3185</v>
      </c>
      <c r="F557" s="110" t="s">
        <v>3090</v>
      </c>
      <c r="G557" s="110" t="s">
        <v>3422</v>
      </c>
      <c r="H557" s="108" t="s">
        <v>3423</v>
      </c>
      <c r="I557" s="108"/>
      <c r="J557" s="104" t="s">
        <v>3425</v>
      </c>
      <c r="K557" s="110"/>
      <c r="L557" s="109" t="s">
        <v>147</v>
      </c>
      <c r="M557" s="105" t="s">
        <v>3081</v>
      </c>
      <c r="N557" s="106"/>
      <c r="O557" s="106"/>
      <c r="P557" s="344">
        <v>668.9855072463769</v>
      </c>
    </row>
    <row r="558" ht="14.25" hidden="1" customHeight="1">
      <c r="A558" s="103" t="s">
        <v>84</v>
      </c>
      <c r="B558" s="103" t="s">
        <v>3073</v>
      </c>
      <c r="C558" s="103" t="s">
        <v>1886</v>
      </c>
      <c r="D558" s="109" t="s">
        <v>3074</v>
      </c>
      <c r="E558" s="105" t="s">
        <v>3185</v>
      </c>
      <c r="F558" s="110" t="s">
        <v>3094</v>
      </c>
      <c r="G558" s="110" t="s">
        <v>3422</v>
      </c>
      <c r="H558" s="108" t="s">
        <v>3426</v>
      </c>
      <c r="I558" s="108"/>
      <c r="J558" s="104" t="s">
        <v>3428</v>
      </c>
      <c r="K558" s="110"/>
      <c r="L558" s="109" t="s">
        <v>147</v>
      </c>
      <c r="M558" s="105" t="s">
        <v>3081</v>
      </c>
      <c r="N558" s="106"/>
      <c r="O558" s="106"/>
      <c r="P558" s="344">
        <v>732.3188405797101</v>
      </c>
    </row>
    <row r="559" ht="14.25" hidden="1" customHeight="1">
      <c r="A559" s="103" t="s">
        <v>84</v>
      </c>
      <c r="B559" s="103" t="s">
        <v>3073</v>
      </c>
      <c r="C559" s="103" t="s">
        <v>1886</v>
      </c>
      <c r="D559" s="109" t="s">
        <v>3074</v>
      </c>
      <c r="E559" s="105" t="s">
        <v>3185</v>
      </c>
      <c r="F559" s="110" t="s">
        <v>3228</v>
      </c>
      <c r="G559" s="110" t="s">
        <v>3422</v>
      </c>
      <c r="H559" s="108" t="s">
        <v>3429</v>
      </c>
      <c r="I559" s="108"/>
      <c r="J559" s="104" t="s">
        <v>3431</v>
      </c>
      <c r="K559" s="110"/>
      <c r="L559" s="109" t="s">
        <v>147</v>
      </c>
      <c r="M559" s="105" t="s">
        <v>3081</v>
      </c>
      <c r="N559" s="106"/>
      <c r="O559" s="106"/>
      <c r="P559" s="344">
        <v>767.68115942029</v>
      </c>
    </row>
    <row r="560" ht="14.25" hidden="1" customHeight="1">
      <c r="A560" s="103" t="s">
        <v>84</v>
      </c>
      <c r="B560" s="103" t="s">
        <v>3073</v>
      </c>
      <c r="C560" s="103" t="s">
        <v>1886</v>
      </c>
      <c r="D560" s="109" t="s">
        <v>3074</v>
      </c>
      <c r="E560" s="105" t="s">
        <v>3185</v>
      </c>
      <c r="F560" s="110" t="s">
        <v>3090</v>
      </c>
      <c r="G560" s="110" t="s">
        <v>3422</v>
      </c>
      <c r="H560" s="108" t="s">
        <v>3432</v>
      </c>
      <c r="I560" s="108"/>
      <c r="J560" s="104" t="s">
        <v>3434</v>
      </c>
      <c r="K560" s="110"/>
      <c r="L560" s="109" t="s">
        <v>147</v>
      </c>
      <c r="M560" s="105" t="s">
        <v>3081</v>
      </c>
      <c r="N560" s="106"/>
      <c r="O560" s="106"/>
      <c r="P560" s="344">
        <v>721.1594202898551</v>
      </c>
    </row>
    <row r="561" ht="14.25" hidden="1" customHeight="1">
      <c r="A561" s="103" t="s">
        <v>84</v>
      </c>
      <c r="B561" s="103" t="s">
        <v>3073</v>
      </c>
      <c r="C561" s="103" t="s">
        <v>1886</v>
      </c>
      <c r="D561" s="109" t="s">
        <v>3074</v>
      </c>
      <c r="E561" s="105" t="s">
        <v>3185</v>
      </c>
      <c r="F561" s="110" t="s">
        <v>3094</v>
      </c>
      <c r="G561" s="110" t="s">
        <v>3422</v>
      </c>
      <c r="H561" s="108" t="s">
        <v>3435</v>
      </c>
      <c r="I561" s="108"/>
      <c r="J561" s="104" t="s">
        <v>3437</v>
      </c>
      <c r="K561" s="110"/>
      <c r="L561" s="109" t="s">
        <v>147</v>
      </c>
      <c r="M561" s="105" t="s">
        <v>3081</v>
      </c>
      <c r="N561" s="106"/>
      <c r="O561" s="106"/>
      <c r="P561" s="344">
        <v>784.2028985507249</v>
      </c>
    </row>
    <row r="562" ht="14.25" hidden="1" customHeight="1">
      <c r="A562" s="103" t="s">
        <v>84</v>
      </c>
      <c r="B562" s="103" t="s">
        <v>3073</v>
      </c>
      <c r="C562" s="103" t="s">
        <v>1886</v>
      </c>
      <c r="D562" s="109" t="s">
        <v>3074</v>
      </c>
      <c r="E562" s="105" t="s">
        <v>3185</v>
      </c>
      <c r="F562" s="110" t="s">
        <v>3228</v>
      </c>
      <c r="G562" s="110" t="s">
        <v>3422</v>
      </c>
      <c r="H562" s="108" t="s">
        <v>3438</v>
      </c>
      <c r="I562" s="108"/>
      <c r="J562" s="104" t="s">
        <v>3440</v>
      </c>
      <c r="K562" s="110"/>
      <c r="L562" s="109" t="s">
        <v>147</v>
      </c>
      <c r="M562" s="105" t="s">
        <v>3081</v>
      </c>
      <c r="N562" s="106"/>
      <c r="O562" s="106"/>
      <c r="P562" s="344">
        <v>819.4202898550725</v>
      </c>
    </row>
    <row r="563" ht="14.25" hidden="1" customHeight="1">
      <c r="A563" s="103" t="s">
        <v>84</v>
      </c>
      <c r="B563" s="103" t="s">
        <v>3073</v>
      </c>
      <c r="C563" s="103" t="s">
        <v>1886</v>
      </c>
      <c r="D563" s="109" t="s">
        <v>3074</v>
      </c>
      <c r="E563" s="105" t="s">
        <v>3441</v>
      </c>
      <c r="F563" s="110" t="s">
        <v>3094</v>
      </c>
      <c r="G563" s="110" t="s">
        <v>3134</v>
      </c>
      <c r="H563" s="108" t="s">
        <v>3451</v>
      </c>
      <c r="I563" s="108" t="s">
        <v>4313</v>
      </c>
      <c r="J563" s="104" t="s">
        <v>3453</v>
      </c>
      <c r="K563" s="110"/>
      <c r="L563" s="109" t="s">
        <v>147</v>
      </c>
      <c r="M563" s="105" t="s">
        <v>3081</v>
      </c>
      <c r="N563" s="106"/>
      <c r="O563" s="106"/>
      <c r="P563" s="212">
        <v>610.4824300178678</v>
      </c>
    </row>
    <row r="564" ht="14.25" hidden="1" customHeight="1">
      <c r="A564" s="103" t="s">
        <v>84</v>
      </c>
      <c r="B564" s="103" t="s">
        <v>3073</v>
      </c>
      <c r="C564" s="103" t="s">
        <v>1886</v>
      </c>
      <c r="D564" s="109" t="s">
        <v>3074</v>
      </c>
      <c r="E564" s="105" t="s">
        <v>3441</v>
      </c>
      <c r="F564" s="110" t="s">
        <v>3094</v>
      </c>
      <c r="G564" s="110" t="s">
        <v>3134</v>
      </c>
      <c r="H564" s="108" t="s">
        <v>3454</v>
      </c>
      <c r="I564" s="108" t="s">
        <v>4314</v>
      </c>
      <c r="J564" s="104" t="s">
        <v>3456</v>
      </c>
      <c r="K564" s="110"/>
      <c r="L564" s="109" t="s">
        <v>147</v>
      </c>
      <c r="M564" s="105" t="s">
        <v>3081</v>
      </c>
      <c r="N564" s="106"/>
      <c r="O564" s="106"/>
      <c r="P564" s="212">
        <v>521.4453584018802</v>
      </c>
    </row>
    <row r="565" ht="14.25" hidden="1" customHeight="1">
      <c r="A565" s="103" t="s">
        <v>84</v>
      </c>
      <c r="B565" s="103" t="s">
        <v>3073</v>
      </c>
      <c r="C565" s="103" t="s">
        <v>1886</v>
      </c>
      <c r="D565" s="109" t="s">
        <v>3074</v>
      </c>
      <c r="E565" s="105" t="s">
        <v>3441</v>
      </c>
      <c r="F565" s="110" t="s">
        <v>3094</v>
      </c>
      <c r="G565" s="110" t="s">
        <v>3076</v>
      </c>
      <c r="H565" s="108" t="s">
        <v>3457</v>
      </c>
      <c r="I565" s="108" t="s">
        <v>4315</v>
      </c>
      <c r="J565" s="104" t="s">
        <v>3459</v>
      </c>
      <c r="K565" s="110"/>
      <c r="L565" s="109" t="s">
        <v>147</v>
      </c>
      <c r="M565" s="105" t="s">
        <v>3081</v>
      </c>
      <c r="N565" s="106"/>
      <c r="O565" s="106"/>
      <c r="P565" s="212">
        <v>455.346650998825</v>
      </c>
    </row>
    <row r="566" ht="14.25" hidden="1" customHeight="1">
      <c r="A566" s="103" t="s">
        <v>84</v>
      </c>
      <c r="B566" s="103" t="s">
        <v>3073</v>
      </c>
      <c r="C566" s="103" t="s">
        <v>1886</v>
      </c>
      <c r="D566" s="109" t="s">
        <v>3074</v>
      </c>
      <c r="E566" s="105" t="s">
        <v>3441</v>
      </c>
      <c r="F566" s="110" t="s">
        <v>3094</v>
      </c>
      <c r="G566" s="110" t="s">
        <v>3076</v>
      </c>
      <c r="H566" s="108" t="s">
        <v>3460</v>
      </c>
      <c r="I566" s="108" t="s">
        <v>4316</v>
      </c>
      <c r="J566" s="104" t="s">
        <v>3462</v>
      </c>
      <c r="K566" s="110"/>
      <c r="L566" s="109" t="s">
        <v>147</v>
      </c>
      <c r="M566" s="105" t="s">
        <v>3081</v>
      </c>
      <c r="N566" s="106"/>
      <c r="O566" s="106"/>
      <c r="P566" s="212">
        <v>374.5593419506463</v>
      </c>
    </row>
    <row r="567" ht="14.25" hidden="1" customHeight="1">
      <c r="A567" s="103" t="s">
        <v>84</v>
      </c>
      <c r="B567" s="103" t="s">
        <v>3073</v>
      </c>
      <c r="C567" s="103" t="s">
        <v>1886</v>
      </c>
      <c r="D567" s="109" t="s">
        <v>3074</v>
      </c>
      <c r="E567" s="105" t="s">
        <v>3441</v>
      </c>
      <c r="F567" s="110" t="s">
        <v>3094</v>
      </c>
      <c r="G567" s="110" t="s">
        <v>3101</v>
      </c>
      <c r="H567" s="108" t="s">
        <v>3463</v>
      </c>
      <c r="I567" s="108" t="s">
        <v>4317</v>
      </c>
      <c r="J567" s="104" t="s">
        <v>3465</v>
      </c>
      <c r="K567" s="110"/>
      <c r="L567" s="109" t="s">
        <v>147</v>
      </c>
      <c r="M567" s="105" t="s">
        <v>3081</v>
      </c>
      <c r="N567" s="106"/>
      <c r="O567" s="106"/>
      <c r="P567" s="212">
        <v>484.7238542890717</v>
      </c>
    </row>
    <row r="568" ht="14.25" hidden="1" customHeight="1">
      <c r="A568" s="103" t="s">
        <v>84</v>
      </c>
      <c r="B568" s="103" t="s">
        <v>3073</v>
      </c>
      <c r="C568" s="103" t="s">
        <v>1886</v>
      </c>
      <c r="D568" s="109" t="s">
        <v>3074</v>
      </c>
      <c r="E568" s="105" t="s">
        <v>3441</v>
      </c>
      <c r="F568" s="110" t="s">
        <v>3094</v>
      </c>
      <c r="G568" s="110" t="s">
        <v>3101</v>
      </c>
      <c r="H568" s="108" t="s">
        <v>3466</v>
      </c>
      <c r="I568" s="108" t="s">
        <v>4318</v>
      </c>
      <c r="J568" s="104" t="s">
        <v>3468</v>
      </c>
      <c r="K568" s="110"/>
      <c r="L568" s="109" t="s">
        <v>147</v>
      </c>
      <c r="M568" s="105" t="s">
        <v>3081</v>
      </c>
      <c r="N568" s="106"/>
      <c r="O568" s="106"/>
      <c r="P568" s="212">
        <v>394.5801072066706</v>
      </c>
    </row>
    <row r="569" ht="14.25" hidden="1" customHeight="1">
      <c r="A569" s="103" t="s">
        <v>84</v>
      </c>
      <c r="B569" s="103" t="s">
        <v>3073</v>
      </c>
      <c r="C569" s="103" t="s">
        <v>1886</v>
      </c>
      <c r="D569" s="109" t="s">
        <v>3074</v>
      </c>
      <c r="E569" s="105" t="s">
        <v>3441</v>
      </c>
      <c r="F569" s="110" t="s">
        <v>3094</v>
      </c>
      <c r="G569" s="110" t="s">
        <v>3159</v>
      </c>
      <c r="H569" s="108" t="s">
        <v>3469</v>
      </c>
      <c r="I569" s="108" t="s">
        <v>4319</v>
      </c>
      <c r="J569" s="104" t="s">
        <v>3471</v>
      </c>
      <c r="K569" s="110"/>
      <c r="L569" s="109" t="s">
        <v>147</v>
      </c>
      <c r="M569" s="105" t="s">
        <v>3081</v>
      </c>
      <c r="N569" s="106"/>
      <c r="O569" s="106"/>
      <c r="P569" s="212">
        <v>653.6427732079907</v>
      </c>
    </row>
    <row r="570" ht="14.25" hidden="1" customHeight="1">
      <c r="A570" s="103" t="s">
        <v>84</v>
      </c>
      <c r="B570" s="103" t="s">
        <v>3073</v>
      </c>
      <c r="C570" s="103" t="s">
        <v>1886</v>
      </c>
      <c r="D570" s="109" t="s">
        <v>3074</v>
      </c>
      <c r="E570" s="105" t="s">
        <v>3441</v>
      </c>
      <c r="F570" s="110" t="s">
        <v>3094</v>
      </c>
      <c r="G570" s="110" t="s">
        <v>3159</v>
      </c>
      <c r="H570" s="108" t="s">
        <v>3472</v>
      </c>
      <c r="I570" s="108" t="s">
        <v>4320</v>
      </c>
      <c r="J570" s="104" t="s">
        <v>3474</v>
      </c>
      <c r="K570" s="110"/>
      <c r="L570" s="109" t="s">
        <v>147</v>
      </c>
      <c r="M570" s="105" t="s">
        <v>3081</v>
      </c>
      <c r="N570" s="106"/>
      <c r="O570" s="106"/>
      <c r="P570" s="212">
        <v>543.4782608695652</v>
      </c>
    </row>
    <row r="571" ht="14.25" hidden="1" customHeight="1">
      <c r="A571" s="103" t="s">
        <v>84</v>
      </c>
      <c r="B571" s="103" t="s">
        <v>3073</v>
      </c>
      <c r="C571" s="103" t="s">
        <v>1886</v>
      </c>
      <c r="D571" s="109" t="s">
        <v>3074</v>
      </c>
      <c r="E571" s="105" t="s">
        <v>3441</v>
      </c>
      <c r="F571" s="110" t="s">
        <v>3228</v>
      </c>
      <c r="G571" s="110" t="s">
        <v>3134</v>
      </c>
      <c r="H571" s="108" t="s">
        <v>3475</v>
      </c>
      <c r="I571" s="108" t="s">
        <v>4321</v>
      </c>
      <c r="J571" s="104" t="s">
        <v>3477</v>
      </c>
      <c r="K571" s="110"/>
      <c r="L571" s="109" t="s">
        <v>147</v>
      </c>
      <c r="M571" s="105" t="s">
        <v>3081</v>
      </c>
      <c r="N571" s="106"/>
      <c r="O571" s="106"/>
      <c r="P571" s="212">
        <v>660.9870740305523</v>
      </c>
    </row>
    <row r="572" ht="14.25" hidden="1" customHeight="1">
      <c r="A572" s="103" t="s">
        <v>84</v>
      </c>
      <c r="B572" s="103" t="s">
        <v>3073</v>
      </c>
      <c r="C572" s="103" t="s">
        <v>1886</v>
      </c>
      <c r="D572" s="109" t="s">
        <v>3074</v>
      </c>
      <c r="E572" s="105" t="s">
        <v>3441</v>
      </c>
      <c r="F572" s="110" t="s">
        <v>3228</v>
      </c>
      <c r="G572" s="110" t="s">
        <v>3134</v>
      </c>
      <c r="H572" s="108" t="s">
        <v>3478</v>
      </c>
      <c r="I572" s="108" t="s">
        <v>4322</v>
      </c>
      <c r="J572" s="104" t="s">
        <v>3480</v>
      </c>
      <c r="K572" s="110"/>
      <c r="L572" s="109" t="s">
        <v>147</v>
      </c>
      <c r="M572" s="105" t="s">
        <v>3081</v>
      </c>
      <c r="N572" s="106"/>
      <c r="O572" s="106"/>
      <c r="P572" s="212">
        <v>572.8554641598121</v>
      </c>
    </row>
    <row r="573" ht="14.25" hidden="1" customHeight="1">
      <c r="A573" s="103" t="s">
        <v>84</v>
      </c>
      <c r="B573" s="103" t="s">
        <v>3073</v>
      </c>
      <c r="C573" s="103" t="s">
        <v>1886</v>
      </c>
      <c r="D573" s="109" t="s">
        <v>3074</v>
      </c>
      <c r="E573" s="105" t="s">
        <v>3441</v>
      </c>
      <c r="F573" s="110" t="s">
        <v>3228</v>
      </c>
      <c r="G573" s="110" t="s">
        <v>3159</v>
      </c>
      <c r="H573" s="108" t="s">
        <v>3481</v>
      </c>
      <c r="I573" s="108" t="s">
        <v>4323</v>
      </c>
      <c r="J573" s="104" t="s">
        <v>3483</v>
      </c>
      <c r="K573" s="110"/>
      <c r="L573" s="109" t="s">
        <v>147</v>
      </c>
      <c r="M573" s="105" t="s">
        <v>3081</v>
      </c>
      <c r="N573" s="106"/>
      <c r="O573" s="106"/>
      <c r="P573" s="212">
        <v>691.6996047430831</v>
      </c>
    </row>
    <row r="574" ht="14.25" hidden="1" customHeight="1">
      <c r="A574" s="103" t="s">
        <v>84</v>
      </c>
      <c r="B574" s="103" t="s">
        <v>3073</v>
      </c>
      <c r="C574" s="103" t="s">
        <v>1886</v>
      </c>
      <c r="D574" s="109" t="s">
        <v>3074</v>
      </c>
      <c r="E574" s="105" t="s">
        <v>3441</v>
      </c>
      <c r="F574" s="110" t="s">
        <v>3228</v>
      </c>
      <c r="G574" s="110" t="s">
        <v>3159</v>
      </c>
      <c r="H574" s="108" t="s">
        <v>3484</v>
      </c>
      <c r="I574" s="108" t="s">
        <v>4324</v>
      </c>
      <c r="J574" s="104" t="s">
        <v>3486</v>
      </c>
      <c r="K574" s="110"/>
      <c r="L574" s="109" t="s">
        <v>147</v>
      </c>
      <c r="M574" s="105" t="s">
        <v>3081</v>
      </c>
      <c r="N574" s="106"/>
      <c r="O574" s="106"/>
      <c r="P574" s="212">
        <v>585.8272162619988</v>
      </c>
    </row>
    <row r="575" ht="14.25" hidden="1" customHeight="1">
      <c r="A575" s="103" t="s">
        <v>84</v>
      </c>
      <c r="B575" s="103" t="s">
        <v>3073</v>
      </c>
      <c r="C575" s="103" t="s">
        <v>1886</v>
      </c>
      <c r="D575" s="109" t="s">
        <v>3074</v>
      </c>
      <c r="E575" s="105" t="s">
        <v>3441</v>
      </c>
      <c r="F575" s="110" t="s">
        <v>3094</v>
      </c>
      <c r="G575" s="110" t="s">
        <v>3134</v>
      </c>
      <c r="H575" s="108" t="s">
        <v>3487</v>
      </c>
      <c r="I575" s="108" t="s">
        <v>4377</v>
      </c>
      <c r="J575" s="477" t="s">
        <v>3489</v>
      </c>
      <c r="K575" s="110"/>
      <c r="L575" s="109" t="s">
        <v>147</v>
      </c>
      <c r="M575" s="105" t="s">
        <v>3081</v>
      </c>
      <c r="N575" s="106"/>
      <c r="O575" s="106"/>
      <c r="P575" s="212">
        <v>557.9710144927536</v>
      </c>
    </row>
    <row r="576" ht="14.25" hidden="1" customHeight="1">
      <c r="A576" s="103" t="s">
        <v>84</v>
      </c>
      <c r="B576" s="103" t="s">
        <v>120</v>
      </c>
      <c r="C576" s="103" t="s">
        <v>1886</v>
      </c>
      <c r="D576" s="109" t="s">
        <v>2920</v>
      </c>
      <c r="E576" s="105" t="s">
        <v>3185</v>
      </c>
      <c r="F576" s="110" t="s">
        <v>3490</v>
      </c>
      <c r="G576" s="110"/>
      <c r="H576" s="108" t="s">
        <v>3491</v>
      </c>
      <c r="I576" s="108" t="s">
        <v>4325</v>
      </c>
      <c r="J576" s="104" t="s">
        <v>3493</v>
      </c>
      <c r="K576" s="110"/>
      <c r="L576" s="109" t="s">
        <v>147</v>
      </c>
      <c r="M576" s="105" t="s">
        <v>3081</v>
      </c>
      <c r="N576" s="106"/>
      <c r="O576" s="106"/>
      <c r="P576" s="212">
        <v>112.6552795031056</v>
      </c>
    </row>
    <row r="577" ht="14.25" hidden="1" customHeight="1">
      <c r="A577" s="103" t="s">
        <v>84</v>
      </c>
      <c r="B577" s="103" t="s">
        <v>120</v>
      </c>
      <c r="C577" s="103" t="s">
        <v>1886</v>
      </c>
      <c r="D577" s="109" t="s">
        <v>2920</v>
      </c>
      <c r="E577" s="105" t="s">
        <v>3185</v>
      </c>
      <c r="F577" s="110" t="s">
        <v>3494</v>
      </c>
      <c r="G577" s="110"/>
      <c r="H577" s="108" t="s">
        <v>3495</v>
      </c>
      <c r="I577" s="108" t="s">
        <v>4326</v>
      </c>
      <c r="J577" s="104" t="s">
        <v>3497</v>
      </c>
      <c r="K577" s="110"/>
      <c r="L577" s="109" t="s">
        <v>147</v>
      </c>
      <c r="M577" s="105" t="s">
        <v>3081</v>
      </c>
      <c r="N577" s="106"/>
      <c r="O577" s="106"/>
      <c r="P577" s="212">
        <v>123.8354037267081</v>
      </c>
    </row>
    <row r="578" ht="14.25" hidden="1" customHeight="1">
      <c r="A578" s="103" t="s">
        <v>84</v>
      </c>
      <c r="B578" s="103" t="s">
        <v>120</v>
      </c>
      <c r="C578" s="103" t="s">
        <v>1886</v>
      </c>
      <c r="D578" s="109" t="s">
        <v>2920</v>
      </c>
      <c r="E578" s="105" t="s">
        <v>3185</v>
      </c>
      <c r="F578" s="110" t="s">
        <v>3494</v>
      </c>
      <c r="G578" s="110"/>
      <c r="H578" s="108" t="s">
        <v>3498</v>
      </c>
      <c r="I578" s="108" t="s">
        <v>4327</v>
      </c>
      <c r="J578" s="104" t="s">
        <v>3500</v>
      </c>
      <c r="K578" s="110"/>
      <c r="L578" s="109" t="s">
        <v>147</v>
      </c>
      <c r="M578" s="105" t="s">
        <v>3081</v>
      </c>
      <c r="N578" s="106"/>
      <c r="O578" s="106"/>
      <c r="P578" s="212">
        <v>126.16459627329195</v>
      </c>
    </row>
    <row r="579" ht="14.25" hidden="1" customHeight="1">
      <c r="A579" s="103" t="s">
        <v>84</v>
      </c>
      <c r="B579" s="103" t="s">
        <v>120</v>
      </c>
      <c r="C579" s="103" t="s">
        <v>1886</v>
      </c>
      <c r="D579" s="109" t="s">
        <v>2920</v>
      </c>
      <c r="E579" s="105" t="s">
        <v>3185</v>
      </c>
      <c r="F579" s="110" t="s">
        <v>3494</v>
      </c>
      <c r="G579" s="110"/>
      <c r="H579" s="108" t="s">
        <v>3501</v>
      </c>
      <c r="I579" s="108" t="s">
        <v>4328</v>
      </c>
      <c r="J579" s="104" t="s">
        <v>3503</v>
      </c>
      <c r="K579" s="110"/>
      <c r="L579" s="109" t="s">
        <v>147</v>
      </c>
      <c r="M579" s="105" t="s">
        <v>3081</v>
      </c>
      <c r="N579" s="106"/>
      <c r="O579" s="106"/>
      <c r="P579" s="212">
        <v>145.57453416149073</v>
      </c>
    </row>
    <row r="580" ht="14.25" hidden="1" customHeight="1">
      <c r="A580" s="103" t="s">
        <v>84</v>
      </c>
      <c r="B580" s="103" t="s">
        <v>120</v>
      </c>
      <c r="C580" s="103" t="s">
        <v>1886</v>
      </c>
      <c r="D580" s="109" t="s">
        <v>2920</v>
      </c>
      <c r="E580" s="105" t="s">
        <v>3185</v>
      </c>
      <c r="F580" s="110" t="s">
        <v>3494</v>
      </c>
      <c r="G580" s="110"/>
      <c r="H580" s="108" t="s">
        <v>3504</v>
      </c>
      <c r="I580" s="108" t="s">
        <v>4329</v>
      </c>
      <c r="J580" s="104" t="s">
        <v>3506</v>
      </c>
      <c r="K580" s="110"/>
      <c r="L580" s="109" t="s">
        <v>147</v>
      </c>
      <c r="M580" s="105" t="s">
        <v>3081</v>
      </c>
      <c r="N580" s="106"/>
      <c r="O580" s="106"/>
      <c r="P580" s="212">
        <v>32.76397515527951</v>
      </c>
    </row>
    <row r="581" ht="14.25" hidden="1" customHeight="1">
      <c r="A581" s="103" t="s">
        <v>84</v>
      </c>
      <c r="B581" s="103" t="s">
        <v>120</v>
      </c>
      <c r="C581" s="103" t="s">
        <v>1886</v>
      </c>
      <c r="D581" s="109" t="s">
        <v>2920</v>
      </c>
      <c r="E581" s="105" t="s">
        <v>3185</v>
      </c>
      <c r="F581" s="110" t="s">
        <v>3494</v>
      </c>
      <c r="G581" s="110"/>
      <c r="H581" s="108" t="s">
        <v>3507</v>
      </c>
      <c r="I581" s="108" t="s">
        <v>4330</v>
      </c>
      <c r="J581" s="104" t="s">
        <v>3509</v>
      </c>
      <c r="K581" s="110"/>
      <c r="L581" s="109" t="s">
        <v>147</v>
      </c>
      <c r="M581" s="105" t="s">
        <v>3081</v>
      </c>
      <c r="N581" s="106"/>
      <c r="O581" s="106"/>
      <c r="P581" s="212">
        <v>24.689440993788825</v>
      </c>
    </row>
    <row r="582" ht="14.25" hidden="1" customHeight="1">
      <c r="A582" s="103" t="s">
        <v>84</v>
      </c>
      <c r="B582" s="103" t="s">
        <v>120</v>
      </c>
      <c r="C582" s="103" t="s">
        <v>1886</v>
      </c>
      <c r="D582" s="109" t="s">
        <v>2920</v>
      </c>
      <c r="E582" s="105" t="s">
        <v>3185</v>
      </c>
      <c r="F582" s="110" t="s">
        <v>3075</v>
      </c>
      <c r="G582" s="110"/>
      <c r="H582" s="108" t="s">
        <v>3510</v>
      </c>
      <c r="I582" s="108" t="s">
        <v>4331</v>
      </c>
      <c r="J582" s="104" t="s">
        <v>3512</v>
      </c>
      <c r="K582" s="110"/>
      <c r="L582" s="109" t="s">
        <v>147</v>
      </c>
      <c r="M582" s="105" t="s">
        <v>3081</v>
      </c>
      <c r="N582" s="106"/>
      <c r="O582" s="106"/>
      <c r="P582" s="212">
        <v>143.89751552795033</v>
      </c>
    </row>
    <row r="583" ht="14.25" hidden="1" customHeight="1">
      <c r="A583" s="103" t="s">
        <v>84</v>
      </c>
      <c r="B583" s="103" t="s">
        <v>120</v>
      </c>
      <c r="C583" s="103" t="s">
        <v>1886</v>
      </c>
      <c r="D583" s="109" t="s">
        <v>2920</v>
      </c>
      <c r="E583" s="105" t="s">
        <v>3185</v>
      </c>
      <c r="F583" s="110" t="s">
        <v>3075</v>
      </c>
      <c r="G583" s="110"/>
      <c r="H583" s="108" t="s">
        <v>3513</v>
      </c>
      <c r="I583" s="108" t="s">
        <v>4332</v>
      </c>
      <c r="J583" s="104" t="s">
        <v>3515</v>
      </c>
      <c r="K583" s="110"/>
      <c r="L583" s="109" t="s">
        <v>147</v>
      </c>
      <c r="M583" s="105" t="s">
        <v>3081</v>
      </c>
      <c r="N583" s="106"/>
      <c r="O583" s="106"/>
      <c r="P583" s="212">
        <v>146.22670807453417</v>
      </c>
    </row>
    <row r="584" ht="14.25" hidden="1" customHeight="1">
      <c r="A584" s="103" t="s">
        <v>84</v>
      </c>
      <c r="B584" s="103" t="s">
        <v>120</v>
      </c>
      <c r="C584" s="103" t="s">
        <v>1886</v>
      </c>
      <c r="D584" s="109" t="s">
        <v>2920</v>
      </c>
      <c r="E584" s="105" t="s">
        <v>3185</v>
      </c>
      <c r="F584" s="110" t="s">
        <v>3075</v>
      </c>
      <c r="G584" s="110"/>
      <c r="H584" s="108" t="s">
        <v>3516</v>
      </c>
      <c r="I584" s="108" t="s">
        <v>4333</v>
      </c>
      <c r="J584" s="104" t="s">
        <v>3518</v>
      </c>
      <c r="K584" s="110"/>
      <c r="L584" s="109" t="s">
        <v>147</v>
      </c>
      <c r="M584" s="105" t="s">
        <v>3081</v>
      </c>
      <c r="N584" s="106"/>
      <c r="O584" s="106"/>
      <c r="P584" s="212">
        <v>163.04347826086962</v>
      </c>
    </row>
    <row r="585" ht="14.25" hidden="1" customHeight="1">
      <c r="A585" s="103" t="s">
        <v>84</v>
      </c>
      <c r="B585" s="103" t="s">
        <v>120</v>
      </c>
      <c r="C585" s="103" t="s">
        <v>1886</v>
      </c>
      <c r="D585" s="109" t="s">
        <v>2920</v>
      </c>
      <c r="E585" s="105" t="s">
        <v>3185</v>
      </c>
      <c r="F585" s="110" t="s">
        <v>3075</v>
      </c>
      <c r="G585" s="110"/>
      <c r="H585" s="108" t="s">
        <v>3519</v>
      </c>
      <c r="I585" s="108" t="s">
        <v>4334</v>
      </c>
      <c r="J585" s="104" t="s">
        <v>3521</v>
      </c>
      <c r="K585" s="110"/>
      <c r="L585" s="109" t="s">
        <v>147</v>
      </c>
      <c r="M585" s="105" t="s">
        <v>3081</v>
      </c>
      <c r="N585" s="106"/>
      <c r="O585" s="106"/>
      <c r="P585" s="212">
        <v>168.66459627329198</v>
      </c>
    </row>
    <row r="586" ht="14.25" hidden="1" customHeight="1">
      <c r="A586" s="103" t="s">
        <v>84</v>
      </c>
      <c r="B586" s="103" t="s">
        <v>120</v>
      </c>
      <c r="C586" s="103" t="s">
        <v>1886</v>
      </c>
      <c r="D586" s="109" t="s">
        <v>2920</v>
      </c>
      <c r="E586" s="105" t="s">
        <v>3185</v>
      </c>
      <c r="F586" s="110" t="s">
        <v>3075</v>
      </c>
      <c r="G586" s="110"/>
      <c r="H586" s="108" t="s">
        <v>3522</v>
      </c>
      <c r="I586" s="108" t="s">
        <v>4335</v>
      </c>
      <c r="J586" s="104" t="s">
        <v>3524</v>
      </c>
      <c r="K586" s="110"/>
      <c r="L586" s="109" t="s">
        <v>147</v>
      </c>
      <c r="M586" s="105" t="s">
        <v>3081</v>
      </c>
      <c r="N586" s="106"/>
      <c r="O586" s="106"/>
      <c r="P586" s="212">
        <v>170.8074534161491</v>
      </c>
    </row>
    <row r="587" ht="14.25" hidden="1" customHeight="1">
      <c r="A587" s="103" t="s">
        <v>84</v>
      </c>
      <c r="B587" s="103" t="s">
        <v>120</v>
      </c>
      <c r="C587" s="103" t="s">
        <v>1886</v>
      </c>
      <c r="D587" s="109" t="s">
        <v>2920</v>
      </c>
      <c r="E587" s="105" t="s">
        <v>3185</v>
      </c>
      <c r="F587" s="110" t="s">
        <v>3075</v>
      </c>
      <c r="G587" s="110"/>
      <c r="H587" s="108" t="s">
        <v>3525</v>
      </c>
      <c r="I587" s="108" t="s">
        <v>4336</v>
      </c>
      <c r="J587" s="104" t="s">
        <v>3527</v>
      </c>
      <c r="K587" s="110"/>
      <c r="L587" s="109" t="s">
        <v>147</v>
      </c>
      <c r="M587" s="105" t="s">
        <v>3081</v>
      </c>
      <c r="N587" s="106"/>
      <c r="O587" s="106"/>
      <c r="P587" s="212">
        <v>188.07453416149073</v>
      </c>
    </row>
    <row r="588" ht="14.25" hidden="1" customHeight="1">
      <c r="A588" s="103" t="s">
        <v>84</v>
      </c>
      <c r="B588" s="103" t="s">
        <v>120</v>
      </c>
      <c r="C588" s="103" t="s">
        <v>1886</v>
      </c>
      <c r="D588" s="109" t="s">
        <v>2920</v>
      </c>
      <c r="E588" s="105" t="s">
        <v>3185</v>
      </c>
      <c r="F588" s="110" t="s">
        <v>3075</v>
      </c>
      <c r="G588" s="110"/>
      <c r="H588" s="108" t="s">
        <v>3528</v>
      </c>
      <c r="I588" s="108" t="s">
        <v>4337</v>
      </c>
      <c r="J588" s="104" t="s">
        <v>3530</v>
      </c>
      <c r="K588" s="110"/>
      <c r="L588" s="109" t="s">
        <v>147</v>
      </c>
      <c r="M588" s="105" t="s">
        <v>3081</v>
      </c>
      <c r="N588" s="106"/>
      <c r="O588" s="106"/>
      <c r="P588" s="212">
        <v>35.24844720496895</v>
      </c>
    </row>
    <row r="589" ht="14.25" hidden="1" customHeight="1">
      <c r="A589" s="103" t="s">
        <v>84</v>
      </c>
      <c r="B589" s="103" t="s">
        <v>120</v>
      </c>
      <c r="C589" s="103" t="s">
        <v>1886</v>
      </c>
      <c r="D589" s="109" t="s">
        <v>2920</v>
      </c>
      <c r="E589" s="105" t="s">
        <v>3185</v>
      </c>
      <c r="F589" s="110" t="s">
        <v>3075</v>
      </c>
      <c r="G589" s="110"/>
      <c r="H589" s="108" t="s">
        <v>3531</v>
      </c>
      <c r="I589" s="108" t="s">
        <v>4338</v>
      </c>
      <c r="J589" s="104" t="s">
        <v>3533</v>
      </c>
      <c r="K589" s="110"/>
      <c r="L589" s="109" t="s">
        <v>147</v>
      </c>
      <c r="M589" s="105" t="s">
        <v>3081</v>
      </c>
      <c r="N589" s="106"/>
      <c r="O589" s="106"/>
      <c r="P589" s="212">
        <v>47.049689440993795</v>
      </c>
    </row>
    <row r="590" ht="14.25" hidden="1" customHeight="1">
      <c r="A590" s="103" t="s">
        <v>84</v>
      </c>
      <c r="B590" s="103" t="s">
        <v>120</v>
      </c>
      <c r="C590" s="103" t="s">
        <v>1886</v>
      </c>
      <c r="D590" s="109" t="s">
        <v>2920</v>
      </c>
      <c r="E590" s="105" t="s">
        <v>3534</v>
      </c>
      <c r="F590" s="110" t="s">
        <v>3535</v>
      </c>
      <c r="G590" s="110"/>
      <c r="H590" s="479" t="s">
        <v>3536</v>
      </c>
      <c r="I590" s="108" t="s">
        <v>3537</v>
      </c>
      <c r="J590" s="104" t="s">
        <v>3539</v>
      </c>
      <c r="K590" s="110"/>
      <c r="L590" s="109" t="s">
        <v>147</v>
      </c>
      <c r="M590" s="105" t="s">
        <v>3081</v>
      </c>
      <c r="N590" s="106"/>
      <c r="O590" s="106"/>
      <c r="P590" s="212">
        <v>159.06680805938493</v>
      </c>
    </row>
    <row r="591" ht="14.25" hidden="1" customHeight="1">
      <c r="A591" s="103" t="s">
        <v>84</v>
      </c>
      <c r="B591" s="103" t="s">
        <v>120</v>
      </c>
      <c r="C591" s="103" t="s">
        <v>1886</v>
      </c>
      <c r="D591" s="109" t="s">
        <v>2920</v>
      </c>
      <c r="E591" s="105" t="s">
        <v>3534</v>
      </c>
      <c r="F591" s="110" t="s">
        <v>3490</v>
      </c>
      <c r="G591" s="110"/>
      <c r="H591" s="479" t="s">
        <v>3540</v>
      </c>
      <c r="I591" s="108"/>
      <c r="J591" s="104" t="s">
        <v>3542</v>
      </c>
      <c r="K591" s="110"/>
      <c r="L591" s="109" t="s">
        <v>147</v>
      </c>
      <c r="M591" s="105" t="s">
        <v>3081</v>
      </c>
      <c r="N591" s="106"/>
      <c r="O591" s="106"/>
      <c r="P591" s="212">
        <v>172.32237539766703</v>
      </c>
    </row>
    <row r="592" ht="14.25" hidden="1" customHeight="1">
      <c r="A592" s="103" t="s">
        <v>84</v>
      </c>
      <c r="B592" s="103" t="s">
        <v>120</v>
      </c>
      <c r="C592" s="103" t="s">
        <v>1886</v>
      </c>
      <c r="D592" s="109" t="s">
        <v>2920</v>
      </c>
      <c r="E592" s="105" t="s">
        <v>3534</v>
      </c>
      <c r="F592" s="110" t="s">
        <v>3494</v>
      </c>
      <c r="G592" s="110"/>
      <c r="H592" s="479" t="s">
        <v>3543</v>
      </c>
      <c r="I592" s="108"/>
      <c r="J592" s="104" t="s">
        <v>3545</v>
      </c>
      <c r="K592" s="110"/>
      <c r="L592" s="109" t="s">
        <v>147</v>
      </c>
      <c r="M592" s="105" t="s">
        <v>3081</v>
      </c>
      <c r="N592" s="106"/>
      <c r="O592" s="106"/>
      <c r="P592" s="212">
        <v>185.5779427359491</v>
      </c>
    </row>
    <row r="593" ht="14.25" hidden="1" customHeight="1">
      <c r="A593" s="103" t="s">
        <v>84</v>
      </c>
      <c r="B593" s="103" t="s">
        <v>120</v>
      </c>
      <c r="C593" s="103" t="s">
        <v>1886</v>
      </c>
      <c r="D593" s="109" t="s">
        <v>2920</v>
      </c>
      <c r="E593" s="105" t="s">
        <v>3534</v>
      </c>
      <c r="F593" s="110" t="s">
        <v>3546</v>
      </c>
      <c r="G593" s="110"/>
      <c r="H593" s="479" t="s">
        <v>3547</v>
      </c>
      <c r="I593" s="108"/>
      <c r="J593" s="104" t="s">
        <v>3549</v>
      </c>
      <c r="K593" s="110"/>
      <c r="L593" s="109" t="s">
        <v>147</v>
      </c>
      <c r="M593" s="105" t="s">
        <v>3081</v>
      </c>
      <c r="N593" s="106"/>
      <c r="O593" s="106"/>
      <c r="P593" s="212">
        <v>212.0890774125133</v>
      </c>
    </row>
    <row r="594" ht="14.25" hidden="1" customHeight="1">
      <c r="A594" s="103" t="s">
        <v>84</v>
      </c>
      <c r="B594" s="103" t="s">
        <v>120</v>
      </c>
      <c r="C594" s="103" t="s">
        <v>1886</v>
      </c>
      <c r="D594" s="109" t="s">
        <v>2920</v>
      </c>
      <c r="E594" s="105" t="s">
        <v>3534</v>
      </c>
      <c r="F594" s="110" t="s">
        <v>3550</v>
      </c>
      <c r="G594" s="110"/>
      <c r="H594" s="479" t="s">
        <v>3551</v>
      </c>
      <c r="I594" s="108"/>
      <c r="J594" s="104" t="s">
        <v>3553</v>
      </c>
      <c r="K594" s="110"/>
      <c r="L594" s="109" t="s">
        <v>147</v>
      </c>
      <c r="M594" s="105" t="s">
        <v>3081</v>
      </c>
      <c r="N594" s="106"/>
      <c r="O594" s="106"/>
      <c r="P594" s="212">
        <v>225.34464475079534</v>
      </c>
    </row>
    <row r="595" ht="14.25" hidden="1" customHeight="1">
      <c r="A595" s="103" t="s">
        <v>84</v>
      </c>
      <c r="B595" s="103" t="s">
        <v>120</v>
      </c>
      <c r="C595" s="103" t="s">
        <v>1886</v>
      </c>
      <c r="D595" s="109" t="s">
        <v>2920</v>
      </c>
      <c r="E595" s="105" t="s">
        <v>3534</v>
      </c>
      <c r="F595" s="110" t="s">
        <v>3554</v>
      </c>
      <c r="G595" s="110"/>
      <c r="H595" s="479" t="s">
        <v>3555</v>
      </c>
      <c r="I595" s="108"/>
      <c r="J595" s="104" t="s">
        <v>3557</v>
      </c>
      <c r="K595" s="110"/>
      <c r="L595" s="109" t="s">
        <v>147</v>
      </c>
      <c r="M595" s="105" t="s">
        <v>3081</v>
      </c>
      <c r="N595" s="106"/>
      <c r="O595" s="106"/>
      <c r="P595" s="212">
        <v>238.6002120890774</v>
      </c>
    </row>
    <row r="596" ht="14.25" hidden="1" customHeight="1">
      <c r="A596" s="103" t="s">
        <v>84</v>
      </c>
      <c r="B596" s="103" t="s">
        <v>120</v>
      </c>
      <c r="C596" s="103" t="s">
        <v>1886</v>
      </c>
      <c r="D596" s="109" t="s">
        <v>2920</v>
      </c>
      <c r="E596" s="105" t="s">
        <v>3534</v>
      </c>
      <c r="F596" s="110" t="s">
        <v>3075</v>
      </c>
      <c r="G596" s="110"/>
      <c r="H596" s="479" t="s">
        <v>3558</v>
      </c>
      <c r="I596" s="108"/>
      <c r="J596" s="104" t="s">
        <v>3560</v>
      </c>
      <c r="K596" s="110"/>
      <c r="L596" s="109" t="s">
        <v>147</v>
      </c>
      <c r="M596" s="105" t="s">
        <v>3081</v>
      </c>
      <c r="N596" s="106"/>
      <c r="O596" s="106"/>
      <c r="P596" s="212">
        <v>265.11134676564154</v>
      </c>
    </row>
    <row r="597" ht="14.25" hidden="1" customHeight="1">
      <c r="A597" s="103" t="s">
        <v>84</v>
      </c>
      <c r="B597" s="103" t="s">
        <v>120</v>
      </c>
      <c r="C597" s="103" t="s">
        <v>1886</v>
      </c>
      <c r="D597" s="109" t="s">
        <v>2920</v>
      </c>
      <c r="E597" s="105" t="s">
        <v>3185</v>
      </c>
      <c r="F597" s="110" t="s">
        <v>3647</v>
      </c>
      <c r="G597" s="110"/>
      <c r="H597" s="479" t="s">
        <v>3648</v>
      </c>
      <c r="I597" s="108"/>
      <c r="J597" s="104" t="s">
        <v>3650</v>
      </c>
      <c r="K597" s="110"/>
      <c r="L597" s="109" t="s">
        <v>147</v>
      </c>
      <c r="M597" s="105" t="s">
        <v>3081</v>
      </c>
      <c r="N597" s="106"/>
      <c r="O597" s="106"/>
      <c r="P597" s="212">
        <v>76.644370122631</v>
      </c>
    </row>
    <row r="598" ht="14.25" hidden="1" customHeight="1">
      <c r="A598" s="103" t="s">
        <v>84</v>
      </c>
      <c r="B598" s="103" t="s">
        <v>120</v>
      </c>
      <c r="C598" s="103" t="s">
        <v>1886</v>
      </c>
      <c r="D598" s="109" t="s">
        <v>2920</v>
      </c>
      <c r="E598" s="105" t="s">
        <v>3185</v>
      </c>
      <c r="F598" s="110" t="s">
        <v>3490</v>
      </c>
      <c r="G598" s="110"/>
      <c r="H598" s="479" t="s">
        <v>3651</v>
      </c>
      <c r="I598" s="108"/>
      <c r="J598" s="104" t="s">
        <v>3653</v>
      </c>
      <c r="K598" s="110"/>
      <c r="L598" s="109" t="s">
        <v>147</v>
      </c>
      <c r="M598" s="105" t="s">
        <v>3081</v>
      </c>
      <c r="N598" s="106"/>
      <c r="O598" s="106"/>
      <c r="P598" s="212">
        <v>83.61204013377926</v>
      </c>
    </row>
    <row r="599" ht="14.25" hidden="1" customHeight="1">
      <c r="A599" s="103" t="s">
        <v>84</v>
      </c>
      <c r="B599" s="103" t="s">
        <v>120</v>
      </c>
      <c r="C599" s="103" t="s">
        <v>1886</v>
      </c>
      <c r="D599" s="109" t="s">
        <v>2920</v>
      </c>
      <c r="E599" s="105" t="s">
        <v>3185</v>
      </c>
      <c r="F599" s="110" t="s">
        <v>3494</v>
      </c>
      <c r="G599" s="110"/>
      <c r="H599" s="479" t="s">
        <v>3654</v>
      </c>
      <c r="I599" s="108"/>
      <c r="J599" s="104" t="s">
        <v>3656</v>
      </c>
      <c r="K599" s="110"/>
      <c r="L599" s="109" t="s">
        <v>147</v>
      </c>
      <c r="M599" s="105" t="s">
        <v>3081</v>
      </c>
      <c r="N599" s="106"/>
      <c r="O599" s="106"/>
      <c r="P599" s="212">
        <v>90.57971014492755</v>
      </c>
    </row>
    <row r="600" ht="14.25" hidden="1" customHeight="1">
      <c r="A600" s="103" t="s">
        <v>84</v>
      </c>
      <c r="B600" s="103" t="s">
        <v>120</v>
      </c>
      <c r="C600" s="103" t="s">
        <v>1886</v>
      </c>
      <c r="D600" s="109" t="s">
        <v>2920</v>
      </c>
      <c r="E600" s="105" t="s">
        <v>3185</v>
      </c>
      <c r="F600" s="110" t="s">
        <v>3657</v>
      </c>
      <c r="G600" s="110"/>
      <c r="H600" s="479" t="s">
        <v>3658</v>
      </c>
      <c r="I600" s="108"/>
      <c r="J600" s="104" t="s">
        <v>3660</v>
      </c>
      <c r="K600" s="110"/>
      <c r="L600" s="109" t="s">
        <v>147</v>
      </c>
      <c r="M600" s="105" t="s">
        <v>3081</v>
      </c>
      <c r="N600" s="106"/>
      <c r="O600" s="106"/>
      <c r="P600" s="212">
        <v>104.51505016722408</v>
      </c>
    </row>
    <row r="601" ht="14.25" hidden="1" customHeight="1">
      <c r="A601" s="103" t="s">
        <v>84</v>
      </c>
      <c r="B601" s="103" t="s">
        <v>120</v>
      </c>
      <c r="C601" s="103" t="s">
        <v>1886</v>
      </c>
      <c r="D601" s="109" t="s">
        <v>2920</v>
      </c>
      <c r="E601" s="105" t="s">
        <v>3185</v>
      </c>
      <c r="F601" s="110" t="s">
        <v>3550</v>
      </c>
      <c r="G601" s="110"/>
      <c r="H601" s="479" t="s">
        <v>3661</v>
      </c>
      <c r="I601" s="108"/>
      <c r="J601" s="104" t="s">
        <v>3663</v>
      </c>
      <c r="K601" s="110"/>
      <c r="L601" s="109" t="s">
        <v>147</v>
      </c>
      <c r="M601" s="105" t="s">
        <v>3081</v>
      </c>
      <c r="N601" s="106"/>
      <c r="O601" s="106"/>
      <c r="P601" s="212">
        <v>111.48272017837238</v>
      </c>
    </row>
    <row r="602" ht="14.25" hidden="1" customHeight="1">
      <c r="A602" s="103" t="s">
        <v>84</v>
      </c>
      <c r="B602" s="103" t="s">
        <v>120</v>
      </c>
      <c r="C602" s="103" t="s">
        <v>1886</v>
      </c>
      <c r="D602" s="109" t="s">
        <v>2920</v>
      </c>
      <c r="E602" s="105" t="s">
        <v>3185</v>
      </c>
      <c r="F602" s="110" t="s">
        <v>3075</v>
      </c>
      <c r="G602" s="110"/>
      <c r="H602" s="479" t="s">
        <v>3664</v>
      </c>
      <c r="I602" s="108"/>
      <c r="J602" s="104" t="s">
        <v>3666</v>
      </c>
      <c r="K602" s="110"/>
      <c r="L602" s="109" t="s">
        <v>147</v>
      </c>
      <c r="M602" s="105" t="s">
        <v>3081</v>
      </c>
      <c r="N602" s="106"/>
      <c r="O602" s="106"/>
      <c r="P602" s="212">
        <v>125.41806020066889</v>
      </c>
    </row>
    <row r="603" ht="14.25" hidden="1" customHeight="1">
      <c r="A603" s="103" t="s">
        <v>84</v>
      </c>
      <c r="B603" s="103" t="s">
        <v>120</v>
      </c>
      <c r="C603" s="103" t="s">
        <v>1886</v>
      </c>
      <c r="D603" s="109" t="s">
        <v>2920</v>
      </c>
      <c r="E603" s="105" t="s">
        <v>3185</v>
      </c>
      <c r="F603" s="110" t="s">
        <v>3647</v>
      </c>
      <c r="G603" s="110"/>
      <c r="H603" s="479" t="s">
        <v>3667</v>
      </c>
      <c r="I603" s="108"/>
      <c r="J603" s="104" t="s">
        <v>3669</v>
      </c>
      <c r="K603" s="110"/>
      <c r="L603" s="109" t="s">
        <v>147</v>
      </c>
      <c r="M603" s="105" t="s">
        <v>3081</v>
      </c>
      <c r="N603" s="106"/>
      <c r="O603" s="106"/>
      <c r="P603" s="212">
        <v>83.61204013377926</v>
      </c>
    </row>
    <row r="604" ht="14.25" hidden="1" customHeight="1">
      <c r="A604" s="103" t="s">
        <v>84</v>
      </c>
      <c r="B604" s="103" t="s">
        <v>120</v>
      </c>
      <c r="C604" s="103" t="s">
        <v>1886</v>
      </c>
      <c r="D604" s="109" t="s">
        <v>2920</v>
      </c>
      <c r="E604" s="105" t="s">
        <v>3185</v>
      </c>
      <c r="F604" s="110" t="s">
        <v>3490</v>
      </c>
      <c r="G604" s="110"/>
      <c r="H604" s="479" t="s">
        <v>3670</v>
      </c>
      <c r="I604" s="108" t="s">
        <v>3671</v>
      </c>
      <c r="J604" s="104" t="s">
        <v>3673</v>
      </c>
      <c r="K604" s="110"/>
      <c r="L604" s="109" t="s">
        <v>147</v>
      </c>
      <c r="M604" s="105" t="s">
        <v>3081</v>
      </c>
      <c r="N604" s="106"/>
      <c r="O604" s="106"/>
      <c r="P604" s="212">
        <v>90.57971014492755</v>
      </c>
    </row>
    <row r="605" ht="14.25" hidden="1" customHeight="1">
      <c r="A605" s="103" t="s">
        <v>84</v>
      </c>
      <c r="B605" s="103" t="s">
        <v>120</v>
      </c>
      <c r="C605" s="103" t="s">
        <v>1886</v>
      </c>
      <c r="D605" s="109" t="s">
        <v>2920</v>
      </c>
      <c r="E605" s="105" t="s">
        <v>3185</v>
      </c>
      <c r="F605" s="110" t="s">
        <v>3494</v>
      </c>
      <c r="G605" s="110"/>
      <c r="H605" s="479" t="s">
        <v>3674</v>
      </c>
      <c r="I605" s="108"/>
      <c r="J605" s="104" t="s">
        <v>3676</v>
      </c>
      <c r="K605" s="110"/>
      <c r="L605" s="109" t="s">
        <v>147</v>
      </c>
      <c r="M605" s="105" t="s">
        <v>3081</v>
      </c>
      <c r="N605" s="106"/>
      <c r="O605" s="106"/>
      <c r="P605" s="212">
        <v>100.33444816053513</v>
      </c>
    </row>
    <row r="606" ht="14.25" hidden="1" customHeight="1">
      <c r="A606" s="103" t="s">
        <v>84</v>
      </c>
      <c r="B606" s="103" t="s">
        <v>120</v>
      </c>
      <c r="C606" s="103" t="s">
        <v>1886</v>
      </c>
      <c r="D606" s="109" t="s">
        <v>2920</v>
      </c>
      <c r="E606" s="105" t="s">
        <v>3185</v>
      </c>
      <c r="F606" s="110" t="s">
        <v>3657</v>
      </c>
      <c r="G606" s="110"/>
      <c r="H606" s="479" t="s">
        <v>3677</v>
      </c>
      <c r="I606" s="108"/>
      <c r="J606" s="104" t="s">
        <v>3679</v>
      </c>
      <c r="K606" s="110"/>
      <c r="L606" s="109" t="s">
        <v>147</v>
      </c>
      <c r="M606" s="105" t="s">
        <v>3081</v>
      </c>
      <c r="N606" s="106"/>
      <c r="O606" s="106"/>
      <c r="P606" s="212">
        <v>111.48272017837238</v>
      </c>
    </row>
    <row r="607" ht="14.25" hidden="1" customHeight="1">
      <c r="A607" s="103" t="s">
        <v>84</v>
      </c>
      <c r="B607" s="103" t="s">
        <v>120</v>
      </c>
      <c r="C607" s="103" t="s">
        <v>1886</v>
      </c>
      <c r="D607" s="109" t="s">
        <v>2920</v>
      </c>
      <c r="E607" s="105" t="s">
        <v>3185</v>
      </c>
      <c r="F607" s="110" t="s">
        <v>3550</v>
      </c>
      <c r="G607" s="110"/>
      <c r="H607" s="479" t="s">
        <v>3680</v>
      </c>
      <c r="I607" s="108"/>
      <c r="J607" s="104" t="s">
        <v>3682</v>
      </c>
      <c r="K607" s="110"/>
      <c r="L607" s="109" t="s">
        <v>147</v>
      </c>
      <c r="M607" s="105" t="s">
        <v>3081</v>
      </c>
      <c r="N607" s="106"/>
      <c r="O607" s="106"/>
      <c r="P607" s="212">
        <v>125.41806020066889</v>
      </c>
    </row>
    <row r="608" ht="14.25" hidden="1" customHeight="1">
      <c r="A608" s="103" t="s">
        <v>84</v>
      </c>
      <c r="B608" s="103" t="s">
        <v>120</v>
      </c>
      <c r="C608" s="103" t="s">
        <v>1886</v>
      </c>
      <c r="D608" s="109" t="s">
        <v>2920</v>
      </c>
      <c r="E608" s="105" t="s">
        <v>3185</v>
      </c>
      <c r="F608" s="110" t="s">
        <v>3075</v>
      </c>
      <c r="G608" s="110"/>
      <c r="H608" s="479" t="s">
        <v>3683</v>
      </c>
      <c r="I608" s="108"/>
      <c r="J608" s="104" t="s">
        <v>3685</v>
      </c>
      <c r="K608" s="110"/>
      <c r="L608" s="109" t="s">
        <v>147</v>
      </c>
      <c r="M608" s="105" t="s">
        <v>3081</v>
      </c>
      <c r="N608" s="106"/>
      <c r="O608" s="106"/>
      <c r="P608" s="212">
        <v>139.35340022296543</v>
      </c>
    </row>
    <row r="609" ht="14.25" hidden="1" customHeight="1">
      <c r="A609" s="103" t="s">
        <v>84</v>
      </c>
      <c r="B609" s="103" t="s">
        <v>3073</v>
      </c>
      <c r="C609" s="103" t="s">
        <v>1886</v>
      </c>
      <c r="D609" s="109" t="s">
        <v>3686</v>
      </c>
      <c r="E609" s="105" t="s">
        <v>3687</v>
      </c>
      <c r="F609" s="110"/>
      <c r="G609" s="110" t="s">
        <v>3134</v>
      </c>
      <c r="H609" s="479" t="s">
        <v>3688</v>
      </c>
      <c r="I609" s="108" t="s">
        <v>3689</v>
      </c>
      <c r="J609" s="104" t="s">
        <v>3691</v>
      </c>
      <c r="K609" s="110"/>
      <c r="L609" s="109" t="s">
        <v>147</v>
      </c>
      <c r="M609" s="105" t="s">
        <v>3081</v>
      </c>
      <c r="N609" s="106"/>
      <c r="O609" s="106"/>
      <c r="P609" s="212">
        <v>140.95928226363012</v>
      </c>
    </row>
    <row r="610" ht="14.25" hidden="1" customHeight="1">
      <c r="A610" s="103" t="s">
        <v>84</v>
      </c>
      <c r="B610" s="103" t="s">
        <v>3073</v>
      </c>
      <c r="C610" s="103" t="s">
        <v>1886</v>
      </c>
      <c r="D610" s="109" t="s">
        <v>3686</v>
      </c>
      <c r="E610" s="105" t="s">
        <v>3687</v>
      </c>
      <c r="F610" s="110"/>
      <c r="G610" s="110" t="s">
        <v>3134</v>
      </c>
      <c r="H610" s="479" t="s">
        <v>3692</v>
      </c>
      <c r="I610" s="108" t="s">
        <v>3693</v>
      </c>
      <c r="J610" s="104" t="s">
        <v>3695</v>
      </c>
      <c r="K610" s="110"/>
      <c r="L610" s="109" t="s">
        <v>147</v>
      </c>
      <c r="M610" s="105" t="s">
        <v>3081</v>
      </c>
      <c r="N610" s="106"/>
      <c r="O610" s="106"/>
      <c r="P610" s="212">
        <v>149.58592132505177</v>
      </c>
    </row>
    <row r="611" ht="14.25" hidden="1" customHeight="1">
      <c r="A611" s="103" t="s">
        <v>84</v>
      </c>
      <c r="B611" s="103" t="s">
        <v>3073</v>
      </c>
      <c r="C611" s="103" t="s">
        <v>1886</v>
      </c>
      <c r="D611" s="109" t="s">
        <v>3686</v>
      </c>
      <c r="E611" s="105" t="s">
        <v>3687</v>
      </c>
      <c r="F611" s="110"/>
      <c r="G611" s="110" t="s">
        <v>3159</v>
      </c>
      <c r="H611" s="479" t="s">
        <v>3696</v>
      </c>
      <c r="I611" s="108" t="s">
        <v>3697</v>
      </c>
      <c r="J611" s="104" t="s">
        <v>3699</v>
      </c>
      <c r="K611" s="110"/>
      <c r="L611" s="109" t="s">
        <v>147</v>
      </c>
      <c r="M611" s="105" t="s">
        <v>3081</v>
      </c>
      <c r="N611" s="106"/>
      <c r="O611" s="106"/>
      <c r="P611" s="212">
        <v>159.0752242926156</v>
      </c>
    </row>
    <row r="612" ht="14.25" hidden="1" customHeight="1">
      <c r="A612" s="103" t="s">
        <v>84</v>
      </c>
      <c r="B612" s="103" t="s">
        <v>3073</v>
      </c>
      <c r="C612" s="103" t="s">
        <v>1886</v>
      </c>
      <c r="D612" s="109" t="s">
        <v>3686</v>
      </c>
      <c r="E612" s="105" t="s">
        <v>3687</v>
      </c>
      <c r="F612" s="110"/>
      <c r="G612" s="110" t="s">
        <v>3159</v>
      </c>
      <c r="H612" s="479" t="s">
        <v>3700</v>
      </c>
      <c r="I612" s="108" t="s">
        <v>3701</v>
      </c>
      <c r="J612" s="104" t="s">
        <v>3703</v>
      </c>
      <c r="K612" s="110"/>
      <c r="L612" s="109" t="s">
        <v>147</v>
      </c>
      <c r="M612" s="105" t="s">
        <v>3081</v>
      </c>
      <c r="N612" s="106"/>
      <c r="O612" s="106"/>
      <c r="P612" s="212">
        <v>167.7018633540373</v>
      </c>
    </row>
    <row r="613" ht="14.25" hidden="1" customHeight="1">
      <c r="A613" s="103" t="s">
        <v>84</v>
      </c>
      <c r="B613" s="103" t="s">
        <v>3073</v>
      </c>
      <c r="C613" s="103" t="s">
        <v>1886</v>
      </c>
      <c r="D613" s="109" t="s">
        <v>3686</v>
      </c>
      <c r="E613" s="105" t="s">
        <v>3687</v>
      </c>
      <c r="F613" s="110"/>
      <c r="G613" s="110" t="s">
        <v>3240</v>
      </c>
      <c r="H613" s="479" t="s">
        <v>3704</v>
      </c>
      <c r="I613" s="108"/>
      <c r="J613" s="104" t="s">
        <v>3706</v>
      </c>
      <c r="K613" s="110"/>
      <c r="L613" s="109" t="s">
        <v>147</v>
      </c>
      <c r="M613" s="105" t="s">
        <v>3081</v>
      </c>
      <c r="N613" s="106"/>
      <c r="O613" s="106"/>
      <c r="P613" s="212">
        <v>177.88129744651485</v>
      </c>
    </row>
    <row r="614" ht="14.25" hidden="1" customHeight="1">
      <c r="A614" s="103" t="s">
        <v>84</v>
      </c>
      <c r="B614" s="103" t="s">
        <v>3073</v>
      </c>
      <c r="C614" s="103" t="s">
        <v>1886</v>
      </c>
      <c r="D614" s="109" t="s">
        <v>3686</v>
      </c>
      <c r="E614" s="105" t="s">
        <v>3687</v>
      </c>
      <c r="F614" s="110"/>
      <c r="G614" s="110" t="s">
        <v>3240</v>
      </c>
      <c r="H614" s="479" t="s">
        <v>3707</v>
      </c>
      <c r="I614" s="108"/>
      <c r="J614" s="104" t="s">
        <v>3709</v>
      </c>
      <c r="K614" s="110"/>
      <c r="L614" s="109" t="s">
        <v>147</v>
      </c>
      <c r="M614" s="105" t="s">
        <v>3081</v>
      </c>
      <c r="N614" s="106"/>
      <c r="O614" s="106"/>
      <c r="P614" s="212">
        <v>187.71566597653558</v>
      </c>
    </row>
    <row r="615" ht="14.25" hidden="1" customHeight="1">
      <c r="A615" s="103" t="s">
        <v>84</v>
      </c>
      <c r="B615" s="103" t="s">
        <v>3073</v>
      </c>
      <c r="C615" s="103" t="s">
        <v>1886</v>
      </c>
      <c r="D615" s="109" t="s">
        <v>3686</v>
      </c>
      <c r="E615" s="105" t="s">
        <v>3687</v>
      </c>
      <c r="F615" s="110"/>
      <c r="G615" s="110" t="s">
        <v>3076</v>
      </c>
      <c r="H615" s="479" t="s">
        <v>3710</v>
      </c>
      <c r="I615" s="108" t="s">
        <v>3711</v>
      </c>
      <c r="J615" s="104" t="s">
        <v>3713</v>
      </c>
      <c r="K615" s="110"/>
      <c r="L615" s="109" t="s">
        <v>147</v>
      </c>
      <c r="M615" s="105" t="s">
        <v>3081</v>
      </c>
      <c r="N615" s="106"/>
      <c r="O615" s="106"/>
      <c r="P615" s="212">
        <v>114.38923395445134</v>
      </c>
    </row>
    <row r="616" ht="14.25" hidden="1" customHeight="1">
      <c r="A616" s="103" t="s">
        <v>84</v>
      </c>
      <c r="B616" s="103" t="s">
        <v>3073</v>
      </c>
      <c r="C616" s="103" t="s">
        <v>1886</v>
      </c>
      <c r="D616" s="109" t="s">
        <v>3686</v>
      </c>
      <c r="E616" s="105" t="s">
        <v>3687</v>
      </c>
      <c r="F616" s="110"/>
      <c r="G616" s="110" t="s">
        <v>3076</v>
      </c>
      <c r="H616" s="479" t="s">
        <v>3714</v>
      </c>
      <c r="I616" s="108" t="s">
        <v>3715</v>
      </c>
      <c r="J616" s="104" t="s">
        <v>3717</v>
      </c>
      <c r="K616" s="110"/>
      <c r="L616" s="109" t="s">
        <v>147</v>
      </c>
      <c r="M616" s="105" t="s">
        <v>3081</v>
      </c>
      <c r="N616" s="106"/>
      <c r="O616" s="106"/>
      <c r="P616" s="212">
        <v>123.01587301587301</v>
      </c>
    </row>
    <row r="617" ht="14.25" hidden="1" customHeight="1">
      <c r="A617" s="103" t="s">
        <v>84</v>
      </c>
      <c r="B617" s="103" t="s">
        <v>3073</v>
      </c>
      <c r="C617" s="103" t="s">
        <v>1886</v>
      </c>
      <c r="D617" s="109" t="s">
        <v>3686</v>
      </c>
      <c r="E617" s="105" t="s">
        <v>3687</v>
      </c>
      <c r="F617" s="110"/>
      <c r="G617" s="110" t="s">
        <v>3101</v>
      </c>
      <c r="H617" s="479" t="s">
        <v>3718</v>
      </c>
      <c r="I617" s="108"/>
      <c r="J617" s="104" t="s">
        <v>3720</v>
      </c>
      <c r="K617" s="110"/>
      <c r="L617" s="109" t="s">
        <v>147</v>
      </c>
      <c r="M617" s="105" t="s">
        <v>3081</v>
      </c>
      <c r="N617" s="106"/>
      <c r="O617" s="106"/>
      <c r="P617" s="212">
        <v>127.5017253278123</v>
      </c>
    </row>
    <row r="618" ht="14.25" hidden="1" customHeight="1">
      <c r="A618" s="103" t="s">
        <v>84</v>
      </c>
      <c r="B618" s="103" t="s">
        <v>3073</v>
      </c>
      <c r="C618" s="103" t="s">
        <v>1886</v>
      </c>
      <c r="D618" s="109" t="s">
        <v>3686</v>
      </c>
      <c r="E618" s="105" t="s">
        <v>3687</v>
      </c>
      <c r="F618" s="110"/>
      <c r="G618" s="110" t="s">
        <v>3101</v>
      </c>
      <c r="H618" s="479" t="s">
        <v>3721</v>
      </c>
      <c r="I618" s="108"/>
      <c r="J618" s="104" t="s">
        <v>3723</v>
      </c>
      <c r="K618" s="110"/>
      <c r="L618" s="109" t="s">
        <v>147</v>
      </c>
      <c r="M618" s="105" t="s">
        <v>3081</v>
      </c>
      <c r="N618" s="106"/>
      <c r="O618" s="106"/>
      <c r="P618" s="212">
        <v>136.12836438923398</v>
      </c>
    </row>
    <row r="619" ht="14.25" hidden="1" customHeight="1">
      <c r="A619" s="103" t="s">
        <v>84</v>
      </c>
      <c r="B619" s="103" t="s">
        <v>3073</v>
      </c>
      <c r="C619" s="103" t="s">
        <v>1886</v>
      </c>
      <c r="D619" s="109" t="s">
        <v>3686</v>
      </c>
      <c r="E619" s="105" t="s">
        <v>3687</v>
      </c>
      <c r="F619" s="110"/>
      <c r="G619" s="110" t="s">
        <v>3120</v>
      </c>
      <c r="H619" s="479" t="s">
        <v>3724</v>
      </c>
      <c r="I619" s="108"/>
      <c r="J619" s="104" t="s">
        <v>3726</v>
      </c>
      <c r="K619" s="110"/>
      <c r="L619" s="109" t="s">
        <v>147</v>
      </c>
      <c r="M619" s="105" t="s">
        <v>3081</v>
      </c>
      <c r="N619" s="106"/>
      <c r="O619" s="106"/>
      <c r="P619" s="212">
        <v>141.13181504485854</v>
      </c>
    </row>
    <row r="620" ht="14.25" hidden="1" customHeight="1">
      <c r="A620" s="103" t="s">
        <v>84</v>
      </c>
      <c r="B620" s="103" t="s">
        <v>3073</v>
      </c>
      <c r="C620" s="103" t="s">
        <v>1886</v>
      </c>
      <c r="D620" s="109" t="s">
        <v>3686</v>
      </c>
      <c r="E620" s="105" t="s">
        <v>3687</v>
      </c>
      <c r="F620" s="110"/>
      <c r="G620" s="110" t="s">
        <v>3727</v>
      </c>
      <c r="H620" s="479" t="s">
        <v>3728</v>
      </c>
      <c r="I620" s="108"/>
      <c r="J620" s="104" t="s">
        <v>3730</v>
      </c>
      <c r="K620" s="110"/>
      <c r="L620" s="109" t="s">
        <v>147</v>
      </c>
      <c r="M620" s="105" t="s">
        <v>3081</v>
      </c>
      <c r="N620" s="106"/>
      <c r="O620" s="106"/>
      <c r="P620" s="212">
        <v>149.7584541062802</v>
      </c>
    </row>
    <row r="621" ht="14.25" hidden="1" customHeight="1">
      <c r="A621" s="103" t="s">
        <v>84</v>
      </c>
      <c r="B621" s="103" t="s">
        <v>3073</v>
      </c>
      <c r="C621" s="103" t="s">
        <v>1886</v>
      </c>
      <c r="D621" s="109" t="s">
        <v>3686</v>
      </c>
      <c r="E621" s="105" t="s">
        <v>3687</v>
      </c>
      <c r="F621" s="110"/>
      <c r="G621" s="110"/>
      <c r="H621" s="479" t="s">
        <v>3731</v>
      </c>
      <c r="I621" s="108"/>
      <c r="J621" s="104" t="s">
        <v>3733</v>
      </c>
      <c r="K621" s="110"/>
      <c r="L621" s="109" t="s">
        <v>147</v>
      </c>
      <c r="M621" s="105" t="s">
        <v>3081</v>
      </c>
      <c r="N621" s="106"/>
      <c r="O621" s="106"/>
      <c r="P621" s="212">
        <v>43.13319530710835</v>
      </c>
    </row>
    <row r="622" ht="14.25" hidden="1" customHeight="1">
      <c r="A622" s="103" t="s">
        <v>84</v>
      </c>
      <c r="B622" s="103" t="s">
        <v>3073</v>
      </c>
      <c r="C622" s="103" t="s">
        <v>1886</v>
      </c>
      <c r="D622" s="109" t="s">
        <v>3686</v>
      </c>
      <c r="E622" s="105" t="s">
        <v>3687</v>
      </c>
      <c r="F622" s="110"/>
      <c r="G622" s="110"/>
      <c r="H622" s="479" t="s">
        <v>3734</v>
      </c>
      <c r="I622" s="108"/>
      <c r="J622" s="104" t="s">
        <v>3736</v>
      </c>
      <c r="K622" s="110"/>
      <c r="L622" s="109" t="s">
        <v>147</v>
      </c>
      <c r="M622" s="105" t="s">
        <v>3081</v>
      </c>
      <c r="N622" s="106"/>
      <c r="O622" s="106"/>
      <c r="P622" s="212">
        <v>69.01311249137338</v>
      </c>
    </row>
    <row r="623" ht="14.25" hidden="1" customHeight="1">
      <c r="A623" s="103" t="s">
        <v>84</v>
      </c>
      <c r="B623" s="103" t="s">
        <v>3073</v>
      </c>
      <c r="C623" s="103" t="s">
        <v>1886</v>
      </c>
      <c r="D623" s="105" t="s">
        <v>1887</v>
      </c>
      <c r="E623" s="105" t="s">
        <v>1887</v>
      </c>
      <c r="F623" s="110"/>
      <c r="G623" s="110"/>
      <c r="H623" s="479" t="s">
        <v>3737</v>
      </c>
      <c r="I623" s="108"/>
      <c r="J623" s="103" t="s">
        <v>3739</v>
      </c>
      <c r="K623" s="110"/>
      <c r="L623" s="109" t="s">
        <v>147</v>
      </c>
      <c r="M623" s="105" t="s">
        <v>3081</v>
      </c>
      <c r="N623" s="110" t="s">
        <v>3740</v>
      </c>
      <c r="O623" s="106"/>
      <c r="P623" s="212">
        <v>13.198757763975157</v>
      </c>
    </row>
    <row r="624" ht="14.25" hidden="1" customHeight="1">
      <c r="A624" s="103" t="s">
        <v>84</v>
      </c>
      <c r="B624" s="103" t="s">
        <v>3073</v>
      </c>
      <c r="C624" s="103" t="s">
        <v>1886</v>
      </c>
      <c r="D624" s="105" t="s">
        <v>1887</v>
      </c>
      <c r="E624" s="105" t="s">
        <v>1887</v>
      </c>
      <c r="F624" s="110"/>
      <c r="G624" s="110"/>
      <c r="H624" s="479" t="s">
        <v>3741</v>
      </c>
      <c r="I624" s="108"/>
      <c r="J624" s="103" t="s">
        <v>3743</v>
      </c>
      <c r="K624" s="110"/>
      <c r="L624" s="109" t="s">
        <v>147</v>
      </c>
      <c r="M624" s="105" t="s">
        <v>3081</v>
      </c>
      <c r="N624" s="110" t="s">
        <v>3740</v>
      </c>
      <c r="O624" s="106"/>
      <c r="P624" s="212">
        <v>15.527950310559008</v>
      </c>
    </row>
    <row r="625" ht="14.25" hidden="1" customHeight="1">
      <c r="A625" s="103" t="s">
        <v>84</v>
      </c>
      <c r="B625" s="103" t="s">
        <v>3073</v>
      </c>
      <c r="C625" s="103" t="s">
        <v>1886</v>
      </c>
      <c r="D625" s="105" t="s">
        <v>1887</v>
      </c>
      <c r="E625" s="105" t="s">
        <v>1887</v>
      </c>
      <c r="F625" s="110"/>
      <c r="G625" s="110"/>
      <c r="H625" s="479" t="s">
        <v>3744</v>
      </c>
      <c r="I625" s="108"/>
      <c r="J625" s="103" t="s">
        <v>3746</v>
      </c>
      <c r="K625" s="110"/>
      <c r="L625" s="109" t="s">
        <v>147</v>
      </c>
      <c r="M625" s="105" t="s">
        <v>3081</v>
      </c>
      <c r="N625" s="110" t="s">
        <v>3740</v>
      </c>
      <c r="O625" s="106"/>
      <c r="P625" s="212">
        <v>18.115942028985508</v>
      </c>
    </row>
    <row r="626" ht="14.25" hidden="1" customHeight="1">
      <c r="A626" s="103" t="s">
        <v>84</v>
      </c>
      <c r="B626" s="103" t="s">
        <v>3073</v>
      </c>
      <c r="C626" s="103" t="s">
        <v>1886</v>
      </c>
      <c r="D626" s="105" t="s">
        <v>1887</v>
      </c>
      <c r="E626" s="105" t="s">
        <v>1887</v>
      </c>
      <c r="F626" s="110"/>
      <c r="G626" s="110"/>
      <c r="H626" s="479" t="s">
        <v>3747</v>
      </c>
      <c r="I626" s="108"/>
      <c r="J626" s="103" t="s">
        <v>3749</v>
      </c>
      <c r="K626" s="110"/>
      <c r="L626" s="109" t="s">
        <v>147</v>
      </c>
      <c r="M626" s="105" t="s">
        <v>3081</v>
      </c>
      <c r="N626" s="110" t="s">
        <v>3740</v>
      </c>
      <c r="O626" s="106"/>
      <c r="P626" s="212">
        <v>18.97860593512768</v>
      </c>
    </row>
    <row r="627" ht="14.25" hidden="1" customHeight="1">
      <c r="A627" s="103" t="s">
        <v>84</v>
      </c>
      <c r="B627" s="103" t="s">
        <v>3073</v>
      </c>
      <c r="C627" s="103" t="s">
        <v>1886</v>
      </c>
      <c r="D627" s="105" t="s">
        <v>1887</v>
      </c>
      <c r="E627" s="105" t="s">
        <v>1887</v>
      </c>
      <c r="F627" s="110"/>
      <c r="G627" s="110"/>
      <c r="H627" s="479" t="s">
        <v>3750</v>
      </c>
      <c r="I627" s="108"/>
      <c r="J627" s="103" t="s">
        <v>3752</v>
      </c>
      <c r="K627" s="110"/>
      <c r="L627" s="109" t="s">
        <v>147</v>
      </c>
      <c r="M627" s="105" t="s">
        <v>3081</v>
      </c>
      <c r="N627" s="110" t="s">
        <v>3740</v>
      </c>
      <c r="O627" s="106"/>
      <c r="P627" s="212">
        <v>28.467908902691516</v>
      </c>
    </row>
    <row r="628" ht="14.25" hidden="1" customHeight="1">
      <c r="A628" s="103" t="s">
        <v>84</v>
      </c>
      <c r="B628" s="103" t="s">
        <v>3073</v>
      </c>
      <c r="C628" s="103" t="s">
        <v>1886</v>
      </c>
      <c r="D628" s="105" t="s">
        <v>1887</v>
      </c>
      <c r="E628" s="105" t="s">
        <v>1887</v>
      </c>
      <c r="F628" s="110"/>
      <c r="G628" s="110"/>
      <c r="H628" s="479" t="s">
        <v>3753</v>
      </c>
      <c r="I628" s="108"/>
      <c r="J628" s="103" t="s">
        <v>3755</v>
      </c>
      <c r="K628" s="110"/>
      <c r="L628" s="109" t="s">
        <v>147</v>
      </c>
      <c r="M628" s="105" t="s">
        <v>3081</v>
      </c>
      <c r="N628" s="110" t="s">
        <v>3740</v>
      </c>
      <c r="O628" s="106"/>
      <c r="P628" s="212">
        <v>28.467908902691516</v>
      </c>
    </row>
    <row r="629" ht="14.25" hidden="1" customHeight="1">
      <c r="A629" s="103" t="s">
        <v>84</v>
      </c>
      <c r="B629" s="103" t="s">
        <v>3073</v>
      </c>
      <c r="C629" s="103" t="s">
        <v>1886</v>
      </c>
      <c r="D629" s="105" t="s">
        <v>1887</v>
      </c>
      <c r="E629" s="105" t="s">
        <v>1887</v>
      </c>
      <c r="F629" s="110"/>
      <c r="G629" s="110"/>
      <c r="H629" s="479" t="s">
        <v>3756</v>
      </c>
      <c r="I629" s="108"/>
      <c r="J629" s="103" t="s">
        <v>3758</v>
      </c>
      <c r="K629" s="110"/>
      <c r="L629" s="109" t="s">
        <v>147</v>
      </c>
      <c r="M629" s="105" t="s">
        <v>3081</v>
      </c>
      <c r="N629" s="110" t="s">
        <v>3740</v>
      </c>
      <c r="O629" s="106"/>
      <c r="P629" s="212">
        <v>23.723257418909593</v>
      </c>
    </row>
    <row r="630" ht="14.25" hidden="1" customHeight="1">
      <c r="A630" s="103" t="s">
        <v>84</v>
      </c>
      <c r="B630" s="103" t="s">
        <v>3073</v>
      </c>
      <c r="C630" s="103" t="s">
        <v>1886</v>
      </c>
      <c r="D630" s="105" t="s">
        <v>1887</v>
      </c>
      <c r="E630" s="105" t="s">
        <v>1887</v>
      </c>
      <c r="F630" s="110"/>
      <c r="G630" s="110"/>
      <c r="H630" s="479" t="s">
        <v>3759</v>
      </c>
      <c r="I630" s="108"/>
      <c r="J630" s="103" t="s">
        <v>3761</v>
      </c>
      <c r="K630" s="110"/>
      <c r="L630" s="109" t="s">
        <v>147</v>
      </c>
      <c r="M630" s="105" t="s">
        <v>3081</v>
      </c>
      <c r="N630" s="110" t="s">
        <v>3740</v>
      </c>
      <c r="O630" s="106"/>
      <c r="P630" s="212">
        <v>25.87991718426501</v>
      </c>
    </row>
    <row r="631" ht="14.25" hidden="1" customHeight="1">
      <c r="A631" s="103" t="s">
        <v>84</v>
      </c>
      <c r="B631" s="103" t="s">
        <v>3073</v>
      </c>
      <c r="C631" s="103" t="s">
        <v>1886</v>
      </c>
      <c r="D631" s="105" t="s">
        <v>1887</v>
      </c>
      <c r="E631" s="105" t="s">
        <v>1887</v>
      </c>
      <c r="F631" s="110"/>
      <c r="G631" s="110"/>
      <c r="H631" s="479" t="s">
        <v>3762</v>
      </c>
      <c r="I631" s="108"/>
      <c r="J631" s="103" t="s">
        <v>3764</v>
      </c>
      <c r="K631" s="110"/>
      <c r="L631" s="109" t="s">
        <v>147</v>
      </c>
      <c r="M631" s="105" t="s">
        <v>3081</v>
      </c>
      <c r="N631" s="110" t="s">
        <v>3740</v>
      </c>
      <c r="O631" s="106"/>
      <c r="P631" s="212">
        <v>31.055900621118017</v>
      </c>
    </row>
    <row r="632" ht="14.25" hidden="1" customHeight="1">
      <c r="A632" s="103" t="s">
        <v>84</v>
      </c>
      <c r="B632" s="103" t="s">
        <v>3073</v>
      </c>
      <c r="C632" s="103" t="s">
        <v>1886</v>
      </c>
      <c r="D632" s="109" t="s">
        <v>3686</v>
      </c>
      <c r="E632" s="105" t="s">
        <v>3687</v>
      </c>
      <c r="F632" s="110"/>
      <c r="G632" s="110"/>
      <c r="H632" s="479" t="s">
        <v>3765</v>
      </c>
      <c r="I632" s="108"/>
      <c r="J632" s="104" t="s">
        <v>3767</v>
      </c>
      <c r="K632" s="110"/>
      <c r="L632" s="109" t="s">
        <v>147</v>
      </c>
      <c r="M632" s="105" t="s">
        <v>3081</v>
      </c>
      <c r="N632" s="106"/>
      <c r="O632" s="106"/>
      <c r="P632" s="212">
        <v>25.87991718426501</v>
      </c>
    </row>
    <row r="633" ht="14.25" hidden="1" customHeight="1">
      <c r="A633" s="103" t="s">
        <v>84</v>
      </c>
      <c r="B633" s="103" t="s">
        <v>3073</v>
      </c>
      <c r="C633" s="103" t="s">
        <v>1886</v>
      </c>
      <c r="D633" s="109" t="s">
        <v>3686</v>
      </c>
      <c r="E633" s="105" t="s">
        <v>3687</v>
      </c>
      <c r="F633" s="110"/>
      <c r="G633" s="110"/>
      <c r="H633" s="479" t="s">
        <v>3768</v>
      </c>
      <c r="I633" s="108"/>
      <c r="J633" s="104" t="s">
        <v>3770</v>
      </c>
      <c r="K633" s="110"/>
      <c r="L633" s="109" t="s">
        <v>147</v>
      </c>
      <c r="M633" s="105" t="s">
        <v>3081</v>
      </c>
      <c r="N633" s="106"/>
      <c r="O633" s="106"/>
      <c r="P633" s="212">
        <v>10.093167701863356</v>
      </c>
    </row>
    <row r="634" ht="14.25" hidden="1" customHeight="1">
      <c r="A634" s="103" t="s">
        <v>84</v>
      </c>
      <c r="B634" s="103" t="s">
        <v>3073</v>
      </c>
      <c r="C634" s="103" t="s">
        <v>1886</v>
      </c>
      <c r="D634" s="109" t="s">
        <v>3686</v>
      </c>
      <c r="E634" s="105" t="s">
        <v>3687</v>
      </c>
      <c r="F634" s="110"/>
      <c r="G634" s="110"/>
      <c r="H634" s="479" t="s">
        <v>3771</v>
      </c>
      <c r="I634" s="108"/>
      <c r="J634" s="104" t="s">
        <v>3773</v>
      </c>
      <c r="K634" s="110"/>
      <c r="L634" s="109" t="s">
        <v>147</v>
      </c>
      <c r="M634" s="105" t="s">
        <v>3081</v>
      </c>
      <c r="N634" s="106"/>
      <c r="O634" s="106"/>
      <c r="P634" s="212">
        <v>2.7605244996549345</v>
      </c>
    </row>
    <row r="635" ht="14.25" hidden="1" customHeight="1">
      <c r="A635" s="103" t="s">
        <v>84</v>
      </c>
      <c r="B635" s="103" t="s">
        <v>3073</v>
      </c>
      <c r="C635" s="103" t="s">
        <v>1886</v>
      </c>
      <c r="D635" s="109" t="s">
        <v>3686</v>
      </c>
      <c r="E635" s="105" t="s">
        <v>3687</v>
      </c>
      <c r="F635" s="110"/>
      <c r="G635" s="110"/>
      <c r="H635" s="479" t="s">
        <v>3774</v>
      </c>
      <c r="I635" s="108"/>
      <c r="J635" s="104" t="s">
        <v>3776</v>
      </c>
      <c r="K635" s="110"/>
      <c r="L635" s="109" t="s">
        <v>147</v>
      </c>
      <c r="M635" s="105" t="s">
        <v>3081</v>
      </c>
      <c r="N635" s="106"/>
      <c r="O635" s="106"/>
      <c r="P635" s="212">
        <v>7.763975155279504</v>
      </c>
    </row>
    <row r="636" ht="14.25" hidden="1" customHeight="1">
      <c r="A636" s="103" t="s">
        <v>84</v>
      </c>
      <c r="B636" s="103" t="s">
        <v>3073</v>
      </c>
      <c r="C636" s="103" t="s">
        <v>1886</v>
      </c>
      <c r="D636" s="105" t="s">
        <v>1887</v>
      </c>
      <c r="E636" s="105" t="s">
        <v>1887</v>
      </c>
      <c r="F636" s="110"/>
      <c r="G636" s="110"/>
      <c r="H636" s="479" t="s">
        <v>3777</v>
      </c>
      <c r="I636" s="108"/>
      <c r="J636" s="104" t="s">
        <v>3779</v>
      </c>
      <c r="K636" s="110"/>
      <c r="L636" s="109" t="s">
        <v>147</v>
      </c>
      <c r="M636" s="105" t="s">
        <v>3081</v>
      </c>
      <c r="N636" s="110" t="s">
        <v>3740</v>
      </c>
      <c r="O636" s="106"/>
      <c r="P636" s="212">
        <v>3.4506556245686686</v>
      </c>
    </row>
    <row r="637" ht="14.25" hidden="1" customHeight="1">
      <c r="A637" s="103" t="s">
        <v>84</v>
      </c>
      <c r="B637" s="103" t="s">
        <v>3073</v>
      </c>
      <c r="C637" s="103" t="s">
        <v>1886</v>
      </c>
      <c r="D637" s="105" t="s">
        <v>1887</v>
      </c>
      <c r="E637" s="105" t="s">
        <v>1887</v>
      </c>
      <c r="F637" s="110"/>
      <c r="G637" s="110"/>
      <c r="H637" s="479" t="s">
        <v>3780</v>
      </c>
      <c r="I637" s="108"/>
      <c r="J637" s="104" t="s">
        <v>3782</v>
      </c>
      <c r="K637" s="110"/>
      <c r="L637" s="109" t="s">
        <v>147</v>
      </c>
      <c r="M637" s="105" t="s">
        <v>3081</v>
      </c>
      <c r="N637" s="110" t="s">
        <v>3740</v>
      </c>
      <c r="O637" s="106"/>
      <c r="P637" s="212">
        <v>4.313319530710836</v>
      </c>
    </row>
    <row r="638" ht="14.25" hidden="1" customHeight="1">
      <c r="A638" s="103" t="s">
        <v>84</v>
      </c>
      <c r="B638" s="103" t="s">
        <v>3073</v>
      </c>
      <c r="C638" s="103" t="s">
        <v>1886</v>
      </c>
      <c r="D638" s="105" t="s">
        <v>1887</v>
      </c>
      <c r="E638" s="105" t="s">
        <v>1887</v>
      </c>
      <c r="F638" s="110"/>
      <c r="G638" s="110"/>
      <c r="H638" s="479" t="s">
        <v>3783</v>
      </c>
      <c r="I638" s="108"/>
      <c r="J638" s="104" t="s">
        <v>3785</v>
      </c>
      <c r="K638" s="110"/>
      <c r="L638" s="109" t="s">
        <v>147</v>
      </c>
      <c r="M638" s="105" t="s">
        <v>3081</v>
      </c>
      <c r="N638" s="110" t="s">
        <v>3740</v>
      </c>
      <c r="O638" s="106"/>
      <c r="P638" s="212">
        <v>5.175983436853002</v>
      </c>
    </row>
    <row r="639" ht="14.25" hidden="1" customHeight="1">
      <c r="A639" s="103" t="s">
        <v>84</v>
      </c>
      <c r="B639" s="103" t="s">
        <v>3073</v>
      </c>
      <c r="C639" s="103" t="s">
        <v>1886</v>
      </c>
      <c r="D639" s="105" t="s">
        <v>1887</v>
      </c>
      <c r="E639" s="105" t="s">
        <v>1887</v>
      </c>
      <c r="F639" s="110"/>
      <c r="G639" s="110"/>
      <c r="H639" s="479" t="s">
        <v>3786</v>
      </c>
      <c r="I639" s="108"/>
      <c r="J639" s="104" t="s">
        <v>3788</v>
      </c>
      <c r="K639" s="110"/>
      <c r="L639" s="109" t="s">
        <v>147</v>
      </c>
      <c r="M639" s="105" t="s">
        <v>3081</v>
      </c>
      <c r="N639" s="110" t="s">
        <v>3740</v>
      </c>
      <c r="O639" s="106"/>
      <c r="P639" s="212">
        <v>7.073844030365769</v>
      </c>
    </row>
    <row r="640" ht="14.25" hidden="1" customHeight="1">
      <c r="A640" s="103" t="s">
        <v>84</v>
      </c>
      <c r="B640" s="103" t="s">
        <v>3073</v>
      </c>
      <c r="C640" s="103" t="s">
        <v>1886</v>
      </c>
      <c r="D640" s="109" t="s">
        <v>3686</v>
      </c>
      <c r="E640" s="105" t="s">
        <v>3687</v>
      </c>
      <c r="F640" s="110"/>
      <c r="G640" s="110" t="s">
        <v>3076</v>
      </c>
      <c r="H640" s="479" t="s">
        <v>3789</v>
      </c>
      <c r="I640" s="108"/>
      <c r="J640" s="104" t="s">
        <v>3791</v>
      </c>
      <c r="K640" s="110"/>
      <c r="L640" s="109" t="s">
        <v>147</v>
      </c>
      <c r="M640" s="105" t="s">
        <v>3081</v>
      </c>
      <c r="N640" s="106"/>
      <c r="O640" s="106"/>
      <c r="P640" s="212">
        <v>55.2104899930987</v>
      </c>
    </row>
    <row r="641" ht="14.25" hidden="1" customHeight="1">
      <c r="A641" s="103" t="s">
        <v>84</v>
      </c>
      <c r="B641" s="103" t="s">
        <v>3073</v>
      </c>
      <c r="C641" s="103" t="s">
        <v>1886</v>
      </c>
      <c r="D641" s="109" t="s">
        <v>3686</v>
      </c>
      <c r="E641" s="105" t="s">
        <v>3687</v>
      </c>
      <c r="F641" s="110"/>
      <c r="G641" s="110" t="s">
        <v>3101</v>
      </c>
      <c r="H641" s="479" t="s">
        <v>3792</v>
      </c>
      <c r="I641" s="108"/>
      <c r="J641" s="104" t="s">
        <v>3794</v>
      </c>
      <c r="K641" s="110"/>
      <c r="L641" s="109" t="s">
        <v>147</v>
      </c>
      <c r="M641" s="105" t="s">
        <v>3081</v>
      </c>
      <c r="N641" s="106"/>
      <c r="O641" s="106"/>
      <c r="P641" s="212">
        <v>60.3864734299517</v>
      </c>
    </row>
    <row r="642" ht="14.25" hidden="1" customHeight="1">
      <c r="A642" s="103" t="s">
        <v>84</v>
      </c>
      <c r="B642" s="103" t="s">
        <v>3073</v>
      </c>
      <c r="C642" s="103" t="s">
        <v>1886</v>
      </c>
      <c r="D642" s="109" t="s">
        <v>3686</v>
      </c>
      <c r="E642" s="105" t="s">
        <v>3687</v>
      </c>
      <c r="F642" s="110"/>
      <c r="G642" s="110" t="s">
        <v>3124</v>
      </c>
      <c r="H642" s="479" t="s">
        <v>3795</v>
      </c>
      <c r="I642" s="108"/>
      <c r="J642" s="104" t="s">
        <v>3797</v>
      </c>
      <c r="K642" s="110"/>
      <c r="L642" s="109" t="s">
        <v>147</v>
      </c>
      <c r="M642" s="105" t="s">
        <v>3081</v>
      </c>
      <c r="N642" s="106"/>
      <c r="O642" s="106"/>
      <c r="P642" s="212">
        <v>60.3864734299517</v>
      </c>
    </row>
    <row r="643" ht="14.25" hidden="1" customHeight="1">
      <c r="A643" s="103" t="s">
        <v>84</v>
      </c>
      <c r="B643" s="103" t="s">
        <v>3073</v>
      </c>
      <c r="C643" s="103" t="s">
        <v>1886</v>
      </c>
      <c r="D643" s="109" t="s">
        <v>3686</v>
      </c>
      <c r="E643" s="105" t="s">
        <v>3687</v>
      </c>
      <c r="F643" s="110"/>
      <c r="G643" s="110" t="s">
        <v>3134</v>
      </c>
      <c r="H643" s="479" t="s">
        <v>3798</v>
      </c>
      <c r="I643" s="108"/>
      <c r="J643" s="104" t="s">
        <v>3800</v>
      </c>
      <c r="K643" s="110"/>
      <c r="L643" s="109" t="s">
        <v>147</v>
      </c>
      <c r="M643" s="105" t="s">
        <v>3081</v>
      </c>
      <c r="N643" s="106"/>
      <c r="O643" s="106"/>
      <c r="P643" s="212">
        <v>69.01311249137338</v>
      </c>
    </row>
    <row r="644" ht="14.25" hidden="1" customHeight="1">
      <c r="A644" s="103" t="s">
        <v>84</v>
      </c>
      <c r="B644" s="103" t="s">
        <v>3073</v>
      </c>
      <c r="C644" s="103" t="s">
        <v>1886</v>
      </c>
      <c r="D644" s="109" t="s">
        <v>3686</v>
      </c>
      <c r="E644" s="105" t="s">
        <v>3687</v>
      </c>
      <c r="F644" s="110"/>
      <c r="G644" s="110" t="s">
        <v>3120</v>
      </c>
      <c r="H644" s="479" t="s">
        <v>3801</v>
      </c>
      <c r="I644" s="108"/>
      <c r="J644" s="104" t="s">
        <v>3803</v>
      </c>
      <c r="K644" s="110"/>
      <c r="L644" s="109" t="s">
        <v>147</v>
      </c>
      <c r="M644" s="105" t="s">
        <v>3081</v>
      </c>
      <c r="N644" s="106"/>
      <c r="O644" s="106"/>
      <c r="P644" s="212">
        <v>60.3864734299517</v>
      </c>
    </row>
    <row r="645" ht="14.25" hidden="1" customHeight="1">
      <c r="A645" s="103" t="s">
        <v>84</v>
      </c>
      <c r="B645" s="103" t="s">
        <v>3073</v>
      </c>
      <c r="C645" s="103" t="s">
        <v>1886</v>
      </c>
      <c r="D645" s="109" t="s">
        <v>3686</v>
      </c>
      <c r="E645" s="105" t="s">
        <v>3687</v>
      </c>
      <c r="F645" s="110"/>
      <c r="G645" s="110" t="s">
        <v>3159</v>
      </c>
      <c r="H645" s="479" t="s">
        <v>3804</v>
      </c>
      <c r="I645" s="108"/>
      <c r="J645" s="104" t="s">
        <v>3806</v>
      </c>
      <c r="K645" s="110"/>
      <c r="L645" s="109" t="s">
        <v>147</v>
      </c>
      <c r="M645" s="105" t="s">
        <v>3081</v>
      </c>
      <c r="N645" s="106"/>
      <c r="O645" s="106"/>
      <c r="P645" s="212">
        <v>77.63975155279503</v>
      </c>
    </row>
    <row r="646" ht="14.25" hidden="1" customHeight="1">
      <c r="A646" s="103" t="s">
        <v>84</v>
      </c>
      <c r="B646" s="103" t="s">
        <v>3073</v>
      </c>
      <c r="C646" s="103" t="s">
        <v>1886</v>
      </c>
      <c r="D646" s="109" t="s">
        <v>3686</v>
      </c>
      <c r="E646" s="105" t="s">
        <v>3687</v>
      </c>
      <c r="F646" s="110"/>
      <c r="G646" s="110" t="s">
        <v>3240</v>
      </c>
      <c r="H646" s="479" t="s">
        <v>3807</v>
      </c>
      <c r="I646" s="108"/>
      <c r="J646" s="104" t="s">
        <v>3809</v>
      </c>
      <c r="K646" s="110"/>
      <c r="L646" s="109" t="s">
        <v>147</v>
      </c>
      <c r="M646" s="105" t="s">
        <v>3081</v>
      </c>
      <c r="N646" s="106"/>
      <c r="O646" s="106"/>
      <c r="P646" s="212">
        <v>86.2663906142167</v>
      </c>
    </row>
    <row r="647" ht="14.25" hidden="1" customHeight="1">
      <c r="A647" s="103" t="s">
        <v>84</v>
      </c>
      <c r="B647" s="103" t="s">
        <v>3073</v>
      </c>
      <c r="C647" s="103" t="s">
        <v>1886</v>
      </c>
      <c r="D647" s="109" t="s">
        <v>3686</v>
      </c>
      <c r="E647" s="105" t="s">
        <v>3687</v>
      </c>
      <c r="F647" s="110"/>
      <c r="G647" s="110"/>
      <c r="H647" s="479" t="s">
        <v>3810</v>
      </c>
      <c r="I647" s="108" t="s">
        <v>3811</v>
      </c>
      <c r="J647" s="104" t="s">
        <v>3813</v>
      </c>
      <c r="K647" s="250"/>
      <c r="L647" s="109" t="s">
        <v>147</v>
      </c>
      <c r="M647" s="105" t="s">
        <v>3081</v>
      </c>
      <c r="N647" s="106"/>
      <c r="O647" s="106"/>
      <c r="P647" s="482">
        <v>32.17736369910283</v>
      </c>
    </row>
    <row r="648" ht="14.25" hidden="1" customHeight="1">
      <c r="A648" s="103" t="s">
        <v>84</v>
      </c>
      <c r="B648" s="103" t="s">
        <v>3073</v>
      </c>
      <c r="C648" s="103" t="s">
        <v>1886</v>
      </c>
      <c r="D648" s="109" t="s">
        <v>3686</v>
      </c>
      <c r="E648" s="105" t="s">
        <v>3687</v>
      </c>
      <c r="F648" s="110"/>
      <c r="G648" s="110"/>
      <c r="H648" s="479" t="s">
        <v>3815</v>
      </c>
      <c r="I648" s="108"/>
      <c r="J648" s="104" t="s">
        <v>3817</v>
      </c>
      <c r="K648" s="134"/>
      <c r="L648" s="109" t="s">
        <v>147</v>
      </c>
      <c r="M648" s="105" t="s">
        <v>3081</v>
      </c>
      <c r="N648" s="106"/>
      <c r="O648" s="106"/>
      <c r="P648" s="498">
        <v>4.74465148378192</v>
      </c>
    </row>
    <row r="649" ht="14.25" hidden="1" customHeight="1">
      <c r="A649" s="103" t="s">
        <v>84</v>
      </c>
      <c r="B649" s="103" t="s">
        <v>120</v>
      </c>
      <c r="C649" s="103" t="s">
        <v>1886</v>
      </c>
      <c r="D649" s="103" t="s">
        <v>1887</v>
      </c>
      <c r="E649" s="104" t="s">
        <v>1887</v>
      </c>
      <c r="F649" s="110"/>
      <c r="G649" s="110"/>
      <c r="H649" s="108" t="s">
        <v>3818</v>
      </c>
      <c r="I649" s="108" t="s">
        <v>3819</v>
      </c>
      <c r="J649" s="103" t="s">
        <v>3821</v>
      </c>
      <c r="K649" s="110"/>
      <c r="L649" s="104" t="s">
        <v>147</v>
      </c>
      <c r="M649" s="104" t="s">
        <v>554</v>
      </c>
      <c r="N649" s="110" t="s">
        <v>787</v>
      </c>
      <c r="O649" s="110"/>
      <c r="P649" s="212"/>
    </row>
    <row r="650" ht="14.25" hidden="1" customHeight="1">
      <c r="A650" s="103" t="s">
        <v>84</v>
      </c>
      <c r="B650" s="103" t="s">
        <v>120</v>
      </c>
      <c r="C650" s="103" t="s">
        <v>1886</v>
      </c>
      <c r="D650" s="103" t="s">
        <v>1887</v>
      </c>
      <c r="E650" s="104" t="s">
        <v>1887</v>
      </c>
      <c r="F650" s="110"/>
      <c r="G650" s="110"/>
      <c r="H650" s="108" t="s">
        <v>3822</v>
      </c>
      <c r="I650" s="108" t="s">
        <v>3823</v>
      </c>
      <c r="J650" s="103" t="s">
        <v>3825</v>
      </c>
      <c r="K650" s="110"/>
      <c r="L650" s="104" t="s">
        <v>147</v>
      </c>
      <c r="M650" s="104" t="s">
        <v>554</v>
      </c>
      <c r="N650" s="110" t="s">
        <v>787</v>
      </c>
      <c r="O650" s="251"/>
      <c r="P650" s="212"/>
    </row>
    <row r="651" ht="14.25" hidden="1" customHeight="1">
      <c r="A651" s="103" t="s">
        <v>84</v>
      </c>
      <c r="B651" s="103" t="s">
        <v>120</v>
      </c>
      <c r="C651" s="103" t="s">
        <v>1886</v>
      </c>
      <c r="D651" s="103" t="s">
        <v>1887</v>
      </c>
      <c r="E651" s="104" t="s">
        <v>1887</v>
      </c>
      <c r="F651" s="110"/>
      <c r="G651" s="110"/>
      <c r="H651" s="108" t="s">
        <v>3826</v>
      </c>
      <c r="I651" s="108" t="s">
        <v>3827</v>
      </c>
      <c r="J651" s="103" t="s">
        <v>3829</v>
      </c>
      <c r="K651" s="110"/>
      <c r="L651" s="104" t="s">
        <v>147</v>
      </c>
      <c r="M651" s="104" t="s">
        <v>554</v>
      </c>
      <c r="N651" s="110" t="s">
        <v>787</v>
      </c>
      <c r="O651" s="251"/>
      <c r="P651" s="212"/>
    </row>
    <row r="652" ht="14.25" hidden="1" customHeight="1">
      <c r="A652" s="103" t="s">
        <v>84</v>
      </c>
      <c r="B652" s="103" t="s">
        <v>120</v>
      </c>
      <c r="C652" s="103" t="s">
        <v>1886</v>
      </c>
      <c r="D652" s="103" t="s">
        <v>1887</v>
      </c>
      <c r="E652" s="104" t="s">
        <v>1887</v>
      </c>
      <c r="F652" s="110"/>
      <c r="G652" s="110"/>
      <c r="H652" s="108" t="s">
        <v>3830</v>
      </c>
      <c r="I652" s="108" t="s">
        <v>3831</v>
      </c>
      <c r="J652" s="103" t="s">
        <v>3833</v>
      </c>
      <c r="K652" s="110"/>
      <c r="L652" s="104" t="s">
        <v>147</v>
      </c>
      <c r="M652" s="104" t="s">
        <v>554</v>
      </c>
      <c r="N652" s="110" t="s">
        <v>787</v>
      </c>
      <c r="O652" s="251"/>
      <c r="P652" s="212"/>
    </row>
    <row r="653" ht="14.25" hidden="1" customHeight="1">
      <c r="A653" s="103" t="s">
        <v>84</v>
      </c>
      <c r="B653" s="103" t="s">
        <v>120</v>
      </c>
      <c r="C653" s="103" t="s">
        <v>1886</v>
      </c>
      <c r="D653" s="103" t="s">
        <v>1887</v>
      </c>
      <c r="E653" s="104" t="s">
        <v>1887</v>
      </c>
      <c r="F653" s="110"/>
      <c r="G653" s="110"/>
      <c r="H653" s="108" t="s">
        <v>3834</v>
      </c>
      <c r="I653" s="108" t="s">
        <v>3835</v>
      </c>
      <c r="J653" s="103" t="s">
        <v>3837</v>
      </c>
      <c r="K653" s="110"/>
      <c r="L653" s="104" t="s">
        <v>147</v>
      </c>
      <c r="M653" s="104"/>
      <c r="N653" s="110" t="s">
        <v>787</v>
      </c>
      <c r="O653" s="110"/>
      <c r="P653" s="212"/>
    </row>
    <row r="654" ht="14.25" hidden="1" customHeight="1">
      <c r="A654" s="103" t="s">
        <v>84</v>
      </c>
      <c r="B654" s="103" t="s">
        <v>120</v>
      </c>
      <c r="C654" s="103" t="s">
        <v>1886</v>
      </c>
      <c r="D654" s="103" t="s">
        <v>1887</v>
      </c>
      <c r="E654" s="104" t="s">
        <v>1887</v>
      </c>
      <c r="F654" s="110"/>
      <c r="G654" s="110"/>
      <c r="H654" s="108" t="s">
        <v>3839</v>
      </c>
      <c r="I654" s="108" t="s">
        <v>3840</v>
      </c>
      <c r="J654" s="103" t="s">
        <v>3842</v>
      </c>
      <c r="K654" s="110"/>
      <c r="L654" s="104" t="s">
        <v>147</v>
      </c>
      <c r="M654" s="104"/>
      <c r="N654" s="110" t="s">
        <v>787</v>
      </c>
      <c r="O654" s="110"/>
      <c r="P654" s="212"/>
    </row>
    <row r="655" ht="14.25" hidden="1" customHeight="1">
      <c r="A655" s="103" t="s">
        <v>84</v>
      </c>
      <c r="B655" s="103" t="s">
        <v>120</v>
      </c>
      <c r="C655" s="103" t="s">
        <v>1266</v>
      </c>
      <c r="D655" s="103" t="s">
        <v>1267</v>
      </c>
      <c r="E655" s="104" t="s">
        <v>1267</v>
      </c>
      <c r="F655" s="110" t="s">
        <v>1268</v>
      </c>
      <c r="G655" s="110"/>
      <c r="H655" s="220" t="s">
        <v>3848</v>
      </c>
      <c r="I655" s="220" t="s">
        <v>3849</v>
      </c>
      <c r="J655" s="103" t="s">
        <v>3851</v>
      </c>
      <c r="K655" s="110"/>
      <c r="L655" s="104" t="s">
        <v>95</v>
      </c>
      <c r="M655" s="104" t="s">
        <v>1272</v>
      </c>
      <c r="N655" s="110" t="s">
        <v>555</v>
      </c>
      <c r="O655" s="110">
        <v>51840.0</v>
      </c>
      <c r="P655" s="212">
        <v>0.38071275708736313</v>
      </c>
    </row>
    <row r="656" ht="14.25" hidden="1" customHeight="1">
      <c r="A656" s="103" t="s">
        <v>84</v>
      </c>
      <c r="B656" s="103" t="s">
        <v>120</v>
      </c>
      <c r="C656" s="103" t="s">
        <v>1266</v>
      </c>
      <c r="D656" s="103" t="s">
        <v>1267</v>
      </c>
      <c r="E656" s="104" t="s">
        <v>1267</v>
      </c>
      <c r="F656" s="110" t="s">
        <v>1268</v>
      </c>
      <c r="G656" s="110"/>
      <c r="H656" s="220" t="s">
        <v>3852</v>
      </c>
      <c r="I656" s="220" t="s">
        <v>3853</v>
      </c>
      <c r="J656" s="103" t="s">
        <v>3855</v>
      </c>
      <c r="K656" s="110"/>
      <c r="L656" s="104" t="s">
        <v>95</v>
      </c>
      <c r="M656" s="104" t="s">
        <v>1272</v>
      </c>
      <c r="N656" s="110" t="s">
        <v>555</v>
      </c>
      <c r="O656" s="110">
        <v>51840.0</v>
      </c>
      <c r="P656" s="212">
        <v>0.38071275708736313</v>
      </c>
    </row>
    <row r="657" ht="14.25" hidden="1" customHeight="1">
      <c r="A657" s="103" t="s">
        <v>84</v>
      </c>
      <c r="B657" s="103" t="s">
        <v>120</v>
      </c>
      <c r="C657" s="103" t="s">
        <v>1266</v>
      </c>
      <c r="D657" s="103" t="s">
        <v>1267</v>
      </c>
      <c r="E657" s="104" t="s">
        <v>1267</v>
      </c>
      <c r="F657" s="110" t="s">
        <v>1288</v>
      </c>
      <c r="G657" s="110"/>
      <c r="H657" s="220" t="s">
        <v>3856</v>
      </c>
      <c r="I657" s="220" t="s">
        <v>3857</v>
      </c>
      <c r="J657" s="103" t="s">
        <v>3859</v>
      </c>
      <c r="K657" s="110"/>
      <c r="L657" s="104" t="s">
        <v>95</v>
      </c>
      <c r="M657" s="104" t="s">
        <v>1287</v>
      </c>
      <c r="N657" s="110" t="s">
        <v>555</v>
      </c>
      <c r="O657" s="110">
        <v>25920.0</v>
      </c>
      <c r="P657" s="212">
        <v>0.2891334714455205</v>
      </c>
    </row>
    <row r="658" ht="14.25" hidden="1" customHeight="1">
      <c r="A658" s="103" t="s">
        <v>84</v>
      </c>
      <c r="B658" s="103" t="s">
        <v>120</v>
      </c>
      <c r="C658" s="103" t="s">
        <v>1266</v>
      </c>
      <c r="D658" s="103" t="s">
        <v>1267</v>
      </c>
      <c r="E658" s="104" t="s">
        <v>1267</v>
      </c>
      <c r="F658" s="110" t="s">
        <v>1288</v>
      </c>
      <c r="G658" s="110"/>
      <c r="H658" s="220" t="s">
        <v>3860</v>
      </c>
      <c r="I658" s="220" t="s">
        <v>3861</v>
      </c>
      <c r="J658" s="103" t="s">
        <v>3863</v>
      </c>
      <c r="K658" s="110"/>
      <c r="L658" s="104" t="s">
        <v>95</v>
      </c>
      <c r="M658" s="104" t="s">
        <v>1287</v>
      </c>
      <c r="N658" s="110" t="s">
        <v>555</v>
      </c>
      <c r="O658" s="110">
        <v>25920.0</v>
      </c>
      <c r="P658" s="212">
        <v>0.2891334714455205</v>
      </c>
    </row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658">
    <filterColumn colId="2">
      <filters>
        <filter val="COPPER"/>
      </filters>
    </filterColumn>
    <filterColumn colId="3">
      <filters>
        <filter val="PDU"/>
        <filter val="PANEL, SHELVES,DRAWERS"/>
        <filter val="WALL CABINET"/>
        <filter val="CABINET"/>
        <filter val="ADAPTERS"/>
        <filter val="OPTICAL ACCCESSORIES"/>
        <filter val="KEYSTONE JACK &amp; ACCESSORIES"/>
        <filter val="OPTICAL CABLE"/>
        <filter val="OPTICAL PATCH CORDS"/>
        <filter val="OPTICAL PATCH PANEL"/>
        <filter val="PIGTAILS"/>
      </filters>
    </filterColumn>
  </autoFilter>
  <mergeCells count="2">
    <mergeCell ref="N443:N456"/>
    <mergeCell ref="O443:O456"/>
  </mergeCells>
  <conditionalFormatting sqref="B1:B215 B234:B658">
    <cfRule type="containsText" dxfId="0" priority="1" operator="containsText" text="No">
      <formula>NOT(ISERROR(SEARCH(("No"),(B1))))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Carina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0x0101006514C590D6670B46B394B0B20BFCA2F5</vt:lpwstr>
  </property>
  <property fmtid="{D5CDD505-2E9C-101B-9397-08002B2CF9AE}" pid="3" name="MediaServiceImageTags">
    <vt:lpwstr/>
  </property>
</Properties>
</file>